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u327049/Documents/Aurora/Calculator/"/>
    </mc:Choice>
  </mc:AlternateContent>
  <xr:revisionPtr revIDLastSave="0" documentId="13_ncr:1_{8872D782-43BF-8B42-A5DB-CD027AA4F709}" xr6:coauthVersionLast="47" xr6:coauthVersionMax="47" xr10:uidLastSave="{00000000-0000-0000-0000-000000000000}"/>
  <bookViews>
    <workbookView xWindow="0" yWindow="500" windowWidth="28800" windowHeight="17500" tabRatio="843" activeTab="1" xr2:uid="{46752F21-F63B-4D9A-895E-8DED135F34DA}"/>
  </bookViews>
  <sheets>
    <sheet name="instructions" sheetId="1" r:id="rId1"/>
    <sheet name="Austria" sheetId="2" r:id="rId2"/>
    <sheet name="Belgium" sheetId="3" r:id="rId3"/>
    <sheet name="Bulgaria" sheetId="4" r:id="rId4"/>
    <sheet name="Croatia" sheetId="5" r:id="rId5"/>
    <sheet name="Cyprus" sheetId="6" r:id="rId6"/>
    <sheet name="Czech Republic" sheetId="7" r:id="rId7"/>
    <sheet name="Denmark" sheetId="8" r:id="rId8"/>
    <sheet name="Estonia" sheetId="9" r:id="rId9"/>
    <sheet name="EU28" sheetId="14" r:id="rId10"/>
    <sheet name="Finland" sheetId="10" r:id="rId11"/>
    <sheet name="France" sheetId="11" r:id="rId12"/>
    <sheet name="Germany" sheetId="12" r:id="rId13"/>
    <sheet name="Greece" sheetId="13" r:id="rId14"/>
    <sheet name="Hungary" sheetId="15" r:id="rId15"/>
    <sheet name="Lithuania" sheetId="18" r:id="rId16"/>
    <sheet name="Ireland" sheetId="16" r:id="rId17"/>
    <sheet name="Italy" sheetId="17" r:id="rId18"/>
    <sheet name="Latvia" sheetId="19" r:id="rId19"/>
    <sheet name="Luxembourg" sheetId="20" r:id="rId20"/>
    <sheet name="Malta" sheetId="21" r:id="rId21"/>
    <sheet name="Netherlands" sheetId="22" r:id="rId22"/>
    <sheet name="Poland" sheetId="23" r:id="rId23"/>
    <sheet name="Portugal" sheetId="24" r:id="rId24"/>
    <sheet name="Romania" sheetId="25" r:id="rId25"/>
    <sheet name="Slovakia" sheetId="26" r:id="rId26"/>
    <sheet name="Slovenia" sheetId="27" r:id="rId27"/>
    <sheet name="Spain" sheetId="28" r:id="rId28"/>
    <sheet name="Sweden" sheetId="29" r:id="rId29"/>
    <sheet name="United Kingdom" sheetId="30" r:id="rId30"/>
    <sheet name="DATA" sheetId="32" r:id="rId31"/>
    <sheet name="AT " sheetId="34" r:id="rId32"/>
    <sheet name="BE " sheetId="35" r:id="rId33"/>
    <sheet name="BG " sheetId="36" r:id="rId34"/>
    <sheet name="HR " sheetId="37" r:id="rId35"/>
    <sheet name="CY " sheetId="38" r:id="rId36"/>
    <sheet name="CZ " sheetId="39" r:id="rId37"/>
    <sheet name="DE " sheetId="40" r:id="rId38"/>
    <sheet name="DK " sheetId="33" r:id="rId39"/>
    <sheet name="EE " sheetId="41" r:id="rId40"/>
    <sheet name="EL " sheetId="42" r:id="rId41"/>
    <sheet name="ES " sheetId="43" r:id="rId42"/>
    <sheet name="EU-28 " sheetId="44" r:id="rId43"/>
    <sheet name="FI " sheetId="45" r:id="rId44"/>
    <sheet name="FR " sheetId="46" r:id="rId45"/>
    <sheet name="HU " sheetId="47" r:id="rId46"/>
    <sheet name="IE " sheetId="48" r:id="rId47"/>
    <sheet name="IT " sheetId="49" r:id="rId48"/>
    <sheet name="LT " sheetId="50" r:id="rId49"/>
    <sheet name="LU " sheetId="51" r:id="rId50"/>
    <sheet name="LV " sheetId="52" r:id="rId51"/>
    <sheet name="MT " sheetId="53" r:id="rId52"/>
    <sheet name="NL " sheetId="54" r:id="rId53"/>
    <sheet name="PL " sheetId="55" r:id="rId54"/>
    <sheet name="PT " sheetId="56" r:id="rId55"/>
    <sheet name="RO " sheetId="57" r:id="rId56"/>
    <sheet name="SE " sheetId="58" r:id="rId57"/>
    <sheet name="SL " sheetId="59" r:id="rId58"/>
    <sheet name="SK " sheetId="60" r:id="rId59"/>
    <sheet name="UK " sheetId="61" r:id="rId6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2" l="1"/>
  <c r="I6" i="2"/>
  <c r="I6" i="30"/>
  <c r="I7" i="30"/>
  <c r="I8" i="30"/>
  <c r="I9" i="30"/>
  <c r="I10" i="30"/>
  <c r="I11" i="30"/>
  <c r="I12" i="30"/>
  <c r="I13" i="30"/>
  <c r="I14" i="30"/>
  <c r="I15" i="30"/>
  <c r="I5" i="30"/>
  <c r="I5" i="29"/>
  <c r="I6" i="28"/>
  <c r="I7" i="28"/>
  <c r="I8" i="28"/>
  <c r="I9" i="28"/>
  <c r="I10" i="28"/>
  <c r="I11" i="28"/>
  <c r="I12" i="28"/>
  <c r="I13" i="28"/>
  <c r="I14" i="28"/>
  <c r="I15" i="28"/>
  <c r="I5" i="28"/>
  <c r="I6" i="27"/>
  <c r="I7" i="27"/>
  <c r="I8" i="27"/>
  <c r="I9" i="27"/>
  <c r="I10" i="27"/>
  <c r="I11" i="27"/>
  <c r="I12" i="27"/>
  <c r="I13" i="27"/>
  <c r="I14" i="27"/>
  <c r="I15" i="27"/>
  <c r="I5" i="27"/>
  <c r="I6" i="26"/>
  <c r="I7" i="26"/>
  <c r="I8" i="26"/>
  <c r="I9" i="26"/>
  <c r="I10" i="26"/>
  <c r="I11" i="26"/>
  <c r="I12" i="26"/>
  <c r="I13" i="26"/>
  <c r="I14" i="26"/>
  <c r="I15" i="26"/>
  <c r="I5" i="26"/>
  <c r="I15" i="25"/>
  <c r="I6" i="25"/>
  <c r="I7" i="25"/>
  <c r="I8" i="25"/>
  <c r="I9" i="25"/>
  <c r="I10" i="25"/>
  <c r="I11" i="25"/>
  <c r="I12" i="25"/>
  <c r="I13" i="25"/>
  <c r="I14" i="25"/>
  <c r="I5" i="25"/>
  <c r="I6" i="24"/>
  <c r="I7" i="24"/>
  <c r="I8" i="24"/>
  <c r="I9" i="24"/>
  <c r="I10" i="24"/>
  <c r="I11" i="24"/>
  <c r="I12" i="24"/>
  <c r="I13" i="24"/>
  <c r="I14" i="24"/>
  <c r="I15" i="24"/>
  <c r="I5" i="24"/>
  <c r="I6" i="23"/>
  <c r="I7" i="23"/>
  <c r="I8" i="23"/>
  <c r="I9" i="23"/>
  <c r="I10" i="23"/>
  <c r="I11" i="23"/>
  <c r="I12" i="23"/>
  <c r="I13" i="23"/>
  <c r="I14" i="23"/>
  <c r="I15" i="23"/>
  <c r="I5" i="23"/>
  <c r="I6" i="22"/>
  <c r="I7" i="22"/>
  <c r="I8" i="22"/>
  <c r="I9" i="22"/>
  <c r="I10" i="22"/>
  <c r="I11" i="22"/>
  <c r="I12" i="22"/>
  <c r="I13" i="22"/>
  <c r="I14" i="22"/>
  <c r="I15" i="22"/>
  <c r="I5" i="22"/>
  <c r="I6" i="21"/>
  <c r="I7" i="21"/>
  <c r="I8" i="21"/>
  <c r="I9" i="21"/>
  <c r="I10" i="21"/>
  <c r="I11" i="21"/>
  <c r="I12" i="21"/>
  <c r="I13" i="21"/>
  <c r="I14" i="21"/>
  <c r="I15" i="21"/>
  <c r="I5" i="21"/>
  <c r="I6" i="20"/>
  <c r="I7" i="20"/>
  <c r="I8" i="20"/>
  <c r="I9" i="20"/>
  <c r="I10" i="20"/>
  <c r="I11" i="20"/>
  <c r="I12" i="20"/>
  <c r="I13" i="20"/>
  <c r="I14" i="20"/>
  <c r="I15" i="20"/>
  <c r="I5" i="20"/>
  <c r="I6" i="19"/>
  <c r="I7" i="19"/>
  <c r="I8" i="19"/>
  <c r="I9" i="19"/>
  <c r="I10" i="19"/>
  <c r="I11" i="19"/>
  <c r="I12" i="19"/>
  <c r="I13" i="19"/>
  <c r="I14" i="19"/>
  <c r="I15" i="19"/>
  <c r="I5" i="19"/>
  <c r="I6" i="17"/>
  <c r="I7" i="17"/>
  <c r="I8" i="17"/>
  <c r="I9" i="17"/>
  <c r="I10" i="17"/>
  <c r="I11" i="17"/>
  <c r="I12" i="17"/>
  <c r="I13" i="17"/>
  <c r="I14" i="17"/>
  <c r="I15" i="17"/>
  <c r="I5" i="17"/>
  <c r="I6" i="16"/>
  <c r="I7" i="16"/>
  <c r="I8" i="16"/>
  <c r="I9" i="16"/>
  <c r="I10" i="16"/>
  <c r="I11" i="16"/>
  <c r="I12" i="16"/>
  <c r="I13" i="16"/>
  <c r="I14" i="16"/>
  <c r="I15" i="16"/>
  <c r="I5" i="16"/>
  <c r="I6" i="18"/>
  <c r="I7" i="18"/>
  <c r="I8" i="18"/>
  <c r="I9" i="18"/>
  <c r="I10" i="18"/>
  <c r="I11" i="18"/>
  <c r="I12" i="18"/>
  <c r="I13" i="18"/>
  <c r="I14" i="18"/>
  <c r="I15" i="18"/>
  <c r="I5" i="18"/>
  <c r="I6" i="15"/>
  <c r="I7" i="15"/>
  <c r="I8" i="15"/>
  <c r="I9" i="15"/>
  <c r="I10" i="15"/>
  <c r="I11" i="15"/>
  <c r="I12" i="15"/>
  <c r="I13" i="15"/>
  <c r="I14" i="15"/>
  <c r="I15" i="15"/>
  <c r="I5" i="15"/>
  <c r="I6" i="13"/>
  <c r="I7" i="13"/>
  <c r="I8" i="13"/>
  <c r="I9" i="13"/>
  <c r="I10" i="13"/>
  <c r="I11" i="13"/>
  <c r="I12" i="13"/>
  <c r="I13" i="13"/>
  <c r="I14" i="13"/>
  <c r="I15" i="13"/>
  <c r="I5" i="13"/>
  <c r="I6" i="12"/>
  <c r="I7" i="12"/>
  <c r="I8" i="12"/>
  <c r="I9" i="12"/>
  <c r="I10" i="12"/>
  <c r="I11" i="12"/>
  <c r="I12" i="12"/>
  <c r="I13" i="12"/>
  <c r="I14" i="12"/>
  <c r="I15" i="12"/>
  <c r="I5" i="12"/>
  <c r="I15" i="11"/>
  <c r="I6" i="11"/>
  <c r="I7" i="11"/>
  <c r="I8" i="11"/>
  <c r="I9" i="11"/>
  <c r="I10" i="11"/>
  <c r="I11" i="11"/>
  <c r="I12" i="11"/>
  <c r="I13" i="11"/>
  <c r="I14" i="11"/>
  <c r="I5" i="11"/>
  <c r="I6" i="10"/>
  <c r="I7" i="10"/>
  <c r="I8" i="10"/>
  <c r="I9" i="10"/>
  <c r="I10" i="10"/>
  <c r="I11" i="10"/>
  <c r="I12" i="10"/>
  <c r="I13" i="10"/>
  <c r="I14" i="10"/>
  <c r="I15" i="10"/>
  <c r="I5" i="10"/>
  <c r="I6" i="14"/>
  <c r="I7" i="14"/>
  <c r="I8" i="14"/>
  <c r="I9" i="14"/>
  <c r="I10" i="14"/>
  <c r="I11" i="14"/>
  <c r="I12" i="14"/>
  <c r="I13" i="14"/>
  <c r="I14" i="14"/>
  <c r="I15" i="14"/>
  <c r="I5" i="14"/>
  <c r="I6" i="9"/>
  <c r="I7" i="9"/>
  <c r="I8" i="9"/>
  <c r="I9" i="9"/>
  <c r="I10" i="9"/>
  <c r="I11" i="9"/>
  <c r="I12" i="9"/>
  <c r="I13" i="9"/>
  <c r="I14" i="9"/>
  <c r="I15" i="9"/>
  <c r="I5" i="9"/>
  <c r="I6" i="8"/>
  <c r="I7" i="8"/>
  <c r="I8" i="8"/>
  <c r="I9" i="8"/>
  <c r="I10" i="8"/>
  <c r="I11" i="8"/>
  <c r="I12" i="8"/>
  <c r="I13" i="8"/>
  <c r="I14" i="8"/>
  <c r="I15" i="8"/>
  <c r="I5" i="8"/>
  <c r="I6" i="7"/>
  <c r="I7" i="7"/>
  <c r="I8" i="7"/>
  <c r="I9" i="7"/>
  <c r="I10" i="7"/>
  <c r="I11" i="7"/>
  <c r="I12" i="7"/>
  <c r="I13" i="7"/>
  <c r="I14" i="7"/>
  <c r="I15" i="7"/>
  <c r="I5" i="7"/>
  <c r="I6" i="6"/>
  <c r="I7" i="6"/>
  <c r="I8" i="6"/>
  <c r="I9" i="6"/>
  <c r="I10" i="6"/>
  <c r="I11" i="6"/>
  <c r="I12" i="6"/>
  <c r="I13" i="6"/>
  <c r="I14" i="6"/>
  <c r="I15" i="6"/>
  <c r="I5" i="6"/>
  <c r="I6" i="5"/>
  <c r="I7" i="5"/>
  <c r="I8" i="5"/>
  <c r="I9" i="5"/>
  <c r="I10" i="5"/>
  <c r="I11" i="5"/>
  <c r="I12" i="5"/>
  <c r="I13" i="5"/>
  <c r="I14" i="5"/>
  <c r="I15" i="5"/>
  <c r="I5" i="5"/>
  <c r="I6" i="4"/>
  <c r="I7" i="4"/>
  <c r="I8" i="4"/>
  <c r="I9" i="4"/>
  <c r="I10" i="4"/>
  <c r="I11" i="4"/>
  <c r="I12" i="4"/>
  <c r="I13" i="4"/>
  <c r="I14" i="4"/>
  <c r="I15" i="4"/>
  <c r="I5" i="4"/>
  <c r="I6" i="3"/>
  <c r="I7" i="3"/>
  <c r="I8" i="3"/>
  <c r="I9" i="3"/>
  <c r="I10" i="3"/>
  <c r="I11" i="3"/>
  <c r="I12" i="3"/>
  <c r="I13" i="3"/>
  <c r="I14" i="3"/>
  <c r="I15" i="3"/>
  <c r="I5" i="3"/>
  <c r="I7" i="2"/>
  <c r="I8" i="2"/>
  <c r="I9" i="2"/>
  <c r="I10" i="2"/>
  <c r="I11" i="2"/>
  <c r="I12" i="2"/>
  <c r="I13" i="2"/>
  <c r="I14" i="2"/>
  <c r="I15" i="2"/>
  <c r="I6" i="29"/>
  <c r="I7" i="29"/>
  <c r="I8" i="29"/>
  <c r="I9" i="29"/>
  <c r="I10" i="29"/>
  <c r="I11" i="29"/>
  <c r="I12" i="29"/>
  <c r="I13" i="29"/>
  <c r="I14" i="29"/>
  <c r="I15" i="29"/>
  <c r="I16" i="14"/>
  <c r="I16" i="9"/>
  <c r="I16" i="3"/>
  <c r="H21" i="2"/>
  <c r="I21" i="2" s="1"/>
  <c r="J21" i="2" s="1" a="1"/>
  <c r="J21" i="2" s="1"/>
  <c r="H21" i="2" a="1"/>
  <c r="H20" i="2" a="1"/>
  <c r="H20" i="2" s="1"/>
  <c r="I20" i="2" s="1"/>
  <c r="J20" i="2" s="1" a="1"/>
  <c r="J20" i="2" s="1"/>
  <c r="H15" i="2"/>
  <c r="J15" i="2" s="1" a="1"/>
  <c r="J15" i="2" s="1"/>
  <c r="G15" i="2"/>
  <c r="H14" i="2"/>
  <c r="J14" i="2" s="1" a="1"/>
  <c r="J14" i="2" s="1"/>
  <c r="G14" i="2"/>
  <c r="H13" i="2"/>
  <c r="J13" i="2" s="1" a="1"/>
  <c r="J13" i="2" s="1"/>
  <c r="G13" i="2"/>
  <c r="H12" i="2"/>
  <c r="J12" i="2" s="1" a="1"/>
  <c r="J12" i="2" s="1"/>
  <c r="G12" i="2"/>
  <c r="H11" i="2"/>
  <c r="J11" i="2" s="1" a="1"/>
  <c r="J11" i="2" s="1"/>
  <c r="G11" i="2"/>
  <c r="H10" i="2"/>
  <c r="J10" i="2" s="1" a="1"/>
  <c r="J10" i="2" s="1"/>
  <c r="G10" i="2"/>
  <c r="H9" i="2"/>
  <c r="J9" i="2" s="1" a="1"/>
  <c r="J9" i="2" s="1"/>
  <c r="G9" i="2"/>
  <c r="H8" i="2"/>
  <c r="J8" i="2" s="1" a="1"/>
  <c r="J8" i="2" s="1"/>
  <c r="G8" i="2"/>
  <c r="H7" i="2"/>
  <c r="J7" i="2" s="1" a="1"/>
  <c r="J7" i="2" s="1"/>
  <c r="G7" i="2"/>
  <c r="H6" i="2"/>
  <c r="J6" i="2" s="1" a="1"/>
  <c r="J6" i="2" s="1"/>
  <c r="G6" i="2"/>
  <c r="H5" i="2"/>
  <c r="J5" i="2" s="1" a="1"/>
  <c r="J5" i="2" s="1"/>
  <c r="J16" i="2" s="1"/>
  <c r="G5" i="2"/>
  <c r="H21" i="3" a="1"/>
  <c r="H21" i="3" s="1"/>
  <c r="I21" i="3" s="1"/>
  <c r="J21" i="3" s="1" a="1"/>
  <c r="J21" i="3" s="1"/>
  <c r="H20" i="3" a="1"/>
  <c r="H20" i="3" s="1"/>
  <c r="I20" i="3" s="1"/>
  <c r="J20" i="3" s="1" a="1"/>
  <c r="J20" i="3" s="1"/>
  <c r="H16" i="3"/>
  <c r="H15" i="3"/>
  <c r="J15" i="3" s="1" a="1"/>
  <c r="J15" i="3" s="1"/>
  <c r="G15" i="3"/>
  <c r="J14" i="3" a="1"/>
  <c r="J14" i="3" s="1"/>
  <c r="H14" i="3"/>
  <c r="G14" i="3"/>
  <c r="H13" i="3"/>
  <c r="J13" i="3" s="1" a="1"/>
  <c r="J13" i="3" s="1"/>
  <c r="G13" i="3"/>
  <c r="J12" i="3" a="1"/>
  <c r="J12" i="3" s="1"/>
  <c r="H12" i="3"/>
  <c r="G12" i="3"/>
  <c r="H11" i="3"/>
  <c r="J11" i="3" s="1" a="1"/>
  <c r="J11" i="3" s="1"/>
  <c r="G11" i="3"/>
  <c r="H10" i="3"/>
  <c r="J10" i="3" s="1" a="1"/>
  <c r="J10" i="3" s="1"/>
  <c r="G10" i="3"/>
  <c r="J9" i="3"/>
  <c r="J9" i="3" a="1"/>
  <c r="H9" i="3"/>
  <c r="G9" i="3"/>
  <c r="H8" i="3"/>
  <c r="J8" i="3" s="1" a="1"/>
  <c r="J8" i="3" s="1"/>
  <c r="G8" i="3"/>
  <c r="H7" i="3"/>
  <c r="J7" i="3" s="1" a="1"/>
  <c r="J7" i="3" s="1"/>
  <c r="G7" i="3"/>
  <c r="H6" i="3"/>
  <c r="J6" i="3" s="1" a="1"/>
  <c r="J6" i="3" s="1"/>
  <c r="G6" i="3"/>
  <c r="H5" i="3"/>
  <c r="J5" i="3" s="1" a="1"/>
  <c r="J5" i="3" s="1"/>
  <c r="J16" i="3" s="1"/>
  <c r="G5" i="3"/>
  <c r="G16" i="3" s="1"/>
  <c r="H21" i="4" a="1"/>
  <c r="H21" i="4" s="1"/>
  <c r="I21" i="4" s="1"/>
  <c r="J21" i="4" s="1" a="1"/>
  <c r="J21" i="4" s="1"/>
  <c r="H20" i="4" a="1"/>
  <c r="H20" i="4" s="1"/>
  <c r="I20" i="4" s="1"/>
  <c r="J20" i="4" s="1" a="1"/>
  <c r="J20" i="4" s="1"/>
  <c r="J15" i="4" a="1"/>
  <c r="J15" i="4" s="1"/>
  <c r="H15" i="4"/>
  <c r="G15" i="4"/>
  <c r="H14" i="4"/>
  <c r="J14" i="4" s="1" a="1"/>
  <c r="J14" i="4" s="1"/>
  <c r="G14" i="4"/>
  <c r="H13" i="4"/>
  <c r="J13" i="4" s="1" a="1"/>
  <c r="J13" i="4" s="1"/>
  <c r="G13" i="4"/>
  <c r="H12" i="4"/>
  <c r="J12" i="4" s="1" a="1"/>
  <c r="J12" i="4" s="1"/>
  <c r="G12" i="4"/>
  <c r="H11" i="4"/>
  <c r="J11" i="4" s="1" a="1"/>
  <c r="J11" i="4" s="1"/>
  <c r="G11" i="4"/>
  <c r="H10" i="4"/>
  <c r="J10" i="4" s="1" a="1"/>
  <c r="J10" i="4" s="1"/>
  <c r="G10" i="4"/>
  <c r="H9" i="4"/>
  <c r="J9" i="4" s="1" a="1"/>
  <c r="J9" i="4" s="1"/>
  <c r="G9" i="4"/>
  <c r="H8" i="4"/>
  <c r="J8" i="4" s="1" a="1"/>
  <c r="J8" i="4" s="1"/>
  <c r="G8" i="4"/>
  <c r="H7" i="4"/>
  <c r="J7" i="4" s="1" a="1"/>
  <c r="J7" i="4" s="1"/>
  <c r="G7" i="4"/>
  <c r="H6" i="4"/>
  <c r="J6" i="4" s="1" a="1"/>
  <c r="J6" i="4" s="1"/>
  <c r="G6" i="4"/>
  <c r="H5" i="4"/>
  <c r="J5" i="4" s="1" a="1"/>
  <c r="J5" i="4" s="1"/>
  <c r="J16" i="4" s="1"/>
  <c r="G5" i="4"/>
  <c r="I21" i="5"/>
  <c r="J21" i="5" s="1" a="1"/>
  <c r="J21" i="5" s="1"/>
  <c r="H21" i="5"/>
  <c r="H21" i="5" a="1"/>
  <c r="H20" i="5" a="1"/>
  <c r="H20" i="5" s="1"/>
  <c r="I20" i="5" s="1"/>
  <c r="J20" i="5" s="1" a="1"/>
  <c r="J20" i="5" s="1"/>
  <c r="H15" i="5"/>
  <c r="J15" i="5" s="1" a="1"/>
  <c r="J15" i="5" s="1"/>
  <c r="G15" i="5"/>
  <c r="H14" i="5"/>
  <c r="J14" i="5" s="1" a="1"/>
  <c r="J14" i="5" s="1"/>
  <c r="G14" i="5"/>
  <c r="H13" i="5"/>
  <c r="J13" i="5" s="1" a="1"/>
  <c r="J13" i="5" s="1"/>
  <c r="G13" i="5"/>
  <c r="H12" i="5"/>
  <c r="J12" i="5" s="1" a="1"/>
  <c r="J12" i="5" s="1"/>
  <c r="G12" i="5"/>
  <c r="H11" i="5"/>
  <c r="J11" i="5" s="1" a="1"/>
  <c r="J11" i="5" s="1"/>
  <c r="G11" i="5"/>
  <c r="H10" i="5"/>
  <c r="J10" i="5" s="1" a="1"/>
  <c r="J10" i="5" s="1"/>
  <c r="G10" i="5"/>
  <c r="H9" i="5"/>
  <c r="J9" i="5" s="1" a="1"/>
  <c r="J9" i="5" s="1"/>
  <c r="G9" i="5"/>
  <c r="H8" i="5"/>
  <c r="J8" i="5" s="1" a="1"/>
  <c r="J8" i="5" s="1"/>
  <c r="G8" i="5"/>
  <c r="H7" i="5"/>
  <c r="J7" i="5" s="1" a="1"/>
  <c r="J7" i="5" s="1"/>
  <c r="G7" i="5"/>
  <c r="H6" i="5"/>
  <c r="J6" i="5" s="1" a="1"/>
  <c r="J6" i="5" s="1"/>
  <c r="G6" i="5"/>
  <c r="H5" i="5"/>
  <c r="J5" i="5" s="1" a="1"/>
  <c r="J5" i="5" s="1"/>
  <c r="J16" i="5" s="1"/>
  <c r="G5" i="5"/>
  <c r="H21" i="6"/>
  <c r="I21" i="6" s="1"/>
  <c r="J21" i="6" s="1" a="1"/>
  <c r="J21" i="6" s="1"/>
  <c r="H21" i="6" a="1"/>
  <c r="H20" i="6" a="1"/>
  <c r="H20" i="6" s="1"/>
  <c r="I20" i="6" s="1"/>
  <c r="J20" i="6" s="1" a="1"/>
  <c r="J20" i="6" s="1"/>
  <c r="H15" i="6"/>
  <c r="J15" i="6" s="1" a="1"/>
  <c r="J15" i="6" s="1"/>
  <c r="G15" i="6"/>
  <c r="H14" i="6"/>
  <c r="J14" i="6" s="1" a="1"/>
  <c r="J14" i="6" s="1"/>
  <c r="G14" i="6"/>
  <c r="H13" i="6"/>
  <c r="J13" i="6" s="1" a="1"/>
  <c r="J13" i="6" s="1"/>
  <c r="G13" i="6"/>
  <c r="H12" i="6"/>
  <c r="J12" i="6" s="1" a="1"/>
  <c r="J12" i="6" s="1"/>
  <c r="G12" i="6"/>
  <c r="H11" i="6"/>
  <c r="J11" i="6" s="1" a="1"/>
  <c r="J11" i="6" s="1"/>
  <c r="G11" i="6"/>
  <c r="H10" i="6"/>
  <c r="J10" i="6" s="1" a="1"/>
  <c r="J10" i="6" s="1"/>
  <c r="G10" i="6"/>
  <c r="H9" i="6"/>
  <c r="J9" i="6" s="1" a="1"/>
  <c r="J9" i="6" s="1"/>
  <c r="G9" i="6"/>
  <c r="H8" i="6"/>
  <c r="J8" i="6" s="1" a="1"/>
  <c r="J8" i="6" s="1"/>
  <c r="G8" i="6"/>
  <c r="H7" i="6"/>
  <c r="J7" i="6" s="1" a="1"/>
  <c r="J7" i="6" s="1"/>
  <c r="G7" i="6"/>
  <c r="H6" i="6"/>
  <c r="J6" i="6" s="1" a="1"/>
  <c r="J6" i="6" s="1"/>
  <c r="G6" i="6"/>
  <c r="H5" i="6"/>
  <c r="J5" i="6" s="1" a="1"/>
  <c r="J5" i="6" s="1"/>
  <c r="J16" i="6" s="1"/>
  <c r="G5" i="6"/>
  <c r="H21" i="7" a="1"/>
  <c r="H21" i="7" s="1"/>
  <c r="I21" i="7" s="1"/>
  <c r="J21" i="7" s="1" a="1"/>
  <c r="J21" i="7" s="1"/>
  <c r="H20" i="7" a="1"/>
  <c r="H20" i="7" s="1"/>
  <c r="I20" i="7" s="1"/>
  <c r="J20" i="7" s="1" a="1"/>
  <c r="J20" i="7" s="1"/>
  <c r="I16" i="7"/>
  <c r="J15" i="7" a="1"/>
  <c r="J15" i="7" s="1"/>
  <c r="H15" i="7"/>
  <c r="G15" i="7"/>
  <c r="J14" i="7" a="1"/>
  <c r="J14" i="7" s="1"/>
  <c r="H14" i="7"/>
  <c r="G14" i="7"/>
  <c r="H13" i="7"/>
  <c r="J13" i="7" s="1" a="1"/>
  <c r="J13" i="7" s="1"/>
  <c r="G13" i="7"/>
  <c r="H12" i="7"/>
  <c r="J12" i="7" s="1" a="1"/>
  <c r="J12" i="7" s="1"/>
  <c r="G12" i="7"/>
  <c r="H11" i="7"/>
  <c r="J11" i="7" s="1" a="1"/>
  <c r="J11" i="7" s="1"/>
  <c r="G11" i="7"/>
  <c r="H10" i="7"/>
  <c r="J10" i="7" s="1" a="1"/>
  <c r="J10" i="7" s="1"/>
  <c r="G10" i="7"/>
  <c r="H9" i="7"/>
  <c r="J9" i="7" s="1" a="1"/>
  <c r="J9" i="7" s="1"/>
  <c r="G9" i="7"/>
  <c r="H8" i="7"/>
  <c r="J8" i="7" s="1" a="1"/>
  <c r="J8" i="7" s="1"/>
  <c r="G8" i="7"/>
  <c r="J7" i="7" a="1"/>
  <c r="J7" i="7" s="1"/>
  <c r="H7" i="7"/>
  <c r="G7" i="7"/>
  <c r="J6" i="7" a="1"/>
  <c r="J6" i="7" s="1"/>
  <c r="H6" i="7"/>
  <c r="G6" i="7"/>
  <c r="H5" i="7"/>
  <c r="J5" i="7" s="1" a="1"/>
  <c r="J5" i="7" s="1"/>
  <c r="J16" i="7" s="1"/>
  <c r="G5" i="7"/>
  <c r="G16" i="7" s="1"/>
  <c r="H21" i="8" a="1"/>
  <c r="H21" i="8" s="1"/>
  <c r="I21" i="8" s="1"/>
  <c r="J21" i="8" s="1" a="1"/>
  <c r="J21" i="8" s="1"/>
  <c r="H20" i="8" a="1"/>
  <c r="H20" i="8" s="1"/>
  <c r="I20" i="8" s="1"/>
  <c r="J20" i="8" s="1" a="1"/>
  <c r="J20" i="8" s="1"/>
  <c r="I16" i="8"/>
  <c r="H15" i="8"/>
  <c r="J15" i="8" s="1" a="1"/>
  <c r="J15" i="8" s="1"/>
  <c r="G15" i="8"/>
  <c r="J14" i="8" a="1"/>
  <c r="J14" i="8" s="1"/>
  <c r="H14" i="8"/>
  <c r="G14" i="8"/>
  <c r="H13" i="8"/>
  <c r="J13" i="8" s="1" a="1"/>
  <c r="J13" i="8" s="1"/>
  <c r="G13" i="8"/>
  <c r="J12" i="8" a="1"/>
  <c r="J12" i="8" s="1"/>
  <c r="H12" i="8"/>
  <c r="G12" i="8"/>
  <c r="H11" i="8"/>
  <c r="J11" i="8" s="1" a="1"/>
  <c r="J11" i="8" s="1"/>
  <c r="G11" i="8"/>
  <c r="H10" i="8"/>
  <c r="J10" i="8" s="1" a="1"/>
  <c r="J10" i="8" s="1"/>
  <c r="G10" i="8"/>
  <c r="J9" i="8"/>
  <c r="J9" i="8" a="1"/>
  <c r="H9" i="8"/>
  <c r="G9" i="8"/>
  <c r="H8" i="8"/>
  <c r="J8" i="8" s="1" a="1"/>
  <c r="J8" i="8" s="1"/>
  <c r="G8" i="8"/>
  <c r="J7" i="8"/>
  <c r="J7" i="8" a="1"/>
  <c r="H7" i="8"/>
  <c r="G7" i="8"/>
  <c r="J6" i="8" a="1"/>
  <c r="J6" i="8" s="1"/>
  <c r="H6" i="8"/>
  <c r="G6" i="8"/>
  <c r="H5" i="8"/>
  <c r="J5" i="8" s="1" a="1"/>
  <c r="J5" i="8" s="1"/>
  <c r="J16" i="8" s="1"/>
  <c r="G5" i="8"/>
  <c r="G16" i="8" s="1"/>
  <c r="I21" i="9"/>
  <c r="J21" i="9" s="1" a="1"/>
  <c r="J21" i="9" s="1"/>
  <c r="H21" i="9"/>
  <c r="H21" i="9" a="1"/>
  <c r="H20" i="9" a="1"/>
  <c r="H20" i="9" s="1"/>
  <c r="I20" i="9" s="1"/>
  <c r="J20" i="9" s="1" a="1"/>
  <c r="J20" i="9" s="1"/>
  <c r="J15" i="9"/>
  <c r="J15" i="9" a="1"/>
  <c r="H15" i="9"/>
  <c r="G15" i="9"/>
  <c r="H14" i="9"/>
  <c r="J14" i="9" s="1" a="1"/>
  <c r="J14" i="9" s="1"/>
  <c r="G14" i="9"/>
  <c r="H13" i="9"/>
  <c r="J13" i="9" s="1" a="1"/>
  <c r="J13" i="9" s="1"/>
  <c r="G13" i="9"/>
  <c r="J12" i="9" a="1"/>
  <c r="J12" i="9" s="1"/>
  <c r="H12" i="9"/>
  <c r="G12" i="9"/>
  <c r="J11" i="9" a="1"/>
  <c r="J11" i="9" s="1"/>
  <c r="H11" i="9"/>
  <c r="G11" i="9"/>
  <c r="H10" i="9"/>
  <c r="J10" i="9" s="1" a="1"/>
  <c r="J10" i="9" s="1"/>
  <c r="G10" i="9"/>
  <c r="H9" i="9"/>
  <c r="J9" i="9" s="1" a="1"/>
  <c r="J9" i="9" s="1"/>
  <c r="G9" i="9"/>
  <c r="J8" i="9" a="1"/>
  <c r="J8" i="9" s="1"/>
  <c r="H8" i="9"/>
  <c r="G8" i="9"/>
  <c r="J7" i="9"/>
  <c r="J7" i="9" a="1"/>
  <c r="H7" i="9"/>
  <c r="G7" i="9"/>
  <c r="H6" i="9"/>
  <c r="J6" i="9" s="1" a="1"/>
  <c r="J6" i="9" s="1"/>
  <c r="G6" i="9"/>
  <c r="H5" i="9"/>
  <c r="J5" i="9" s="1" a="1"/>
  <c r="J5" i="9" s="1"/>
  <c r="J16" i="9" s="1"/>
  <c r="G5" i="9"/>
  <c r="G16" i="9" s="1"/>
  <c r="H21" i="14" a="1"/>
  <c r="H21" i="14" s="1"/>
  <c r="I21" i="14" s="1"/>
  <c r="J21" i="14" s="1" a="1"/>
  <c r="J21" i="14" s="1"/>
  <c r="I20" i="14"/>
  <c r="J20" i="14" s="1" a="1"/>
  <c r="J20" i="14" s="1"/>
  <c r="H20" i="14"/>
  <c r="H20" i="14" a="1"/>
  <c r="H16" i="14"/>
  <c r="J15" i="14" a="1"/>
  <c r="J15" i="14" s="1"/>
  <c r="H15" i="14"/>
  <c r="G15" i="14"/>
  <c r="J14" i="14" a="1"/>
  <c r="J14" i="14" s="1"/>
  <c r="H14" i="14"/>
  <c r="G14" i="14"/>
  <c r="H13" i="14"/>
  <c r="J13" i="14" s="1" a="1"/>
  <c r="J13" i="14" s="1"/>
  <c r="G13" i="14"/>
  <c r="H12" i="14"/>
  <c r="J12" i="14" s="1" a="1"/>
  <c r="J12" i="14" s="1"/>
  <c r="G12" i="14"/>
  <c r="J11" i="14" a="1"/>
  <c r="J11" i="14" s="1"/>
  <c r="H11" i="14"/>
  <c r="G11" i="14"/>
  <c r="J10" i="14"/>
  <c r="J10" i="14" a="1"/>
  <c r="H10" i="14"/>
  <c r="G10" i="14"/>
  <c r="H9" i="14"/>
  <c r="J9" i="14" s="1" a="1"/>
  <c r="J9" i="14" s="1"/>
  <c r="G9" i="14"/>
  <c r="H8" i="14"/>
  <c r="J8" i="14" s="1" a="1"/>
  <c r="J8" i="14" s="1"/>
  <c r="G8" i="14"/>
  <c r="J7" i="14" a="1"/>
  <c r="J7" i="14" s="1"/>
  <c r="H7" i="14"/>
  <c r="G7" i="14"/>
  <c r="J6" i="14" a="1"/>
  <c r="J6" i="14" s="1"/>
  <c r="H6" i="14"/>
  <c r="G6" i="14"/>
  <c r="H5" i="14"/>
  <c r="J5" i="14" s="1" a="1"/>
  <c r="J5" i="14" s="1"/>
  <c r="J16" i="14" s="1"/>
  <c r="G5" i="14"/>
  <c r="G16" i="14" s="1"/>
  <c r="H21" i="10" a="1"/>
  <c r="H21" i="10" s="1"/>
  <c r="I21" i="10" s="1"/>
  <c r="J21" i="10" s="1" a="1"/>
  <c r="J21" i="10" s="1"/>
  <c r="H20" i="10"/>
  <c r="I20" i="10" s="1"/>
  <c r="J20" i="10" s="1" a="1"/>
  <c r="J20" i="10" s="1"/>
  <c r="H20" i="10" a="1"/>
  <c r="I16" i="10"/>
  <c r="H15" i="10"/>
  <c r="J15" i="10" s="1" a="1"/>
  <c r="J15" i="10" s="1"/>
  <c r="G15" i="10"/>
  <c r="J14" i="10" a="1"/>
  <c r="J14" i="10" s="1"/>
  <c r="H14" i="10"/>
  <c r="G14" i="10"/>
  <c r="H13" i="10"/>
  <c r="J13" i="10" s="1" a="1"/>
  <c r="J13" i="10" s="1"/>
  <c r="G13" i="10"/>
  <c r="J12" i="10"/>
  <c r="J12" i="10" a="1"/>
  <c r="H12" i="10"/>
  <c r="G12" i="10"/>
  <c r="H11" i="10"/>
  <c r="J11" i="10" s="1" a="1"/>
  <c r="J11" i="10" s="1"/>
  <c r="G11" i="10"/>
  <c r="J10" i="10" a="1"/>
  <c r="J10" i="10" s="1"/>
  <c r="H10" i="10"/>
  <c r="G10" i="10"/>
  <c r="J9" i="10"/>
  <c r="J9" i="10" a="1"/>
  <c r="H9" i="10"/>
  <c r="G9" i="10"/>
  <c r="H8" i="10"/>
  <c r="J8" i="10" s="1" a="1"/>
  <c r="J8" i="10" s="1"/>
  <c r="G8" i="10"/>
  <c r="H7" i="10"/>
  <c r="J7" i="10" s="1" a="1"/>
  <c r="J7" i="10" s="1"/>
  <c r="G7" i="10"/>
  <c r="J6" i="10" a="1"/>
  <c r="J6" i="10" s="1"/>
  <c r="H6" i="10"/>
  <c r="G6" i="10"/>
  <c r="H5" i="10"/>
  <c r="J5" i="10" s="1" a="1"/>
  <c r="J5" i="10" s="1"/>
  <c r="J16" i="10" s="1"/>
  <c r="G5" i="10"/>
  <c r="G16" i="10" s="1"/>
  <c r="H21" i="11" a="1"/>
  <c r="H21" i="11" s="1"/>
  <c r="I21" i="11" s="1"/>
  <c r="J21" i="11" s="1" a="1"/>
  <c r="J21" i="11" s="1"/>
  <c r="H20" i="11" a="1"/>
  <c r="H20" i="11" s="1"/>
  <c r="I20" i="11" s="1"/>
  <c r="J20" i="11" s="1" a="1"/>
  <c r="J20" i="11" s="1"/>
  <c r="H16" i="11"/>
  <c r="J15" i="11" a="1"/>
  <c r="J15" i="11" s="1"/>
  <c r="H15" i="11"/>
  <c r="G15" i="11"/>
  <c r="J14" i="11" a="1"/>
  <c r="J14" i="11" s="1"/>
  <c r="H14" i="11"/>
  <c r="G14" i="11"/>
  <c r="H13" i="11"/>
  <c r="J13" i="11" s="1" a="1"/>
  <c r="J13" i="11" s="1"/>
  <c r="G13" i="11"/>
  <c r="J12" i="11" a="1"/>
  <c r="J12" i="11" s="1"/>
  <c r="H12" i="11"/>
  <c r="G12" i="11"/>
  <c r="J11" i="11" a="1"/>
  <c r="J11" i="11" s="1"/>
  <c r="H11" i="11"/>
  <c r="G11" i="11"/>
  <c r="H10" i="11"/>
  <c r="J10" i="11" s="1" a="1"/>
  <c r="J10" i="11" s="1"/>
  <c r="G10" i="11"/>
  <c r="H9" i="11"/>
  <c r="J9" i="11" s="1" a="1"/>
  <c r="J9" i="11" s="1"/>
  <c r="G9" i="11"/>
  <c r="H8" i="11"/>
  <c r="J8" i="11" s="1" a="1"/>
  <c r="J8" i="11" s="1"/>
  <c r="G8" i="11"/>
  <c r="J7" i="11" a="1"/>
  <c r="J7" i="11" s="1"/>
  <c r="H7" i="11"/>
  <c r="G7" i="11"/>
  <c r="J6" i="11" a="1"/>
  <c r="J6" i="11" s="1"/>
  <c r="H6" i="11"/>
  <c r="G6" i="11"/>
  <c r="I16" i="11"/>
  <c r="H5" i="11"/>
  <c r="J5" i="11" s="1" a="1"/>
  <c r="J5" i="11" s="1"/>
  <c r="J16" i="11" s="1"/>
  <c r="G5" i="11"/>
  <c r="G16" i="11" s="1"/>
  <c r="H21" i="12" a="1"/>
  <c r="H21" i="12" s="1"/>
  <c r="I21" i="12" s="1"/>
  <c r="J21" i="12" s="1" a="1"/>
  <c r="J21" i="12" s="1"/>
  <c r="H20" i="12" a="1"/>
  <c r="H20" i="12" s="1"/>
  <c r="I20" i="12" s="1"/>
  <c r="J20" i="12" s="1" a="1"/>
  <c r="J20" i="12" s="1"/>
  <c r="I16" i="12"/>
  <c r="J15" i="12" a="1"/>
  <c r="J15" i="12" s="1"/>
  <c r="H15" i="12"/>
  <c r="G15" i="12"/>
  <c r="J14" i="12" a="1"/>
  <c r="J14" i="12" s="1"/>
  <c r="H14" i="12"/>
  <c r="G14" i="12"/>
  <c r="H13" i="12"/>
  <c r="J13" i="12" s="1" a="1"/>
  <c r="J13" i="12" s="1"/>
  <c r="G13" i="12"/>
  <c r="J12" i="12" a="1"/>
  <c r="J12" i="12" s="1"/>
  <c r="H12" i="12"/>
  <c r="G12" i="12"/>
  <c r="J11" i="12" a="1"/>
  <c r="J11" i="12" s="1"/>
  <c r="H11" i="12"/>
  <c r="G11" i="12"/>
  <c r="H10" i="12"/>
  <c r="J10" i="12" s="1" a="1"/>
  <c r="J10" i="12" s="1"/>
  <c r="G10" i="12"/>
  <c r="H9" i="12"/>
  <c r="J9" i="12" s="1" a="1"/>
  <c r="J9" i="12" s="1"/>
  <c r="G9" i="12"/>
  <c r="H8" i="12"/>
  <c r="J8" i="12" s="1" a="1"/>
  <c r="J8" i="12" s="1"/>
  <c r="G8" i="12"/>
  <c r="J7" i="12" a="1"/>
  <c r="J7" i="12" s="1"/>
  <c r="H7" i="12"/>
  <c r="G7" i="12"/>
  <c r="J6" i="12"/>
  <c r="J6" i="12" a="1"/>
  <c r="H6" i="12"/>
  <c r="G6" i="12"/>
  <c r="H5" i="12"/>
  <c r="J5" i="12" s="1" a="1"/>
  <c r="J5" i="12" s="1"/>
  <c r="J16" i="12" s="1"/>
  <c r="G5" i="12"/>
  <c r="G16" i="12" s="1"/>
  <c r="H21" i="13" a="1"/>
  <c r="H21" i="13" s="1"/>
  <c r="I21" i="13" s="1"/>
  <c r="J21" i="13" s="1" a="1"/>
  <c r="J21" i="13" s="1"/>
  <c r="H20" i="13" a="1"/>
  <c r="H20" i="13" s="1"/>
  <c r="I20" i="13" s="1"/>
  <c r="J20" i="13" s="1" a="1"/>
  <c r="J20" i="13" s="1"/>
  <c r="I16" i="13"/>
  <c r="H15" i="13"/>
  <c r="J15" i="13" s="1" a="1"/>
  <c r="J15" i="13" s="1"/>
  <c r="G15" i="13"/>
  <c r="J14" i="13" a="1"/>
  <c r="J14" i="13" s="1"/>
  <c r="H14" i="13"/>
  <c r="G14" i="13"/>
  <c r="H13" i="13"/>
  <c r="J13" i="13" s="1" a="1"/>
  <c r="J13" i="13" s="1"/>
  <c r="G13" i="13"/>
  <c r="J12" i="13" a="1"/>
  <c r="J12" i="13" s="1"/>
  <c r="H12" i="13"/>
  <c r="G12" i="13"/>
  <c r="H11" i="13"/>
  <c r="J11" i="13" s="1" a="1"/>
  <c r="J11" i="13" s="1"/>
  <c r="G11" i="13"/>
  <c r="H10" i="13"/>
  <c r="J10" i="13" s="1" a="1"/>
  <c r="J10" i="13" s="1"/>
  <c r="G10" i="13"/>
  <c r="J9" i="13"/>
  <c r="J9" i="13" a="1"/>
  <c r="H9" i="13"/>
  <c r="G9" i="13"/>
  <c r="H8" i="13"/>
  <c r="J8" i="13" s="1" a="1"/>
  <c r="J8" i="13" s="1"/>
  <c r="G8" i="13"/>
  <c r="H7" i="13"/>
  <c r="J7" i="13" s="1" a="1"/>
  <c r="J7" i="13" s="1"/>
  <c r="G7" i="13"/>
  <c r="J6" i="13" a="1"/>
  <c r="J6" i="13" s="1"/>
  <c r="H6" i="13"/>
  <c r="G6" i="13"/>
  <c r="H5" i="13"/>
  <c r="J5" i="13" s="1" a="1"/>
  <c r="J5" i="13" s="1"/>
  <c r="J16" i="13" s="1"/>
  <c r="G5" i="13"/>
  <c r="G16" i="13" s="1"/>
  <c r="H21" i="15" a="1"/>
  <c r="H21" i="15" s="1"/>
  <c r="I21" i="15" s="1"/>
  <c r="J21" i="15" s="1" a="1"/>
  <c r="J21" i="15" s="1"/>
  <c r="H20" i="15" a="1"/>
  <c r="H20" i="15" s="1"/>
  <c r="I20" i="15" s="1"/>
  <c r="J20" i="15" s="1" a="1"/>
  <c r="J20" i="15" s="1"/>
  <c r="I16" i="15"/>
  <c r="H16" i="15"/>
  <c r="H15" i="15"/>
  <c r="J15" i="15" s="1" a="1"/>
  <c r="J15" i="15" s="1"/>
  <c r="G15" i="15"/>
  <c r="H14" i="15"/>
  <c r="J14" i="15" s="1" a="1"/>
  <c r="J14" i="15" s="1"/>
  <c r="G14" i="15"/>
  <c r="H13" i="15"/>
  <c r="J13" i="15" s="1" a="1"/>
  <c r="J13" i="15" s="1"/>
  <c r="G13" i="15"/>
  <c r="J12" i="15" a="1"/>
  <c r="J12" i="15" s="1"/>
  <c r="H12" i="15"/>
  <c r="G12" i="15"/>
  <c r="H11" i="15"/>
  <c r="J11" i="15" s="1" a="1"/>
  <c r="J11" i="15" s="1"/>
  <c r="G11" i="15"/>
  <c r="H10" i="15"/>
  <c r="J10" i="15" s="1" a="1"/>
  <c r="J10" i="15" s="1"/>
  <c r="G10" i="15"/>
  <c r="J9" i="15" a="1"/>
  <c r="J9" i="15" s="1"/>
  <c r="H9" i="15"/>
  <c r="G9" i="15"/>
  <c r="H8" i="15"/>
  <c r="J8" i="15" s="1" a="1"/>
  <c r="J8" i="15" s="1"/>
  <c r="G8" i="15"/>
  <c r="H7" i="15"/>
  <c r="J7" i="15" s="1" a="1"/>
  <c r="J7" i="15" s="1"/>
  <c r="G7" i="15"/>
  <c r="H6" i="15"/>
  <c r="J6" i="15" s="1" a="1"/>
  <c r="J6" i="15" s="1"/>
  <c r="G6" i="15"/>
  <c r="H5" i="15"/>
  <c r="J5" i="15" s="1" a="1"/>
  <c r="J5" i="15" s="1"/>
  <c r="J16" i="15" s="1"/>
  <c r="G5" i="15"/>
  <c r="G16" i="15" s="1"/>
  <c r="H21" i="18" a="1"/>
  <c r="H21" i="18" s="1"/>
  <c r="I21" i="18" s="1"/>
  <c r="J21" i="18" s="1" a="1"/>
  <c r="J21" i="18" s="1"/>
  <c r="H20" i="18" a="1"/>
  <c r="H20" i="18" s="1"/>
  <c r="I20" i="18" s="1"/>
  <c r="J20" i="18" s="1" a="1"/>
  <c r="J20" i="18" s="1"/>
  <c r="I16" i="18"/>
  <c r="H16" i="18"/>
  <c r="J15" i="18" a="1"/>
  <c r="J15" i="18" s="1"/>
  <c r="H15" i="18"/>
  <c r="G15" i="18"/>
  <c r="J14" i="18" a="1"/>
  <c r="J14" i="18" s="1"/>
  <c r="H14" i="18"/>
  <c r="G14" i="18"/>
  <c r="H13" i="18"/>
  <c r="J13" i="18" s="1" a="1"/>
  <c r="J13" i="18" s="1"/>
  <c r="G13" i="18"/>
  <c r="J12" i="18" a="1"/>
  <c r="J12" i="18" s="1"/>
  <c r="H12" i="18"/>
  <c r="G12" i="18"/>
  <c r="J11" i="18" a="1"/>
  <c r="J11" i="18" s="1"/>
  <c r="H11" i="18"/>
  <c r="G11" i="18"/>
  <c r="H10" i="18"/>
  <c r="J10" i="18" s="1" a="1"/>
  <c r="J10" i="18" s="1"/>
  <c r="G10" i="18"/>
  <c r="H9" i="18"/>
  <c r="J9" i="18" s="1" a="1"/>
  <c r="J9" i="18" s="1"/>
  <c r="G9" i="18"/>
  <c r="H8" i="18"/>
  <c r="J8" i="18" s="1" a="1"/>
  <c r="J8" i="18" s="1"/>
  <c r="G8" i="18"/>
  <c r="J7" i="18" a="1"/>
  <c r="J7" i="18" s="1"/>
  <c r="H7" i="18"/>
  <c r="G7" i="18"/>
  <c r="H6" i="18"/>
  <c r="J6" i="18" s="1" a="1"/>
  <c r="J6" i="18" s="1"/>
  <c r="G6" i="18"/>
  <c r="H5" i="18"/>
  <c r="J5" i="18" s="1" a="1"/>
  <c r="J5" i="18" s="1"/>
  <c r="J16" i="18" s="1"/>
  <c r="G5" i="18"/>
  <c r="G16" i="18" s="1"/>
  <c r="H21" i="16" a="1"/>
  <c r="H21" i="16" s="1"/>
  <c r="I21" i="16" s="1"/>
  <c r="J21" i="16" s="1" a="1"/>
  <c r="J21" i="16" s="1"/>
  <c r="H20" i="16" a="1"/>
  <c r="H20" i="16" s="1"/>
  <c r="I20" i="16" s="1"/>
  <c r="J20" i="16" s="1" a="1"/>
  <c r="J20" i="16" s="1"/>
  <c r="I16" i="16"/>
  <c r="H15" i="16"/>
  <c r="J15" i="16" s="1" a="1"/>
  <c r="J15" i="16" s="1"/>
  <c r="G15" i="16"/>
  <c r="J14" i="16"/>
  <c r="J14" i="16" a="1"/>
  <c r="H14" i="16"/>
  <c r="G14" i="16"/>
  <c r="H13" i="16"/>
  <c r="J13" i="16" s="1" a="1"/>
  <c r="J13" i="16" s="1"/>
  <c r="G13" i="16"/>
  <c r="J12" i="16" a="1"/>
  <c r="J12" i="16" s="1"/>
  <c r="H12" i="16"/>
  <c r="G12" i="16"/>
  <c r="J11" i="16" a="1"/>
  <c r="J11" i="16" s="1"/>
  <c r="H11" i="16"/>
  <c r="G11" i="16"/>
  <c r="H10" i="16"/>
  <c r="J10" i="16" s="1" a="1"/>
  <c r="J10" i="16" s="1"/>
  <c r="G10" i="16"/>
  <c r="J9" i="16"/>
  <c r="J9" i="16" a="1"/>
  <c r="H9" i="16"/>
  <c r="G9" i="16"/>
  <c r="H8" i="16"/>
  <c r="J8" i="16" s="1" a="1"/>
  <c r="J8" i="16" s="1"/>
  <c r="G8" i="16"/>
  <c r="H7" i="16"/>
  <c r="J7" i="16" s="1" a="1"/>
  <c r="J7" i="16" s="1"/>
  <c r="G7" i="16"/>
  <c r="J6" i="16"/>
  <c r="J6" i="16" a="1"/>
  <c r="H6" i="16"/>
  <c r="G6" i="16"/>
  <c r="H5" i="16"/>
  <c r="J5" i="16" s="1" a="1"/>
  <c r="J5" i="16" s="1"/>
  <c r="J16" i="16" s="1"/>
  <c r="G5" i="16"/>
  <c r="G16" i="16" s="1"/>
  <c r="H21" i="17" a="1"/>
  <c r="H21" i="17" s="1"/>
  <c r="I21" i="17" s="1"/>
  <c r="J21" i="17" s="1" a="1"/>
  <c r="J21" i="17" s="1"/>
  <c r="H20" i="17" a="1"/>
  <c r="H20" i="17" s="1"/>
  <c r="I20" i="17" s="1"/>
  <c r="J20" i="17" s="1" a="1"/>
  <c r="J20" i="17" s="1"/>
  <c r="I16" i="17"/>
  <c r="H16" i="17"/>
  <c r="J15" i="17" a="1"/>
  <c r="J15" i="17" s="1"/>
  <c r="H15" i="17"/>
  <c r="G15" i="17"/>
  <c r="J14" i="17" a="1"/>
  <c r="J14" i="17" s="1"/>
  <c r="H14" i="17"/>
  <c r="G14" i="17"/>
  <c r="H13" i="17"/>
  <c r="J13" i="17" s="1" a="1"/>
  <c r="J13" i="17" s="1"/>
  <c r="G13" i="17"/>
  <c r="J12" i="17"/>
  <c r="J12" i="17" a="1"/>
  <c r="H12" i="17"/>
  <c r="G12" i="17"/>
  <c r="H11" i="17"/>
  <c r="J11" i="17" s="1" a="1"/>
  <c r="J11" i="17" s="1"/>
  <c r="G11" i="17"/>
  <c r="H10" i="17"/>
  <c r="J10" i="17" s="1" a="1"/>
  <c r="J10" i="17" s="1"/>
  <c r="G10" i="17"/>
  <c r="H9" i="17"/>
  <c r="J9" i="17" s="1" a="1"/>
  <c r="J9" i="17" s="1"/>
  <c r="G9" i="17"/>
  <c r="H8" i="17"/>
  <c r="J8" i="17" s="1" a="1"/>
  <c r="J8" i="17" s="1"/>
  <c r="G8" i="17"/>
  <c r="J7" i="17" a="1"/>
  <c r="J7" i="17" s="1"/>
  <c r="H7" i="17"/>
  <c r="G7" i="17"/>
  <c r="J6" i="17" a="1"/>
  <c r="J6" i="17" s="1"/>
  <c r="H6" i="17"/>
  <c r="G6" i="17"/>
  <c r="H5" i="17"/>
  <c r="J5" i="17" s="1" a="1"/>
  <c r="J5" i="17" s="1"/>
  <c r="J16" i="17" s="1"/>
  <c r="G5" i="17"/>
  <c r="G16" i="17" s="1"/>
  <c r="H21" i="19" a="1"/>
  <c r="H21" i="19" s="1"/>
  <c r="I21" i="19" s="1"/>
  <c r="J21" i="19" s="1" a="1"/>
  <c r="J21" i="19" s="1"/>
  <c r="H20" i="19" a="1"/>
  <c r="H20" i="19" s="1"/>
  <c r="I20" i="19" s="1"/>
  <c r="J20" i="19" s="1" a="1"/>
  <c r="J20" i="19" s="1"/>
  <c r="G16" i="19"/>
  <c r="H15" i="19"/>
  <c r="J15" i="19" s="1" a="1"/>
  <c r="J15" i="19" s="1"/>
  <c r="G15" i="19"/>
  <c r="H14" i="19"/>
  <c r="J14" i="19" s="1" a="1"/>
  <c r="J14" i="19" s="1"/>
  <c r="G14" i="19"/>
  <c r="J13" i="19" a="1"/>
  <c r="J13" i="19" s="1"/>
  <c r="H13" i="19"/>
  <c r="G13" i="19"/>
  <c r="H12" i="19"/>
  <c r="J12" i="19" s="1" a="1"/>
  <c r="J12" i="19" s="1"/>
  <c r="G12" i="19"/>
  <c r="H11" i="19"/>
  <c r="J11" i="19" s="1" a="1"/>
  <c r="J11" i="19" s="1"/>
  <c r="G11" i="19"/>
  <c r="J10" i="19" a="1"/>
  <c r="J10" i="19" s="1"/>
  <c r="H10" i="19"/>
  <c r="G10" i="19"/>
  <c r="H9" i="19"/>
  <c r="J9" i="19" s="1" a="1"/>
  <c r="J9" i="19" s="1"/>
  <c r="G9" i="19"/>
  <c r="H8" i="19"/>
  <c r="J8" i="19" s="1" a="1"/>
  <c r="J8" i="19" s="1"/>
  <c r="G8" i="19"/>
  <c r="H7" i="19"/>
  <c r="J7" i="19" s="1" a="1"/>
  <c r="J7" i="19" s="1"/>
  <c r="G7" i="19"/>
  <c r="H6" i="19"/>
  <c r="J6" i="19" s="1" a="1"/>
  <c r="J6" i="19" s="1"/>
  <c r="G6" i="19"/>
  <c r="J5" i="19" a="1"/>
  <c r="J5" i="19" s="1"/>
  <c r="J16" i="19" s="1"/>
  <c r="I16" i="19"/>
  <c r="H5" i="19"/>
  <c r="H16" i="19" s="1"/>
  <c r="G5" i="19"/>
  <c r="H21" i="20" a="1"/>
  <c r="H21" i="20" s="1"/>
  <c r="I21" i="20" s="1"/>
  <c r="J21" i="20" s="1" a="1"/>
  <c r="J21" i="20" s="1"/>
  <c r="H20" i="20" a="1"/>
  <c r="H20" i="20" s="1"/>
  <c r="I20" i="20" s="1"/>
  <c r="J20" i="20" s="1" a="1"/>
  <c r="J20" i="20" s="1"/>
  <c r="I16" i="20"/>
  <c r="J15" i="20" a="1"/>
  <c r="J15" i="20" s="1"/>
  <c r="H15" i="20"/>
  <c r="G15" i="20"/>
  <c r="J14" i="20" a="1"/>
  <c r="J14" i="20" s="1"/>
  <c r="H14" i="20"/>
  <c r="G14" i="20"/>
  <c r="H13" i="20"/>
  <c r="J13" i="20" s="1" a="1"/>
  <c r="J13" i="20" s="1"/>
  <c r="G13" i="20"/>
  <c r="J12" i="20"/>
  <c r="J12" i="20" a="1"/>
  <c r="H12" i="20"/>
  <c r="G12" i="20"/>
  <c r="J11" i="20" a="1"/>
  <c r="J11" i="20" s="1"/>
  <c r="H11" i="20"/>
  <c r="G11" i="20"/>
  <c r="H10" i="20"/>
  <c r="J10" i="20" s="1" a="1"/>
  <c r="J10" i="20" s="1"/>
  <c r="G10" i="20"/>
  <c r="H9" i="20"/>
  <c r="J9" i="20" s="1" a="1"/>
  <c r="J9" i="20" s="1"/>
  <c r="G9" i="20"/>
  <c r="H8" i="20"/>
  <c r="J8" i="20" s="1" a="1"/>
  <c r="J8" i="20" s="1"/>
  <c r="G8" i="20"/>
  <c r="J7" i="20" a="1"/>
  <c r="J7" i="20" s="1"/>
  <c r="H7" i="20"/>
  <c r="G7" i="20"/>
  <c r="J6" i="20" a="1"/>
  <c r="J6" i="20" s="1"/>
  <c r="H6" i="20"/>
  <c r="G6" i="20"/>
  <c r="H5" i="20"/>
  <c r="J5" i="20" s="1" a="1"/>
  <c r="J5" i="20" s="1"/>
  <c r="J16" i="20" s="1"/>
  <c r="G5" i="20"/>
  <c r="G16" i="20" s="1"/>
  <c r="H21" i="21" a="1"/>
  <c r="H21" i="21" s="1"/>
  <c r="I21" i="21" s="1"/>
  <c r="J21" i="21" s="1" a="1"/>
  <c r="J21" i="21" s="1"/>
  <c r="H20" i="21" a="1"/>
  <c r="H20" i="21" s="1"/>
  <c r="I20" i="21" s="1"/>
  <c r="J20" i="21" s="1" a="1"/>
  <c r="J20" i="21" s="1"/>
  <c r="I16" i="21"/>
  <c r="H16" i="21"/>
  <c r="H15" i="21"/>
  <c r="J15" i="21" s="1" a="1"/>
  <c r="J15" i="21" s="1"/>
  <c r="G15" i="21"/>
  <c r="H14" i="21"/>
  <c r="J14" i="21" s="1" a="1"/>
  <c r="J14" i="21" s="1"/>
  <c r="G14" i="21"/>
  <c r="H13" i="21"/>
  <c r="J13" i="21" s="1" a="1"/>
  <c r="J13" i="21" s="1"/>
  <c r="G13" i="21"/>
  <c r="J12" i="21" a="1"/>
  <c r="J12" i="21" s="1"/>
  <c r="H12" i="21"/>
  <c r="G12" i="21"/>
  <c r="H11" i="21"/>
  <c r="J11" i="21" s="1" a="1"/>
  <c r="J11" i="21" s="1"/>
  <c r="G11" i="21"/>
  <c r="H10" i="21"/>
  <c r="J10" i="21" s="1" a="1"/>
  <c r="J10" i="21" s="1"/>
  <c r="G10" i="21"/>
  <c r="J9" i="21" a="1"/>
  <c r="J9" i="21" s="1"/>
  <c r="H9" i="21"/>
  <c r="G9" i="21"/>
  <c r="H8" i="21"/>
  <c r="J8" i="21" s="1" a="1"/>
  <c r="J8" i="21" s="1"/>
  <c r="G8" i="21"/>
  <c r="H7" i="21"/>
  <c r="J7" i="21" s="1" a="1"/>
  <c r="J7" i="21" s="1"/>
  <c r="G7" i="21"/>
  <c r="H6" i="21"/>
  <c r="J6" i="21" s="1" a="1"/>
  <c r="J6" i="21" s="1"/>
  <c r="G6" i="21"/>
  <c r="H5" i="21"/>
  <c r="J5" i="21" s="1" a="1"/>
  <c r="J5" i="21" s="1"/>
  <c r="J16" i="21" s="1"/>
  <c r="G5" i="21"/>
  <c r="G16" i="21" s="1"/>
  <c r="H21" i="22" a="1"/>
  <c r="H21" i="22" s="1"/>
  <c r="I21" i="22" s="1"/>
  <c r="J21" i="22" s="1" a="1"/>
  <c r="J21" i="22" s="1"/>
  <c r="H20" i="22" a="1"/>
  <c r="H20" i="22" s="1"/>
  <c r="I20" i="22" s="1"/>
  <c r="J20" i="22" s="1" a="1"/>
  <c r="J20" i="22" s="1"/>
  <c r="I16" i="22"/>
  <c r="H16" i="22"/>
  <c r="J15" i="22" a="1"/>
  <c r="J15" i="22" s="1"/>
  <c r="H15" i="22"/>
  <c r="G15" i="22"/>
  <c r="J14" i="22" a="1"/>
  <c r="J14" i="22" s="1"/>
  <c r="H14" i="22"/>
  <c r="G14" i="22"/>
  <c r="H13" i="22"/>
  <c r="J13" i="22" s="1" a="1"/>
  <c r="J13" i="22" s="1"/>
  <c r="G13" i="22"/>
  <c r="H12" i="22"/>
  <c r="J12" i="22" s="1" a="1"/>
  <c r="J12" i="22" s="1"/>
  <c r="G12" i="22"/>
  <c r="H11" i="22"/>
  <c r="J11" i="22" s="1" a="1"/>
  <c r="J11" i="22" s="1"/>
  <c r="G11" i="22"/>
  <c r="H10" i="22"/>
  <c r="J10" i="22" s="1" a="1"/>
  <c r="J10" i="22" s="1"/>
  <c r="G10" i="22"/>
  <c r="J9" i="22" a="1"/>
  <c r="J9" i="22" s="1"/>
  <c r="H9" i="22"/>
  <c r="G9" i="22"/>
  <c r="H8" i="22"/>
  <c r="J8" i="22" s="1" a="1"/>
  <c r="J8" i="22" s="1"/>
  <c r="G8" i="22"/>
  <c r="J7" i="22" a="1"/>
  <c r="J7" i="22" s="1"/>
  <c r="H7" i="22"/>
  <c r="G7" i="22"/>
  <c r="J6" i="22" a="1"/>
  <c r="J6" i="22" s="1"/>
  <c r="H6" i="22"/>
  <c r="G6" i="22"/>
  <c r="H5" i="22"/>
  <c r="J5" i="22" s="1" a="1"/>
  <c r="J5" i="22" s="1"/>
  <c r="J16" i="22" s="1"/>
  <c r="G5" i="22"/>
  <c r="G16" i="22" s="1"/>
  <c r="H21" i="23" a="1"/>
  <c r="H21" i="23" s="1"/>
  <c r="I21" i="23" s="1"/>
  <c r="J21" i="23" s="1" a="1"/>
  <c r="J21" i="23" s="1"/>
  <c r="H20" i="23" a="1"/>
  <c r="H20" i="23" s="1"/>
  <c r="I20" i="23" s="1"/>
  <c r="J20" i="23" s="1" a="1"/>
  <c r="J20" i="23" s="1"/>
  <c r="I16" i="23"/>
  <c r="H16" i="23"/>
  <c r="J15" i="23"/>
  <c r="J15" i="23" a="1"/>
  <c r="H15" i="23"/>
  <c r="G15" i="23"/>
  <c r="H14" i="23"/>
  <c r="J14" i="23" s="1" a="1"/>
  <c r="J14" i="23" s="1"/>
  <c r="G14" i="23"/>
  <c r="H13" i="23"/>
  <c r="J13" i="23" s="1" a="1"/>
  <c r="J13" i="23" s="1"/>
  <c r="G13" i="23"/>
  <c r="J12" i="23" a="1"/>
  <c r="J12" i="23" s="1"/>
  <c r="H12" i="23"/>
  <c r="G12" i="23"/>
  <c r="H11" i="23"/>
  <c r="J11" i="23" s="1" a="1"/>
  <c r="J11" i="23" s="1"/>
  <c r="G11" i="23"/>
  <c r="H10" i="23"/>
  <c r="J10" i="23" s="1" a="1"/>
  <c r="J10" i="23" s="1"/>
  <c r="G10" i="23"/>
  <c r="J9" i="23" a="1"/>
  <c r="J9" i="23" s="1"/>
  <c r="H9" i="23"/>
  <c r="G9" i="23"/>
  <c r="H8" i="23"/>
  <c r="J8" i="23" s="1" a="1"/>
  <c r="J8" i="23" s="1"/>
  <c r="G8" i="23"/>
  <c r="J7" i="23"/>
  <c r="J7" i="23" a="1"/>
  <c r="H7" i="23"/>
  <c r="G7" i="23"/>
  <c r="H6" i="23"/>
  <c r="J6" i="23" s="1" a="1"/>
  <c r="J6" i="23" s="1"/>
  <c r="G6" i="23"/>
  <c r="H5" i="23"/>
  <c r="J5" i="23" s="1" a="1"/>
  <c r="J5" i="23" s="1"/>
  <c r="J16" i="23" s="1"/>
  <c r="G5" i="23"/>
  <c r="G16" i="23" s="1"/>
  <c r="H21" i="24" a="1"/>
  <c r="H21" i="24" s="1"/>
  <c r="I21" i="24" s="1"/>
  <c r="J21" i="24" s="1" a="1"/>
  <c r="J21" i="24" s="1"/>
  <c r="H20" i="24" a="1"/>
  <c r="H20" i="24" s="1"/>
  <c r="I20" i="24" s="1"/>
  <c r="J20" i="24" s="1" a="1"/>
  <c r="J20" i="24" s="1"/>
  <c r="I16" i="24"/>
  <c r="H16" i="24"/>
  <c r="J15" i="24" a="1"/>
  <c r="J15" i="24" s="1"/>
  <c r="H15" i="24"/>
  <c r="G15" i="24"/>
  <c r="J14" i="24" a="1"/>
  <c r="J14" i="24" s="1"/>
  <c r="H14" i="24"/>
  <c r="G14" i="24"/>
  <c r="H13" i="24"/>
  <c r="J13" i="24" s="1" a="1"/>
  <c r="J13" i="24" s="1"/>
  <c r="G13" i="24"/>
  <c r="J12" i="24"/>
  <c r="J12" i="24" a="1"/>
  <c r="H12" i="24"/>
  <c r="G12" i="24"/>
  <c r="H11" i="24"/>
  <c r="J11" i="24" s="1" a="1"/>
  <c r="J11" i="24" s="1"/>
  <c r="G11" i="24"/>
  <c r="H10" i="24"/>
  <c r="J10" i="24" s="1" a="1"/>
  <c r="J10" i="24" s="1"/>
  <c r="G10" i="24"/>
  <c r="H9" i="24"/>
  <c r="J9" i="24" s="1" a="1"/>
  <c r="J9" i="24" s="1"/>
  <c r="G9" i="24"/>
  <c r="H8" i="24"/>
  <c r="J8" i="24" s="1" a="1"/>
  <c r="J8" i="24" s="1"/>
  <c r="G8" i="24"/>
  <c r="J7" i="24" a="1"/>
  <c r="J7" i="24" s="1"/>
  <c r="H7" i="24"/>
  <c r="G7" i="24"/>
  <c r="J6" i="24" a="1"/>
  <c r="J6" i="24" s="1"/>
  <c r="H6" i="24"/>
  <c r="G6" i="24"/>
  <c r="H5" i="24"/>
  <c r="J5" i="24" s="1" a="1"/>
  <c r="J5" i="24" s="1"/>
  <c r="J16" i="24" s="1"/>
  <c r="G5" i="24"/>
  <c r="G16" i="24" s="1"/>
  <c r="H21" i="25" a="1"/>
  <c r="H21" i="25" s="1"/>
  <c r="I21" i="25" s="1"/>
  <c r="J21" i="25" s="1" a="1"/>
  <c r="J21" i="25" s="1"/>
  <c r="H20" i="25" a="1"/>
  <c r="H20" i="25" s="1"/>
  <c r="I20" i="25" s="1"/>
  <c r="J20" i="25" s="1" a="1"/>
  <c r="J20" i="25" s="1"/>
  <c r="I16" i="25"/>
  <c r="H16" i="25"/>
  <c r="H15" i="25"/>
  <c r="J15" i="25" s="1" a="1"/>
  <c r="J15" i="25" s="1"/>
  <c r="G15" i="25"/>
  <c r="J14" i="25" a="1"/>
  <c r="J14" i="25" s="1"/>
  <c r="H14" i="25"/>
  <c r="G14" i="25"/>
  <c r="H13" i="25"/>
  <c r="J13" i="25" s="1" a="1"/>
  <c r="J13" i="25" s="1"/>
  <c r="G13" i="25"/>
  <c r="J12" i="25" a="1"/>
  <c r="J12" i="25" s="1"/>
  <c r="H12" i="25"/>
  <c r="G12" i="25"/>
  <c r="H11" i="25"/>
  <c r="J11" i="25" s="1" a="1"/>
  <c r="J11" i="25" s="1"/>
  <c r="G11" i="25"/>
  <c r="H10" i="25"/>
  <c r="J10" i="25" s="1" a="1"/>
  <c r="J10" i="25" s="1"/>
  <c r="G10" i="25"/>
  <c r="J9" i="25"/>
  <c r="J9" i="25" a="1"/>
  <c r="H9" i="25"/>
  <c r="G9" i="25"/>
  <c r="H8" i="25"/>
  <c r="J8" i="25" s="1" a="1"/>
  <c r="J8" i="25" s="1"/>
  <c r="G8" i="25"/>
  <c r="H7" i="25"/>
  <c r="J7" i="25" s="1" a="1"/>
  <c r="J7" i="25" s="1"/>
  <c r="G7" i="25"/>
  <c r="H6" i="25"/>
  <c r="J6" i="25" s="1" a="1"/>
  <c r="J6" i="25" s="1"/>
  <c r="G6" i="25"/>
  <c r="H5" i="25"/>
  <c r="J5" i="25" s="1" a="1"/>
  <c r="J5" i="25" s="1"/>
  <c r="J16" i="25" s="1"/>
  <c r="G5" i="25"/>
  <c r="G16" i="25" s="1"/>
  <c r="H21" i="26"/>
  <c r="I21" i="26" s="1"/>
  <c r="J21" i="26" s="1" a="1"/>
  <c r="J21" i="26" s="1"/>
  <c r="H21" i="26" a="1"/>
  <c r="H20" i="26" a="1"/>
  <c r="H20" i="26" s="1"/>
  <c r="I20" i="26" s="1"/>
  <c r="J20" i="26" s="1" a="1"/>
  <c r="J20" i="26" s="1"/>
  <c r="I16" i="26"/>
  <c r="H15" i="26"/>
  <c r="J15" i="26" s="1" a="1"/>
  <c r="J15" i="26" s="1"/>
  <c r="G15" i="26"/>
  <c r="H14" i="26"/>
  <c r="J14" i="26" s="1" a="1"/>
  <c r="J14" i="26" s="1"/>
  <c r="G14" i="26"/>
  <c r="J13" i="26" a="1"/>
  <c r="J13" i="26" s="1"/>
  <c r="H13" i="26"/>
  <c r="G13" i="26"/>
  <c r="H12" i="26"/>
  <c r="J12" i="26" s="1" a="1"/>
  <c r="J12" i="26" s="1"/>
  <c r="G12" i="26"/>
  <c r="J11" i="26" a="1"/>
  <c r="J11" i="26" s="1"/>
  <c r="H11" i="26"/>
  <c r="G11" i="26"/>
  <c r="J10" i="26" a="1"/>
  <c r="J10" i="26" s="1"/>
  <c r="H10" i="26"/>
  <c r="G10" i="26"/>
  <c r="J9" i="26" a="1"/>
  <c r="J9" i="26" s="1"/>
  <c r="H9" i="26"/>
  <c r="G9" i="26"/>
  <c r="H8" i="26"/>
  <c r="J8" i="26" s="1" a="1"/>
  <c r="J8" i="26" s="1"/>
  <c r="G8" i="26"/>
  <c r="H7" i="26"/>
  <c r="J7" i="26" s="1" a="1"/>
  <c r="J7" i="26" s="1"/>
  <c r="G7" i="26"/>
  <c r="H6" i="26"/>
  <c r="J6" i="26" s="1" a="1"/>
  <c r="J6" i="26" s="1"/>
  <c r="G6" i="26"/>
  <c r="J5" i="26" a="1"/>
  <c r="J5" i="26" s="1"/>
  <c r="J16" i="26" s="1"/>
  <c r="H5" i="26"/>
  <c r="H16" i="26" s="1"/>
  <c r="G5" i="26"/>
  <c r="G16" i="26" s="1"/>
  <c r="H21" i="27" a="1"/>
  <c r="H21" i="27" s="1"/>
  <c r="I21" i="27" s="1"/>
  <c r="J21" i="27" s="1" a="1"/>
  <c r="J21" i="27" s="1"/>
  <c r="H20" i="27" a="1"/>
  <c r="H20" i="27" s="1"/>
  <c r="I20" i="27" s="1"/>
  <c r="J20" i="27" s="1" a="1"/>
  <c r="J20" i="27" s="1"/>
  <c r="I16" i="27"/>
  <c r="H15" i="27"/>
  <c r="J15" i="27" s="1" a="1"/>
  <c r="J15" i="27" s="1"/>
  <c r="G15" i="27"/>
  <c r="H14" i="27"/>
  <c r="J14" i="27" s="1" a="1"/>
  <c r="J14" i="27" s="1"/>
  <c r="G14" i="27"/>
  <c r="H13" i="27"/>
  <c r="J13" i="27" s="1" a="1"/>
  <c r="J13" i="27" s="1"/>
  <c r="G13" i="27"/>
  <c r="J12" i="27" a="1"/>
  <c r="J12" i="27" s="1"/>
  <c r="H12" i="27"/>
  <c r="G12" i="27"/>
  <c r="H11" i="27"/>
  <c r="J11" i="27" s="1" a="1"/>
  <c r="J11" i="27" s="1"/>
  <c r="G11" i="27"/>
  <c r="H10" i="27"/>
  <c r="J10" i="27" s="1" a="1"/>
  <c r="J10" i="27" s="1"/>
  <c r="G10" i="27"/>
  <c r="J9" i="27" a="1"/>
  <c r="J9" i="27" s="1"/>
  <c r="H9" i="27"/>
  <c r="G9" i="27"/>
  <c r="H8" i="27"/>
  <c r="J8" i="27" s="1" a="1"/>
  <c r="J8" i="27" s="1"/>
  <c r="G8" i="27"/>
  <c r="H7" i="27"/>
  <c r="J7" i="27" s="1" a="1"/>
  <c r="J7" i="27" s="1"/>
  <c r="G7" i="27"/>
  <c r="H6" i="27"/>
  <c r="J6" i="27" s="1" a="1"/>
  <c r="J6" i="27" s="1"/>
  <c r="G6" i="27"/>
  <c r="H5" i="27"/>
  <c r="J5" i="27" s="1" a="1"/>
  <c r="J5" i="27" s="1"/>
  <c r="J16" i="27" s="1"/>
  <c r="G5" i="27"/>
  <c r="G16" i="27" s="1"/>
  <c r="H21" i="28" a="1"/>
  <c r="H21" i="28" s="1"/>
  <c r="I21" i="28" s="1"/>
  <c r="J21" i="28" s="1" a="1"/>
  <c r="J21" i="28" s="1"/>
  <c r="H20" i="28" a="1"/>
  <c r="H20" i="28" s="1"/>
  <c r="I20" i="28" s="1"/>
  <c r="J20" i="28" s="1" a="1"/>
  <c r="J20" i="28" s="1"/>
  <c r="I16" i="28"/>
  <c r="H16" i="28"/>
  <c r="J15" i="28" a="1"/>
  <c r="J15" i="28" s="1"/>
  <c r="H15" i="28"/>
  <c r="G15" i="28"/>
  <c r="J14" i="28" a="1"/>
  <c r="J14" i="28" s="1"/>
  <c r="H14" i="28"/>
  <c r="G14" i="28"/>
  <c r="H13" i="28"/>
  <c r="J13" i="28" s="1" a="1"/>
  <c r="J13" i="28" s="1"/>
  <c r="G13" i="28"/>
  <c r="H12" i="28"/>
  <c r="J12" i="28" s="1" a="1"/>
  <c r="J12" i="28" s="1"/>
  <c r="G12" i="28"/>
  <c r="H11" i="28"/>
  <c r="J11" i="28" s="1" a="1"/>
  <c r="J11" i="28" s="1"/>
  <c r="G11" i="28"/>
  <c r="H10" i="28"/>
  <c r="J10" i="28" s="1" a="1"/>
  <c r="J10" i="28" s="1"/>
  <c r="G10" i="28"/>
  <c r="J9" i="28" a="1"/>
  <c r="J9" i="28" s="1"/>
  <c r="H9" i="28"/>
  <c r="G9" i="28"/>
  <c r="H8" i="28"/>
  <c r="J8" i="28" s="1" a="1"/>
  <c r="J8" i="28" s="1"/>
  <c r="G8" i="28"/>
  <c r="J7" i="28" a="1"/>
  <c r="J7" i="28" s="1"/>
  <c r="H7" i="28"/>
  <c r="G7" i="28"/>
  <c r="J6" i="28" a="1"/>
  <c r="J6" i="28" s="1"/>
  <c r="H6" i="28"/>
  <c r="G6" i="28"/>
  <c r="H5" i="28"/>
  <c r="J5" i="28" s="1" a="1"/>
  <c r="J5" i="28" s="1"/>
  <c r="J16" i="28" s="1"/>
  <c r="G5" i="28"/>
  <c r="G16" i="28" s="1"/>
  <c r="H21" i="29" a="1"/>
  <c r="H21" i="29" s="1"/>
  <c r="I21" i="29" s="1"/>
  <c r="J21" i="29" s="1" a="1"/>
  <c r="J21" i="29" s="1"/>
  <c r="H20" i="29" a="1"/>
  <c r="H20" i="29" s="1"/>
  <c r="I20" i="29" s="1"/>
  <c r="J20" i="29" s="1" a="1"/>
  <c r="J20" i="29" s="1"/>
  <c r="I16" i="29"/>
  <c r="H15" i="29"/>
  <c r="J15" i="29" s="1" a="1"/>
  <c r="J15" i="29" s="1"/>
  <c r="G15" i="29"/>
  <c r="J14" i="29" a="1"/>
  <c r="J14" i="29" s="1"/>
  <c r="H14" i="29"/>
  <c r="G14" i="29"/>
  <c r="H13" i="29"/>
  <c r="J13" i="29" s="1" a="1"/>
  <c r="J13" i="29" s="1"/>
  <c r="G13" i="29"/>
  <c r="J12" i="29" a="1"/>
  <c r="J12" i="29" s="1"/>
  <c r="H12" i="29"/>
  <c r="G12" i="29"/>
  <c r="H11" i="29"/>
  <c r="J11" i="29" s="1" a="1"/>
  <c r="J11" i="29" s="1"/>
  <c r="G11" i="29"/>
  <c r="H10" i="29"/>
  <c r="J10" i="29" s="1" a="1"/>
  <c r="J10" i="29" s="1"/>
  <c r="G10" i="29"/>
  <c r="J9" i="29"/>
  <c r="J9" i="29" a="1"/>
  <c r="H9" i="29"/>
  <c r="G9" i="29"/>
  <c r="H8" i="29"/>
  <c r="J8" i="29" s="1" a="1"/>
  <c r="J8" i="29" s="1"/>
  <c r="G8" i="29"/>
  <c r="J7" i="29"/>
  <c r="J7" i="29" a="1"/>
  <c r="H7" i="29"/>
  <c r="G7" i="29"/>
  <c r="J6" i="29" a="1"/>
  <c r="J6" i="29" s="1"/>
  <c r="H6" i="29"/>
  <c r="G6" i="29"/>
  <c r="H5" i="29"/>
  <c r="J5" i="29" s="1" a="1"/>
  <c r="J5" i="29" s="1"/>
  <c r="J16" i="29" s="1"/>
  <c r="G5" i="29"/>
  <c r="G16" i="29" s="1"/>
  <c r="G6" i="30"/>
  <c r="G7" i="30"/>
  <c r="G8" i="30"/>
  <c r="G9" i="30"/>
  <c r="G10" i="30"/>
  <c r="G11" i="30"/>
  <c r="G12" i="30"/>
  <c r="G13" i="30"/>
  <c r="G14" i="30"/>
  <c r="G15" i="30"/>
  <c r="G5" i="30"/>
  <c r="I30" i="30"/>
  <c r="J30" i="30" s="1" a="1"/>
  <c r="J30" i="30" s="1"/>
  <c r="I31" i="30"/>
  <c r="J31" i="30" s="1" a="1"/>
  <c r="J31" i="30" s="1"/>
  <c r="I32" i="30"/>
  <c r="J32" i="30" s="1" a="1"/>
  <c r="J32" i="30" s="1"/>
  <c r="I33" i="30"/>
  <c r="J33" i="30" s="1" a="1"/>
  <c r="J33" i="30" s="1"/>
  <c r="I34" i="30"/>
  <c r="J34" i="30" s="1" a="1"/>
  <c r="J34" i="30" s="1"/>
  <c r="I35" i="30"/>
  <c r="J35" i="30" s="1" a="1"/>
  <c r="J35" i="30" s="1"/>
  <c r="I36" i="30"/>
  <c r="J36" i="30" s="1" a="1"/>
  <c r="J36" i="30" s="1"/>
  <c r="I37" i="30"/>
  <c r="J37" i="30" s="1" a="1"/>
  <c r="J37" i="30" s="1"/>
  <c r="I38" i="30"/>
  <c r="I39" i="30"/>
  <c r="J39" i="30" s="1" a="1"/>
  <c r="J39" i="30" s="1"/>
  <c r="I40" i="30"/>
  <c r="J40" i="30" s="1" a="1"/>
  <c r="J40" i="30" s="1"/>
  <c r="I41" i="30"/>
  <c r="J41" i="30" s="1" a="1"/>
  <c r="J41" i="30" s="1"/>
  <c r="I42" i="30"/>
  <c r="J42" i="30" s="1" a="1"/>
  <c r="J42" i="30" s="1"/>
  <c r="I43" i="30"/>
  <c r="J43" i="30" s="1" a="1"/>
  <c r="J43" i="30" s="1"/>
  <c r="I29" i="30"/>
  <c r="J29" i="30" s="1" a="1"/>
  <c r="J29" i="30" s="1"/>
  <c r="M26" i="61"/>
  <c r="J30" i="29" a="1"/>
  <c r="J30" i="29" s="1"/>
  <c r="J32" i="29" a="1"/>
  <c r="J32" i="29" s="1"/>
  <c r="J38" i="29" a="1"/>
  <c r="J38" i="29" s="1"/>
  <c r="J43" i="29" a="1"/>
  <c r="J43" i="29" s="1"/>
  <c r="J29" i="29" a="1"/>
  <c r="J29" i="29" s="1"/>
  <c r="J30" i="28" a="1"/>
  <c r="J30" i="28" s="1"/>
  <c r="J32" i="28" a="1"/>
  <c r="J32" i="28" s="1"/>
  <c r="J37" i="28" a="1"/>
  <c r="J37" i="28"/>
  <c r="J39" i="28" a="1"/>
  <c r="J39" i="28" s="1"/>
  <c r="J29" i="28" a="1"/>
  <c r="J29" i="28" s="1"/>
  <c r="J34" i="27" a="1"/>
  <c r="J34" i="27" s="1"/>
  <c r="J37" i="27" a="1"/>
  <c r="J37" i="27" s="1"/>
  <c r="J40" i="27" a="1"/>
  <c r="J40" i="27" s="1"/>
  <c r="J40" i="26" a="1"/>
  <c r="J40" i="26" s="1"/>
  <c r="J30" i="25" a="1"/>
  <c r="J30" i="25" s="1"/>
  <c r="J31" i="25" a="1"/>
  <c r="J31" i="25" s="1"/>
  <c r="J36" i="25" a="1"/>
  <c r="J36" i="25" s="1"/>
  <c r="J37" i="25" a="1"/>
  <c r="J37" i="25" s="1"/>
  <c r="J39" i="25" a="1"/>
  <c r="J39" i="25" s="1"/>
  <c r="J41" i="25" a="1"/>
  <c r="J41" i="25"/>
  <c r="J29" i="25" a="1"/>
  <c r="J29" i="25" s="1"/>
  <c r="J34" i="24" a="1"/>
  <c r="J34" i="24"/>
  <c r="J40" i="24" a="1"/>
  <c r="J40" i="24" s="1"/>
  <c r="J32" i="23" a="1"/>
  <c r="J32" i="23" s="1"/>
  <c r="J40" i="23" a="1"/>
  <c r="J40" i="23" s="1"/>
  <c r="J41" i="23" a="1"/>
  <c r="J41" i="23" s="1"/>
  <c r="J30" i="22" a="1"/>
  <c r="J30" i="22" s="1"/>
  <c r="J33" i="22" a="1"/>
  <c r="J33" i="22" s="1"/>
  <c r="J36" i="22" a="1"/>
  <c r="J36" i="22" s="1"/>
  <c r="J41" i="22" a="1"/>
  <c r="J41" i="22" s="1"/>
  <c r="J29" i="22" a="1"/>
  <c r="J29" i="22" s="1"/>
  <c r="J30" i="21" a="1"/>
  <c r="J30" i="21" s="1"/>
  <c r="J35" i="21" a="1"/>
  <c r="J35" i="21" s="1"/>
  <c r="J36" i="21" a="1"/>
  <c r="J36" i="21" s="1"/>
  <c r="J34" i="20" a="1"/>
  <c r="J34" i="20" s="1"/>
  <c r="J36" i="20" a="1"/>
  <c r="J36" i="20" s="1"/>
  <c r="J42" i="20" a="1"/>
  <c r="J42" i="20" s="1"/>
  <c r="J31" i="19" a="1"/>
  <c r="J31" i="19" s="1"/>
  <c r="J32" i="19" a="1"/>
  <c r="J32" i="19" s="1"/>
  <c r="J37" i="19" a="1"/>
  <c r="J37" i="19" s="1"/>
  <c r="J38" i="19" a="1"/>
  <c r="J38" i="19" s="1"/>
  <c r="J42" i="19" a="1"/>
  <c r="J42" i="19" s="1"/>
  <c r="J29" i="19" a="1"/>
  <c r="J29" i="19" s="1"/>
  <c r="J30" i="17" a="1"/>
  <c r="J30" i="17" s="1"/>
  <c r="J31" i="17" a="1"/>
  <c r="J31" i="17" s="1"/>
  <c r="J36" i="17" a="1"/>
  <c r="J36" i="17" s="1"/>
  <c r="J39" i="17" a="1"/>
  <c r="J39" i="17" s="1"/>
  <c r="J40" i="17" a="1"/>
  <c r="J40" i="17"/>
  <c r="J29" i="17" a="1"/>
  <c r="J29" i="17" s="1"/>
  <c r="J31" i="16" a="1"/>
  <c r="J31" i="16" s="1"/>
  <c r="J34" i="16" a="1"/>
  <c r="J34" i="16" s="1"/>
  <c r="J42" i="16" a="1"/>
  <c r="J42" i="16" s="1"/>
  <c r="J33" i="18" a="1"/>
  <c r="J33" i="18" s="1"/>
  <c r="J34" i="18" a="1"/>
  <c r="J34" i="18" s="1"/>
  <c r="J37" i="18" a="1"/>
  <c r="J37" i="18" s="1"/>
  <c r="J41" i="18" a="1"/>
  <c r="J41" i="18"/>
  <c r="J42" i="18" a="1"/>
  <c r="J42" i="18" s="1"/>
  <c r="J43" i="18" a="1"/>
  <c r="J43" i="18" s="1"/>
  <c r="J33" i="15" a="1"/>
  <c r="J33" i="15" s="1"/>
  <c r="J35" i="15" a="1"/>
  <c r="J35" i="15" s="1"/>
  <c r="J38" i="15" a="1"/>
  <c r="J38" i="15" s="1"/>
  <c r="J32" i="13" a="1"/>
  <c r="J32" i="13" s="1"/>
  <c r="J37" i="13" a="1"/>
  <c r="J37" i="13" s="1"/>
  <c r="J29" i="13" a="1"/>
  <c r="J29" i="13" s="1"/>
  <c r="J30" i="12" a="1"/>
  <c r="J30" i="12" s="1"/>
  <c r="J31" i="12" a="1"/>
  <c r="J31" i="12" s="1"/>
  <c r="J33" i="12" a="1"/>
  <c r="J33" i="12" s="1"/>
  <c r="J36" i="12" a="1"/>
  <c r="J36" i="12" s="1"/>
  <c r="J39" i="12" a="1"/>
  <c r="J39" i="12" s="1"/>
  <c r="J29" i="12" a="1"/>
  <c r="J29" i="12" s="1"/>
  <c r="J33" i="11" a="1"/>
  <c r="J33" i="11" s="1"/>
  <c r="J34" i="11" a="1"/>
  <c r="J34" i="11" s="1"/>
  <c r="J38" i="11" a="1"/>
  <c r="J38" i="11" s="1"/>
  <c r="J40" i="11" a="1"/>
  <c r="J40" i="11" s="1"/>
  <c r="J30" i="10" a="1"/>
  <c r="J30" i="10"/>
  <c r="J31" i="10" a="1"/>
  <c r="J31" i="10" s="1"/>
  <c r="J33" i="10" a="1"/>
  <c r="J33" i="10" s="1"/>
  <c r="J36" i="10" a="1"/>
  <c r="J36" i="10" s="1"/>
  <c r="J37" i="10" a="1"/>
  <c r="J37" i="10" s="1"/>
  <c r="J38" i="10" a="1"/>
  <c r="J38" i="10" s="1"/>
  <c r="J41" i="10" a="1"/>
  <c r="J41" i="10"/>
  <c r="J31" i="14" a="1"/>
  <c r="J31" i="14" s="1"/>
  <c r="J32" i="14" a="1"/>
  <c r="J32" i="14" s="1"/>
  <c r="J38" i="14" a="1"/>
  <c r="J38" i="14" s="1"/>
  <c r="J39" i="14" a="1"/>
  <c r="J39" i="14" s="1"/>
  <c r="J29" i="14" a="1"/>
  <c r="J29" i="14" s="1"/>
  <c r="J32" i="9" a="1"/>
  <c r="J32" i="9" s="1"/>
  <c r="J36" i="9" a="1"/>
  <c r="J36" i="9" s="1"/>
  <c r="J42" i="9" a="1"/>
  <c r="J42" i="9" s="1"/>
  <c r="J29" i="9" a="1"/>
  <c r="J29" i="9" s="1"/>
  <c r="J33" i="8" a="1"/>
  <c r="J33" i="8"/>
  <c r="J38" i="8" a="1"/>
  <c r="J38" i="8" s="1"/>
  <c r="J39" i="8" a="1"/>
  <c r="J39" i="8" s="1"/>
  <c r="J42" i="8" a="1"/>
  <c r="J42" i="8"/>
  <c r="J31" i="7" a="1"/>
  <c r="J31" i="7" s="1"/>
  <c r="J36" i="7" a="1"/>
  <c r="J36" i="7" s="1"/>
  <c r="J40" i="7" a="1"/>
  <c r="J40" i="7" s="1"/>
  <c r="J32" i="6" a="1"/>
  <c r="J32" i="6"/>
  <c r="J39" i="6" a="1"/>
  <c r="J39" i="6" s="1"/>
  <c r="J40" i="6" a="1"/>
  <c r="J40" i="6" s="1"/>
  <c r="J43" i="6" a="1"/>
  <c r="J43" i="6" s="1"/>
  <c r="J29" i="6" a="1"/>
  <c r="J29" i="6" s="1"/>
  <c r="J31" i="5" a="1"/>
  <c r="J31" i="5" s="1"/>
  <c r="J35" i="5" a="1"/>
  <c r="J35" i="5" s="1"/>
  <c r="J29" i="5" a="1"/>
  <c r="J29" i="5" s="1"/>
  <c r="J30" i="4" a="1"/>
  <c r="J30" i="4" s="1"/>
  <c r="J31" i="4" a="1"/>
  <c r="J31" i="4" s="1"/>
  <c r="J32" i="4" a="1"/>
  <c r="J32" i="4" s="1"/>
  <c r="J33" i="4" a="1"/>
  <c r="J33" i="4"/>
  <c r="J34" i="4" a="1"/>
  <c r="J34" i="4" s="1"/>
  <c r="J35" i="4" a="1"/>
  <c r="J35" i="4" s="1"/>
  <c r="J36" i="4" a="1"/>
  <c r="J36" i="4" s="1"/>
  <c r="J37" i="4" a="1"/>
  <c r="J37" i="4"/>
  <c r="J38" i="4" a="1"/>
  <c r="J38" i="4" s="1"/>
  <c r="J39" i="4" a="1"/>
  <c r="J39" i="4" s="1"/>
  <c r="J40" i="4" a="1"/>
  <c r="J40" i="4" s="1"/>
  <c r="J41" i="4" a="1"/>
  <c r="J41" i="4"/>
  <c r="J42" i="4" a="1"/>
  <c r="J42" i="4" s="1"/>
  <c r="J43" i="4" a="1"/>
  <c r="J43" i="4" s="1"/>
  <c r="J29" i="4" a="1"/>
  <c r="J29" i="4" s="1"/>
  <c r="J30" i="3" a="1"/>
  <c r="J30" i="3" s="1"/>
  <c r="J31" i="3" a="1"/>
  <c r="J31" i="3"/>
  <c r="J32" i="3" a="1"/>
  <c r="J32" i="3"/>
  <c r="J33" i="3" a="1"/>
  <c r="J33" i="3"/>
  <c r="J34" i="3" a="1"/>
  <c r="J34" i="3" s="1"/>
  <c r="J35" i="3" a="1"/>
  <c r="J35" i="3"/>
  <c r="J36" i="3" a="1"/>
  <c r="J36" i="3"/>
  <c r="J37" i="3" a="1"/>
  <c r="J37" i="3"/>
  <c r="J38" i="3" a="1"/>
  <c r="J38" i="3" s="1"/>
  <c r="J39" i="3" a="1"/>
  <c r="J39" i="3"/>
  <c r="J40" i="3" a="1"/>
  <c r="J40" i="3"/>
  <c r="J41" i="3" a="1"/>
  <c r="J41" i="3"/>
  <c r="J42" i="3" a="1"/>
  <c r="J42" i="3" s="1"/>
  <c r="J43" i="3" a="1"/>
  <c r="J43" i="3"/>
  <c r="J29" i="3" a="1"/>
  <c r="J29" i="3" s="1"/>
  <c r="J38" i="30" a="1"/>
  <c r="J38" i="30" s="1"/>
  <c r="I52" i="29"/>
  <c r="I51" i="29"/>
  <c r="I43" i="29"/>
  <c r="I42" i="29"/>
  <c r="J42" i="29" s="1" a="1"/>
  <c r="J42" i="29" s="1"/>
  <c r="I41" i="29"/>
  <c r="J41" i="29" s="1" a="1"/>
  <c r="J41" i="29" s="1"/>
  <c r="I40" i="29"/>
  <c r="J40" i="29" s="1" a="1"/>
  <c r="J40" i="29" s="1"/>
  <c r="I39" i="29"/>
  <c r="J39" i="29" s="1" a="1"/>
  <c r="J39" i="29" s="1"/>
  <c r="I38" i="29"/>
  <c r="I37" i="29"/>
  <c r="J37" i="29" s="1" a="1"/>
  <c r="J37" i="29" s="1"/>
  <c r="I36" i="29"/>
  <c r="J36" i="29" s="1" a="1"/>
  <c r="J36" i="29" s="1"/>
  <c r="I35" i="29"/>
  <c r="J35" i="29" s="1" a="1"/>
  <c r="J35" i="29" s="1"/>
  <c r="I34" i="29"/>
  <c r="J34" i="29" s="1" a="1"/>
  <c r="J34" i="29" s="1"/>
  <c r="I33" i="29"/>
  <c r="J33" i="29" s="1" a="1"/>
  <c r="J33" i="29" s="1"/>
  <c r="I32" i="29"/>
  <c r="I31" i="29"/>
  <c r="J31" i="29" s="1" a="1"/>
  <c r="J31" i="29" s="1"/>
  <c r="I30" i="29"/>
  <c r="I29" i="29"/>
  <c r="I52" i="28"/>
  <c r="I51" i="28"/>
  <c r="I43" i="28"/>
  <c r="J43" i="28" s="1" a="1"/>
  <c r="J43" i="28" s="1"/>
  <c r="I42" i="28"/>
  <c r="J42" i="28" s="1" a="1"/>
  <c r="J42" i="28" s="1"/>
  <c r="I41" i="28"/>
  <c r="J41" i="28" s="1" a="1"/>
  <c r="J41" i="28" s="1"/>
  <c r="I40" i="28"/>
  <c r="J40" i="28" s="1" a="1"/>
  <c r="J40" i="28" s="1"/>
  <c r="I39" i="28"/>
  <c r="I38" i="28"/>
  <c r="J38" i="28" s="1" a="1"/>
  <c r="J38" i="28" s="1"/>
  <c r="I37" i="28"/>
  <c r="I36" i="28"/>
  <c r="J36" i="28" s="1" a="1"/>
  <c r="J36" i="28" s="1"/>
  <c r="I35" i="28"/>
  <c r="J35" i="28" s="1" a="1"/>
  <c r="J35" i="28" s="1"/>
  <c r="I34" i="28"/>
  <c r="J34" i="28" s="1" a="1"/>
  <c r="J34" i="28" s="1"/>
  <c r="I33" i="28"/>
  <c r="J33" i="28" s="1" a="1"/>
  <c r="J33" i="28" s="1"/>
  <c r="I32" i="28"/>
  <c r="I31" i="28"/>
  <c r="J31" i="28" s="1" a="1"/>
  <c r="J31" i="28" s="1"/>
  <c r="I30" i="28"/>
  <c r="I29" i="28"/>
  <c r="I52" i="27"/>
  <c r="I51" i="27"/>
  <c r="I43" i="27"/>
  <c r="J43" i="27" s="1" a="1"/>
  <c r="J43" i="27" s="1"/>
  <c r="I42" i="27"/>
  <c r="J42" i="27" s="1" a="1"/>
  <c r="J42" i="27" s="1"/>
  <c r="I41" i="27"/>
  <c r="J41" i="27" s="1" a="1"/>
  <c r="J41" i="27" s="1"/>
  <c r="I40" i="27"/>
  <c r="I39" i="27"/>
  <c r="J39" i="27" s="1" a="1"/>
  <c r="J39" i="27" s="1"/>
  <c r="I38" i="27"/>
  <c r="J38" i="27" s="1" a="1"/>
  <c r="J38" i="27" s="1"/>
  <c r="I37" i="27"/>
  <c r="I36" i="27"/>
  <c r="J36" i="27" s="1" a="1"/>
  <c r="J36" i="27" s="1"/>
  <c r="I35" i="27"/>
  <c r="J35" i="27" s="1" a="1"/>
  <c r="J35" i="27" s="1"/>
  <c r="I34" i="27"/>
  <c r="I33" i="27"/>
  <c r="J33" i="27" s="1" a="1"/>
  <c r="J33" i="27" s="1"/>
  <c r="I32" i="27"/>
  <c r="J32" i="27" s="1" a="1"/>
  <c r="J32" i="27" s="1"/>
  <c r="I31" i="27"/>
  <c r="J31" i="27" s="1" a="1"/>
  <c r="J31" i="27" s="1"/>
  <c r="I30" i="27"/>
  <c r="J30" i="27" s="1" a="1"/>
  <c r="J30" i="27" s="1"/>
  <c r="I29" i="27"/>
  <c r="J29" i="27" s="1" a="1"/>
  <c r="J29" i="27" s="1"/>
  <c r="I52" i="26"/>
  <c r="I51" i="26"/>
  <c r="I43" i="26"/>
  <c r="J43" i="26" s="1" a="1"/>
  <c r="J43" i="26" s="1"/>
  <c r="I42" i="26"/>
  <c r="J42" i="26" s="1" a="1"/>
  <c r="J42" i="26" s="1"/>
  <c r="I41" i="26"/>
  <c r="J41" i="26" s="1" a="1"/>
  <c r="J41" i="26" s="1"/>
  <c r="I40" i="26"/>
  <c r="I39" i="26"/>
  <c r="J39" i="26" s="1" a="1"/>
  <c r="J39" i="26" s="1"/>
  <c r="I38" i="26"/>
  <c r="J38" i="26" s="1" a="1"/>
  <c r="J38" i="26" s="1"/>
  <c r="I37" i="26"/>
  <c r="J37" i="26" s="1" a="1"/>
  <c r="J37" i="26" s="1"/>
  <c r="I36" i="26"/>
  <c r="J36" i="26" s="1" a="1"/>
  <c r="J36" i="26" s="1"/>
  <c r="I35" i="26"/>
  <c r="J35" i="26" s="1" a="1"/>
  <c r="J35" i="26" s="1"/>
  <c r="I34" i="26"/>
  <c r="J34" i="26" s="1" a="1"/>
  <c r="J34" i="26" s="1"/>
  <c r="I33" i="26"/>
  <c r="J33" i="26" s="1" a="1"/>
  <c r="J33" i="26" s="1"/>
  <c r="I32" i="26"/>
  <c r="J32" i="26" s="1" a="1"/>
  <c r="J32" i="26" s="1"/>
  <c r="I31" i="26"/>
  <c r="J31" i="26" s="1" a="1"/>
  <c r="J31" i="26" s="1"/>
  <c r="I30" i="26"/>
  <c r="J30" i="26" s="1" a="1"/>
  <c r="J30" i="26" s="1"/>
  <c r="I29" i="26"/>
  <c r="J29" i="26" s="1" a="1"/>
  <c r="J29" i="26" s="1"/>
  <c r="I52" i="25"/>
  <c r="I51" i="25"/>
  <c r="I43" i="25"/>
  <c r="J43" i="25" s="1" a="1"/>
  <c r="J43" i="25" s="1"/>
  <c r="I42" i="25"/>
  <c r="J42" i="25" s="1" a="1"/>
  <c r="J42" i="25" s="1"/>
  <c r="I41" i="25"/>
  <c r="I40" i="25"/>
  <c r="J40" i="25" s="1" a="1"/>
  <c r="J40" i="25" s="1"/>
  <c r="I39" i="25"/>
  <c r="I38" i="25"/>
  <c r="J38" i="25" s="1" a="1"/>
  <c r="J38" i="25" s="1"/>
  <c r="I37" i="25"/>
  <c r="I36" i="25"/>
  <c r="I35" i="25"/>
  <c r="J35" i="25" s="1" a="1"/>
  <c r="J35" i="25" s="1"/>
  <c r="I34" i="25"/>
  <c r="J34" i="25" s="1" a="1"/>
  <c r="J34" i="25" s="1"/>
  <c r="I33" i="25"/>
  <c r="J33" i="25" s="1" a="1"/>
  <c r="J33" i="25" s="1"/>
  <c r="I32" i="25"/>
  <c r="J32" i="25" s="1" a="1"/>
  <c r="J32" i="25" s="1"/>
  <c r="I31" i="25"/>
  <c r="I30" i="25"/>
  <c r="I29" i="25"/>
  <c r="I52" i="24"/>
  <c r="I51" i="24"/>
  <c r="I43" i="24"/>
  <c r="J43" i="24" s="1" a="1"/>
  <c r="J43" i="24" s="1"/>
  <c r="I42" i="24"/>
  <c r="J42" i="24" s="1" a="1"/>
  <c r="J42" i="24" s="1"/>
  <c r="I41" i="24"/>
  <c r="J41" i="24" s="1" a="1"/>
  <c r="J41" i="24" s="1"/>
  <c r="I40" i="24"/>
  <c r="I39" i="24"/>
  <c r="J39" i="24" s="1" a="1"/>
  <c r="J39" i="24" s="1"/>
  <c r="I38" i="24"/>
  <c r="J38" i="24" s="1" a="1"/>
  <c r="J38" i="24" s="1"/>
  <c r="I37" i="24"/>
  <c r="J37" i="24" s="1" a="1"/>
  <c r="J37" i="24" s="1"/>
  <c r="I36" i="24"/>
  <c r="J36" i="24" s="1" a="1"/>
  <c r="J36" i="24" s="1"/>
  <c r="I35" i="24"/>
  <c r="J35" i="24" s="1" a="1"/>
  <c r="J35" i="24" s="1"/>
  <c r="I34" i="24"/>
  <c r="I33" i="24"/>
  <c r="J33" i="24" s="1" a="1"/>
  <c r="J33" i="24" s="1"/>
  <c r="I32" i="24"/>
  <c r="J32" i="24" s="1" a="1"/>
  <c r="J32" i="24" s="1"/>
  <c r="I31" i="24"/>
  <c r="J31" i="24" s="1" a="1"/>
  <c r="J31" i="24" s="1"/>
  <c r="I30" i="24"/>
  <c r="J30" i="24" s="1" a="1"/>
  <c r="J30" i="24" s="1"/>
  <c r="I29" i="24"/>
  <c r="J29" i="24" s="1" a="1"/>
  <c r="J29" i="24" s="1"/>
  <c r="I52" i="23"/>
  <c r="I51" i="23"/>
  <c r="I43" i="23"/>
  <c r="J43" i="23" s="1" a="1"/>
  <c r="J43" i="23" s="1"/>
  <c r="I42" i="23"/>
  <c r="J42" i="23" s="1" a="1"/>
  <c r="J42" i="23" s="1"/>
  <c r="I41" i="23"/>
  <c r="I40" i="23"/>
  <c r="I39" i="23"/>
  <c r="J39" i="23" s="1" a="1"/>
  <c r="J39" i="23" s="1"/>
  <c r="I38" i="23"/>
  <c r="J38" i="23" s="1" a="1"/>
  <c r="J38" i="23" s="1"/>
  <c r="I37" i="23"/>
  <c r="J37" i="23" s="1" a="1"/>
  <c r="J37" i="23" s="1"/>
  <c r="I36" i="23"/>
  <c r="J36" i="23" s="1" a="1"/>
  <c r="J36" i="23" s="1"/>
  <c r="I35" i="23"/>
  <c r="J35" i="23" s="1" a="1"/>
  <c r="J35" i="23" s="1"/>
  <c r="I34" i="23"/>
  <c r="J34" i="23" s="1" a="1"/>
  <c r="J34" i="23" s="1"/>
  <c r="I33" i="23"/>
  <c r="J33" i="23" s="1" a="1"/>
  <c r="J33" i="23" s="1"/>
  <c r="I32" i="23"/>
  <c r="I31" i="23"/>
  <c r="J31" i="23" s="1" a="1"/>
  <c r="J31" i="23" s="1"/>
  <c r="I30" i="23"/>
  <c r="J30" i="23" s="1" a="1"/>
  <c r="J30" i="23" s="1"/>
  <c r="I29" i="23"/>
  <c r="J29" i="23" s="1" a="1"/>
  <c r="J29" i="23" s="1"/>
  <c r="I52" i="22"/>
  <c r="I51" i="22"/>
  <c r="I43" i="22"/>
  <c r="J43" i="22" s="1" a="1"/>
  <c r="J43" i="22" s="1"/>
  <c r="I42" i="22"/>
  <c r="J42" i="22" s="1" a="1"/>
  <c r="J42" i="22" s="1"/>
  <c r="I41" i="22"/>
  <c r="I40" i="22"/>
  <c r="J40" i="22" s="1" a="1"/>
  <c r="J40" i="22" s="1"/>
  <c r="I39" i="22"/>
  <c r="J39" i="22" s="1" a="1"/>
  <c r="J39" i="22" s="1"/>
  <c r="I38" i="22"/>
  <c r="J38" i="22" s="1" a="1"/>
  <c r="J38" i="22" s="1"/>
  <c r="I37" i="22"/>
  <c r="J37" i="22" s="1" a="1"/>
  <c r="J37" i="22" s="1"/>
  <c r="I36" i="22"/>
  <c r="I35" i="22"/>
  <c r="J35" i="22" s="1" a="1"/>
  <c r="J35" i="22" s="1"/>
  <c r="I34" i="22"/>
  <c r="J34" i="22" s="1" a="1"/>
  <c r="J34" i="22" s="1"/>
  <c r="I33" i="22"/>
  <c r="I32" i="22"/>
  <c r="J32" i="22" s="1" a="1"/>
  <c r="J32" i="22" s="1"/>
  <c r="I31" i="22"/>
  <c r="J31" i="22" s="1" a="1"/>
  <c r="J31" i="22" s="1"/>
  <c r="I30" i="22"/>
  <c r="I29" i="22"/>
  <c r="I52" i="21"/>
  <c r="I51" i="21"/>
  <c r="I43" i="21"/>
  <c r="J43" i="21" s="1" a="1"/>
  <c r="J43" i="21" s="1"/>
  <c r="I42" i="21"/>
  <c r="J42" i="21" s="1" a="1"/>
  <c r="J42" i="21" s="1"/>
  <c r="I41" i="21"/>
  <c r="J41" i="21" s="1" a="1"/>
  <c r="J41" i="21" s="1"/>
  <c r="I40" i="21"/>
  <c r="J40" i="21" s="1" a="1"/>
  <c r="J40" i="21" s="1"/>
  <c r="I39" i="21"/>
  <c r="J39" i="21" s="1" a="1"/>
  <c r="J39" i="21" s="1"/>
  <c r="I38" i="21"/>
  <c r="J38" i="21" s="1" a="1"/>
  <c r="J38" i="21" s="1"/>
  <c r="I37" i="21"/>
  <c r="J37" i="21" s="1" a="1"/>
  <c r="J37" i="21" s="1"/>
  <c r="I36" i="21"/>
  <c r="I35" i="21"/>
  <c r="I34" i="21"/>
  <c r="J34" i="21" s="1" a="1"/>
  <c r="J34" i="21" s="1"/>
  <c r="I33" i="21"/>
  <c r="J33" i="21" s="1" a="1"/>
  <c r="J33" i="21" s="1"/>
  <c r="I32" i="21"/>
  <c r="J32" i="21" s="1" a="1"/>
  <c r="J32" i="21" s="1"/>
  <c r="I31" i="21"/>
  <c r="J31" i="21" s="1" a="1"/>
  <c r="J31" i="21" s="1"/>
  <c r="I30" i="21"/>
  <c r="I29" i="21"/>
  <c r="J29" i="21" s="1" a="1"/>
  <c r="J29" i="21" s="1"/>
  <c r="I52" i="20"/>
  <c r="I51" i="20"/>
  <c r="I43" i="20"/>
  <c r="J43" i="20" s="1" a="1"/>
  <c r="J43" i="20" s="1"/>
  <c r="I42" i="20"/>
  <c r="I41" i="20"/>
  <c r="J41" i="20" s="1" a="1"/>
  <c r="J41" i="20" s="1"/>
  <c r="I40" i="20"/>
  <c r="J40" i="20" s="1" a="1"/>
  <c r="J40" i="20" s="1"/>
  <c r="I39" i="20"/>
  <c r="J39" i="20" s="1" a="1"/>
  <c r="J39" i="20" s="1"/>
  <c r="I38" i="20"/>
  <c r="J38" i="20" s="1" a="1"/>
  <c r="J38" i="20" s="1"/>
  <c r="I37" i="20"/>
  <c r="J37" i="20" s="1" a="1"/>
  <c r="J37" i="20" s="1"/>
  <c r="I36" i="20"/>
  <c r="I35" i="20"/>
  <c r="J35" i="20" s="1" a="1"/>
  <c r="J35" i="20" s="1"/>
  <c r="I34" i="20"/>
  <c r="I33" i="20"/>
  <c r="J33" i="20" s="1" a="1"/>
  <c r="J33" i="20" s="1"/>
  <c r="I32" i="20"/>
  <c r="J32" i="20" s="1" a="1"/>
  <c r="J32" i="20" s="1"/>
  <c r="I31" i="20"/>
  <c r="J31" i="20" s="1" a="1"/>
  <c r="J31" i="20" s="1"/>
  <c r="I30" i="20"/>
  <c r="J30" i="20" s="1" a="1"/>
  <c r="J30" i="20" s="1"/>
  <c r="I29" i="20"/>
  <c r="J29" i="20" s="1" a="1"/>
  <c r="J29" i="20" s="1"/>
  <c r="I52" i="19"/>
  <c r="I51" i="19"/>
  <c r="I43" i="19"/>
  <c r="J43" i="19" s="1" a="1"/>
  <c r="J43" i="19" s="1"/>
  <c r="I42" i="19"/>
  <c r="I41" i="19"/>
  <c r="J41" i="19" s="1" a="1"/>
  <c r="J41" i="19" s="1"/>
  <c r="I40" i="19"/>
  <c r="J40" i="19" s="1" a="1"/>
  <c r="J40" i="19" s="1"/>
  <c r="I39" i="19"/>
  <c r="J39" i="19" s="1" a="1"/>
  <c r="J39" i="19" s="1"/>
  <c r="I38" i="19"/>
  <c r="I37" i="19"/>
  <c r="I36" i="19"/>
  <c r="J36" i="19" s="1" a="1"/>
  <c r="J36" i="19" s="1"/>
  <c r="I35" i="19"/>
  <c r="J35" i="19" s="1" a="1"/>
  <c r="J35" i="19" s="1"/>
  <c r="I34" i="19"/>
  <c r="J34" i="19" s="1" a="1"/>
  <c r="J34" i="19" s="1"/>
  <c r="I33" i="19"/>
  <c r="J33" i="19" s="1" a="1"/>
  <c r="J33" i="19" s="1"/>
  <c r="I32" i="19"/>
  <c r="I31" i="19"/>
  <c r="I30" i="19"/>
  <c r="J30" i="19" s="1" a="1"/>
  <c r="J30" i="19" s="1"/>
  <c r="I29" i="19"/>
  <c r="I52" i="17"/>
  <c r="I51" i="17"/>
  <c r="I43" i="17"/>
  <c r="J43" i="17" s="1" a="1"/>
  <c r="J43" i="17" s="1"/>
  <c r="I42" i="17"/>
  <c r="J42" i="17" s="1" a="1"/>
  <c r="J42" i="17" s="1"/>
  <c r="I41" i="17"/>
  <c r="J41" i="17" s="1" a="1"/>
  <c r="J41" i="17" s="1"/>
  <c r="I40" i="17"/>
  <c r="I39" i="17"/>
  <c r="I38" i="17"/>
  <c r="J38" i="17" s="1" a="1"/>
  <c r="J38" i="17" s="1"/>
  <c r="I37" i="17"/>
  <c r="J37" i="17" s="1" a="1"/>
  <c r="J37" i="17" s="1"/>
  <c r="I36" i="17"/>
  <c r="I35" i="17"/>
  <c r="J35" i="17" s="1" a="1"/>
  <c r="J35" i="17" s="1"/>
  <c r="I34" i="17"/>
  <c r="J34" i="17" s="1" a="1"/>
  <c r="J34" i="17" s="1"/>
  <c r="I33" i="17"/>
  <c r="J33" i="17" s="1" a="1"/>
  <c r="J33" i="17" s="1"/>
  <c r="I32" i="17"/>
  <c r="J32" i="17" s="1" a="1"/>
  <c r="J32" i="17" s="1"/>
  <c r="I31" i="17"/>
  <c r="I30" i="17"/>
  <c r="I29" i="17"/>
  <c r="I52" i="16"/>
  <c r="I51" i="16"/>
  <c r="I43" i="16"/>
  <c r="J43" i="16" s="1" a="1"/>
  <c r="J43" i="16" s="1"/>
  <c r="I42" i="16"/>
  <c r="I41" i="16"/>
  <c r="J41" i="16" s="1" a="1"/>
  <c r="J41" i="16" s="1"/>
  <c r="I40" i="16"/>
  <c r="J40" i="16" s="1" a="1"/>
  <c r="J40" i="16" s="1"/>
  <c r="I39" i="16"/>
  <c r="J39" i="16" s="1" a="1"/>
  <c r="J39" i="16" s="1"/>
  <c r="I38" i="16"/>
  <c r="J38" i="16" s="1" a="1"/>
  <c r="J38" i="16" s="1"/>
  <c r="I37" i="16"/>
  <c r="J37" i="16" s="1" a="1"/>
  <c r="J37" i="16" s="1"/>
  <c r="I36" i="16"/>
  <c r="J36" i="16" s="1" a="1"/>
  <c r="J36" i="16" s="1"/>
  <c r="I35" i="16"/>
  <c r="J35" i="16" s="1" a="1"/>
  <c r="J35" i="16" s="1"/>
  <c r="I34" i="16"/>
  <c r="I33" i="16"/>
  <c r="J33" i="16" s="1" a="1"/>
  <c r="J33" i="16" s="1"/>
  <c r="I32" i="16"/>
  <c r="J32" i="16" s="1" a="1"/>
  <c r="J32" i="16" s="1"/>
  <c r="I31" i="16"/>
  <c r="I30" i="16"/>
  <c r="J30" i="16" s="1" a="1"/>
  <c r="J30" i="16" s="1"/>
  <c r="I29" i="16"/>
  <c r="J29" i="16" s="1" a="1"/>
  <c r="J29" i="16" s="1"/>
  <c r="I52" i="18"/>
  <c r="I51" i="18"/>
  <c r="I43" i="18"/>
  <c r="I42" i="18"/>
  <c r="I41" i="18"/>
  <c r="I40" i="18"/>
  <c r="J40" i="18" s="1" a="1"/>
  <c r="J40" i="18" s="1"/>
  <c r="I39" i="18"/>
  <c r="J39" i="18" s="1" a="1"/>
  <c r="J39" i="18" s="1"/>
  <c r="I38" i="18"/>
  <c r="J38" i="18" s="1" a="1"/>
  <c r="J38" i="18" s="1"/>
  <c r="I37" i="18"/>
  <c r="I36" i="18"/>
  <c r="J36" i="18" s="1" a="1"/>
  <c r="J36" i="18" s="1"/>
  <c r="I35" i="18"/>
  <c r="J35" i="18" s="1" a="1"/>
  <c r="J35" i="18" s="1"/>
  <c r="I34" i="18"/>
  <c r="I33" i="18"/>
  <c r="I32" i="18"/>
  <c r="J32" i="18" s="1" a="1"/>
  <c r="J32" i="18" s="1"/>
  <c r="I31" i="18"/>
  <c r="J31" i="18" s="1" a="1"/>
  <c r="J31" i="18" s="1"/>
  <c r="I30" i="18"/>
  <c r="J30" i="18" s="1" a="1"/>
  <c r="J30" i="18" s="1"/>
  <c r="I29" i="18"/>
  <c r="J29" i="18" s="1" a="1"/>
  <c r="J29" i="18" s="1"/>
  <c r="I52" i="15"/>
  <c r="I51" i="15"/>
  <c r="I43" i="15"/>
  <c r="J43" i="15" s="1" a="1"/>
  <c r="J43" i="15" s="1"/>
  <c r="I42" i="15"/>
  <c r="J42" i="15" s="1" a="1"/>
  <c r="J42" i="15" s="1"/>
  <c r="I41" i="15"/>
  <c r="J41" i="15" s="1" a="1"/>
  <c r="J41" i="15" s="1"/>
  <c r="I40" i="15"/>
  <c r="J40" i="15" s="1" a="1"/>
  <c r="J40" i="15" s="1"/>
  <c r="I39" i="15"/>
  <c r="J39" i="15" s="1" a="1"/>
  <c r="J39" i="15" s="1"/>
  <c r="I38" i="15"/>
  <c r="I37" i="15"/>
  <c r="J37" i="15" s="1" a="1"/>
  <c r="J37" i="15" s="1"/>
  <c r="I36" i="15"/>
  <c r="J36" i="15" s="1" a="1"/>
  <c r="J36" i="15" s="1"/>
  <c r="I35" i="15"/>
  <c r="I34" i="15"/>
  <c r="J34" i="15" s="1" a="1"/>
  <c r="J34" i="15" s="1"/>
  <c r="I33" i="15"/>
  <c r="I32" i="15"/>
  <c r="J32" i="15" s="1" a="1"/>
  <c r="J32" i="15" s="1"/>
  <c r="I31" i="15"/>
  <c r="J31" i="15" s="1" a="1"/>
  <c r="J31" i="15" s="1"/>
  <c r="I30" i="15"/>
  <c r="J30" i="15" s="1" a="1"/>
  <c r="J30" i="15" s="1"/>
  <c r="I29" i="15"/>
  <c r="J29" i="15" s="1" a="1"/>
  <c r="J29" i="15" s="1"/>
  <c r="I52" i="13"/>
  <c r="I51" i="13"/>
  <c r="I43" i="13"/>
  <c r="J43" i="13" s="1" a="1"/>
  <c r="J43" i="13" s="1"/>
  <c r="I42" i="13"/>
  <c r="J42" i="13" s="1" a="1"/>
  <c r="J42" i="13" s="1"/>
  <c r="I41" i="13"/>
  <c r="J41" i="13" s="1" a="1"/>
  <c r="J41" i="13" s="1"/>
  <c r="I40" i="13"/>
  <c r="J40" i="13" s="1" a="1"/>
  <c r="J40" i="13" s="1"/>
  <c r="I39" i="13"/>
  <c r="J39" i="13" s="1" a="1"/>
  <c r="J39" i="13" s="1"/>
  <c r="I38" i="13"/>
  <c r="J38" i="13" s="1" a="1"/>
  <c r="J38" i="13" s="1"/>
  <c r="I37" i="13"/>
  <c r="I36" i="13"/>
  <c r="J36" i="13" s="1" a="1"/>
  <c r="J36" i="13" s="1"/>
  <c r="I35" i="13"/>
  <c r="J35" i="13" s="1" a="1"/>
  <c r="J35" i="13" s="1"/>
  <c r="I34" i="13"/>
  <c r="J34" i="13" s="1" a="1"/>
  <c r="J34" i="13" s="1"/>
  <c r="I33" i="13"/>
  <c r="J33" i="13" s="1" a="1"/>
  <c r="J33" i="13" s="1"/>
  <c r="I32" i="13"/>
  <c r="I31" i="13"/>
  <c r="J31" i="13" s="1" a="1"/>
  <c r="J31" i="13" s="1"/>
  <c r="I30" i="13"/>
  <c r="J30" i="13" s="1" a="1"/>
  <c r="J30" i="13" s="1"/>
  <c r="I29" i="13"/>
  <c r="I52" i="12"/>
  <c r="I51" i="12"/>
  <c r="I43" i="12"/>
  <c r="J43" i="12" s="1" a="1"/>
  <c r="J43" i="12" s="1"/>
  <c r="I42" i="12"/>
  <c r="J42" i="12" s="1" a="1"/>
  <c r="J42" i="12" s="1"/>
  <c r="I41" i="12"/>
  <c r="J41" i="12" s="1" a="1"/>
  <c r="J41" i="12" s="1"/>
  <c r="I40" i="12"/>
  <c r="J40" i="12" s="1" a="1"/>
  <c r="J40" i="12" s="1"/>
  <c r="I39" i="12"/>
  <c r="I38" i="12"/>
  <c r="J38" i="12" s="1" a="1"/>
  <c r="J38" i="12" s="1"/>
  <c r="I37" i="12"/>
  <c r="J37" i="12" s="1" a="1"/>
  <c r="J37" i="12" s="1"/>
  <c r="I36" i="12"/>
  <c r="I35" i="12"/>
  <c r="J35" i="12" s="1" a="1"/>
  <c r="J35" i="12" s="1"/>
  <c r="I34" i="12"/>
  <c r="J34" i="12" s="1" a="1"/>
  <c r="J34" i="12" s="1"/>
  <c r="I33" i="12"/>
  <c r="I32" i="12"/>
  <c r="J32" i="12" s="1" a="1"/>
  <c r="J32" i="12" s="1"/>
  <c r="I31" i="12"/>
  <c r="I30" i="12"/>
  <c r="I29" i="12"/>
  <c r="I52" i="11"/>
  <c r="I51" i="11"/>
  <c r="I43" i="11"/>
  <c r="J43" i="11" s="1" a="1"/>
  <c r="J43" i="11" s="1"/>
  <c r="I42" i="11"/>
  <c r="J42" i="11" s="1" a="1"/>
  <c r="J42" i="11" s="1"/>
  <c r="I41" i="11"/>
  <c r="J41" i="11" s="1" a="1"/>
  <c r="J41" i="11" s="1"/>
  <c r="I40" i="11"/>
  <c r="I39" i="11"/>
  <c r="J39" i="11" s="1" a="1"/>
  <c r="J39" i="11" s="1"/>
  <c r="I38" i="11"/>
  <c r="I37" i="11"/>
  <c r="J37" i="11" s="1" a="1"/>
  <c r="J37" i="11" s="1"/>
  <c r="I36" i="11"/>
  <c r="J36" i="11" s="1" a="1"/>
  <c r="J36" i="11" s="1"/>
  <c r="I35" i="11"/>
  <c r="J35" i="11" s="1" a="1"/>
  <c r="J35" i="11" s="1"/>
  <c r="I34" i="11"/>
  <c r="I33" i="11"/>
  <c r="I32" i="11"/>
  <c r="J32" i="11" s="1" a="1"/>
  <c r="J32" i="11" s="1"/>
  <c r="I31" i="11"/>
  <c r="J31" i="11" s="1" a="1"/>
  <c r="J31" i="11" s="1"/>
  <c r="I30" i="11"/>
  <c r="J30" i="11" s="1" a="1"/>
  <c r="J30" i="11" s="1"/>
  <c r="I29" i="11"/>
  <c r="J29" i="11" s="1" a="1"/>
  <c r="J29" i="11" s="1"/>
  <c r="I52" i="10"/>
  <c r="I51" i="10"/>
  <c r="I43" i="10"/>
  <c r="J43" i="10" s="1" a="1"/>
  <c r="J43" i="10" s="1"/>
  <c r="I42" i="10"/>
  <c r="J42" i="10" s="1" a="1"/>
  <c r="J42" i="10" s="1"/>
  <c r="I41" i="10"/>
  <c r="I40" i="10"/>
  <c r="J40" i="10" s="1" a="1"/>
  <c r="J40" i="10" s="1"/>
  <c r="I39" i="10"/>
  <c r="J39" i="10" s="1" a="1"/>
  <c r="J39" i="10" s="1"/>
  <c r="I38" i="10"/>
  <c r="I37" i="10"/>
  <c r="I36" i="10"/>
  <c r="I35" i="10"/>
  <c r="J35" i="10" s="1" a="1"/>
  <c r="J35" i="10" s="1"/>
  <c r="I34" i="10"/>
  <c r="J34" i="10" s="1" a="1"/>
  <c r="J34" i="10" s="1"/>
  <c r="I33" i="10"/>
  <c r="I32" i="10"/>
  <c r="J32" i="10" s="1" a="1"/>
  <c r="J32" i="10" s="1"/>
  <c r="I31" i="10"/>
  <c r="I30" i="10"/>
  <c r="I29" i="10"/>
  <c r="J29" i="10" s="1" a="1"/>
  <c r="J29" i="10" s="1"/>
  <c r="I52" i="14"/>
  <c r="I51" i="14"/>
  <c r="I43" i="14"/>
  <c r="J43" i="14" s="1" a="1"/>
  <c r="J43" i="14" s="1"/>
  <c r="I42" i="14"/>
  <c r="J42" i="14" s="1" a="1"/>
  <c r="J42" i="14" s="1"/>
  <c r="I41" i="14"/>
  <c r="J41" i="14" s="1" a="1"/>
  <c r="J41" i="14" s="1"/>
  <c r="I40" i="14"/>
  <c r="J40" i="14" s="1" a="1"/>
  <c r="J40" i="14" s="1"/>
  <c r="I39" i="14"/>
  <c r="I38" i="14"/>
  <c r="I37" i="14"/>
  <c r="J37" i="14" s="1" a="1"/>
  <c r="J37" i="14" s="1"/>
  <c r="I36" i="14"/>
  <c r="J36" i="14" s="1" a="1"/>
  <c r="J36" i="14" s="1"/>
  <c r="I35" i="14"/>
  <c r="J35" i="14" s="1" a="1"/>
  <c r="J35" i="14" s="1"/>
  <c r="I34" i="14"/>
  <c r="J34" i="14" s="1" a="1"/>
  <c r="J34" i="14" s="1"/>
  <c r="I33" i="14"/>
  <c r="J33" i="14" s="1" a="1"/>
  <c r="J33" i="14" s="1"/>
  <c r="I32" i="14"/>
  <c r="I31" i="14"/>
  <c r="I30" i="14"/>
  <c r="J30" i="14" s="1" a="1"/>
  <c r="J30" i="14" s="1"/>
  <c r="I29" i="14"/>
  <c r="I52" i="9"/>
  <c r="I51" i="9"/>
  <c r="I43" i="9"/>
  <c r="J43" i="9" s="1" a="1"/>
  <c r="J43" i="9" s="1"/>
  <c r="I42" i="9"/>
  <c r="I41" i="9"/>
  <c r="J41" i="9" s="1" a="1"/>
  <c r="J41" i="9" s="1"/>
  <c r="I40" i="9"/>
  <c r="J40" i="9" s="1" a="1"/>
  <c r="J40" i="9" s="1"/>
  <c r="I39" i="9"/>
  <c r="J39" i="9" s="1" a="1"/>
  <c r="J39" i="9" s="1"/>
  <c r="I38" i="9"/>
  <c r="J38" i="9" s="1" a="1"/>
  <c r="J38" i="9" s="1"/>
  <c r="I37" i="9"/>
  <c r="J37" i="9" s="1" a="1"/>
  <c r="J37" i="9" s="1"/>
  <c r="I36" i="9"/>
  <c r="I35" i="9"/>
  <c r="J35" i="9" s="1" a="1"/>
  <c r="J35" i="9" s="1"/>
  <c r="I34" i="9"/>
  <c r="J34" i="9" s="1" a="1"/>
  <c r="J34" i="9" s="1"/>
  <c r="I33" i="9"/>
  <c r="J33" i="9" s="1" a="1"/>
  <c r="J33" i="9" s="1"/>
  <c r="I32" i="9"/>
  <c r="I31" i="9"/>
  <c r="J31" i="9" s="1" a="1"/>
  <c r="J31" i="9" s="1"/>
  <c r="I30" i="9"/>
  <c r="J30" i="9" s="1" a="1"/>
  <c r="J30" i="9" s="1"/>
  <c r="I29" i="9"/>
  <c r="I52" i="8"/>
  <c r="I51" i="8"/>
  <c r="I43" i="8"/>
  <c r="J43" i="8" s="1" a="1"/>
  <c r="J43" i="8" s="1"/>
  <c r="I42" i="8"/>
  <c r="I41" i="8"/>
  <c r="J41" i="8" s="1" a="1"/>
  <c r="J41" i="8" s="1"/>
  <c r="I40" i="8"/>
  <c r="J40" i="8" s="1" a="1"/>
  <c r="J40" i="8" s="1"/>
  <c r="I39" i="8"/>
  <c r="I38" i="8"/>
  <c r="I37" i="8"/>
  <c r="J37" i="8" s="1" a="1"/>
  <c r="J37" i="8" s="1"/>
  <c r="I36" i="8"/>
  <c r="J36" i="8" s="1" a="1"/>
  <c r="J36" i="8" s="1"/>
  <c r="I35" i="8"/>
  <c r="J35" i="8" s="1" a="1"/>
  <c r="J35" i="8" s="1"/>
  <c r="I34" i="8"/>
  <c r="J34" i="8" s="1" a="1"/>
  <c r="J34" i="8" s="1"/>
  <c r="I33" i="8"/>
  <c r="I32" i="8"/>
  <c r="J32" i="8" s="1" a="1"/>
  <c r="J32" i="8" s="1"/>
  <c r="I31" i="8"/>
  <c r="J31" i="8" s="1" a="1"/>
  <c r="J31" i="8" s="1"/>
  <c r="I30" i="8"/>
  <c r="J30" i="8" s="1" a="1"/>
  <c r="J30" i="8" s="1"/>
  <c r="I29" i="8"/>
  <c r="J29" i="8" s="1" a="1"/>
  <c r="J29" i="8" s="1"/>
  <c r="I52" i="7"/>
  <c r="I51" i="7"/>
  <c r="I43" i="7"/>
  <c r="J43" i="7" s="1" a="1"/>
  <c r="J43" i="7" s="1"/>
  <c r="I42" i="7"/>
  <c r="J42" i="7" s="1" a="1"/>
  <c r="J42" i="7" s="1"/>
  <c r="I41" i="7"/>
  <c r="J41" i="7" s="1" a="1"/>
  <c r="J41" i="7" s="1"/>
  <c r="I40" i="7"/>
  <c r="I39" i="7"/>
  <c r="J39" i="7" s="1" a="1"/>
  <c r="J39" i="7" s="1"/>
  <c r="I38" i="7"/>
  <c r="J38" i="7" s="1" a="1"/>
  <c r="J38" i="7" s="1"/>
  <c r="I37" i="7"/>
  <c r="J37" i="7" s="1" a="1"/>
  <c r="J37" i="7" s="1"/>
  <c r="I36" i="7"/>
  <c r="I35" i="7"/>
  <c r="J35" i="7" s="1" a="1"/>
  <c r="J35" i="7" s="1"/>
  <c r="I34" i="7"/>
  <c r="J34" i="7" s="1" a="1"/>
  <c r="J34" i="7" s="1"/>
  <c r="I33" i="7"/>
  <c r="J33" i="7" s="1" a="1"/>
  <c r="J33" i="7" s="1"/>
  <c r="I32" i="7"/>
  <c r="J32" i="7" s="1" a="1"/>
  <c r="J32" i="7" s="1"/>
  <c r="I31" i="7"/>
  <c r="I30" i="7"/>
  <c r="J30" i="7" s="1" a="1"/>
  <c r="J30" i="7" s="1"/>
  <c r="I29" i="7"/>
  <c r="J29" i="7" s="1" a="1"/>
  <c r="J29" i="7" s="1"/>
  <c r="I52" i="6"/>
  <c r="I51" i="6"/>
  <c r="I43" i="6"/>
  <c r="I42" i="6"/>
  <c r="J42" i="6" s="1" a="1"/>
  <c r="J42" i="6" s="1"/>
  <c r="I41" i="6"/>
  <c r="J41" i="6" s="1" a="1"/>
  <c r="J41" i="6" s="1"/>
  <c r="I40" i="6"/>
  <c r="I39" i="6"/>
  <c r="I38" i="6"/>
  <c r="J38" i="6" s="1" a="1"/>
  <c r="J38" i="6" s="1"/>
  <c r="I37" i="6"/>
  <c r="J37" i="6" s="1" a="1"/>
  <c r="J37" i="6" s="1"/>
  <c r="I36" i="6"/>
  <c r="J36" i="6" s="1" a="1"/>
  <c r="J36" i="6" s="1"/>
  <c r="I35" i="6"/>
  <c r="J35" i="6" s="1" a="1"/>
  <c r="J35" i="6" s="1"/>
  <c r="I34" i="6"/>
  <c r="J34" i="6" s="1" a="1"/>
  <c r="J34" i="6" s="1"/>
  <c r="I33" i="6"/>
  <c r="J33" i="6" s="1" a="1"/>
  <c r="J33" i="6" s="1"/>
  <c r="I32" i="6"/>
  <c r="I31" i="6"/>
  <c r="J31" i="6" s="1" a="1"/>
  <c r="J31" i="6" s="1"/>
  <c r="I30" i="6"/>
  <c r="J30" i="6" s="1" a="1"/>
  <c r="J30" i="6" s="1"/>
  <c r="I29" i="6"/>
  <c r="I52" i="5"/>
  <c r="I51" i="5"/>
  <c r="I43" i="5"/>
  <c r="J43" i="5" s="1" a="1"/>
  <c r="J43" i="5" s="1"/>
  <c r="I42" i="5"/>
  <c r="J42" i="5" s="1" a="1"/>
  <c r="J42" i="5" s="1"/>
  <c r="I41" i="5"/>
  <c r="J41" i="5" s="1" a="1"/>
  <c r="J41" i="5" s="1"/>
  <c r="I40" i="5"/>
  <c r="J40" i="5" s="1" a="1"/>
  <c r="J40" i="5" s="1"/>
  <c r="I39" i="5"/>
  <c r="J39" i="5" s="1" a="1"/>
  <c r="J39" i="5" s="1"/>
  <c r="I38" i="5"/>
  <c r="J38" i="5" s="1" a="1"/>
  <c r="J38" i="5" s="1"/>
  <c r="I37" i="5"/>
  <c r="J37" i="5" s="1" a="1"/>
  <c r="J37" i="5" s="1"/>
  <c r="I36" i="5"/>
  <c r="J36" i="5" s="1" a="1"/>
  <c r="J36" i="5" s="1"/>
  <c r="I35" i="5"/>
  <c r="I34" i="5"/>
  <c r="J34" i="5" s="1" a="1"/>
  <c r="J34" i="5" s="1"/>
  <c r="I33" i="5"/>
  <c r="J33" i="5" s="1" a="1"/>
  <c r="J33" i="5" s="1"/>
  <c r="I32" i="5"/>
  <c r="J32" i="5" s="1" a="1"/>
  <c r="J32" i="5" s="1"/>
  <c r="I31" i="5"/>
  <c r="I30" i="5"/>
  <c r="J30" i="5" s="1" a="1"/>
  <c r="J30" i="5" s="1"/>
  <c r="I29" i="5"/>
  <c r="I52" i="4"/>
  <c r="I51" i="4"/>
  <c r="I43" i="4"/>
  <c r="I42" i="4"/>
  <c r="I41" i="4"/>
  <c r="I40" i="4"/>
  <c r="I39" i="4"/>
  <c r="I38" i="4"/>
  <c r="I37" i="4"/>
  <c r="I36" i="4"/>
  <c r="I35" i="4"/>
  <c r="I34" i="4"/>
  <c r="I33" i="4"/>
  <c r="I32" i="4"/>
  <c r="I31" i="4"/>
  <c r="I30" i="4"/>
  <c r="I29" i="4"/>
  <c r="I52" i="3"/>
  <c r="I51" i="3"/>
  <c r="I43" i="3"/>
  <c r="I42" i="3"/>
  <c r="I41" i="3"/>
  <c r="I40" i="3"/>
  <c r="I39" i="3"/>
  <c r="I38" i="3"/>
  <c r="I37" i="3"/>
  <c r="I36" i="3"/>
  <c r="I35" i="3"/>
  <c r="I34" i="3"/>
  <c r="I33" i="3"/>
  <c r="I32" i="3"/>
  <c r="I31" i="3"/>
  <c r="I30" i="3"/>
  <c r="I29" i="3"/>
  <c r="J30" i="2" a="1"/>
  <c r="J30" i="2" s="1"/>
  <c r="J31" i="2" a="1"/>
  <c r="J31" i="2" s="1"/>
  <c r="J32" i="2" a="1"/>
  <c r="J32" i="2"/>
  <c r="J33" i="2" a="1"/>
  <c r="J33" i="2"/>
  <c r="J34" i="2" a="1"/>
  <c r="J34" i="2" s="1"/>
  <c r="J35" i="2" a="1"/>
  <c r="J35" i="2" s="1"/>
  <c r="J36" i="2" a="1"/>
  <c r="J36" i="2"/>
  <c r="J37" i="2" a="1"/>
  <c r="J37" i="2" s="1"/>
  <c r="J38" i="2" a="1"/>
  <c r="J38" i="2" s="1"/>
  <c r="J39" i="2" a="1"/>
  <c r="J39" i="2"/>
  <c r="J40" i="2" a="1"/>
  <c r="J40" i="2"/>
  <c r="J41" i="2" a="1"/>
  <c r="J41" i="2"/>
  <c r="J42" i="2" a="1"/>
  <c r="J42" i="2" s="1"/>
  <c r="J43" i="2" a="1"/>
  <c r="J43" i="2"/>
  <c r="J29" i="2" a="1"/>
  <c r="J29" i="2" s="1"/>
  <c r="I30" i="2"/>
  <c r="I31" i="2"/>
  <c r="I32" i="2"/>
  <c r="I33" i="2"/>
  <c r="I34" i="2"/>
  <c r="I35" i="2"/>
  <c r="I36" i="2"/>
  <c r="I37" i="2"/>
  <c r="I38" i="2"/>
  <c r="I39" i="2"/>
  <c r="I40" i="2"/>
  <c r="I41" i="2"/>
  <c r="I42" i="2"/>
  <c r="I43" i="2"/>
  <c r="I29" i="2"/>
  <c r="F29" i="2" a="1"/>
  <c r="F29" i="2" s="1"/>
  <c r="I16" i="6" l="1"/>
  <c r="G16" i="6"/>
  <c r="G16" i="2"/>
  <c r="I16" i="2"/>
  <c r="H16" i="2"/>
  <c r="I16" i="5"/>
  <c r="G16" i="5"/>
  <c r="I16" i="4"/>
  <c r="G16" i="4"/>
  <c r="H16" i="4"/>
  <c r="H16" i="5"/>
  <c r="H16" i="6"/>
  <c r="H16" i="7"/>
  <c r="H16" i="8"/>
  <c r="H16" i="9"/>
  <c r="H16" i="10"/>
  <c r="H16" i="12"/>
  <c r="H16" i="13"/>
  <c r="H16" i="16"/>
  <c r="H16" i="20"/>
  <c r="H16" i="27"/>
  <c r="H16" i="29"/>
  <c r="G16" i="30"/>
  <c r="I16" i="30"/>
  <c r="H21" i="30" a="1"/>
  <c r="H21" i="30" s="1"/>
  <c r="I21" i="30" s="1"/>
  <c r="J21" i="30" s="1" a="1"/>
  <c r="J21" i="30" s="1"/>
  <c r="H22" i="30" a="1"/>
  <c r="H22" i="30" s="1"/>
  <c r="I22" i="30" s="1"/>
  <c r="J22" i="30" s="1" a="1"/>
  <c r="J22" i="30" s="1"/>
  <c r="H23" i="30" a="1"/>
  <c r="H23" i="30" s="1"/>
  <c r="I23" i="30" s="1"/>
  <c r="J23" i="30" s="1" a="1"/>
  <c r="J23" i="30" s="1"/>
  <c r="H20" i="30" a="1"/>
  <c r="H20" i="30" s="1"/>
  <c r="I20" i="30" s="1"/>
  <c r="F29" i="30" a="1"/>
  <c r="F29" i="30" s="1"/>
  <c r="N43" i="30"/>
  <c r="N41" i="30"/>
  <c r="L43" i="29"/>
  <c r="L41" i="29"/>
  <c r="L43" i="28"/>
  <c r="L41" i="28"/>
  <c r="L43" i="27"/>
  <c r="L41" i="27"/>
  <c r="L43" i="26"/>
  <c r="L41" i="26"/>
  <c r="L43" i="25"/>
  <c r="L41" i="25"/>
  <c r="L43" i="24"/>
  <c r="L41" i="24"/>
  <c r="L43" i="23"/>
  <c r="L41" i="23"/>
  <c r="L43" i="22"/>
  <c r="L41" i="22"/>
  <c r="L43" i="21"/>
  <c r="L41" i="21"/>
  <c r="L43" i="20"/>
  <c r="L41" i="20"/>
  <c r="L43" i="19"/>
  <c r="L41" i="19"/>
  <c r="L43" i="17"/>
  <c r="L41" i="17"/>
  <c r="L43" i="16"/>
  <c r="L41" i="16"/>
  <c r="L43" i="18"/>
  <c r="L41" i="18"/>
  <c r="L43" i="15"/>
  <c r="L41" i="15"/>
  <c r="L43" i="13"/>
  <c r="L41" i="13"/>
  <c r="L43" i="12"/>
  <c r="L41" i="12"/>
  <c r="L43" i="11"/>
  <c r="L41" i="11"/>
  <c r="L43" i="10"/>
  <c r="L41" i="10"/>
  <c r="L43" i="14"/>
  <c r="L41" i="14"/>
  <c r="L43" i="9"/>
  <c r="L41" i="9"/>
  <c r="L43" i="8"/>
  <c r="L41" i="8"/>
  <c r="L43" i="7"/>
  <c r="L41" i="7"/>
  <c r="L43" i="6"/>
  <c r="L41" i="6"/>
  <c r="L43" i="5"/>
  <c r="L41" i="5"/>
  <c r="L43" i="4"/>
  <c r="L41" i="4"/>
  <c r="L43" i="3"/>
  <c r="L41" i="3"/>
  <c r="D5" i="2"/>
  <c r="H23" i="29" a="1"/>
  <c r="H23" i="29" s="1"/>
  <c r="I23" i="29" s="1"/>
  <c r="J23" i="29" s="1" a="1"/>
  <c r="J23" i="29" s="1"/>
  <c r="H22" i="29" a="1"/>
  <c r="H22" i="29" s="1"/>
  <c r="I22" i="29" s="1"/>
  <c r="J22" i="29" s="1" a="1"/>
  <c r="J22" i="29" s="1"/>
  <c r="H23" i="28" a="1"/>
  <c r="H23" i="28" s="1"/>
  <c r="I23" i="28" s="1"/>
  <c r="J23" i="28" s="1" a="1"/>
  <c r="J23" i="28" s="1"/>
  <c r="H22" i="28" a="1"/>
  <c r="H22" i="28" s="1"/>
  <c r="I22" i="28" s="1"/>
  <c r="J22" i="28" s="1" a="1"/>
  <c r="J22" i="28" s="1"/>
  <c r="H23" i="27" a="1"/>
  <c r="H23" i="27" s="1"/>
  <c r="I23" i="27" s="1"/>
  <c r="J23" i="27" s="1" a="1"/>
  <c r="J23" i="27" s="1"/>
  <c r="H22" i="27" a="1"/>
  <c r="H22" i="27" s="1"/>
  <c r="I22" i="27" s="1"/>
  <c r="J22" i="27" s="1" a="1"/>
  <c r="J22" i="27" s="1"/>
  <c r="H23" i="26" a="1"/>
  <c r="H23" i="26" s="1"/>
  <c r="I23" i="26" s="1"/>
  <c r="J23" i="26" s="1" a="1"/>
  <c r="J23" i="26" s="1"/>
  <c r="H22" i="26" a="1"/>
  <c r="H22" i="26" s="1"/>
  <c r="I22" i="26" s="1"/>
  <c r="J22" i="26" s="1" a="1"/>
  <c r="J22" i="26" s="1"/>
  <c r="I24" i="26"/>
  <c r="H23" i="25" a="1"/>
  <c r="H23" i="25" s="1"/>
  <c r="I23" i="25" s="1"/>
  <c r="J23" i="25" s="1" a="1"/>
  <c r="J23" i="25" s="1"/>
  <c r="H22" i="25" a="1"/>
  <c r="H22" i="25" s="1"/>
  <c r="I22" i="25" s="1"/>
  <c r="J22" i="25" s="1" a="1"/>
  <c r="J22" i="25" s="1"/>
  <c r="H23" i="24" a="1"/>
  <c r="H23" i="24" s="1"/>
  <c r="I23" i="24" s="1"/>
  <c r="J23" i="24" s="1" a="1"/>
  <c r="J23" i="24" s="1"/>
  <c r="H22" i="24" a="1"/>
  <c r="H22" i="24" s="1"/>
  <c r="I22" i="24" s="1"/>
  <c r="J22" i="24" s="1" a="1"/>
  <c r="J22" i="24" s="1"/>
  <c r="H23" i="23" a="1"/>
  <c r="H23" i="23" s="1"/>
  <c r="I23" i="23" s="1"/>
  <c r="J23" i="23" s="1" a="1"/>
  <c r="J23" i="23" s="1"/>
  <c r="H22" i="23" a="1"/>
  <c r="H22" i="23" s="1"/>
  <c r="I22" i="23" s="1"/>
  <c r="J22" i="23" s="1" a="1"/>
  <c r="J22" i="23" s="1"/>
  <c r="H23" i="22" a="1"/>
  <c r="H23" i="22" s="1"/>
  <c r="I23" i="22" s="1"/>
  <c r="J23" i="22" s="1" a="1"/>
  <c r="J23" i="22" s="1"/>
  <c r="H22" i="22" a="1"/>
  <c r="H22" i="22" s="1"/>
  <c r="I22" i="22" s="1"/>
  <c r="J22" i="22" s="1" a="1"/>
  <c r="J22" i="22" s="1"/>
  <c r="H23" i="21" a="1"/>
  <c r="H23" i="21" s="1"/>
  <c r="I23" i="21" s="1"/>
  <c r="J23" i="21" s="1" a="1"/>
  <c r="J23" i="21" s="1"/>
  <c r="H22" i="21" a="1"/>
  <c r="H22" i="21" s="1"/>
  <c r="I22" i="21" s="1"/>
  <c r="J22" i="21" s="1" a="1"/>
  <c r="J22" i="21" s="1"/>
  <c r="H23" i="20" a="1"/>
  <c r="H23" i="20" s="1"/>
  <c r="I23" i="20" s="1"/>
  <c r="J23" i="20" s="1" a="1"/>
  <c r="J23" i="20" s="1"/>
  <c r="H22" i="20" a="1"/>
  <c r="H22" i="20" s="1"/>
  <c r="I22" i="20" s="1"/>
  <c r="J22" i="20" s="1" a="1"/>
  <c r="J22" i="20" s="1"/>
  <c r="H23" i="19" a="1"/>
  <c r="H23" i="19" s="1"/>
  <c r="I23" i="19" s="1"/>
  <c r="J23" i="19" s="1" a="1"/>
  <c r="J23" i="19" s="1"/>
  <c r="H22" i="19" a="1"/>
  <c r="H22" i="19" s="1"/>
  <c r="I22" i="19" s="1"/>
  <c r="J22" i="19" s="1" a="1"/>
  <c r="J22" i="19" s="1"/>
  <c r="H23" i="17"/>
  <c r="I23" i="17" s="1"/>
  <c r="J23" i="17" s="1" a="1"/>
  <c r="J23" i="17" s="1"/>
  <c r="H23" i="17" a="1"/>
  <c r="H22" i="17" a="1"/>
  <c r="H22" i="17" s="1"/>
  <c r="I22" i="17" s="1"/>
  <c r="J22" i="17" s="1" a="1"/>
  <c r="J22" i="17" s="1"/>
  <c r="H23" i="16" a="1"/>
  <c r="H23" i="16" s="1"/>
  <c r="I23" i="16" s="1"/>
  <c r="J23" i="16" s="1" a="1"/>
  <c r="J23" i="16" s="1"/>
  <c r="H22" i="16" a="1"/>
  <c r="H22" i="16" s="1"/>
  <c r="I22" i="16" s="1"/>
  <c r="J22" i="16" s="1" a="1"/>
  <c r="J22" i="16" s="1"/>
  <c r="H23" i="18" a="1"/>
  <c r="H23" i="18" s="1"/>
  <c r="I23" i="18" s="1"/>
  <c r="J23" i="18" s="1" a="1"/>
  <c r="J23" i="18" s="1"/>
  <c r="H22" i="18" a="1"/>
  <c r="H22" i="18" s="1"/>
  <c r="I22" i="18" s="1"/>
  <c r="J22" i="18" s="1" a="1"/>
  <c r="J22" i="18" s="1"/>
  <c r="H23" i="15" a="1"/>
  <c r="H23" i="15" s="1"/>
  <c r="I23" i="15" s="1"/>
  <c r="J23" i="15" s="1" a="1"/>
  <c r="J23" i="15" s="1"/>
  <c r="H22" i="15" a="1"/>
  <c r="H22" i="15" s="1"/>
  <c r="I22" i="15" s="1"/>
  <c r="J22" i="15" s="1" a="1"/>
  <c r="J22" i="15" s="1"/>
  <c r="H23" i="13" a="1"/>
  <c r="H23" i="13" s="1"/>
  <c r="I23" i="13" s="1"/>
  <c r="J23" i="13" s="1" a="1"/>
  <c r="J23" i="13" s="1"/>
  <c r="H22" i="13" a="1"/>
  <c r="H22" i="13" s="1"/>
  <c r="I22" i="13" s="1"/>
  <c r="J22" i="13" s="1" a="1"/>
  <c r="J22" i="13" s="1"/>
  <c r="H23" i="12" a="1"/>
  <c r="H23" i="12" s="1"/>
  <c r="I23" i="12" s="1"/>
  <c r="J23" i="12" s="1" a="1"/>
  <c r="J23" i="12" s="1"/>
  <c r="H22" i="12" a="1"/>
  <c r="H22" i="12" s="1"/>
  <c r="I22" i="12" s="1"/>
  <c r="J22" i="12" s="1" a="1"/>
  <c r="J22" i="12" s="1"/>
  <c r="H23" i="11" a="1"/>
  <c r="H23" i="11" s="1"/>
  <c r="I23" i="11" s="1"/>
  <c r="J23" i="11" s="1" a="1"/>
  <c r="J23" i="11" s="1"/>
  <c r="H22" i="11" a="1"/>
  <c r="H22" i="11" s="1"/>
  <c r="I22" i="11" s="1"/>
  <c r="J22" i="11" s="1" a="1"/>
  <c r="J22" i="11" s="1"/>
  <c r="H23" i="10" a="1"/>
  <c r="H23" i="10" s="1"/>
  <c r="I23" i="10" s="1"/>
  <c r="J23" i="10" s="1" a="1"/>
  <c r="J23" i="10" s="1"/>
  <c r="H22" i="10" a="1"/>
  <c r="H22" i="10" s="1"/>
  <c r="I22" i="10" s="1"/>
  <c r="J22" i="10" s="1" a="1"/>
  <c r="J22" i="10" s="1"/>
  <c r="H23" i="14" a="1"/>
  <c r="H23" i="14" s="1"/>
  <c r="I23" i="14" s="1"/>
  <c r="J23" i="14" s="1" a="1"/>
  <c r="J23" i="14" s="1"/>
  <c r="H22" i="14" a="1"/>
  <c r="H22" i="14" s="1"/>
  <c r="I22" i="14" s="1"/>
  <c r="J22" i="14" s="1" a="1"/>
  <c r="J22" i="14" s="1"/>
  <c r="H23" i="9" a="1"/>
  <c r="H23" i="9" s="1"/>
  <c r="I23" i="9" s="1"/>
  <c r="J23" i="9" s="1" a="1"/>
  <c r="J23" i="9" s="1"/>
  <c r="H22" i="9" a="1"/>
  <c r="H22" i="9" s="1"/>
  <c r="I22" i="9" s="1"/>
  <c r="J22" i="9" s="1" a="1"/>
  <c r="J22" i="9" s="1"/>
  <c r="H23" i="8" a="1"/>
  <c r="H23" i="8" s="1"/>
  <c r="I23" i="8" s="1"/>
  <c r="J23" i="8" s="1" a="1"/>
  <c r="J23" i="8" s="1"/>
  <c r="H22" i="8" a="1"/>
  <c r="H22" i="8" s="1"/>
  <c r="I22" i="8" s="1"/>
  <c r="J22" i="8" s="1" a="1"/>
  <c r="J22" i="8" s="1"/>
  <c r="H23" i="7" a="1"/>
  <c r="H23" i="7" s="1"/>
  <c r="I23" i="7" s="1"/>
  <c r="J23" i="7" s="1" a="1"/>
  <c r="J23" i="7" s="1"/>
  <c r="H22" i="7" a="1"/>
  <c r="H22" i="7" s="1"/>
  <c r="I22" i="7" s="1"/>
  <c r="J22" i="7" s="1" a="1"/>
  <c r="J22" i="7" s="1"/>
  <c r="H23" i="6" a="1"/>
  <c r="H23" i="6" s="1"/>
  <c r="I23" i="6" s="1"/>
  <c r="J23" i="6" s="1" a="1"/>
  <c r="J23" i="6" s="1"/>
  <c r="H22" i="6" a="1"/>
  <c r="H22" i="6" s="1"/>
  <c r="I22" i="6" s="1"/>
  <c r="J22" i="6" s="1" a="1"/>
  <c r="J22" i="6" s="1"/>
  <c r="I23" i="5"/>
  <c r="J23" i="5" s="1" a="1"/>
  <c r="J23" i="5" s="1"/>
  <c r="H23" i="5"/>
  <c r="H23" i="5" a="1"/>
  <c r="H22" i="5" a="1"/>
  <c r="H22" i="5" s="1"/>
  <c r="I22" i="5" s="1"/>
  <c r="J22" i="5" s="1" a="1"/>
  <c r="J22" i="5" s="1"/>
  <c r="H23" i="4" a="1"/>
  <c r="H23" i="4" s="1"/>
  <c r="I23" i="4" s="1"/>
  <c r="J23" i="4" s="1" a="1"/>
  <c r="J23" i="4" s="1"/>
  <c r="H22" i="4" a="1"/>
  <c r="H22" i="4" s="1"/>
  <c r="I22" i="4" s="1"/>
  <c r="J22" i="4" s="1" a="1"/>
  <c r="J22" i="4" s="1"/>
  <c r="H23" i="3" a="1"/>
  <c r="H23" i="3" s="1"/>
  <c r="I23" i="3" s="1"/>
  <c r="J23" i="3" s="1" a="1"/>
  <c r="J23" i="3" s="1"/>
  <c r="I22" i="3"/>
  <c r="J22" i="3" s="1" a="1"/>
  <c r="J22" i="3" s="1"/>
  <c r="H22" i="3"/>
  <c r="H22" i="3" a="1"/>
  <c r="H22" i="2" a="1"/>
  <c r="H22" i="2"/>
  <c r="H23" i="2" a="1"/>
  <c r="H23" i="2"/>
  <c r="F30" i="30" a="1"/>
  <c r="F30" i="30" s="1"/>
  <c r="G30" i="30" a="1"/>
  <c r="G30" i="30" s="1"/>
  <c r="F31" i="30" a="1"/>
  <c r="F31" i="30" s="1"/>
  <c r="G31" i="30" a="1"/>
  <c r="G31" i="30" s="1"/>
  <c r="F32" i="30" a="1"/>
  <c r="F32" i="30" s="1"/>
  <c r="G32" i="30" a="1"/>
  <c r="G32" i="30" s="1"/>
  <c r="F33" i="30" a="1"/>
  <c r="F33" i="30" s="1"/>
  <c r="G33" i="30" a="1"/>
  <c r="G33" i="30" s="1"/>
  <c r="F34" i="30" a="1"/>
  <c r="F34" i="30" s="1"/>
  <c r="G34" i="30" a="1"/>
  <c r="G34" i="30" s="1"/>
  <c r="F35" i="30" a="1"/>
  <c r="F35" i="30" s="1"/>
  <c r="G35" i="30" a="1"/>
  <c r="G35" i="30" s="1"/>
  <c r="F36" i="30" a="1"/>
  <c r="F36" i="30" s="1"/>
  <c r="G36" i="30" a="1"/>
  <c r="G36" i="30" s="1"/>
  <c r="F37" i="30" a="1"/>
  <c r="F37" i="30" s="1"/>
  <c r="G37" i="30" a="1"/>
  <c r="G37" i="30" s="1"/>
  <c r="F38" i="30" a="1"/>
  <c r="F38" i="30" s="1"/>
  <c r="G38" i="30" a="1"/>
  <c r="G38" i="30" s="1"/>
  <c r="F39" i="30" a="1"/>
  <c r="F39" i="30" s="1"/>
  <c r="G39" i="30" a="1"/>
  <c r="G39" i="30" s="1"/>
  <c r="F40" i="30" a="1"/>
  <c r="F40" i="30" s="1"/>
  <c r="G40" i="30" a="1"/>
  <c r="G40" i="30" s="1"/>
  <c r="F41" i="30" a="1"/>
  <c r="F41" i="30" s="1"/>
  <c r="G41" i="30" a="1"/>
  <c r="G41" i="30" s="1"/>
  <c r="F42" i="30" a="1"/>
  <c r="F42" i="30" s="1"/>
  <c r="G42" i="30" a="1"/>
  <c r="G42" i="30" s="1"/>
  <c r="F43" i="30" a="1"/>
  <c r="F43" i="30" s="1"/>
  <c r="G43" i="30" a="1"/>
  <c r="G43" i="30" s="1"/>
  <c r="F44" i="30" a="1"/>
  <c r="F44" i="30" s="1"/>
  <c r="G44" i="30" a="1"/>
  <c r="G44" i="30" s="1"/>
  <c r="F45" i="30" a="1"/>
  <c r="F45" i="30" s="1"/>
  <c r="G45" i="30" a="1"/>
  <c r="G45" i="30" s="1"/>
  <c r="F46" i="30" a="1"/>
  <c r="F46" i="30" s="1"/>
  <c r="G46" i="30" a="1"/>
  <c r="G46" i="30" s="1"/>
  <c r="F47" i="30" a="1"/>
  <c r="F47" i="30" s="1"/>
  <c r="G47" i="30" a="1"/>
  <c r="G47" i="30" s="1"/>
  <c r="F48" i="30" a="1"/>
  <c r="F48" i="30" s="1"/>
  <c r="G48" i="30" a="1"/>
  <c r="G48" i="30" s="1"/>
  <c r="F49" i="30" a="1"/>
  <c r="F49" i="30" s="1"/>
  <c r="G49" i="30" a="1"/>
  <c r="G49" i="30" s="1"/>
  <c r="F50" i="30" a="1"/>
  <c r="F50" i="30" s="1"/>
  <c r="G50" i="30" a="1"/>
  <c r="G50" i="30" s="1"/>
  <c r="F51" i="30" a="1"/>
  <c r="F51" i="30" s="1"/>
  <c r="G51" i="30" a="1"/>
  <c r="G51" i="30" s="1"/>
  <c r="G29" i="30" a="1"/>
  <c r="G29" i="30" s="1"/>
  <c r="F30" i="29" a="1"/>
  <c r="F30" i="29" s="1"/>
  <c r="G30" i="29" a="1"/>
  <c r="G30" i="29" s="1"/>
  <c r="F31" i="29" a="1"/>
  <c r="F31" i="29"/>
  <c r="G31" i="29" a="1"/>
  <c r="G31" i="29"/>
  <c r="F32" i="29" a="1"/>
  <c r="F32" i="29" s="1"/>
  <c r="G32" i="29" a="1"/>
  <c r="G32" i="29"/>
  <c r="F33" i="29" a="1"/>
  <c r="F33" i="29"/>
  <c r="G33" i="29" a="1"/>
  <c r="G33" i="29"/>
  <c r="F34" i="29" a="1"/>
  <c r="F34" i="29" s="1"/>
  <c r="G34" i="29" a="1"/>
  <c r="G34" i="29"/>
  <c r="F35" i="29" a="1"/>
  <c r="F35" i="29" s="1"/>
  <c r="G35" i="29" a="1"/>
  <c r="G35" i="29"/>
  <c r="F36" i="29" a="1"/>
  <c r="F36" i="29" s="1"/>
  <c r="G36" i="29" a="1"/>
  <c r="G36" i="29"/>
  <c r="F37" i="29" a="1"/>
  <c r="F37" i="29"/>
  <c r="G37" i="29" a="1"/>
  <c r="G37" i="29"/>
  <c r="F38" i="29" a="1"/>
  <c r="F38" i="29" s="1"/>
  <c r="G38" i="29" a="1"/>
  <c r="G38" i="29"/>
  <c r="F39" i="29" a="1"/>
  <c r="F39" i="29"/>
  <c r="G39" i="29" a="1"/>
  <c r="G39" i="29" s="1"/>
  <c r="F40" i="29" a="1"/>
  <c r="F40" i="29" s="1"/>
  <c r="G40" i="29" a="1"/>
  <c r="G40" i="29"/>
  <c r="F41" i="29" a="1"/>
  <c r="F41" i="29"/>
  <c r="G41" i="29" a="1"/>
  <c r="G41" i="29"/>
  <c r="F42" i="29" a="1"/>
  <c r="F42" i="29" s="1"/>
  <c r="G42" i="29" a="1"/>
  <c r="G42" i="29"/>
  <c r="F43" i="29" a="1"/>
  <c r="F43" i="29"/>
  <c r="G43" i="29" a="1"/>
  <c r="G43" i="29"/>
  <c r="F44" i="29" a="1"/>
  <c r="F44" i="29" s="1"/>
  <c r="G44" i="29" a="1"/>
  <c r="G44" i="29"/>
  <c r="F45" i="29" a="1"/>
  <c r="F45" i="29"/>
  <c r="G45" i="29" a="1"/>
  <c r="G45" i="29"/>
  <c r="F46" i="29" a="1"/>
  <c r="F46" i="29" s="1"/>
  <c r="G46" i="29" a="1"/>
  <c r="G46" i="29" s="1"/>
  <c r="F47" i="29" a="1"/>
  <c r="F47" i="29"/>
  <c r="G47" i="29" a="1"/>
  <c r="G47" i="29"/>
  <c r="F48" i="29" a="1"/>
  <c r="F48" i="29" s="1"/>
  <c r="G48" i="29" a="1"/>
  <c r="G48" i="29"/>
  <c r="F49" i="29" a="1"/>
  <c r="F49" i="29"/>
  <c r="G49" i="29" a="1"/>
  <c r="G49" i="29"/>
  <c r="F50" i="29" a="1"/>
  <c r="F50" i="29" s="1"/>
  <c r="G50" i="29" a="1"/>
  <c r="G50" i="29"/>
  <c r="F51" i="29" a="1"/>
  <c r="F51" i="29" s="1"/>
  <c r="G51" i="29" a="1"/>
  <c r="G51" i="29"/>
  <c r="G29" i="29" a="1"/>
  <c r="G29" i="29" s="1"/>
  <c r="F29" i="29" a="1"/>
  <c r="F29" i="29" s="1"/>
  <c r="F30" i="28" a="1"/>
  <c r="F30" i="28" s="1"/>
  <c r="G30" i="28" a="1"/>
  <c r="G30" i="28"/>
  <c r="F31" i="28" a="1"/>
  <c r="F31" i="28"/>
  <c r="G31" i="28" a="1"/>
  <c r="G31" i="28"/>
  <c r="F32" i="28" a="1"/>
  <c r="F32" i="28" s="1"/>
  <c r="G32" i="28" a="1"/>
  <c r="G32" i="28"/>
  <c r="F33" i="28" a="1"/>
  <c r="F33" i="28"/>
  <c r="G33" i="28" a="1"/>
  <c r="G33" i="28"/>
  <c r="F34" i="28" a="1"/>
  <c r="F34" i="28" s="1"/>
  <c r="G34" i="28" a="1"/>
  <c r="G34" i="28" s="1"/>
  <c r="F35" i="28" a="1"/>
  <c r="F35" i="28"/>
  <c r="G35" i="28" a="1"/>
  <c r="G35" i="28"/>
  <c r="F36" i="28" a="1"/>
  <c r="F36" i="28" s="1"/>
  <c r="G36" i="28" a="1"/>
  <c r="G36" i="28" s="1"/>
  <c r="F37" i="28" a="1"/>
  <c r="F37" i="28"/>
  <c r="G37" i="28" a="1"/>
  <c r="G37" i="28"/>
  <c r="F38" i="28" a="1"/>
  <c r="F38" i="28" s="1"/>
  <c r="G38" i="28" a="1"/>
  <c r="G38" i="28"/>
  <c r="F39" i="28" a="1"/>
  <c r="F39" i="28"/>
  <c r="G39" i="28" a="1"/>
  <c r="G39" i="28"/>
  <c r="F40" i="28" a="1"/>
  <c r="F40" i="28" s="1"/>
  <c r="G40" i="28" a="1"/>
  <c r="G40" i="28"/>
  <c r="F41" i="28" a="1"/>
  <c r="F41" i="28" s="1"/>
  <c r="G41" i="28" a="1"/>
  <c r="G41" i="28"/>
  <c r="F42" i="28" a="1"/>
  <c r="F42" i="28" s="1"/>
  <c r="G42" i="28" a="1"/>
  <c r="G42" i="28"/>
  <c r="F43" i="28" a="1"/>
  <c r="F43" i="28"/>
  <c r="G43" i="28" a="1"/>
  <c r="G43" i="28"/>
  <c r="F44" i="28" a="1"/>
  <c r="F44" i="28" s="1"/>
  <c r="G44" i="28" a="1"/>
  <c r="G44" i="28"/>
  <c r="F45" i="28" a="1"/>
  <c r="F45" i="28"/>
  <c r="G45" i="28" a="1"/>
  <c r="G45" i="28" s="1"/>
  <c r="F46" i="28" a="1"/>
  <c r="F46" i="28" s="1"/>
  <c r="G46" i="28" a="1"/>
  <c r="G46" i="28"/>
  <c r="F47" i="28" a="1"/>
  <c r="F47" i="28"/>
  <c r="G47" i="28" a="1"/>
  <c r="G47" i="28"/>
  <c r="F48" i="28" a="1"/>
  <c r="F48" i="28" s="1"/>
  <c r="G48" i="28" a="1"/>
  <c r="G48" i="28"/>
  <c r="F49" i="28" a="1"/>
  <c r="F49" i="28"/>
  <c r="G49" i="28" a="1"/>
  <c r="G49" i="28"/>
  <c r="F50" i="28" a="1"/>
  <c r="F50" i="28" s="1"/>
  <c r="G50" i="28" a="1"/>
  <c r="G50" i="28"/>
  <c r="F51" i="28" a="1"/>
  <c r="F51" i="28"/>
  <c r="G51" i="28" a="1"/>
  <c r="G51" i="28"/>
  <c r="G29" i="28" a="1"/>
  <c r="G29" i="28"/>
  <c r="F29" i="28" a="1"/>
  <c r="F29" i="28" s="1"/>
  <c r="F30" i="27" a="1"/>
  <c r="F30" i="27" s="1"/>
  <c r="G30" i="27" a="1"/>
  <c r="G30" i="27"/>
  <c r="F31" i="27" a="1"/>
  <c r="F31" i="27" s="1"/>
  <c r="G31" i="27" a="1"/>
  <c r="G31" i="27"/>
  <c r="F32" i="27" a="1"/>
  <c r="F32" i="27" s="1"/>
  <c r="G32" i="27" a="1"/>
  <c r="G32" i="27"/>
  <c r="F33" i="27" a="1"/>
  <c r="F33" i="27"/>
  <c r="G33" i="27" a="1"/>
  <c r="G33" i="27"/>
  <c r="F34" i="27" a="1"/>
  <c r="F34" i="27" s="1"/>
  <c r="G34" i="27" a="1"/>
  <c r="G34" i="27"/>
  <c r="F35" i="27" a="1"/>
  <c r="F35" i="27"/>
  <c r="G35" i="27" a="1"/>
  <c r="G35" i="27" s="1"/>
  <c r="F36" i="27" a="1"/>
  <c r="F36" i="27" s="1"/>
  <c r="G36" i="27" a="1"/>
  <c r="G36" i="27"/>
  <c r="F37" i="27" a="1"/>
  <c r="F37" i="27" s="1"/>
  <c r="G37" i="27" a="1"/>
  <c r="G37" i="27"/>
  <c r="F38" i="27" a="1"/>
  <c r="F38" i="27" s="1"/>
  <c r="G38" i="27" a="1"/>
  <c r="G38" i="27"/>
  <c r="F39" i="27" a="1"/>
  <c r="F39" i="27"/>
  <c r="G39" i="27" a="1"/>
  <c r="G39" i="27"/>
  <c r="F40" i="27" a="1"/>
  <c r="F40" i="27" s="1"/>
  <c r="G40" i="27" a="1"/>
  <c r="G40" i="27"/>
  <c r="F41" i="27" a="1"/>
  <c r="F41" i="27"/>
  <c r="G41" i="27" a="1"/>
  <c r="G41" i="27"/>
  <c r="F42" i="27" a="1"/>
  <c r="F42" i="27" s="1"/>
  <c r="G42" i="27" a="1"/>
  <c r="G42" i="27" s="1"/>
  <c r="F43" i="27" a="1"/>
  <c r="F43" i="27"/>
  <c r="G43" i="27" a="1"/>
  <c r="G43" i="27"/>
  <c r="F44" i="27" a="1"/>
  <c r="F44" i="27" s="1"/>
  <c r="G44" i="27" a="1"/>
  <c r="G44" i="27"/>
  <c r="F45" i="27" a="1"/>
  <c r="F45" i="27"/>
  <c r="G45" i="27" a="1"/>
  <c r="G45" i="27"/>
  <c r="F46" i="27" a="1"/>
  <c r="F46" i="27" s="1"/>
  <c r="G46" i="27" a="1"/>
  <c r="G46" i="27"/>
  <c r="F47" i="27" a="1"/>
  <c r="F47" i="27" s="1"/>
  <c r="G47" i="27" a="1"/>
  <c r="G47" i="27"/>
  <c r="F48" i="27" a="1"/>
  <c r="F48" i="27" s="1"/>
  <c r="G48" i="27" a="1"/>
  <c r="G48" i="27"/>
  <c r="F49" i="27" a="1"/>
  <c r="F49" i="27" s="1"/>
  <c r="G49" i="27" a="1"/>
  <c r="G49" i="27" s="1"/>
  <c r="F50" i="27" a="1"/>
  <c r="F50" i="27" s="1"/>
  <c r="G50" i="27" a="1"/>
  <c r="G50" i="27"/>
  <c r="F51" i="27" a="1"/>
  <c r="F51" i="27"/>
  <c r="G51" i="27" a="1"/>
  <c r="G51" i="27" s="1"/>
  <c r="G29" i="27" a="1"/>
  <c r="G29" i="27" s="1"/>
  <c r="F29" i="27" a="1"/>
  <c r="F29" i="27" s="1"/>
  <c r="F30" i="26" a="1"/>
  <c r="F30" i="26" s="1"/>
  <c r="G30" i="26" a="1"/>
  <c r="G30" i="26"/>
  <c r="F31" i="26" a="1"/>
  <c r="F31" i="26"/>
  <c r="G31" i="26" a="1"/>
  <c r="G31" i="26" s="1"/>
  <c r="F32" i="26" a="1"/>
  <c r="F32" i="26" s="1"/>
  <c r="G32" i="26" a="1"/>
  <c r="G32" i="26"/>
  <c r="F33" i="26" a="1"/>
  <c r="F33" i="26"/>
  <c r="G33" i="26" a="1"/>
  <c r="G33" i="26" s="1"/>
  <c r="F34" i="26" a="1"/>
  <c r="F34" i="26" s="1"/>
  <c r="G34" i="26" a="1"/>
  <c r="G34" i="26"/>
  <c r="F35" i="26" a="1"/>
  <c r="F35" i="26"/>
  <c r="G35" i="26" a="1"/>
  <c r="G35" i="26"/>
  <c r="F36" i="26" a="1"/>
  <c r="F36" i="26" s="1"/>
  <c r="G36" i="26" a="1"/>
  <c r="G36" i="26"/>
  <c r="F37" i="26" a="1"/>
  <c r="F37" i="26"/>
  <c r="G37" i="26" a="1"/>
  <c r="G37" i="26"/>
  <c r="F38" i="26" a="1"/>
  <c r="F38" i="26" s="1"/>
  <c r="G38" i="26" a="1"/>
  <c r="G38" i="26" s="1"/>
  <c r="F39" i="26" a="1"/>
  <c r="F39" i="26"/>
  <c r="G39" i="26" a="1"/>
  <c r="G39" i="26"/>
  <c r="F40" i="26" a="1"/>
  <c r="F40" i="26" s="1"/>
  <c r="G40" i="26" a="1"/>
  <c r="G40" i="26" s="1"/>
  <c r="F41" i="26" a="1"/>
  <c r="F41" i="26"/>
  <c r="G41" i="26" a="1"/>
  <c r="G41" i="26"/>
  <c r="F42" i="26" a="1"/>
  <c r="F42" i="26" s="1"/>
  <c r="G42" i="26" a="1"/>
  <c r="G42" i="26"/>
  <c r="F43" i="26" a="1"/>
  <c r="F43" i="26" s="1"/>
  <c r="G43" i="26" a="1"/>
  <c r="G43" i="26"/>
  <c r="F44" i="26" a="1"/>
  <c r="F44" i="26" s="1"/>
  <c r="G44" i="26" a="1"/>
  <c r="G44" i="26"/>
  <c r="F45" i="26" a="1"/>
  <c r="F45" i="26" s="1"/>
  <c r="G45" i="26" a="1"/>
  <c r="G45" i="26"/>
  <c r="F46" i="26" a="1"/>
  <c r="F46" i="26" s="1"/>
  <c r="G46" i="26" a="1"/>
  <c r="G46" i="26"/>
  <c r="F47" i="26" a="1"/>
  <c r="F47" i="26"/>
  <c r="G47" i="26" a="1"/>
  <c r="G47" i="26" s="1"/>
  <c r="F48" i="26" a="1"/>
  <c r="F48" i="26" s="1"/>
  <c r="G48" i="26" a="1"/>
  <c r="G48" i="26"/>
  <c r="F49" i="26" a="1"/>
  <c r="F49" i="26"/>
  <c r="G49" i="26" a="1"/>
  <c r="G49" i="26" s="1"/>
  <c r="F50" i="26" a="1"/>
  <c r="F50" i="26" s="1"/>
  <c r="G50" i="26" a="1"/>
  <c r="G50" i="26" s="1"/>
  <c r="F51" i="26" a="1"/>
  <c r="F51" i="26"/>
  <c r="G51" i="26" a="1"/>
  <c r="G51" i="26"/>
  <c r="G29" i="26" a="1"/>
  <c r="G29" i="26" s="1"/>
  <c r="F29" i="26" a="1"/>
  <c r="F29" i="26" s="1"/>
  <c r="F30" i="25" a="1"/>
  <c r="F30" i="25" s="1"/>
  <c r="G30" i="25" a="1"/>
  <c r="G30" i="25"/>
  <c r="F31" i="25" a="1"/>
  <c r="F31" i="25"/>
  <c r="G31" i="25" a="1"/>
  <c r="G31" i="25"/>
  <c r="F32" i="25" a="1"/>
  <c r="F32" i="25" s="1"/>
  <c r="G32" i="25" a="1"/>
  <c r="G32" i="25" s="1"/>
  <c r="F33" i="25" a="1"/>
  <c r="F33" i="25" s="1"/>
  <c r="G33" i="25" a="1"/>
  <c r="G33" i="25"/>
  <c r="F34" i="25" a="1"/>
  <c r="F34" i="25" s="1"/>
  <c r="G34" i="25" a="1"/>
  <c r="G34" i="25" s="1"/>
  <c r="F35" i="25" a="1"/>
  <c r="F35" i="25"/>
  <c r="G35" i="25" a="1"/>
  <c r="G35" i="25"/>
  <c r="F36" i="25" a="1"/>
  <c r="F36" i="25" s="1"/>
  <c r="G36" i="25" a="1"/>
  <c r="G36" i="25"/>
  <c r="F37" i="25" a="1"/>
  <c r="F37" i="25" s="1"/>
  <c r="G37" i="25" a="1"/>
  <c r="G37" i="25" s="1"/>
  <c r="F38" i="25" a="1"/>
  <c r="F38" i="25" s="1"/>
  <c r="G38" i="25" a="1"/>
  <c r="G38" i="25"/>
  <c r="F39" i="25" a="1"/>
  <c r="F39" i="25" s="1"/>
  <c r="G39" i="25" a="1"/>
  <c r="G39" i="25"/>
  <c r="F40" i="25" a="1"/>
  <c r="F40" i="25" s="1"/>
  <c r="G40" i="25" a="1"/>
  <c r="G40" i="25"/>
  <c r="F41" i="25" a="1"/>
  <c r="F41" i="25"/>
  <c r="G41" i="25" a="1"/>
  <c r="G41" i="25" s="1"/>
  <c r="F42" i="25" a="1"/>
  <c r="F42" i="25" s="1"/>
  <c r="G42" i="25" a="1"/>
  <c r="G42" i="25"/>
  <c r="F43" i="25" a="1"/>
  <c r="F43" i="25"/>
  <c r="G43" i="25" a="1"/>
  <c r="G43" i="25" s="1"/>
  <c r="F44" i="25" a="1"/>
  <c r="F44" i="25" s="1"/>
  <c r="G44" i="25" a="1"/>
  <c r="G44" i="25" s="1"/>
  <c r="F45" i="25" a="1"/>
  <c r="F45" i="25"/>
  <c r="G45" i="25" a="1"/>
  <c r="G45" i="25"/>
  <c r="F46" i="25" a="1"/>
  <c r="F46" i="25" s="1"/>
  <c r="G46" i="25" a="1"/>
  <c r="G46" i="25"/>
  <c r="F47" i="25" a="1"/>
  <c r="F47" i="25"/>
  <c r="G47" i="25" a="1"/>
  <c r="G47" i="25"/>
  <c r="F48" i="25" a="1"/>
  <c r="F48" i="25" s="1"/>
  <c r="G48" i="25" a="1"/>
  <c r="G48" i="25" s="1"/>
  <c r="F49" i="25" a="1"/>
  <c r="F49" i="25" s="1"/>
  <c r="G49" i="25" a="1"/>
  <c r="G49" i="25"/>
  <c r="F50" i="25" a="1"/>
  <c r="F50" i="25" s="1"/>
  <c r="G50" i="25" a="1"/>
  <c r="G50" i="25" s="1"/>
  <c r="F51" i="25" a="1"/>
  <c r="F51" i="25"/>
  <c r="G51" i="25" a="1"/>
  <c r="G51" i="25"/>
  <c r="G29" i="25" a="1"/>
  <c r="G29" i="25" s="1"/>
  <c r="F29" i="25" a="1"/>
  <c r="F29" i="25" s="1"/>
  <c r="F30" i="24" a="1"/>
  <c r="F30" i="24" s="1"/>
  <c r="G30" i="24" a="1"/>
  <c r="G30" i="24"/>
  <c r="F31" i="24" a="1"/>
  <c r="F31" i="24" s="1"/>
  <c r="G31" i="24" a="1"/>
  <c r="G31" i="24"/>
  <c r="F32" i="24" a="1"/>
  <c r="F32" i="24" s="1"/>
  <c r="G32" i="24" a="1"/>
  <c r="G32" i="24"/>
  <c r="F33" i="24" a="1"/>
  <c r="F33" i="24"/>
  <c r="G33" i="24" a="1"/>
  <c r="G33" i="24" s="1"/>
  <c r="F34" i="24" a="1"/>
  <c r="F34" i="24" s="1"/>
  <c r="G34" i="24" a="1"/>
  <c r="G34" i="24"/>
  <c r="F35" i="24" a="1"/>
  <c r="F35" i="24"/>
  <c r="G35" i="24" a="1"/>
  <c r="G35" i="24" s="1"/>
  <c r="F36" i="24" a="1"/>
  <c r="F36" i="24" s="1"/>
  <c r="G36" i="24" a="1"/>
  <c r="G36" i="24"/>
  <c r="F37" i="24" a="1"/>
  <c r="F37" i="24"/>
  <c r="G37" i="24" a="1"/>
  <c r="G37" i="24"/>
  <c r="F38" i="24" a="1"/>
  <c r="F38" i="24" s="1"/>
  <c r="G38" i="24" a="1"/>
  <c r="G38" i="24"/>
  <c r="F39" i="24" a="1"/>
  <c r="F39" i="24"/>
  <c r="G39" i="24" a="1"/>
  <c r="G39" i="24"/>
  <c r="F40" i="24" a="1"/>
  <c r="F40" i="24" s="1"/>
  <c r="G40" i="24" a="1"/>
  <c r="G40" i="24" s="1"/>
  <c r="F41" i="24" a="1"/>
  <c r="F41" i="24"/>
  <c r="G41" i="24" a="1"/>
  <c r="G41" i="24"/>
  <c r="F42" i="24" a="1"/>
  <c r="F42" i="24" s="1"/>
  <c r="G42" i="24" a="1"/>
  <c r="G42" i="24" s="1"/>
  <c r="F43" i="24" a="1"/>
  <c r="F43" i="24"/>
  <c r="G43" i="24" a="1"/>
  <c r="G43" i="24"/>
  <c r="F44" i="24" a="1"/>
  <c r="F44" i="24" s="1"/>
  <c r="G44" i="24" a="1"/>
  <c r="G44" i="24"/>
  <c r="F45" i="24" a="1"/>
  <c r="F45" i="24" s="1"/>
  <c r="G45" i="24" a="1"/>
  <c r="G45" i="24"/>
  <c r="F46" i="24" a="1"/>
  <c r="F46" i="24" s="1"/>
  <c r="G46" i="24" a="1"/>
  <c r="G46" i="24"/>
  <c r="F47" i="24" a="1"/>
  <c r="F47" i="24" s="1"/>
  <c r="G47" i="24" a="1"/>
  <c r="G47" i="24"/>
  <c r="F48" i="24" a="1"/>
  <c r="F48" i="24" s="1"/>
  <c r="G48" i="24" a="1"/>
  <c r="G48" i="24"/>
  <c r="F49" i="24" a="1"/>
  <c r="F49" i="24"/>
  <c r="G49" i="24" a="1"/>
  <c r="G49" i="24" s="1"/>
  <c r="F50" i="24" a="1"/>
  <c r="F50" i="24" s="1"/>
  <c r="G50" i="24" a="1"/>
  <c r="G50" i="24"/>
  <c r="F51" i="24" a="1"/>
  <c r="F51" i="24"/>
  <c r="G51" i="24" a="1"/>
  <c r="G51" i="24" s="1"/>
  <c r="G29" i="24" a="1"/>
  <c r="G29" i="24"/>
  <c r="F29" i="24" a="1"/>
  <c r="F29" i="24" s="1"/>
  <c r="F30" i="23" a="1"/>
  <c r="F30" i="23" s="1"/>
  <c r="G30" i="23" a="1"/>
  <c r="G30" i="23"/>
  <c r="F31" i="23" a="1"/>
  <c r="F31" i="23"/>
  <c r="G31" i="23" a="1"/>
  <c r="G31" i="23" s="1"/>
  <c r="F32" i="23" a="1"/>
  <c r="F32" i="23" s="1"/>
  <c r="G32" i="23" a="1"/>
  <c r="G32" i="23"/>
  <c r="F33" i="23" a="1"/>
  <c r="F33" i="23" s="1"/>
  <c r="G33" i="23" a="1"/>
  <c r="G33" i="23" s="1"/>
  <c r="F34" i="23" a="1"/>
  <c r="F34" i="23" s="1"/>
  <c r="G34" i="23" a="1"/>
  <c r="G34" i="23"/>
  <c r="F35" i="23" a="1"/>
  <c r="F35" i="23"/>
  <c r="G35" i="23" a="1"/>
  <c r="G35" i="23"/>
  <c r="F36" i="23" a="1"/>
  <c r="F36" i="23" s="1"/>
  <c r="G36" i="23" a="1"/>
  <c r="G36" i="23"/>
  <c r="F37" i="23" a="1"/>
  <c r="F37" i="23"/>
  <c r="G37" i="23" a="1"/>
  <c r="G37" i="23" s="1"/>
  <c r="F38" i="23" a="1"/>
  <c r="F38" i="23" s="1"/>
  <c r="G38" i="23" a="1"/>
  <c r="G38" i="23" s="1"/>
  <c r="F39" i="23" a="1"/>
  <c r="F39" i="23"/>
  <c r="G39" i="23" a="1"/>
  <c r="G39" i="23"/>
  <c r="F40" i="23" a="1"/>
  <c r="F40" i="23" s="1"/>
  <c r="G40" i="23" a="1"/>
  <c r="G40" i="23" s="1"/>
  <c r="F41" i="23" a="1"/>
  <c r="F41" i="23"/>
  <c r="G41" i="23" a="1"/>
  <c r="G41" i="23"/>
  <c r="F42" i="23" a="1"/>
  <c r="F42" i="23" s="1"/>
  <c r="G42" i="23" a="1"/>
  <c r="G42" i="23"/>
  <c r="F43" i="23" a="1"/>
  <c r="F43" i="23" s="1"/>
  <c r="G43" i="23" a="1"/>
  <c r="G43" i="23"/>
  <c r="F44" i="23" a="1"/>
  <c r="F44" i="23" s="1"/>
  <c r="G44" i="23" a="1"/>
  <c r="G44" i="23" s="1"/>
  <c r="F45" i="23" a="1"/>
  <c r="F45" i="23" s="1"/>
  <c r="G45" i="23" a="1"/>
  <c r="G45" i="23"/>
  <c r="F46" i="23" a="1"/>
  <c r="F46" i="23" s="1"/>
  <c r="G46" i="23" a="1"/>
  <c r="G46" i="23"/>
  <c r="F47" i="23" a="1"/>
  <c r="F47" i="23"/>
  <c r="G47" i="23" a="1"/>
  <c r="G47" i="23" s="1"/>
  <c r="F48" i="23" a="1"/>
  <c r="F48" i="23" s="1"/>
  <c r="G48" i="23" a="1"/>
  <c r="G48" i="23"/>
  <c r="F49" i="23" a="1"/>
  <c r="F49" i="23" s="1"/>
  <c r="G49" i="23" a="1"/>
  <c r="G49" i="23" s="1"/>
  <c r="F50" i="23" a="1"/>
  <c r="F50" i="23" s="1"/>
  <c r="G50" i="23" a="1"/>
  <c r="G50" i="23"/>
  <c r="F51" i="23" a="1"/>
  <c r="F51" i="23"/>
  <c r="G51" i="23" a="1"/>
  <c r="G51" i="23"/>
  <c r="G29" i="23" a="1"/>
  <c r="G29" i="23" s="1"/>
  <c r="F29" i="23" a="1"/>
  <c r="F29" i="23" s="1"/>
  <c r="F30" i="22" a="1"/>
  <c r="F30" i="22" s="1"/>
  <c r="G30" i="22" a="1"/>
  <c r="G30" i="22" s="1"/>
  <c r="F31" i="22" a="1"/>
  <c r="F31" i="22" s="1"/>
  <c r="G31" i="22" a="1"/>
  <c r="G31" i="22" s="1"/>
  <c r="F32" i="22" a="1"/>
  <c r="F32" i="22" s="1"/>
  <c r="G32" i="22" a="1"/>
  <c r="G32" i="22"/>
  <c r="F33" i="22" a="1"/>
  <c r="F33" i="22" s="1"/>
  <c r="G33" i="22" a="1"/>
  <c r="G33" i="22" s="1"/>
  <c r="F34" i="22" a="1"/>
  <c r="F34" i="22" s="1"/>
  <c r="G34" i="22" a="1"/>
  <c r="G34" i="22"/>
  <c r="F35" i="22" a="1"/>
  <c r="F35" i="22" s="1"/>
  <c r="G35" i="22" a="1"/>
  <c r="G35" i="22" s="1"/>
  <c r="F36" i="22" a="1"/>
  <c r="F36" i="22" s="1"/>
  <c r="G36" i="22" a="1"/>
  <c r="G36" i="22" s="1"/>
  <c r="F37" i="22" a="1"/>
  <c r="F37" i="22" s="1"/>
  <c r="G37" i="22" a="1"/>
  <c r="G37" i="22" s="1"/>
  <c r="F38" i="22" a="1"/>
  <c r="F38" i="22" s="1"/>
  <c r="G38" i="22" a="1"/>
  <c r="G38" i="22" s="1"/>
  <c r="F39" i="22" a="1"/>
  <c r="F39" i="22" s="1"/>
  <c r="G39" i="22" a="1"/>
  <c r="G39" i="22" s="1"/>
  <c r="F40" i="22" a="1"/>
  <c r="F40" i="22" s="1"/>
  <c r="G40" i="22" a="1"/>
  <c r="G40" i="22" s="1"/>
  <c r="F41" i="22" a="1"/>
  <c r="F41" i="22"/>
  <c r="G41" i="22" a="1"/>
  <c r="G41" i="22"/>
  <c r="F42" i="22" a="1"/>
  <c r="F42" i="22" s="1"/>
  <c r="G42" i="22" a="1"/>
  <c r="G42" i="22"/>
  <c r="F43" i="22" a="1"/>
  <c r="F43" i="22" s="1"/>
  <c r="G43" i="22" a="1"/>
  <c r="G43" i="22" s="1"/>
  <c r="F44" i="22" a="1"/>
  <c r="F44" i="22" s="1"/>
  <c r="G44" i="22" a="1"/>
  <c r="G44" i="22" s="1"/>
  <c r="F45" i="22" a="1"/>
  <c r="F45" i="22" s="1"/>
  <c r="G45" i="22" a="1"/>
  <c r="G45" i="22" s="1"/>
  <c r="F46" i="22" a="1"/>
  <c r="F46" i="22" s="1"/>
  <c r="G46" i="22" a="1"/>
  <c r="G46" i="22"/>
  <c r="F47" i="22" a="1"/>
  <c r="F47" i="22"/>
  <c r="G47" i="22" a="1"/>
  <c r="G47" i="22" s="1"/>
  <c r="F48" i="22" a="1"/>
  <c r="F48" i="22" s="1"/>
  <c r="G48" i="22" a="1"/>
  <c r="G48" i="22" s="1"/>
  <c r="F49" i="22" a="1"/>
  <c r="F49" i="22" s="1"/>
  <c r="G49" i="22" a="1"/>
  <c r="G49" i="22" s="1"/>
  <c r="F50" i="22" a="1"/>
  <c r="F50" i="22" s="1"/>
  <c r="G50" i="22" a="1"/>
  <c r="G50" i="22" s="1"/>
  <c r="F51" i="22" a="1"/>
  <c r="F51" i="22" s="1"/>
  <c r="G51" i="22" a="1"/>
  <c r="G51" i="22" s="1"/>
  <c r="G29" i="22" a="1"/>
  <c r="G29" i="22" s="1"/>
  <c r="F29" i="22" a="1"/>
  <c r="F29" i="22" s="1"/>
  <c r="F30" i="21" a="1"/>
  <c r="F30" i="21" s="1"/>
  <c r="G30" i="21" a="1"/>
  <c r="G30" i="21"/>
  <c r="F31" i="21" a="1"/>
  <c r="F31" i="21" s="1"/>
  <c r="G31" i="21" a="1"/>
  <c r="G31" i="21"/>
  <c r="F32" i="21" a="1"/>
  <c r="F32" i="21" s="1"/>
  <c r="G32" i="21" a="1"/>
  <c r="G32" i="21"/>
  <c r="F33" i="21" a="1"/>
  <c r="F33" i="21"/>
  <c r="G33" i="21" a="1"/>
  <c r="G33" i="21"/>
  <c r="F34" i="21" a="1"/>
  <c r="F34" i="21" s="1"/>
  <c r="G34" i="21" a="1"/>
  <c r="G34" i="21" s="1"/>
  <c r="F35" i="21" a="1"/>
  <c r="F35" i="21"/>
  <c r="G35" i="21" a="1"/>
  <c r="G35" i="21" s="1"/>
  <c r="F36" i="21" a="1"/>
  <c r="F36" i="21" s="1"/>
  <c r="G36" i="21" a="1"/>
  <c r="G36" i="21"/>
  <c r="F37" i="21" a="1"/>
  <c r="F37" i="21"/>
  <c r="G37" i="21" a="1"/>
  <c r="G37" i="21"/>
  <c r="F38" i="21" a="1"/>
  <c r="F38" i="21" s="1"/>
  <c r="G38" i="21" a="1"/>
  <c r="G38" i="21"/>
  <c r="F39" i="21" a="1"/>
  <c r="F39" i="21" s="1"/>
  <c r="G39" i="21" a="1"/>
  <c r="G39" i="21"/>
  <c r="F40" i="21" a="1"/>
  <c r="F40" i="21" s="1"/>
  <c r="G40" i="21" a="1"/>
  <c r="G40" i="21"/>
  <c r="F41" i="21" a="1"/>
  <c r="F41" i="21"/>
  <c r="G41" i="21" a="1"/>
  <c r="G41" i="21"/>
  <c r="F42" i="21" a="1"/>
  <c r="F42" i="21" s="1"/>
  <c r="G42" i="21" a="1"/>
  <c r="G42" i="21" s="1"/>
  <c r="F43" i="21" a="1"/>
  <c r="F43" i="21"/>
  <c r="G43" i="21" a="1"/>
  <c r="G43" i="21" s="1"/>
  <c r="F44" i="21" a="1"/>
  <c r="F44" i="21" s="1"/>
  <c r="G44" i="21" a="1"/>
  <c r="G44" i="21"/>
  <c r="F45" i="21" a="1"/>
  <c r="F45" i="21"/>
  <c r="G45" i="21" a="1"/>
  <c r="G45" i="21"/>
  <c r="F46" i="21" a="1"/>
  <c r="F46" i="21" s="1"/>
  <c r="G46" i="21" a="1"/>
  <c r="G46" i="21"/>
  <c r="F47" i="21" a="1"/>
  <c r="F47" i="21" s="1"/>
  <c r="G47" i="21" a="1"/>
  <c r="G47" i="21"/>
  <c r="F48" i="21" a="1"/>
  <c r="F48" i="21" s="1"/>
  <c r="G48" i="21" a="1"/>
  <c r="G48" i="21"/>
  <c r="F49" i="21" a="1"/>
  <c r="F49" i="21"/>
  <c r="G49" i="21" a="1"/>
  <c r="G49" i="21"/>
  <c r="F50" i="21" a="1"/>
  <c r="F50" i="21" s="1"/>
  <c r="G50" i="21" a="1"/>
  <c r="G50" i="21" s="1"/>
  <c r="F51" i="21" a="1"/>
  <c r="F51" i="21"/>
  <c r="G51" i="21" a="1"/>
  <c r="G51" i="21" s="1"/>
  <c r="G29" i="21" a="1"/>
  <c r="G29" i="21" s="1"/>
  <c r="F29" i="21" a="1"/>
  <c r="F29" i="21" s="1"/>
  <c r="F30" i="20" a="1"/>
  <c r="F30" i="20" s="1"/>
  <c r="G30" i="20" a="1"/>
  <c r="G30" i="20" s="1"/>
  <c r="F31" i="20" a="1"/>
  <c r="F31" i="20"/>
  <c r="G31" i="20" a="1"/>
  <c r="G31" i="20"/>
  <c r="F32" i="20" a="1"/>
  <c r="F32" i="20" s="1"/>
  <c r="G32" i="20" a="1"/>
  <c r="G32" i="20"/>
  <c r="F33" i="20" a="1"/>
  <c r="F33" i="20"/>
  <c r="G33" i="20" a="1"/>
  <c r="G33" i="20"/>
  <c r="F34" i="20" a="1"/>
  <c r="F34" i="20" s="1"/>
  <c r="G34" i="20" a="1"/>
  <c r="G34" i="20"/>
  <c r="F35" i="20" a="1"/>
  <c r="F35" i="20" s="1"/>
  <c r="G35" i="20" a="1"/>
  <c r="G35" i="20"/>
  <c r="F36" i="20" a="1"/>
  <c r="F36" i="20" s="1"/>
  <c r="G36" i="20" a="1"/>
  <c r="G36" i="20"/>
  <c r="F37" i="20" a="1"/>
  <c r="F37" i="20"/>
  <c r="G37" i="20" a="1"/>
  <c r="G37" i="20"/>
  <c r="F38" i="20" a="1"/>
  <c r="F38" i="20" s="1"/>
  <c r="G38" i="20" a="1"/>
  <c r="G38" i="20"/>
  <c r="F39" i="20" a="1"/>
  <c r="F39" i="20"/>
  <c r="G39" i="20" a="1"/>
  <c r="G39" i="20" s="1"/>
  <c r="F40" i="20" a="1"/>
  <c r="F40" i="20" s="1"/>
  <c r="G40" i="20" a="1"/>
  <c r="G40" i="20"/>
  <c r="F41" i="20" a="1"/>
  <c r="F41" i="20"/>
  <c r="G41" i="20" a="1"/>
  <c r="G41" i="20"/>
  <c r="F42" i="20" a="1"/>
  <c r="F42" i="20" s="1"/>
  <c r="G42" i="20" a="1"/>
  <c r="G42" i="20"/>
  <c r="F43" i="20" a="1"/>
  <c r="F43" i="20"/>
  <c r="G43" i="20" a="1"/>
  <c r="G43" i="20"/>
  <c r="F44" i="20" a="1"/>
  <c r="F44" i="20" s="1"/>
  <c r="G44" i="20" a="1"/>
  <c r="G44" i="20"/>
  <c r="F45" i="20" a="1"/>
  <c r="F45" i="20"/>
  <c r="G45" i="20" a="1"/>
  <c r="G45" i="20"/>
  <c r="F46" i="20" a="1"/>
  <c r="F46" i="20" s="1"/>
  <c r="G46" i="20" a="1"/>
  <c r="G46" i="20" s="1"/>
  <c r="F47" i="20" a="1"/>
  <c r="F47" i="20"/>
  <c r="G47" i="20" a="1"/>
  <c r="G47" i="20"/>
  <c r="F48" i="20" a="1"/>
  <c r="F48" i="20" s="1"/>
  <c r="G48" i="20" a="1"/>
  <c r="G48" i="20"/>
  <c r="F49" i="20" a="1"/>
  <c r="F49" i="20"/>
  <c r="G49" i="20" a="1"/>
  <c r="G49" i="20"/>
  <c r="F50" i="20" a="1"/>
  <c r="F50" i="20" s="1"/>
  <c r="G50" i="20" a="1"/>
  <c r="G50" i="20"/>
  <c r="F51" i="20" a="1"/>
  <c r="F51" i="20" s="1"/>
  <c r="G51" i="20" a="1"/>
  <c r="G51" i="20"/>
  <c r="G29" i="20" a="1"/>
  <c r="G29" i="20" s="1"/>
  <c r="F29" i="20" a="1"/>
  <c r="F29" i="20" s="1"/>
  <c r="F30" i="18" a="1"/>
  <c r="F30" i="18" s="1"/>
  <c r="G30" i="18" a="1"/>
  <c r="G30" i="18"/>
  <c r="F31" i="18" a="1"/>
  <c r="F31" i="18"/>
  <c r="G31" i="18" a="1"/>
  <c r="G31" i="18"/>
  <c r="F32" i="18" a="1"/>
  <c r="F32" i="18" s="1"/>
  <c r="G32" i="18" a="1"/>
  <c r="G32" i="18" s="1"/>
  <c r="F33" i="18" a="1"/>
  <c r="F33" i="18"/>
  <c r="G33" i="18" a="1"/>
  <c r="G33" i="18"/>
  <c r="F34" i="18" a="1"/>
  <c r="F34" i="18" s="1"/>
  <c r="G34" i="18" a="1"/>
  <c r="G34" i="18" s="1"/>
  <c r="F35" i="18" a="1"/>
  <c r="F35" i="18"/>
  <c r="G35" i="18" a="1"/>
  <c r="G35" i="18"/>
  <c r="F36" i="18" a="1"/>
  <c r="F36" i="18" s="1"/>
  <c r="G36" i="18" a="1"/>
  <c r="G36" i="18"/>
  <c r="F37" i="18" a="1"/>
  <c r="F37" i="18" s="1"/>
  <c r="G37" i="18" a="1"/>
  <c r="G37" i="18"/>
  <c r="F38" i="18" a="1"/>
  <c r="F38" i="18" s="1"/>
  <c r="G38" i="18" a="1"/>
  <c r="G38" i="18"/>
  <c r="F39" i="18" a="1"/>
  <c r="F39" i="18" s="1"/>
  <c r="G39" i="18" a="1"/>
  <c r="G39" i="18"/>
  <c r="F40" i="18" a="1"/>
  <c r="F40" i="18" s="1"/>
  <c r="G40" i="18" a="1"/>
  <c r="G40" i="18"/>
  <c r="F41" i="18" a="1"/>
  <c r="F41" i="18"/>
  <c r="G41" i="18" a="1"/>
  <c r="G41" i="18" s="1"/>
  <c r="F42" i="18" a="1"/>
  <c r="F42" i="18" s="1"/>
  <c r="G42" i="18" a="1"/>
  <c r="G42" i="18"/>
  <c r="F43" i="18" a="1"/>
  <c r="F43" i="18"/>
  <c r="G43" i="18" a="1"/>
  <c r="G43" i="18" s="1"/>
  <c r="F44" i="18" a="1"/>
  <c r="F44" i="18" s="1"/>
  <c r="G44" i="18" a="1"/>
  <c r="G44" i="18"/>
  <c r="F45" i="18" a="1"/>
  <c r="F45" i="18"/>
  <c r="G45" i="18" a="1"/>
  <c r="G45" i="18" s="1"/>
  <c r="F46" i="18" a="1"/>
  <c r="F46" i="18" s="1"/>
  <c r="G46" i="18" a="1"/>
  <c r="G46" i="18"/>
  <c r="F47" i="18" a="1"/>
  <c r="F47" i="18"/>
  <c r="G47" i="18" a="1"/>
  <c r="G47" i="18"/>
  <c r="F48" i="18" a="1"/>
  <c r="F48" i="18" s="1"/>
  <c r="G48" i="18" a="1"/>
  <c r="G48" i="18" s="1"/>
  <c r="F49" i="18" a="1"/>
  <c r="F49" i="18"/>
  <c r="G49" i="18" a="1"/>
  <c r="G49" i="18"/>
  <c r="F50" i="18" a="1"/>
  <c r="F50" i="18" s="1"/>
  <c r="G50" i="18" a="1"/>
  <c r="G50" i="18" s="1"/>
  <c r="F51" i="18" a="1"/>
  <c r="F51" i="18"/>
  <c r="G51" i="18" a="1"/>
  <c r="G51" i="18" s="1"/>
  <c r="G29" i="18" a="1"/>
  <c r="G29" i="18" s="1"/>
  <c r="F29" i="18" a="1"/>
  <c r="F29" i="18" s="1"/>
  <c r="F30" i="19" a="1"/>
  <c r="F30" i="19" s="1"/>
  <c r="G30" i="19" a="1"/>
  <c r="G30" i="19"/>
  <c r="F31" i="19" a="1"/>
  <c r="F31" i="19" s="1"/>
  <c r="G31" i="19" a="1"/>
  <c r="G31" i="19"/>
  <c r="F32" i="19" a="1"/>
  <c r="F32" i="19" s="1"/>
  <c r="G32" i="19" a="1"/>
  <c r="G32" i="19"/>
  <c r="F33" i="19" a="1"/>
  <c r="F33" i="19" s="1"/>
  <c r="G33" i="19" a="1"/>
  <c r="G33" i="19"/>
  <c r="F34" i="19" a="1"/>
  <c r="F34" i="19" s="1"/>
  <c r="G34" i="19" a="1"/>
  <c r="G34" i="19" s="1"/>
  <c r="F35" i="19" a="1"/>
  <c r="F35" i="19"/>
  <c r="G35" i="19" a="1"/>
  <c r="G35" i="19" s="1"/>
  <c r="F36" i="19" a="1"/>
  <c r="F36" i="19" s="1"/>
  <c r="G36" i="19" a="1"/>
  <c r="G36" i="19"/>
  <c r="F37" i="19" a="1"/>
  <c r="F37" i="19"/>
  <c r="G37" i="19" a="1"/>
  <c r="G37" i="19" s="1"/>
  <c r="F38" i="19" a="1"/>
  <c r="F38" i="19" s="1"/>
  <c r="G38" i="19" a="1"/>
  <c r="G38" i="19"/>
  <c r="F39" i="19" a="1"/>
  <c r="F39" i="19"/>
  <c r="G39" i="19" a="1"/>
  <c r="G39" i="19"/>
  <c r="F40" i="19" a="1"/>
  <c r="F40" i="19" s="1"/>
  <c r="G40" i="19" a="1"/>
  <c r="G40" i="19"/>
  <c r="F41" i="19" a="1"/>
  <c r="F41" i="19"/>
  <c r="G41" i="19" a="1"/>
  <c r="G41" i="19"/>
  <c r="F42" i="19" a="1"/>
  <c r="F42" i="19" s="1"/>
  <c r="G42" i="19" a="1"/>
  <c r="G42" i="19" s="1"/>
  <c r="F43" i="19" a="1"/>
  <c r="F43" i="19"/>
  <c r="G43" i="19" a="1"/>
  <c r="G43" i="19"/>
  <c r="F44" i="19" a="1"/>
  <c r="F44" i="19" s="1"/>
  <c r="G44" i="19" a="1"/>
  <c r="G44" i="19" s="1"/>
  <c r="F45" i="19" a="1"/>
  <c r="F45" i="19"/>
  <c r="G45" i="19" a="1"/>
  <c r="G45" i="19"/>
  <c r="F46" i="19" a="1"/>
  <c r="F46" i="19" s="1"/>
  <c r="G46" i="19" a="1"/>
  <c r="G46" i="19"/>
  <c r="F47" i="19" a="1"/>
  <c r="F47" i="19" s="1"/>
  <c r="G47" i="19" a="1"/>
  <c r="G47" i="19"/>
  <c r="F48" i="19" a="1"/>
  <c r="F48" i="19" s="1"/>
  <c r="G48" i="19" a="1"/>
  <c r="G48" i="19"/>
  <c r="F49" i="19" a="1"/>
  <c r="F49" i="19" s="1"/>
  <c r="G49" i="19" a="1"/>
  <c r="G49" i="19"/>
  <c r="F50" i="19" a="1"/>
  <c r="F50" i="19" s="1"/>
  <c r="G50" i="19" a="1"/>
  <c r="G50" i="19"/>
  <c r="F51" i="19" a="1"/>
  <c r="F51" i="19"/>
  <c r="G51" i="19" a="1"/>
  <c r="G51" i="19" s="1"/>
  <c r="G29" i="19" a="1"/>
  <c r="G29" i="19" s="1"/>
  <c r="F29" i="19" a="1"/>
  <c r="F29" i="19" s="1"/>
  <c r="F30" i="17" a="1"/>
  <c r="F30" i="17" s="1"/>
  <c r="G30" i="17" a="1"/>
  <c r="G30" i="17" s="1"/>
  <c r="F31" i="17" a="1"/>
  <c r="F31" i="17"/>
  <c r="G31" i="17" a="1"/>
  <c r="G31" i="17" s="1"/>
  <c r="F32" i="17" a="1"/>
  <c r="F32" i="17" s="1"/>
  <c r="G32" i="17" a="1"/>
  <c r="G32" i="17"/>
  <c r="F33" i="17" a="1"/>
  <c r="F33" i="17"/>
  <c r="G33" i="17" a="1"/>
  <c r="G33" i="17"/>
  <c r="F34" i="17" a="1"/>
  <c r="F34" i="17" s="1"/>
  <c r="G34" i="17" a="1"/>
  <c r="G34" i="17"/>
  <c r="F35" i="17" a="1"/>
  <c r="F35" i="17" s="1"/>
  <c r="G35" i="17" a="1"/>
  <c r="G35" i="17" s="1"/>
  <c r="F36" i="17" a="1"/>
  <c r="F36" i="17" s="1"/>
  <c r="G36" i="17" a="1"/>
  <c r="G36" i="17" s="1"/>
  <c r="F37" i="17" a="1"/>
  <c r="F37" i="17"/>
  <c r="G37" i="17" a="1"/>
  <c r="G37" i="17"/>
  <c r="F38" i="17" a="1"/>
  <c r="F38" i="17" s="1"/>
  <c r="G38" i="17" a="1"/>
  <c r="G38" i="17" s="1"/>
  <c r="F39" i="17" a="1"/>
  <c r="F39" i="17"/>
  <c r="G39" i="17" a="1"/>
  <c r="G39" i="17" s="1"/>
  <c r="F40" i="17" a="1"/>
  <c r="F40" i="17" s="1"/>
  <c r="G40" i="17" a="1"/>
  <c r="G40" i="17"/>
  <c r="F41" i="17" a="1"/>
  <c r="F41" i="17" s="1"/>
  <c r="G41" i="17" a="1"/>
  <c r="G41" i="17"/>
  <c r="F42" i="17" a="1"/>
  <c r="F42" i="17" s="1"/>
  <c r="G42" i="17" a="1"/>
  <c r="G42" i="17"/>
  <c r="F43" i="17" a="1"/>
  <c r="F43" i="17" s="1"/>
  <c r="G43" i="17" a="1"/>
  <c r="G43" i="17"/>
  <c r="F44" i="17" a="1"/>
  <c r="F44" i="17" s="1"/>
  <c r="G44" i="17" a="1"/>
  <c r="G44" i="17"/>
  <c r="F45" i="17" a="1"/>
  <c r="F45" i="17"/>
  <c r="G45" i="17" a="1"/>
  <c r="G45" i="17" s="1"/>
  <c r="F46" i="17" a="1"/>
  <c r="F46" i="17" s="1"/>
  <c r="G46" i="17" a="1"/>
  <c r="G46" i="17" s="1"/>
  <c r="F47" i="17" a="1"/>
  <c r="F47" i="17"/>
  <c r="G47" i="17" a="1"/>
  <c r="G47" i="17" s="1"/>
  <c r="F48" i="17" a="1"/>
  <c r="F48" i="17" s="1"/>
  <c r="G48" i="17" a="1"/>
  <c r="G48" i="17"/>
  <c r="F49" i="17" a="1"/>
  <c r="F49" i="17"/>
  <c r="G49" i="17" a="1"/>
  <c r="G49" i="17" s="1"/>
  <c r="F50" i="17" a="1"/>
  <c r="F50" i="17" s="1"/>
  <c r="G50" i="17" a="1"/>
  <c r="G50" i="17" s="1"/>
  <c r="F51" i="17" a="1"/>
  <c r="F51" i="17" s="1"/>
  <c r="G51" i="17" a="1"/>
  <c r="G51" i="17" s="1"/>
  <c r="G29" i="17" a="1"/>
  <c r="G29" i="17" s="1"/>
  <c r="F29" i="17" a="1"/>
  <c r="F29" i="17" s="1"/>
  <c r="F30" i="16" a="1"/>
  <c r="F30" i="16" s="1"/>
  <c r="G30" i="16" a="1"/>
  <c r="G30" i="16"/>
  <c r="F31" i="16" a="1"/>
  <c r="F31" i="16"/>
  <c r="G31" i="16" a="1"/>
  <c r="G31" i="16"/>
  <c r="F32" i="16" a="1"/>
  <c r="F32" i="16" s="1"/>
  <c r="G32" i="16" a="1"/>
  <c r="G32" i="16"/>
  <c r="F33" i="16" a="1"/>
  <c r="F33" i="16"/>
  <c r="G33" i="16" a="1"/>
  <c r="G33" i="16"/>
  <c r="F34" i="16" a="1"/>
  <c r="F34" i="16" s="1"/>
  <c r="G34" i="16" a="1"/>
  <c r="G34" i="16"/>
  <c r="F35" i="16" a="1"/>
  <c r="F35" i="16"/>
  <c r="G35" i="16" a="1"/>
  <c r="G35" i="16"/>
  <c r="F36" i="16" a="1"/>
  <c r="F36" i="16" s="1"/>
  <c r="G36" i="16" a="1"/>
  <c r="G36" i="16" s="1"/>
  <c r="F37" i="16" a="1"/>
  <c r="F37" i="16"/>
  <c r="G37" i="16" a="1"/>
  <c r="G37" i="16"/>
  <c r="F38" i="16" a="1"/>
  <c r="F38" i="16" s="1"/>
  <c r="G38" i="16" a="1"/>
  <c r="G38" i="16"/>
  <c r="F39" i="16" a="1"/>
  <c r="F39" i="16"/>
  <c r="G39" i="16" a="1"/>
  <c r="G39" i="16"/>
  <c r="F40" i="16" a="1"/>
  <c r="F40" i="16" s="1"/>
  <c r="G40" i="16" a="1"/>
  <c r="G40" i="16"/>
  <c r="F41" i="16" a="1"/>
  <c r="F41" i="16" s="1"/>
  <c r="G41" i="16" a="1"/>
  <c r="G41" i="16"/>
  <c r="F42" i="16" a="1"/>
  <c r="F42" i="16" s="1"/>
  <c r="G42" i="16" a="1"/>
  <c r="G42" i="16"/>
  <c r="F43" i="16" a="1"/>
  <c r="F43" i="16"/>
  <c r="G43" i="16" a="1"/>
  <c r="G43" i="16"/>
  <c r="F44" i="16" a="1"/>
  <c r="F44" i="16" s="1"/>
  <c r="G44" i="16" a="1"/>
  <c r="G44" i="16"/>
  <c r="F45" i="16" a="1"/>
  <c r="F45" i="16"/>
  <c r="G45" i="16" a="1"/>
  <c r="G45" i="16" s="1"/>
  <c r="F46" i="16" a="1"/>
  <c r="F46" i="16" s="1"/>
  <c r="G46" i="16" a="1"/>
  <c r="G46" i="16"/>
  <c r="F47" i="16" a="1"/>
  <c r="F47" i="16"/>
  <c r="G47" i="16" a="1"/>
  <c r="G47" i="16"/>
  <c r="F48" i="16" a="1"/>
  <c r="F48" i="16" s="1"/>
  <c r="G48" i="16" a="1"/>
  <c r="G48" i="16"/>
  <c r="F49" i="16" a="1"/>
  <c r="F49" i="16"/>
  <c r="G49" i="16" a="1"/>
  <c r="G49" i="16"/>
  <c r="F50" i="16" a="1"/>
  <c r="F50" i="16" s="1"/>
  <c r="G50" i="16" a="1"/>
  <c r="G50" i="16"/>
  <c r="F51" i="16" a="1"/>
  <c r="F51" i="16"/>
  <c r="G51" i="16" a="1"/>
  <c r="G51" i="16"/>
  <c r="G29" i="16" a="1"/>
  <c r="G29" i="16" s="1"/>
  <c r="F29" i="16" a="1"/>
  <c r="F29" i="16" s="1"/>
  <c r="F30" i="15" a="1"/>
  <c r="F30" i="15" s="1"/>
  <c r="G30" i="15" a="1"/>
  <c r="G30" i="15"/>
  <c r="F31" i="15" a="1"/>
  <c r="F31" i="15" s="1"/>
  <c r="G31" i="15" a="1"/>
  <c r="G31" i="15"/>
  <c r="F32" i="15" a="1"/>
  <c r="F32" i="15" s="1"/>
  <c r="G32" i="15" a="1"/>
  <c r="G32" i="15"/>
  <c r="F33" i="15" a="1"/>
  <c r="F33" i="15" s="1"/>
  <c r="G33" i="15" a="1"/>
  <c r="G33" i="15"/>
  <c r="F34" i="15" a="1"/>
  <c r="F34" i="15" s="1"/>
  <c r="G34" i="15" a="1"/>
  <c r="G34" i="15"/>
  <c r="F35" i="15" a="1"/>
  <c r="F35" i="15"/>
  <c r="G35" i="15" a="1"/>
  <c r="G35" i="15" s="1"/>
  <c r="F36" i="15" a="1"/>
  <c r="F36" i="15" s="1"/>
  <c r="G36" i="15" a="1"/>
  <c r="G36" i="15"/>
  <c r="F37" i="15" a="1"/>
  <c r="F37" i="15"/>
  <c r="G37" i="15" a="1"/>
  <c r="G37" i="15" s="1"/>
  <c r="F38" i="15" a="1"/>
  <c r="F38" i="15" s="1"/>
  <c r="G38" i="15" a="1"/>
  <c r="G38" i="15"/>
  <c r="F39" i="15" a="1"/>
  <c r="F39" i="15"/>
  <c r="G39" i="15" a="1"/>
  <c r="G39" i="15"/>
  <c r="F40" i="15" a="1"/>
  <c r="F40" i="15" s="1"/>
  <c r="G40" i="15" a="1"/>
  <c r="G40" i="15"/>
  <c r="F41" i="15" a="1"/>
  <c r="F41" i="15"/>
  <c r="G41" i="15" a="1"/>
  <c r="G41" i="15"/>
  <c r="F42" i="15" a="1"/>
  <c r="F42" i="15" s="1"/>
  <c r="G42" i="15" a="1"/>
  <c r="G42" i="15" s="1"/>
  <c r="F43" i="15" a="1"/>
  <c r="F43" i="15"/>
  <c r="G43" i="15" a="1"/>
  <c r="G43" i="15"/>
  <c r="F44" i="15" a="1"/>
  <c r="F44" i="15" s="1"/>
  <c r="G44" i="15" a="1"/>
  <c r="G44" i="15" s="1"/>
  <c r="F45" i="15" a="1"/>
  <c r="F45" i="15"/>
  <c r="G45" i="15" a="1"/>
  <c r="G45" i="15"/>
  <c r="F46" i="15" a="1"/>
  <c r="F46" i="15" s="1"/>
  <c r="G46" i="15" a="1"/>
  <c r="G46" i="15"/>
  <c r="F47" i="15" a="1"/>
  <c r="F47" i="15" s="1"/>
  <c r="G47" i="15" a="1"/>
  <c r="G47" i="15"/>
  <c r="F48" i="15" a="1"/>
  <c r="F48" i="15" s="1"/>
  <c r="G48" i="15" a="1"/>
  <c r="G48" i="15"/>
  <c r="F49" i="15" a="1"/>
  <c r="F49" i="15" s="1"/>
  <c r="G49" i="15" a="1"/>
  <c r="G49" i="15"/>
  <c r="F50" i="15" a="1"/>
  <c r="F50" i="15" s="1"/>
  <c r="G50" i="15" a="1"/>
  <c r="G50" i="15"/>
  <c r="F51" i="15" a="1"/>
  <c r="F51" i="15"/>
  <c r="G51" i="15" a="1"/>
  <c r="G51" i="15" s="1"/>
  <c r="G29" i="15" a="1"/>
  <c r="G29" i="15" s="1"/>
  <c r="F29" i="15" a="1"/>
  <c r="F29" i="15" s="1"/>
  <c r="F30" i="13" a="1"/>
  <c r="F30" i="13" s="1"/>
  <c r="G30" i="13" a="1"/>
  <c r="G30" i="13"/>
  <c r="F31" i="13" a="1"/>
  <c r="F31" i="13" s="1"/>
  <c r="G31" i="13" a="1"/>
  <c r="G31" i="13"/>
  <c r="F32" i="13" a="1"/>
  <c r="F32" i="13" s="1"/>
  <c r="G32" i="13" a="1"/>
  <c r="G32" i="13"/>
  <c r="F33" i="13" a="1"/>
  <c r="F33" i="13" s="1"/>
  <c r="G33" i="13" a="1"/>
  <c r="G33" i="13"/>
  <c r="F34" i="13" a="1"/>
  <c r="F34" i="13" s="1"/>
  <c r="G34" i="13" a="1"/>
  <c r="G34" i="13"/>
  <c r="F35" i="13" a="1"/>
  <c r="F35" i="13"/>
  <c r="G35" i="13" a="1"/>
  <c r="G35" i="13" s="1"/>
  <c r="F36" i="13" a="1"/>
  <c r="F36" i="13" s="1"/>
  <c r="G36" i="13" a="1"/>
  <c r="G36" i="13"/>
  <c r="F37" i="13" a="1"/>
  <c r="F37" i="13"/>
  <c r="G37" i="13" a="1"/>
  <c r="G37" i="13"/>
  <c r="F38" i="13" a="1"/>
  <c r="F38" i="13" s="1"/>
  <c r="G38" i="13" a="1"/>
  <c r="G38" i="13"/>
  <c r="F39" i="13" a="1"/>
  <c r="F39" i="13"/>
  <c r="G39" i="13" a="1"/>
  <c r="G39" i="13"/>
  <c r="F40" i="13" a="1"/>
  <c r="F40" i="13" s="1"/>
  <c r="G40" i="13" a="1"/>
  <c r="G40" i="13"/>
  <c r="F41" i="13" a="1"/>
  <c r="F41" i="13"/>
  <c r="G41" i="13" a="1"/>
  <c r="G41" i="13"/>
  <c r="F42" i="13" a="1"/>
  <c r="F42" i="13" s="1"/>
  <c r="G42" i="13" a="1"/>
  <c r="G42" i="13" s="1"/>
  <c r="F43" i="13" a="1"/>
  <c r="F43" i="13"/>
  <c r="G43" i="13" a="1"/>
  <c r="G43" i="13"/>
  <c r="F44" i="13" a="1"/>
  <c r="F44" i="13" s="1"/>
  <c r="G44" i="13" a="1"/>
  <c r="G44" i="13"/>
  <c r="F45" i="13" a="1"/>
  <c r="F45" i="13"/>
  <c r="G45" i="13" a="1"/>
  <c r="G45" i="13"/>
  <c r="F46" i="13" a="1"/>
  <c r="F46" i="13" s="1"/>
  <c r="G46" i="13" a="1"/>
  <c r="G46" i="13"/>
  <c r="F47" i="13" a="1"/>
  <c r="F47" i="13" s="1"/>
  <c r="G47" i="13" a="1"/>
  <c r="G47" i="13"/>
  <c r="F48" i="13" a="1"/>
  <c r="F48" i="13" s="1"/>
  <c r="G48" i="13" a="1"/>
  <c r="G48" i="13"/>
  <c r="F49" i="13" a="1"/>
  <c r="F49" i="13"/>
  <c r="G49" i="13" a="1"/>
  <c r="G49" i="13"/>
  <c r="F50" i="13" a="1"/>
  <c r="F50" i="13" s="1"/>
  <c r="G50" i="13" a="1"/>
  <c r="G50" i="13"/>
  <c r="F51" i="13" a="1"/>
  <c r="F51" i="13"/>
  <c r="G51" i="13" a="1"/>
  <c r="G51" i="13" s="1"/>
  <c r="G29" i="13" a="1"/>
  <c r="G29" i="13" s="1"/>
  <c r="F29" i="13" a="1"/>
  <c r="F29" i="13" s="1"/>
  <c r="F30" i="12" a="1"/>
  <c r="F30" i="12"/>
  <c r="G30" i="12" a="1"/>
  <c r="G30" i="12"/>
  <c r="F31" i="12" a="1"/>
  <c r="F31" i="12" s="1"/>
  <c r="G31" i="12" a="1"/>
  <c r="G31" i="12"/>
  <c r="F32" i="12" a="1"/>
  <c r="F32" i="12"/>
  <c r="G32" i="12" a="1"/>
  <c r="G32" i="12"/>
  <c r="F33" i="12" a="1"/>
  <c r="F33" i="12" s="1"/>
  <c r="G33" i="12" a="1"/>
  <c r="G33" i="12"/>
  <c r="F34" i="12" a="1"/>
  <c r="F34" i="12"/>
  <c r="G34" i="12" a="1"/>
  <c r="G34" i="12"/>
  <c r="F35" i="12" a="1"/>
  <c r="F35" i="12" s="1"/>
  <c r="G35" i="12" a="1"/>
  <c r="G35" i="12"/>
  <c r="F36" i="12" a="1"/>
  <c r="F36" i="12"/>
  <c r="G36" i="12" a="1"/>
  <c r="G36" i="12"/>
  <c r="F37" i="12" a="1"/>
  <c r="F37" i="12" s="1"/>
  <c r="G37" i="12" a="1"/>
  <c r="G37" i="12"/>
  <c r="F38" i="12" a="1"/>
  <c r="F38" i="12"/>
  <c r="G38" i="12" a="1"/>
  <c r="G38" i="12"/>
  <c r="F39" i="12" a="1"/>
  <c r="F39" i="12" s="1"/>
  <c r="G39" i="12" a="1"/>
  <c r="G39" i="12"/>
  <c r="F40" i="12" a="1"/>
  <c r="F40" i="12" s="1"/>
  <c r="G40" i="12" a="1"/>
  <c r="G40" i="12"/>
  <c r="F41" i="12" a="1"/>
  <c r="F41" i="12" s="1"/>
  <c r="G41" i="12" a="1"/>
  <c r="G41" i="12"/>
  <c r="F42" i="12" a="1"/>
  <c r="F42" i="12" s="1"/>
  <c r="G42" i="12" a="1"/>
  <c r="G42" i="12"/>
  <c r="F43" i="12" a="1"/>
  <c r="F43" i="12"/>
  <c r="G43" i="12" a="1"/>
  <c r="G43" i="12" s="1"/>
  <c r="F44" i="12" a="1"/>
  <c r="F44" i="12" s="1"/>
  <c r="G44" i="12" a="1"/>
  <c r="G44" i="12"/>
  <c r="F45" i="12" a="1"/>
  <c r="F45" i="12"/>
  <c r="G45" i="12" a="1"/>
  <c r="G45" i="12" s="1"/>
  <c r="F46" i="12" a="1"/>
  <c r="F46" i="12" s="1"/>
  <c r="G46" i="12" a="1"/>
  <c r="G46" i="12"/>
  <c r="F47" i="12" a="1"/>
  <c r="F47" i="12"/>
  <c r="G47" i="12" a="1"/>
  <c r="G47" i="12"/>
  <c r="F48" i="12" a="1"/>
  <c r="F48" i="12" s="1"/>
  <c r="G48" i="12" a="1"/>
  <c r="G48" i="12"/>
  <c r="F49" i="12" a="1"/>
  <c r="F49" i="12" s="1"/>
  <c r="G49" i="12" a="1"/>
  <c r="G49" i="12"/>
  <c r="F50" i="12" a="1"/>
  <c r="F50" i="12" s="1"/>
  <c r="G50" i="12" a="1"/>
  <c r="G50" i="12" s="1"/>
  <c r="F51" i="12" a="1"/>
  <c r="F51" i="12" s="1"/>
  <c r="G51" i="12" a="1"/>
  <c r="G51" i="12"/>
  <c r="G29" i="12" a="1"/>
  <c r="G29" i="12" s="1"/>
  <c r="F29" i="12" a="1"/>
  <c r="F29" i="12" s="1"/>
  <c r="F30" i="11" a="1"/>
  <c r="F30" i="11" s="1"/>
  <c r="G30" i="11" a="1"/>
  <c r="G30" i="11"/>
  <c r="F31" i="11" a="1"/>
  <c r="F31" i="11"/>
  <c r="G31" i="11" a="1"/>
  <c r="G31" i="11"/>
  <c r="F32" i="11" a="1"/>
  <c r="F32" i="11" s="1"/>
  <c r="G32" i="11" a="1"/>
  <c r="G32" i="11"/>
  <c r="F33" i="11" a="1"/>
  <c r="F33" i="11" s="1"/>
  <c r="G33" i="11" a="1"/>
  <c r="G33" i="11"/>
  <c r="F34" i="11" a="1"/>
  <c r="F34" i="11" s="1"/>
  <c r="G34" i="11" a="1"/>
  <c r="G34" i="11"/>
  <c r="F35" i="11" a="1"/>
  <c r="F35" i="11"/>
  <c r="G35" i="11" a="1"/>
  <c r="G35" i="11"/>
  <c r="F36" i="11" a="1"/>
  <c r="F36" i="11" s="1"/>
  <c r="G36" i="11" a="1"/>
  <c r="G36" i="11"/>
  <c r="F37" i="11" a="1"/>
  <c r="F37" i="11"/>
  <c r="G37" i="11" a="1"/>
  <c r="G37" i="11" s="1"/>
  <c r="F38" i="11" a="1"/>
  <c r="F38" i="11" s="1"/>
  <c r="G38" i="11" a="1"/>
  <c r="G38" i="11"/>
  <c r="F39" i="11" a="1"/>
  <c r="F39" i="11"/>
  <c r="G39" i="11" a="1"/>
  <c r="G39" i="11"/>
  <c r="F40" i="11" a="1"/>
  <c r="F40" i="11" s="1"/>
  <c r="G40" i="11" a="1"/>
  <c r="G40" i="11"/>
  <c r="F41" i="11" a="1"/>
  <c r="F41" i="11"/>
  <c r="G41" i="11" a="1"/>
  <c r="G41" i="11"/>
  <c r="F42" i="11" a="1"/>
  <c r="F42" i="11" s="1"/>
  <c r="G42" i="11" a="1"/>
  <c r="G42" i="11"/>
  <c r="F43" i="11" a="1"/>
  <c r="F43" i="11"/>
  <c r="G43" i="11" a="1"/>
  <c r="G43" i="11"/>
  <c r="F44" i="11" a="1"/>
  <c r="F44" i="11" s="1"/>
  <c r="G44" i="11" a="1"/>
  <c r="G44" i="11" s="1"/>
  <c r="F45" i="11" a="1"/>
  <c r="F45" i="11"/>
  <c r="G45" i="11" a="1"/>
  <c r="G45" i="11"/>
  <c r="F46" i="11" a="1"/>
  <c r="F46" i="11" s="1"/>
  <c r="G46" i="11" a="1"/>
  <c r="G46" i="11"/>
  <c r="F47" i="11" a="1"/>
  <c r="F47" i="11"/>
  <c r="G47" i="11" a="1"/>
  <c r="G47" i="11"/>
  <c r="F48" i="11" a="1"/>
  <c r="F48" i="11" s="1"/>
  <c r="G48" i="11" a="1"/>
  <c r="G48" i="11"/>
  <c r="F49" i="11" a="1"/>
  <c r="F49" i="11" s="1"/>
  <c r="G49" i="11" a="1"/>
  <c r="G49" i="11"/>
  <c r="F50" i="11" a="1"/>
  <c r="F50" i="11" s="1"/>
  <c r="G50" i="11" a="1"/>
  <c r="G50" i="11"/>
  <c r="F51" i="11" a="1"/>
  <c r="F51" i="11"/>
  <c r="G51" i="11" a="1"/>
  <c r="G51" i="11" s="1"/>
  <c r="G29" i="11" a="1"/>
  <c r="G29" i="11" s="1"/>
  <c r="F29" i="11" a="1"/>
  <c r="F29" i="11" s="1"/>
  <c r="F30" i="10" a="1"/>
  <c r="F30" i="10" s="1"/>
  <c r="G30" i="10" a="1"/>
  <c r="G30" i="10" s="1"/>
  <c r="F31" i="10" a="1"/>
  <c r="F31" i="10"/>
  <c r="G31" i="10" a="1"/>
  <c r="G31" i="10"/>
  <c r="F32" i="10" a="1"/>
  <c r="F32" i="10" s="1"/>
  <c r="G32" i="10" a="1"/>
  <c r="G32" i="10" s="1"/>
  <c r="F33" i="10" a="1"/>
  <c r="F33" i="10"/>
  <c r="G33" i="10" a="1"/>
  <c r="G33" i="10"/>
  <c r="F34" i="10" a="1"/>
  <c r="F34" i="10" s="1"/>
  <c r="G34" i="10" a="1"/>
  <c r="G34" i="10"/>
  <c r="F35" i="10" a="1"/>
  <c r="F35" i="10" s="1"/>
  <c r="G35" i="10" a="1"/>
  <c r="G35" i="10"/>
  <c r="F36" i="10" a="1"/>
  <c r="F36" i="10" s="1"/>
  <c r="G36" i="10" a="1"/>
  <c r="G36" i="10"/>
  <c r="F37" i="10" a="1"/>
  <c r="F37" i="10" s="1"/>
  <c r="G37" i="10" a="1"/>
  <c r="G37" i="10"/>
  <c r="F38" i="10" a="1"/>
  <c r="F38" i="10" s="1"/>
  <c r="G38" i="10" a="1"/>
  <c r="G38" i="10"/>
  <c r="F39" i="10" a="1"/>
  <c r="F39" i="10"/>
  <c r="G39" i="10" a="1"/>
  <c r="G39" i="10" s="1"/>
  <c r="F40" i="10" a="1"/>
  <c r="F40" i="10" s="1"/>
  <c r="G40" i="10" a="1"/>
  <c r="G40" i="10"/>
  <c r="F41" i="10" a="1"/>
  <c r="F41" i="10"/>
  <c r="G41" i="10" a="1"/>
  <c r="G41" i="10" s="1"/>
  <c r="F42" i="10" a="1"/>
  <c r="F42" i="10" s="1"/>
  <c r="G42" i="10" a="1"/>
  <c r="G42" i="10"/>
  <c r="F43" i="10" a="1"/>
  <c r="F43" i="10"/>
  <c r="G43" i="10" a="1"/>
  <c r="G43" i="10"/>
  <c r="F44" i="10" a="1"/>
  <c r="F44" i="10" s="1"/>
  <c r="G44" i="10" a="1"/>
  <c r="G44" i="10"/>
  <c r="F45" i="10" a="1"/>
  <c r="F45" i="10"/>
  <c r="G45" i="10" a="1"/>
  <c r="G45" i="10"/>
  <c r="F46" i="10" a="1"/>
  <c r="F46" i="10" s="1"/>
  <c r="G46" i="10" a="1"/>
  <c r="G46" i="10" s="1"/>
  <c r="F47" i="10" a="1"/>
  <c r="F47" i="10"/>
  <c r="G47" i="10" a="1"/>
  <c r="G47" i="10"/>
  <c r="F48" i="10" a="1"/>
  <c r="F48" i="10" s="1"/>
  <c r="G48" i="10" a="1"/>
  <c r="G48" i="10" s="1"/>
  <c r="F49" i="10" a="1"/>
  <c r="F49" i="10"/>
  <c r="G49" i="10" a="1"/>
  <c r="G49" i="10"/>
  <c r="F50" i="10" a="1"/>
  <c r="F50" i="10" s="1"/>
  <c r="G50" i="10" a="1"/>
  <c r="G50" i="10"/>
  <c r="F51" i="10" a="1"/>
  <c r="F51" i="10" s="1"/>
  <c r="G51" i="10" a="1"/>
  <c r="G51" i="10"/>
  <c r="G29" i="10" a="1"/>
  <c r="G29" i="10" s="1"/>
  <c r="F29" i="10" a="1"/>
  <c r="F29" i="10" s="1"/>
  <c r="F30" i="14" a="1"/>
  <c r="F30" i="14" s="1"/>
  <c r="G30" i="14" a="1"/>
  <c r="G30" i="14"/>
  <c r="F31" i="14" a="1"/>
  <c r="F31" i="14" s="1"/>
  <c r="G31" i="14" a="1"/>
  <c r="G31" i="14"/>
  <c r="F32" i="14" a="1"/>
  <c r="F32" i="14" s="1"/>
  <c r="G32" i="14" a="1"/>
  <c r="G32" i="14"/>
  <c r="F33" i="14" a="1"/>
  <c r="F33" i="14" s="1"/>
  <c r="G33" i="14" a="1"/>
  <c r="G33" i="14"/>
  <c r="F34" i="14" a="1"/>
  <c r="F34" i="14" s="1"/>
  <c r="G34" i="14" a="1"/>
  <c r="G34" i="14"/>
  <c r="F35" i="14" a="1"/>
  <c r="F35" i="14"/>
  <c r="G35" i="14" a="1"/>
  <c r="G35" i="14" s="1"/>
  <c r="F36" i="14" a="1"/>
  <c r="F36" i="14" s="1"/>
  <c r="G36" i="14" a="1"/>
  <c r="G36" i="14"/>
  <c r="F37" i="14" a="1"/>
  <c r="F37" i="14"/>
  <c r="G37" i="14" a="1"/>
  <c r="G37" i="14" s="1"/>
  <c r="F38" i="14" a="1"/>
  <c r="F38" i="14" s="1"/>
  <c r="G38" i="14" a="1"/>
  <c r="G38" i="14"/>
  <c r="F39" i="14" a="1"/>
  <c r="F39" i="14"/>
  <c r="G39" i="14" a="1"/>
  <c r="G39" i="14"/>
  <c r="F40" i="14" a="1"/>
  <c r="F40" i="14" s="1"/>
  <c r="G40" i="14" a="1"/>
  <c r="G40" i="14" s="1"/>
  <c r="F41" i="14" a="1"/>
  <c r="F41" i="14"/>
  <c r="G41" i="14" a="1"/>
  <c r="G41" i="14"/>
  <c r="F42" i="14" a="1"/>
  <c r="F42" i="14" s="1"/>
  <c r="G42" i="14" a="1"/>
  <c r="G42" i="14" s="1"/>
  <c r="F43" i="14" a="1"/>
  <c r="F43" i="14"/>
  <c r="G43" i="14" a="1"/>
  <c r="G43" i="14"/>
  <c r="F44" i="14" a="1"/>
  <c r="F44" i="14" s="1"/>
  <c r="G44" i="14" a="1"/>
  <c r="G44" i="14" s="1"/>
  <c r="F45" i="14" a="1"/>
  <c r="F45" i="14" s="1"/>
  <c r="G45" i="14" a="1"/>
  <c r="G45" i="14"/>
  <c r="F46" i="14" a="1"/>
  <c r="F46" i="14" s="1"/>
  <c r="G46" i="14" a="1"/>
  <c r="G46" i="14"/>
  <c r="F47" i="14" a="1"/>
  <c r="F47" i="14" s="1"/>
  <c r="G47" i="14" a="1"/>
  <c r="G47" i="14"/>
  <c r="F48" i="14" a="1"/>
  <c r="F48" i="14" s="1"/>
  <c r="G48" i="14" a="1"/>
  <c r="G48" i="14"/>
  <c r="F49" i="14" a="1"/>
  <c r="F49" i="14" s="1"/>
  <c r="G49" i="14" a="1"/>
  <c r="G49" i="14" s="1"/>
  <c r="F50" i="14" a="1"/>
  <c r="F50" i="14" s="1"/>
  <c r="G50" i="14" a="1"/>
  <c r="G50" i="14" s="1"/>
  <c r="F51" i="14" a="1"/>
  <c r="F51" i="14" s="1"/>
  <c r="G51" i="14" a="1"/>
  <c r="G51" i="14"/>
  <c r="G29" i="14" a="1"/>
  <c r="G29" i="14" s="1"/>
  <c r="F29" i="14" a="1"/>
  <c r="F29" i="14" s="1"/>
  <c r="F30" i="9" a="1"/>
  <c r="F30" i="9" s="1"/>
  <c r="G30" i="9" a="1"/>
  <c r="G30" i="9" s="1"/>
  <c r="F31" i="9" a="1"/>
  <c r="F31" i="9"/>
  <c r="G31" i="9" a="1"/>
  <c r="G31" i="9"/>
  <c r="F32" i="9" a="1"/>
  <c r="F32" i="9" s="1"/>
  <c r="G32" i="9" a="1"/>
  <c r="G32" i="9" s="1"/>
  <c r="F33" i="9" a="1"/>
  <c r="F33" i="9"/>
  <c r="G33" i="9" a="1"/>
  <c r="G33" i="9"/>
  <c r="F34" i="9" a="1"/>
  <c r="F34" i="9" s="1"/>
  <c r="G34" i="9" a="1"/>
  <c r="G34" i="9"/>
  <c r="F35" i="9" a="1"/>
  <c r="F35" i="9" s="1"/>
  <c r="G35" i="9" a="1"/>
  <c r="G35" i="9"/>
  <c r="F36" i="9" a="1"/>
  <c r="F36" i="9" s="1"/>
  <c r="G36" i="9" a="1"/>
  <c r="G36" i="9"/>
  <c r="F37" i="9" a="1"/>
  <c r="F37" i="9" s="1"/>
  <c r="G37" i="9" a="1"/>
  <c r="G37" i="9" s="1"/>
  <c r="F38" i="9" a="1"/>
  <c r="F38" i="9" s="1"/>
  <c r="G38" i="9" a="1"/>
  <c r="G38" i="9"/>
  <c r="F39" i="9" a="1"/>
  <c r="F39" i="9"/>
  <c r="G39" i="9" a="1"/>
  <c r="G39" i="9" s="1"/>
  <c r="F40" i="9" a="1"/>
  <c r="F40" i="9" s="1"/>
  <c r="G40" i="9" a="1"/>
  <c r="G40" i="9"/>
  <c r="F41" i="9" a="1"/>
  <c r="F41" i="9"/>
  <c r="G41" i="9" a="1"/>
  <c r="G41" i="9" s="1"/>
  <c r="F42" i="9" a="1"/>
  <c r="F42" i="9" s="1"/>
  <c r="G42" i="9" a="1"/>
  <c r="G42" i="9"/>
  <c r="F43" i="9" a="1"/>
  <c r="F43" i="9"/>
  <c r="G43" i="9" a="1"/>
  <c r="G43" i="9"/>
  <c r="F44" i="9" a="1"/>
  <c r="F44" i="9" s="1"/>
  <c r="G44" i="9" a="1"/>
  <c r="G44" i="9" s="1"/>
  <c r="F45" i="9" a="1"/>
  <c r="F45" i="9"/>
  <c r="G45" i="9" a="1"/>
  <c r="G45" i="9"/>
  <c r="F46" i="9" a="1"/>
  <c r="F46" i="9" s="1"/>
  <c r="G46" i="9" a="1"/>
  <c r="G46" i="9" s="1"/>
  <c r="F47" i="9" a="1"/>
  <c r="F47" i="9"/>
  <c r="G47" i="9" a="1"/>
  <c r="G47" i="9"/>
  <c r="F48" i="9" a="1"/>
  <c r="F48" i="9" s="1"/>
  <c r="G48" i="9" a="1"/>
  <c r="G48" i="9" s="1"/>
  <c r="F49" i="9" a="1"/>
  <c r="F49" i="9" s="1"/>
  <c r="G49" i="9" a="1"/>
  <c r="G49" i="9"/>
  <c r="F50" i="9" a="1"/>
  <c r="F50" i="9" s="1"/>
  <c r="G50" i="9" a="1"/>
  <c r="G50" i="9" s="1"/>
  <c r="F51" i="9" a="1"/>
  <c r="F51" i="9" s="1"/>
  <c r="G51" i="9" a="1"/>
  <c r="G51" i="9" s="1"/>
  <c r="G29" i="9" a="1"/>
  <c r="G29" i="9" s="1"/>
  <c r="F29" i="9" a="1"/>
  <c r="F29" i="9" s="1"/>
  <c r="F30" i="8" a="1"/>
  <c r="F30" i="8" s="1"/>
  <c r="G30" i="8" a="1"/>
  <c r="G30" i="8"/>
  <c r="F31" i="8" a="1"/>
  <c r="F31" i="8"/>
  <c r="G31" i="8" a="1"/>
  <c r="G31" i="8"/>
  <c r="F32" i="8" a="1"/>
  <c r="F32" i="8" s="1"/>
  <c r="G32" i="8" a="1"/>
  <c r="G32" i="8" s="1"/>
  <c r="F33" i="8" a="1"/>
  <c r="F33" i="8"/>
  <c r="G33" i="8" a="1"/>
  <c r="G33" i="8"/>
  <c r="F34" i="8" a="1"/>
  <c r="F34" i="8" s="1"/>
  <c r="G34" i="8" a="1"/>
  <c r="G34" i="8" s="1"/>
  <c r="F35" i="8" a="1"/>
  <c r="F35" i="8"/>
  <c r="G35" i="8" a="1"/>
  <c r="G35" i="8"/>
  <c r="F36" i="8" a="1"/>
  <c r="F36" i="8" s="1"/>
  <c r="G36" i="8" a="1"/>
  <c r="G36" i="8"/>
  <c r="F37" i="8" a="1"/>
  <c r="F37" i="8" s="1"/>
  <c r="G37" i="8" a="1"/>
  <c r="G37" i="8"/>
  <c r="F38" i="8" a="1"/>
  <c r="F38" i="8" s="1"/>
  <c r="G38" i="8" a="1"/>
  <c r="G38" i="8"/>
  <c r="F39" i="8" a="1"/>
  <c r="F39" i="8" s="1"/>
  <c r="G39" i="8" a="1"/>
  <c r="G39" i="8"/>
  <c r="F40" i="8" a="1"/>
  <c r="F40" i="8" s="1"/>
  <c r="G40" i="8" a="1"/>
  <c r="G40" i="8"/>
  <c r="F41" i="8" a="1"/>
  <c r="F41" i="8"/>
  <c r="G41" i="8" a="1"/>
  <c r="G41" i="8" s="1"/>
  <c r="F42" i="8" a="1"/>
  <c r="F42" i="8" s="1"/>
  <c r="G42" i="8" a="1"/>
  <c r="G42" i="8"/>
  <c r="F43" i="8" a="1"/>
  <c r="F43" i="8"/>
  <c r="G43" i="8" a="1"/>
  <c r="G43" i="8" s="1"/>
  <c r="F44" i="8" a="1"/>
  <c r="F44" i="8" s="1"/>
  <c r="G44" i="8" a="1"/>
  <c r="G44" i="8"/>
  <c r="F45" i="8" a="1"/>
  <c r="F45" i="8"/>
  <c r="G45" i="8" a="1"/>
  <c r="G45" i="8"/>
  <c r="F46" i="8" a="1"/>
  <c r="F46" i="8" s="1"/>
  <c r="G46" i="8" a="1"/>
  <c r="G46" i="8"/>
  <c r="F47" i="8" a="1"/>
  <c r="F47" i="8"/>
  <c r="G47" i="8" a="1"/>
  <c r="G47" i="8"/>
  <c r="F48" i="8" a="1"/>
  <c r="F48" i="8" s="1"/>
  <c r="G48" i="8" a="1"/>
  <c r="G48" i="8" s="1"/>
  <c r="F49" i="8" a="1"/>
  <c r="F49" i="8"/>
  <c r="G49" i="8" a="1"/>
  <c r="G49" i="8"/>
  <c r="F50" i="8" a="1"/>
  <c r="F50" i="8" s="1"/>
  <c r="G50" i="8" a="1"/>
  <c r="G50" i="8" s="1"/>
  <c r="F51" i="8" a="1"/>
  <c r="F51" i="8" s="1"/>
  <c r="G51" i="8" a="1"/>
  <c r="G51" i="8"/>
  <c r="G29" i="8" a="1"/>
  <c r="G29" i="8" s="1"/>
  <c r="F29" i="8" a="1"/>
  <c r="F29" i="8" s="1"/>
  <c r="F30" i="7" a="1"/>
  <c r="F30" i="7"/>
  <c r="G30" i="7" a="1"/>
  <c r="G30" i="7" s="1"/>
  <c r="F31" i="7" a="1"/>
  <c r="F31" i="7"/>
  <c r="G31" i="7" a="1"/>
  <c r="G31" i="7"/>
  <c r="F32" i="7" a="1"/>
  <c r="F32" i="7"/>
  <c r="G32" i="7" a="1"/>
  <c r="G32" i="7" s="1"/>
  <c r="F33" i="7" a="1"/>
  <c r="F33" i="7"/>
  <c r="G33" i="7" a="1"/>
  <c r="G33" i="7"/>
  <c r="F34" i="7" a="1"/>
  <c r="F34" i="7"/>
  <c r="G34" i="7" a="1"/>
  <c r="G34" i="7" s="1"/>
  <c r="F35" i="7" a="1"/>
  <c r="F35" i="7"/>
  <c r="G35" i="7" a="1"/>
  <c r="G35" i="7"/>
  <c r="F36" i="7" a="1"/>
  <c r="F36" i="7"/>
  <c r="G36" i="7" a="1"/>
  <c r="G36" i="7" s="1"/>
  <c r="F37" i="7" a="1"/>
  <c r="F37" i="7"/>
  <c r="G37" i="7" a="1"/>
  <c r="G37" i="7"/>
  <c r="F38" i="7" a="1"/>
  <c r="F38" i="7"/>
  <c r="G38" i="7" a="1"/>
  <c r="G38" i="7" s="1"/>
  <c r="F39" i="7" a="1"/>
  <c r="F39" i="7"/>
  <c r="G39" i="7" a="1"/>
  <c r="G39" i="7"/>
  <c r="F40" i="7" a="1"/>
  <c r="F40" i="7"/>
  <c r="G40" i="7" a="1"/>
  <c r="G40" i="7" s="1"/>
  <c r="F41" i="7" a="1"/>
  <c r="F41" i="7"/>
  <c r="G41" i="7" a="1"/>
  <c r="G41" i="7"/>
  <c r="F42" i="7" a="1"/>
  <c r="F42" i="7"/>
  <c r="G42" i="7" a="1"/>
  <c r="G42" i="7" s="1"/>
  <c r="F43" i="7" a="1"/>
  <c r="F43" i="7"/>
  <c r="G43" i="7" a="1"/>
  <c r="G43" i="7"/>
  <c r="F44" i="7" a="1"/>
  <c r="F44" i="7" s="1"/>
  <c r="G44" i="7" a="1"/>
  <c r="G44" i="7" s="1"/>
  <c r="F45" i="7" a="1"/>
  <c r="F45" i="7"/>
  <c r="G45" i="7" a="1"/>
  <c r="G45" i="7"/>
  <c r="F46" i="7" a="1"/>
  <c r="F46" i="7" s="1"/>
  <c r="G46" i="7" a="1"/>
  <c r="G46" i="7"/>
  <c r="F47" i="7" a="1"/>
  <c r="F47" i="7" s="1"/>
  <c r="G47" i="7" a="1"/>
  <c r="G47" i="7"/>
  <c r="F48" i="7" a="1"/>
  <c r="F48" i="7" s="1"/>
  <c r="G48" i="7" a="1"/>
  <c r="G48" i="7"/>
  <c r="F49" i="7" a="1"/>
  <c r="F49" i="7" s="1"/>
  <c r="G49" i="7" a="1"/>
  <c r="G49" i="7" s="1"/>
  <c r="F50" i="7" a="1"/>
  <c r="F50" i="7" s="1"/>
  <c r="G50" i="7" a="1"/>
  <c r="G50" i="7" s="1"/>
  <c r="F51" i="7" a="1"/>
  <c r="F51" i="7" s="1"/>
  <c r="G51" i="7" a="1"/>
  <c r="G51" i="7" s="1"/>
  <c r="G29" i="7" a="1"/>
  <c r="G29" i="7" s="1"/>
  <c r="F29" i="7" a="1"/>
  <c r="F29" i="7" s="1"/>
  <c r="F30" i="6" a="1"/>
  <c r="F30" i="6" s="1"/>
  <c r="G30" i="6" a="1"/>
  <c r="G30" i="6" s="1"/>
  <c r="F31" i="6" a="1"/>
  <c r="F31" i="6" s="1"/>
  <c r="G31" i="6" a="1"/>
  <c r="G31" i="6"/>
  <c r="F32" i="6" a="1"/>
  <c r="F32" i="6" s="1"/>
  <c r="G32" i="6" a="1"/>
  <c r="G32" i="6"/>
  <c r="F33" i="6" a="1"/>
  <c r="F33" i="6"/>
  <c r="G33" i="6" a="1"/>
  <c r="G33" i="6" s="1"/>
  <c r="F34" i="6" a="1"/>
  <c r="F34" i="6" s="1"/>
  <c r="G34" i="6" a="1"/>
  <c r="G34" i="6"/>
  <c r="F35" i="6" a="1"/>
  <c r="F35" i="6" s="1"/>
  <c r="G35" i="6" a="1"/>
  <c r="G35" i="6" s="1"/>
  <c r="F36" i="6" a="1"/>
  <c r="F36" i="6" s="1"/>
  <c r="G36" i="6" a="1"/>
  <c r="G36" i="6"/>
  <c r="F37" i="6" a="1"/>
  <c r="F37" i="6"/>
  <c r="G37" i="6" a="1"/>
  <c r="G37" i="6"/>
  <c r="F38" i="6" a="1"/>
  <c r="F38" i="6" s="1"/>
  <c r="G38" i="6" a="1"/>
  <c r="G38" i="6"/>
  <c r="F39" i="6" a="1"/>
  <c r="F39" i="6"/>
  <c r="G39" i="6" a="1"/>
  <c r="G39" i="6" s="1"/>
  <c r="F40" i="6" a="1"/>
  <c r="F40" i="6" s="1"/>
  <c r="G40" i="6" a="1"/>
  <c r="G40" i="6" s="1"/>
  <c r="F41" i="6" a="1"/>
  <c r="F41" i="6"/>
  <c r="G41" i="6" a="1"/>
  <c r="G41" i="6"/>
  <c r="F42" i="6" a="1"/>
  <c r="F42" i="6" s="1"/>
  <c r="G42" i="6" a="1"/>
  <c r="G42" i="6" s="1"/>
  <c r="F43" i="6" a="1"/>
  <c r="F43" i="6"/>
  <c r="G43" i="6" a="1"/>
  <c r="G43" i="6"/>
  <c r="F44" i="6" a="1"/>
  <c r="F44" i="6" s="1"/>
  <c r="G44" i="6" a="1"/>
  <c r="G44" i="6"/>
  <c r="F45" i="6" a="1"/>
  <c r="F45" i="6" s="1"/>
  <c r="G45" i="6" a="1"/>
  <c r="G45" i="6"/>
  <c r="F46" i="6" a="1"/>
  <c r="F46" i="6" s="1"/>
  <c r="G46" i="6" a="1"/>
  <c r="G46" i="6" s="1"/>
  <c r="F47" i="6" a="1"/>
  <c r="F47" i="6" s="1"/>
  <c r="G47" i="6" a="1"/>
  <c r="G47" i="6"/>
  <c r="F48" i="6" a="1"/>
  <c r="F48" i="6" s="1"/>
  <c r="G48" i="6" a="1"/>
  <c r="G48" i="6"/>
  <c r="F49" i="6" a="1"/>
  <c r="F49" i="6" s="1"/>
  <c r="G49" i="6" a="1"/>
  <c r="G49" i="6" s="1"/>
  <c r="F50" i="6" a="1"/>
  <c r="F50" i="6" s="1"/>
  <c r="G50" i="6" a="1"/>
  <c r="G50" i="6"/>
  <c r="F51" i="6" a="1"/>
  <c r="F51" i="6" s="1"/>
  <c r="G51" i="6" a="1"/>
  <c r="G51" i="6" s="1"/>
  <c r="G29" i="6" a="1"/>
  <c r="G29" i="6" s="1"/>
  <c r="F29" i="6" a="1"/>
  <c r="F29" i="6" s="1"/>
  <c r="F30" i="5" a="1"/>
  <c r="F30" i="5" s="1"/>
  <c r="G30" i="5" a="1"/>
  <c r="G30" i="5" s="1"/>
  <c r="F31" i="5" a="1"/>
  <c r="F31" i="5"/>
  <c r="G31" i="5" a="1"/>
  <c r="G31" i="5"/>
  <c r="F32" i="5" a="1"/>
  <c r="F32" i="5" s="1"/>
  <c r="G32" i="5" a="1"/>
  <c r="G32" i="5"/>
  <c r="F33" i="5" a="1"/>
  <c r="F33" i="5"/>
  <c r="G33" i="5" a="1"/>
  <c r="G33" i="5"/>
  <c r="F34" i="5" a="1"/>
  <c r="F34" i="5" s="1"/>
  <c r="G34" i="5" a="1"/>
  <c r="G34" i="5"/>
  <c r="F35" i="5" a="1"/>
  <c r="F35" i="5" s="1"/>
  <c r="G35" i="5" a="1"/>
  <c r="G35" i="5"/>
  <c r="F36" i="5" a="1"/>
  <c r="F36" i="5" s="1"/>
  <c r="G36" i="5" a="1"/>
  <c r="G36" i="5"/>
  <c r="F37" i="5" a="1"/>
  <c r="F37" i="5"/>
  <c r="G37" i="5" a="1"/>
  <c r="G37" i="5" s="1"/>
  <c r="F38" i="5" a="1"/>
  <c r="F38" i="5" s="1"/>
  <c r="G38" i="5" a="1"/>
  <c r="G38" i="5"/>
  <c r="F39" i="5" a="1"/>
  <c r="F39" i="5"/>
  <c r="G39" i="5" a="1"/>
  <c r="G39" i="5" s="1"/>
  <c r="F40" i="5" a="1"/>
  <c r="F40" i="5" s="1"/>
  <c r="G40" i="5" a="1"/>
  <c r="G40" i="5"/>
  <c r="F41" i="5" a="1"/>
  <c r="F41" i="5"/>
  <c r="G41" i="5" a="1"/>
  <c r="G41" i="5"/>
  <c r="F42" i="5" a="1"/>
  <c r="F42" i="5" s="1"/>
  <c r="G42" i="5" a="1"/>
  <c r="G42" i="5"/>
  <c r="F43" i="5" a="1"/>
  <c r="F43" i="5"/>
  <c r="G43" i="5" a="1"/>
  <c r="G43" i="5"/>
  <c r="F44" i="5" a="1"/>
  <c r="F44" i="5" s="1"/>
  <c r="G44" i="5" a="1"/>
  <c r="G44" i="5" s="1"/>
  <c r="F45" i="5" a="1"/>
  <c r="F45" i="5"/>
  <c r="G45" i="5" a="1"/>
  <c r="G45" i="5"/>
  <c r="F46" i="5" a="1"/>
  <c r="F46" i="5" s="1"/>
  <c r="G46" i="5" a="1"/>
  <c r="G46" i="5" s="1"/>
  <c r="F47" i="5" a="1"/>
  <c r="F47" i="5"/>
  <c r="G47" i="5" a="1"/>
  <c r="G47" i="5"/>
  <c r="F48" i="5" a="1"/>
  <c r="F48" i="5" s="1"/>
  <c r="G48" i="5" a="1"/>
  <c r="G48" i="5"/>
  <c r="F49" i="5" a="1"/>
  <c r="F49" i="5"/>
  <c r="G49" i="5" a="1"/>
  <c r="G49" i="5"/>
  <c r="F50" i="5" a="1"/>
  <c r="F50" i="5" s="1"/>
  <c r="G50" i="5" a="1"/>
  <c r="G50" i="5"/>
  <c r="F51" i="5" a="1"/>
  <c r="F51" i="5" s="1"/>
  <c r="G51" i="5" a="1"/>
  <c r="G51" i="5" s="1"/>
  <c r="G29" i="5" a="1"/>
  <c r="G29" i="5" s="1"/>
  <c r="F30" i="4" a="1"/>
  <c r="F30" i="4" s="1"/>
  <c r="G30" i="4" a="1"/>
  <c r="G30" i="4"/>
  <c r="F31" i="4" a="1"/>
  <c r="F31" i="4" s="1"/>
  <c r="G31" i="4" a="1"/>
  <c r="G31" i="4"/>
  <c r="F32" i="4" a="1"/>
  <c r="F32" i="4" s="1"/>
  <c r="G32" i="4" a="1"/>
  <c r="G32" i="4"/>
  <c r="F33" i="4" a="1"/>
  <c r="F33" i="4"/>
  <c r="G33" i="4" a="1"/>
  <c r="G33" i="4" s="1"/>
  <c r="F34" i="4" a="1"/>
  <c r="F34" i="4" s="1"/>
  <c r="G34" i="4" a="1"/>
  <c r="G34" i="4"/>
  <c r="F35" i="4" a="1"/>
  <c r="F35" i="4"/>
  <c r="G35" i="4" a="1"/>
  <c r="G35" i="4"/>
  <c r="F36" i="4" a="1"/>
  <c r="F36" i="4" s="1"/>
  <c r="G36" i="4" a="1"/>
  <c r="G36" i="4"/>
  <c r="F37" i="4" a="1"/>
  <c r="F37" i="4"/>
  <c r="G37" i="4" a="1"/>
  <c r="G37" i="4"/>
  <c r="F38" i="4" a="1"/>
  <c r="F38" i="4" s="1"/>
  <c r="G38" i="4" a="1"/>
  <c r="G38" i="4" s="1"/>
  <c r="F39" i="4" a="1"/>
  <c r="F39" i="4"/>
  <c r="G39" i="4" a="1"/>
  <c r="G39" i="4"/>
  <c r="F40" i="4" a="1"/>
  <c r="F40" i="4" s="1"/>
  <c r="G40" i="4" a="1"/>
  <c r="G40" i="4" s="1"/>
  <c r="F41" i="4" a="1"/>
  <c r="F41" i="4"/>
  <c r="G41" i="4" a="1"/>
  <c r="G41" i="4"/>
  <c r="F42" i="4" a="1"/>
  <c r="F42" i="4" s="1"/>
  <c r="G42" i="4" a="1"/>
  <c r="G42" i="4"/>
  <c r="F43" i="4" a="1"/>
  <c r="F43" i="4" s="1"/>
  <c r="G43" i="4" a="1"/>
  <c r="G43" i="4"/>
  <c r="F44" i="4" a="1"/>
  <c r="F44" i="4" s="1"/>
  <c r="G44" i="4" a="1"/>
  <c r="G44" i="4"/>
  <c r="F45" i="4" a="1"/>
  <c r="F45" i="4" s="1"/>
  <c r="G45" i="4" a="1"/>
  <c r="G45" i="4"/>
  <c r="F46" i="4" a="1"/>
  <c r="F46" i="4" s="1"/>
  <c r="G46" i="4" a="1"/>
  <c r="G46" i="4"/>
  <c r="F47" i="4" a="1"/>
  <c r="F47" i="4"/>
  <c r="G47" i="4" a="1"/>
  <c r="G47" i="4" s="1"/>
  <c r="F48" i="4" a="1"/>
  <c r="F48" i="4" s="1"/>
  <c r="G48" i="4" a="1"/>
  <c r="G48" i="4"/>
  <c r="F49" i="4" a="1"/>
  <c r="F49" i="4"/>
  <c r="G49" i="4" a="1"/>
  <c r="G49" i="4" s="1"/>
  <c r="F50" i="4" a="1"/>
  <c r="F50" i="4" s="1"/>
  <c r="G50" i="4" a="1"/>
  <c r="G50" i="4"/>
  <c r="F51" i="4" a="1"/>
  <c r="F51" i="4" s="1"/>
  <c r="G51" i="4" a="1"/>
  <c r="G51" i="4"/>
  <c r="G29" i="4" a="1"/>
  <c r="G29" i="4" s="1"/>
  <c r="F29" i="5" a="1"/>
  <c r="F29" i="5" s="1"/>
  <c r="F29" i="4" a="1"/>
  <c r="F29" i="4" s="1"/>
  <c r="F30" i="3" a="1"/>
  <c r="F30" i="3"/>
  <c r="G30" i="3" a="1"/>
  <c r="G30" i="3"/>
  <c r="F31" i="3" a="1"/>
  <c r="F31" i="3" s="1"/>
  <c r="G31" i="3" a="1"/>
  <c r="G31" i="3"/>
  <c r="F32" i="3" a="1"/>
  <c r="F32" i="3"/>
  <c r="G32" i="3" a="1"/>
  <c r="G32" i="3"/>
  <c r="F33" i="3" a="1"/>
  <c r="F33" i="3" s="1"/>
  <c r="G33" i="3" a="1"/>
  <c r="G33" i="3"/>
  <c r="F34" i="3" a="1"/>
  <c r="F34" i="3" s="1"/>
  <c r="G34" i="3" a="1"/>
  <c r="G34" i="3"/>
  <c r="F35" i="3" a="1"/>
  <c r="F35" i="3"/>
  <c r="G35" i="3" a="1"/>
  <c r="G35" i="3"/>
  <c r="F36" i="3" a="1"/>
  <c r="F36" i="3" s="1"/>
  <c r="G36" i="3" a="1"/>
  <c r="G36" i="3"/>
  <c r="F37" i="3" a="1"/>
  <c r="F37" i="3"/>
  <c r="G37" i="3" a="1"/>
  <c r="G37" i="3" s="1"/>
  <c r="F38" i="3" a="1"/>
  <c r="F38" i="3" s="1"/>
  <c r="G38" i="3" a="1"/>
  <c r="G38" i="3"/>
  <c r="F39" i="3" a="1"/>
  <c r="F39" i="3"/>
  <c r="G39" i="3" a="1"/>
  <c r="G39" i="3"/>
  <c r="F40" i="3" a="1"/>
  <c r="F40" i="3" s="1"/>
  <c r="G40" i="3" a="1"/>
  <c r="G40" i="3"/>
  <c r="F41" i="3" a="1"/>
  <c r="F41" i="3"/>
  <c r="G41" i="3" a="1"/>
  <c r="G41" i="3"/>
  <c r="F42" i="3" a="1"/>
  <c r="F42" i="3" s="1"/>
  <c r="G42" i="3" a="1"/>
  <c r="G42" i="3"/>
  <c r="F43" i="3" a="1"/>
  <c r="F43" i="3"/>
  <c r="G43" i="3" a="1"/>
  <c r="G43" i="3"/>
  <c r="F44" i="3" a="1"/>
  <c r="F44" i="3" s="1"/>
  <c r="G44" i="3" a="1"/>
  <c r="G44" i="3" s="1"/>
  <c r="F45" i="3" a="1"/>
  <c r="F45" i="3"/>
  <c r="G45" i="3" a="1"/>
  <c r="G45" i="3"/>
  <c r="F46" i="3" a="1"/>
  <c r="F46" i="3" s="1"/>
  <c r="G46" i="3" a="1"/>
  <c r="G46" i="3"/>
  <c r="F47" i="3" a="1"/>
  <c r="F47" i="3"/>
  <c r="G47" i="3" a="1"/>
  <c r="G47" i="3"/>
  <c r="F48" i="3" a="1"/>
  <c r="F48" i="3" s="1"/>
  <c r="G48" i="3" a="1"/>
  <c r="G48" i="3" s="1"/>
  <c r="F49" i="3" a="1"/>
  <c r="F49" i="3"/>
  <c r="G49" i="3" a="1"/>
  <c r="G49" i="3" s="1"/>
  <c r="F50" i="3" a="1"/>
  <c r="F50" i="3" s="1"/>
  <c r="G50" i="3" a="1"/>
  <c r="G50" i="3" s="1"/>
  <c r="F51" i="3" a="1"/>
  <c r="F51" i="3" s="1"/>
  <c r="G51" i="3" a="1"/>
  <c r="G51" i="3" s="1"/>
  <c r="G29" i="3" a="1"/>
  <c r="G29" i="3" s="1"/>
  <c r="F29" i="3" a="1"/>
  <c r="F29" i="3" s="1"/>
  <c r="F30" i="2" a="1"/>
  <c r="F30" i="2" s="1"/>
  <c r="G30" i="2" a="1"/>
  <c r="G30" i="2"/>
  <c r="F31" i="2" a="1"/>
  <c r="F31" i="2" s="1"/>
  <c r="G31" i="2" a="1"/>
  <c r="G31" i="2" s="1"/>
  <c r="F32" i="2" a="1"/>
  <c r="F32" i="2" s="1"/>
  <c r="G32" i="2" a="1"/>
  <c r="G32" i="2" s="1"/>
  <c r="F33" i="2" a="1"/>
  <c r="F33" i="2" s="1"/>
  <c r="G33" i="2" a="1"/>
  <c r="G33" i="2" s="1"/>
  <c r="F34" i="2" a="1"/>
  <c r="F34" i="2" s="1"/>
  <c r="G34" i="2" a="1"/>
  <c r="G34" i="2" s="1"/>
  <c r="F35" i="2" a="1"/>
  <c r="F35" i="2" s="1"/>
  <c r="G35" i="2" a="1"/>
  <c r="G35" i="2" s="1"/>
  <c r="F36" i="2" a="1"/>
  <c r="F36" i="2" s="1"/>
  <c r="G36" i="2" a="1"/>
  <c r="G36" i="2" s="1"/>
  <c r="F37" i="2" a="1"/>
  <c r="F37" i="2" s="1"/>
  <c r="G37" i="2" a="1"/>
  <c r="G37" i="2" s="1"/>
  <c r="F38" i="2" a="1"/>
  <c r="F38" i="2" s="1"/>
  <c r="G38" i="2" a="1"/>
  <c r="G38" i="2" s="1"/>
  <c r="F39" i="2" a="1"/>
  <c r="F39" i="2" s="1"/>
  <c r="G39" i="2" a="1"/>
  <c r="G39" i="2" s="1"/>
  <c r="F40" i="2" a="1"/>
  <c r="F40" i="2" s="1"/>
  <c r="G40" i="2" a="1"/>
  <c r="G40" i="2" s="1"/>
  <c r="F41" i="2" a="1"/>
  <c r="F41" i="2" s="1"/>
  <c r="G41" i="2" a="1"/>
  <c r="G41" i="2" s="1"/>
  <c r="F42" i="2" a="1"/>
  <c r="F42" i="2" s="1"/>
  <c r="G42" i="2" a="1"/>
  <c r="G42" i="2" s="1"/>
  <c r="F43" i="2" a="1"/>
  <c r="F43" i="2" s="1"/>
  <c r="G43" i="2" a="1"/>
  <c r="G43" i="2" s="1"/>
  <c r="F44" i="2" a="1"/>
  <c r="F44" i="2" s="1"/>
  <c r="G44" i="2" a="1"/>
  <c r="G44" i="2" s="1"/>
  <c r="F45" i="2" a="1"/>
  <c r="F45" i="2" s="1"/>
  <c r="G45" i="2" a="1"/>
  <c r="G45" i="2" s="1"/>
  <c r="F46" i="2" a="1"/>
  <c r="F46" i="2" s="1"/>
  <c r="G46" i="2" a="1"/>
  <c r="G46" i="2"/>
  <c r="F47" i="2" a="1"/>
  <c r="F47" i="2" s="1"/>
  <c r="G47" i="2" a="1"/>
  <c r="G47" i="2" s="1"/>
  <c r="F48" i="2" a="1"/>
  <c r="F48" i="2" s="1"/>
  <c r="G48" i="2" a="1"/>
  <c r="G48" i="2"/>
  <c r="F49" i="2" a="1"/>
  <c r="F49" i="2"/>
  <c r="G49" i="2" a="1"/>
  <c r="G49" i="2" s="1"/>
  <c r="F50" i="2" a="1"/>
  <c r="F50" i="2" s="1"/>
  <c r="G50" i="2" a="1"/>
  <c r="G50" i="2" s="1"/>
  <c r="F51" i="2" a="1"/>
  <c r="F51" i="2" s="1"/>
  <c r="G51" i="2" a="1"/>
  <c r="G51" i="2" s="1"/>
  <c r="G29" i="2" a="1"/>
  <c r="G29" i="2" s="1"/>
  <c r="D5" i="19"/>
  <c r="D57" i="28"/>
  <c r="D58" i="29"/>
  <c r="D58" i="28"/>
  <c r="I58" i="28" s="1" a="1"/>
  <c r="I58" i="28" s="1"/>
  <c r="D58" i="27"/>
  <c r="I58" i="27" s="1" a="1"/>
  <c r="I58" i="27" s="1"/>
  <c r="D58" i="26"/>
  <c r="D58" i="25"/>
  <c r="D58" i="24"/>
  <c r="D58" i="23"/>
  <c r="I58" i="23" s="1" a="1"/>
  <c r="I58" i="23" s="1"/>
  <c r="D58" i="21"/>
  <c r="I58" i="21" s="1" a="1"/>
  <c r="I58" i="21" s="1"/>
  <c r="D58" i="20"/>
  <c r="D58" i="18"/>
  <c r="D58" i="17"/>
  <c r="D58" i="16"/>
  <c r="I58" i="16" s="1" a="1"/>
  <c r="I58" i="16" s="1"/>
  <c r="D58" i="15"/>
  <c r="D58" i="13"/>
  <c r="I58" i="13" s="1" a="1"/>
  <c r="I58" i="13" s="1"/>
  <c r="D58" i="12"/>
  <c r="I58" i="12" s="1" a="1"/>
  <c r="I58" i="12" s="1"/>
  <c r="D58" i="11"/>
  <c r="D58" i="10"/>
  <c r="I58" i="10" s="1" a="1"/>
  <c r="I58" i="10" s="1"/>
  <c r="D58" i="14"/>
  <c r="D58" i="9"/>
  <c r="I58" i="9" s="1" a="1"/>
  <c r="I58" i="9" s="1"/>
  <c r="D58" i="8"/>
  <c r="D58" i="7"/>
  <c r="D58" i="6"/>
  <c r="D58" i="5"/>
  <c r="D58" i="4"/>
  <c r="D58" i="3"/>
  <c r="I58" i="14" l="1" a="1"/>
  <c r="I58" i="14" s="1"/>
  <c r="I24" i="30"/>
  <c r="J20" i="30" a="1"/>
  <c r="J20" i="30" s="1"/>
  <c r="J24" i="30" s="1"/>
  <c r="I24" i="29"/>
  <c r="J24" i="29"/>
  <c r="I24" i="28"/>
  <c r="J24" i="28"/>
  <c r="I24" i="27"/>
  <c r="J24" i="27"/>
  <c r="J24" i="26"/>
  <c r="I24" i="25"/>
  <c r="J24" i="25"/>
  <c r="I58" i="25" a="1"/>
  <c r="I58" i="25" s="1"/>
  <c r="I24" i="24"/>
  <c r="J24" i="24"/>
  <c r="I24" i="23"/>
  <c r="J24" i="23"/>
  <c r="I24" i="22"/>
  <c r="J24" i="22"/>
  <c r="I24" i="21"/>
  <c r="J24" i="21"/>
  <c r="I24" i="20"/>
  <c r="J24" i="20"/>
  <c r="I58" i="20" a="1"/>
  <c r="I58" i="20" s="1"/>
  <c r="I24" i="19"/>
  <c r="J24" i="19"/>
  <c r="I24" i="17"/>
  <c r="J24" i="17"/>
  <c r="I24" i="16"/>
  <c r="J24" i="16"/>
  <c r="I24" i="18"/>
  <c r="J24" i="18"/>
  <c r="I24" i="15"/>
  <c r="J24" i="15"/>
  <c r="I24" i="13"/>
  <c r="J24" i="13"/>
  <c r="I24" i="12"/>
  <c r="J24" i="12"/>
  <c r="I24" i="11"/>
  <c r="J24" i="11"/>
  <c r="I24" i="10"/>
  <c r="J24" i="10"/>
  <c r="I24" i="14"/>
  <c r="J24" i="14"/>
  <c r="I24" i="9"/>
  <c r="J24" i="9"/>
  <c r="I24" i="8"/>
  <c r="J24" i="8"/>
  <c r="I24" i="7"/>
  <c r="J24" i="7"/>
  <c r="I24" i="6"/>
  <c r="J24" i="6"/>
  <c r="I58" i="6" a="1"/>
  <c r="I58" i="6" s="1"/>
  <c r="I24" i="5"/>
  <c r="J24" i="5"/>
  <c r="I58" i="5" a="1"/>
  <c r="I58" i="5" s="1"/>
  <c r="I24" i="4"/>
  <c r="J24" i="4"/>
  <c r="I24" i="3"/>
  <c r="J24" i="3"/>
  <c r="I58" i="29" a="1"/>
  <c r="I58" i="29" s="1"/>
  <c r="D59" i="28"/>
  <c r="I59" i="28" s="1" a="1"/>
  <c r="I59" i="28" s="1"/>
  <c r="I58" i="26" a="1"/>
  <c r="I58" i="26" s="1"/>
  <c r="I58" i="24" a="1"/>
  <c r="I58" i="24" s="1"/>
  <c r="I58" i="18" a="1"/>
  <c r="I58" i="18" s="1"/>
  <c r="I58" i="17" a="1"/>
  <c r="I58" i="17" s="1"/>
  <c r="I58" i="15" a="1"/>
  <c r="I58" i="15" s="1"/>
  <c r="I58" i="11" a="1"/>
  <c r="I58" i="11" s="1"/>
  <c r="I58" i="8" a="1"/>
  <c r="I58" i="8" s="1"/>
  <c r="I58" i="7" a="1"/>
  <c r="I58" i="7" s="1"/>
  <c r="I58" i="4" a="1"/>
  <c r="I58" i="4" s="1"/>
  <c r="I58" i="3" a="1"/>
  <c r="I58" i="3" s="1"/>
  <c r="I22" i="2"/>
  <c r="J22" i="2" s="1" a="1"/>
  <c r="J22" i="2" s="1"/>
  <c r="I23" i="2"/>
  <c r="J23" i="2" s="1" a="1"/>
  <c r="J23" i="2" s="1"/>
  <c r="H5" i="30"/>
  <c r="I25" i="61"/>
  <c r="I24" i="61"/>
  <c r="I23" i="61"/>
  <c r="I21" i="61"/>
  <c r="I20" i="61"/>
  <c r="I19" i="61"/>
  <c r="I17" i="61"/>
  <c r="I16" i="61"/>
  <c r="I15" i="61"/>
  <c r="I9" i="61"/>
  <c r="I8" i="61"/>
  <c r="I7" i="61"/>
  <c r="H25" i="61"/>
  <c r="H24" i="61"/>
  <c r="H23" i="61"/>
  <c r="H21" i="61"/>
  <c r="H20" i="61"/>
  <c r="H19" i="61"/>
  <c r="H17" i="61"/>
  <c r="H16" i="61"/>
  <c r="H15" i="61"/>
  <c r="H9" i="61"/>
  <c r="H8" i="61"/>
  <c r="H7" i="61"/>
  <c r="D49" i="61"/>
  <c r="D48" i="61"/>
  <c r="D47" i="61"/>
  <c r="D45" i="61"/>
  <c r="D44" i="61"/>
  <c r="D43" i="61"/>
  <c r="D41" i="61"/>
  <c r="D40" i="61"/>
  <c r="D39" i="61"/>
  <c r="D37" i="61"/>
  <c r="D36" i="61"/>
  <c r="D35" i="61"/>
  <c r="D33" i="61"/>
  <c r="D31" i="61"/>
  <c r="D29" i="61"/>
  <c r="D28" i="61"/>
  <c r="D26" i="61"/>
  <c r="D25" i="61"/>
  <c r="D24" i="61"/>
  <c r="D23" i="61"/>
  <c r="D22" i="61"/>
  <c r="D20" i="61"/>
  <c r="D19" i="61"/>
  <c r="D18" i="61"/>
  <c r="D17" i="61"/>
  <c r="D16" i="61"/>
  <c r="D14" i="61"/>
  <c r="D13" i="61"/>
  <c r="D11" i="61"/>
  <c r="D10" i="61"/>
  <c r="D9" i="61"/>
  <c r="D8" i="61"/>
  <c r="D7" i="61"/>
  <c r="C49" i="61"/>
  <c r="C48" i="61"/>
  <c r="C47" i="61"/>
  <c r="C45" i="61"/>
  <c r="C44" i="61"/>
  <c r="C43" i="61"/>
  <c r="C41" i="61"/>
  <c r="C40" i="61"/>
  <c r="C39" i="61"/>
  <c r="C37" i="61"/>
  <c r="C36" i="61"/>
  <c r="C35" i="61"/>
  <c r="C33" i="61"/>
  <c r="C31" i="61"/>
  <c r="C29" i="61"/>
  <c r="C28" i="61"/>
  <c r="C26" i="61"/>
  <c r="C25" i="61"/>
  <c r="C24" i="61"/>
  <c r="C23" i="61"/>
  <c r="C22" i="61"/>
  <c r="C20" i="61"/>
  <c r="C19" i="61"/>
  <c r="C18" i="61"/>
  <c r="C17" i="61"/>
  <c r="C16" i="61"/>
  <c r="C14" i="61"/>
  <c r="C13" i="61"/>
  <c r="C11" i="61"/>
  <c r="C10" i="61"/>
  <c r="C9" i="61"/>
  <c r="C8" i="61"/>
  <c r="C7" i="61"/>
  <c r="J24" i="2" l="1"/>
  <c r="I24" i="2"/>
  <c r="P6" i="58"/>
  <c r="P6" i="53" l="1"/>
  <c r="R12" i="61" l="1"/>
  <c r="Q12" i="61"/>
  <c r="O12" i="61"/>
  <c r="N12" i="61"/>
  <c r="M12" i="61"/>
  <c r="L12" i="61"/>
  <c r="P11" i="61"/>
  <c r="P13" i="61" s="1"/>
  <c r="R10" i="61"/>
  <c r="Q10" i="61"/>
  <c r="O10" i="61"/>
  <c r="N10" i="61"/>
  <c r="M10" i="61"/>
  <c r="L10" i="61"/>
  <c r="R9" i="61"/>
  <c r="Q9" i="61"/>
  <c r="Q11" i="61" s="1"/>
  <c r="O9" i="61"/>
  <c r="N9" i="61"/>
  <c r="M9" i="61"/>
  <c r="L9" i="61"/>
  <c r="R7" i="61"/>
  <c r="Q7" i="61"/>
  <c r="O7" i="61"/>
  <c r="N7" i="61"/>
  <c r="M7" i="61"/>
  <c r="L7" i="61"/>
  <c r="P6" i="61"/>
  <c r="P8" i="61" s="1"/>
  <c r="R5" i="61"/>
  <c r="Q5" i="61"/>
  <c r="O5" i="61"/>
  <c r="N5" i="61"/>
  <c r="M5" i="61"/>
  <c r="L5" i="61"/>
  <c r="R4" i="61"/>
  <c r="Q4" i="61"/>
  <c r="O4" i="61"/>
  <c r="N4" i="61"/>
  <c r="M4" i="61"/>
  <c r="L4" i="61"/>
  <c r="L6" i="61" s="1"/>
  <c r="L8" i="61" s="1"/>
  <c r="R12" i="60"/>
  <c r="Q12" i="60"/>
  <c r="O12" i="60"/>
  <c r="N12" i="60"/>
  <c r="M12" i="60"/>
  <c r="L12" i="60"/>
  <c r="P11" i="60"/>
  <c r="P13" i="60" s="1"/>
  <c r="R10" i="60"/>
  <c r="Q10" i="60"/>
  <c r="O10" i="60"/>
  <c r="O11" i="60" s="1"/>
  <c r="O13" i="60" s="1"/>
  <c r="N10" i="60"/>
  <c r="M10" i="60"/>
  <c r="L10" i="60"/>
  <c r="R9" i="60"/>
  <c r="R11" i="60" s="1"/>
  <c r="Q9" i="60"/>
  <c r="O9" i="60"/>
  <c r="N9" i="60"/>
  <c r="M9" i="60"/>
  <c r="L9" i="60"/>
  <c r="R7" i="60"/>
  <c r="Q7" i="60"/>
  <c r="O7" i="60"/>
  <c r="N7" i="60"/>
  <c r="M7" i="60"/>
  <c r="L7" i="60"/>
  <c r="P6" i="60"/>
  <c r="P8" i="60" s="1"/>
  <c r="R5" i="60"/>
  <c r="Q5" i="60"/>
  <c r="O5" i="60"/>
  <c r="N5" i="60"/>
  <c r="M5" i="60"/>
  <c r="L5" i="60"/>
  <c r="R4" i="60"/>
  <c r="Q4" i="60"/>
  <c r="Q6" i="60" s="1"/>
  <c r="O4" i="60"/>
  <c r="N4" i="60"/>
  <c r="N6" i="60" s="1"/>
  <c r="N8" i="60" s="1"/>
  <c r="M4" i="60"/>
  <c r="M6" i="60" s="1"/>
  <c r="L4" i="60"/>
  <c r="R12" i="59"/>
  <c r="Q12" i="59"/>
  <c r="O12" i="59"/>
  <c r="N12" i="59"/>
  <c r="M12" i="59"/>
  <c r="L12" i="59"/>
  <c r="P11" i="59"/>
  <c r="P13" i="59" s="1"/>
  <c r="R10" i="59"/>
  <c r="Q10" i="59"/>
  <c r="Q11" i="59" s="1"/>
  <c r="O10" i="59"/>
  <c r="N10" i="59"/>
  <c r="M10" i="59"/>
  <c r="L10" i="59"/>
  <c r="R9" i="59"/>
  <c r="Q9" i="59"/>
  <c r="O9" i="59"/>
  <c r="N9" i="59"/>
  <c r="M9" i="59"/>
  <c r="M11" i="59" s="1"/>
  <c r="M13" i="59" s="1"/>
  <c r="L9" i="59"/>
  <c r="L11" i="59" s="1"/>
  <c r="L13" i="59" s="1"/>
  <c r="R7" i="59"/>
  <c r="Q7" i="59"/>
  <c r="O7" i="59"/>
  <c r="N7" i="59"/>
  <c r="M7" i="59"/>
  <c r="L7" i="59"/>
  <c r="P6" i="59"/>
  <c r="P8" i="59" s="1"/>
  <c r="R5" i="59"/>
  <c r="Q5" i="59"/>
  <c r="O5" i="59"/>
  <c r="N5" i="59"/>
  <c r="M5" i="59"/>
  <c r="L5" i="59"/>
  <c r="R4" i="59"/>
  <c r="Q4" i="59"/>
  <c r="Q6" i="59" s="1"/>
  <c r="Q8" i="59" s="1"/>
  <c r="O4" i="59"/>
  <c r="O6" i="59" s="1"/>
  <c r="O8" i="59" s="1"/>
  <c r="N4" i="59"/>
  <c r="M4" i="59"/>
  <c r="L4" i="59"/>
  <c r="R12" i="58"/>
  <c r="Q12" i="58"/>
  <c r="O12" i="58"/>
  <c r="N12" i="58"/>
  <c r="M12" i="58"/>
  <c r="L12" i="58"/>
  <c r="P11" i="58"/>
  <c r="P13" i="58" s="1"/>
  <c r="R10" i="58"/>
  <c r="Q10" i="58"/>
  <c r="O10" i="58"/>
  <c r="N10" i="58"/>
  <c r="M10" i="58"/>
  <c r="L10" i="58"/>
  <c r="R9" i="58"/>
  <c r="Q9" i="58"/>
  <c r="O9" i="58"/>
  <c r="N9" i="58"/>
  <c r="N11" i="58" s="1"/>
  <c r="N13" i="58" s="1"/>
  <c r="M9" i="58"/>
  <c r="L9" i="58"/>
  <c r="L11" i="58" s="1"/>
  <c r="L13" i="58" s="1"/>
  <c r="R7" i="58"/>
  <c r="Q7" i="58"/>
  <c r="O7" i="58"/>
  <c r="N7" i="58"/>
  <c r="M7" i="58"/>
  <c r="L7" i="58"/>
  <c r="P8" i="58"/>
  <c r="R5" i="58"/>
  <c r="Q5" i="58"/>
  <c r="O5" i="58"/>
  <c r="N5" i="58"/>
  <c r="M5" i="58"/>
  <c r="L5" i="58"/>
  <c r="R4" i="58"/>
  <c r="Q4" i="58"/>
  <c r="O4" i="58"/>
  <c r="N4" i="58"/>
  <c r="M4" i="58"/>
  <c r="L4" i="58"/>
  <c r="R12" i="57"/>
  <c r="Q12" i="57"/>
  <c r="O12" i="57"/>
  <c r="N12" i="57"/>
  <c r="M12" i="57"/>
  <c r="L12" i="57"/>
  <c r="Q11" i="57"/>
  <c r="P11" i="57"/>
  <c r="P13" i="57" s="1"/>
  <c r="R10" i="57"/>
  <c r="Q10" i="57"/>
  <c r="O10" i="57"/>
  <c r="N10" i="57"/>
  <c r="M10" i="57"/>
  <c r="L10" i="57"/>
  <c r="R9" i="57"/>
  <c r="R11" i="57" s="1"/>
  <c r="Q9" i="57"/>
  <c r="O9" i="57"/>
  <c r="O11" i="57" s="1"/>
  <c r="N9" i="57"/>
  <c r="M9" i="57"/>
  <c r="L9" i="57"/>
  <c r="R7" i="57"/>
  <c r="Q7" i="57"/>
  <c r="O7" i="57"/>
  <c r="N7" i="57"/>
  <c r="M7" i="57"/>
  <c r="L7" i="57"/>
  <c r="P6" i="57"/>
  <c r="P8" i="57" s="1"/>
  <c r="R5" i="57"/>
  <c r="Q5" i="57"/>
  <c r="O5" i="57"/>
  <c r="N5" i="57"/>
  <c r="M5" i="57"/>
  <c r="L5" i="57"/>
  <c r="R4" i="57"/>
  <c r="Q4" i="57"/>
  <c r="O4" i="57"/>
  <c r="N4" i="57"/>
  <c r="M4" i="57"/>
  <c r="M6" i="57" s="1"/>
  <c r="M8" i="57" s="1"/>
  <c r="L4" i="57"/>
  <c r="L6" i="57" s="1"/>
  <c r="L8" i="57" s="1"/>
  <c r="R12" i="56"/>
  <c r="Q12" i="56"/>
  <c r="O12" i="56"/>
  <c r="N12" i="56"/>
  <c r="M12" i="56"/>
  <c r="L12" i="56"/>
  <c r="P11" i="56"/>
  <c r="P13" i="56" s="1"/>
  <c r="R10" i="56"/>
  <c r="Q10" i="56"/>
  <c r="O10" i="56"/>
  <c r="N10" i="56"/>
  <c r="M10" i="56"/>
  <c r="L10" i="56"/>
  <c r="R9" i="56"/>
  <c r="R11" i="56" s="1"/>
  <c r="Q9" i="56"/>
  <c r="Q11" i="56" s="1"/>
  <c r="O9" i="56"/>
  <c r="N9" i="56"/>
  <c r="M9" i="56"/>
  <c r="L9" i="56"/>
  <c r="R7" i="56"/>
  <c r="Q7" i="56"/>
  <c r="O7" i="56"/>
  <c r="N7" i="56"/>
  <c r="M7" i="56"/>
  <c r="L7" i="56"/>
  <c r="P6" i="56"/>
  <c r="P8" i="56" s="1"/>
  <c r="R5" i="56"/>
  <c r="Q5" i="56"/>
  <c r="O5" i="56"/>
  <c r="N5" i="56"/>
  <c r="M5" i="56"/>
  <c r="L5" i="56"/>
  <c r="R4" i="56"/>
  <c r="Q4" i="56"/>
  <c r="O4" i="56"/>
  <c r="N4" i="56"/>
  <c r="M4" i="56"/>
  <c r="L4" i="56"/>
  <c r="R12" i="55"/>
  <c r="Q12" i="55"/>
  <c r="O12" i="55"/>
  <c r="N12" i="55"/>
  <c r="M12" i="55"/>
  <c r="L12" i="55"/>
  <c r="P11" i="55"/>
  <c r="P13" i="55" s="1"/>
  <c r="R10" i="55"/>
  <c r="Q10" i="55"/>
  <c r="O10" i="55"/>
  <c r="O11" i="55" s="1"/>
  <c r="N10" i="55"/>
  <c r="M10" i="55"/>
  <c r="L10" i="55"/>
  <c r="R9" i="55"/>
  <c r="Q9" i="55"/>
  <c r="O9" i="55"/>
  <c r="N9" i="55"/>
  <c r="M9" i="55"/>
  <c r="L9" i="55"/>
  <c r="L11" i="55" s="1"/>
  <c r="L13" i="55" s="1"/>
  <c r="R7" i="55"/>
  <c r="Q7" i="55"/>
  <c r="O7" i="55"/>
  <c r="N7" i="55"/>
  <c r="M7" i="55"/>
  <c r="L7" i="55"/>
  <c r="R6" i="55"/>
  <c r="P6" i="55"/>
  <c r="P8" i="55" s="1"/>
  <c r="R5" i="55"/>
  <c r="Q5" i="55"/>
  <c r="O5" i="55"/>
  <c r="N5" i="55"/>
  <c r="M5" i="55"/>
  <c r="L5" i="55"/>
  <c r="R4" i="55"/>
  <c r="Q4" i="55"/>
  <c r="O4" i="55"/>
  <c r="N4" i="55"/>
  <c r="M4" i="55"/>
  <c r="L4" i="55"/>
  <c r="R12" i="54"/>
  <c r="Q12" i="54"/>
  <c r="O12" i="54"/>
  <c r="N12" i="54"/>
  <c r="M12" i="54"/>
  <c r="L12" i="54"/>
  <c r="P11" i="54"/>
  <c r="P13" i="54" s="1"/>
  <c r="R10" i="54"/>
  <c r="Q10" i="54"/>
  <c r="O10" i="54"/>
  <c r="N10" i="54"/>
  <c r="M10" i="54"/>
  <c r="L10" i="54"/>
  <c r="R9" i="54"/>
  <c r="Q9" i="54"/>
  <c r="O9" i="54"/>
  <c r="N9" i="54"/>
  <c r="N11" i="54" s="1"/>
  <c r="N13" i="54" s="1"/>
  <c r="M9" i="54"/>
  <c r="M11" i="54" s="1"/>
  <c r="M13" i="54" s="1"/>
  <c r="L9" i="54"/>
  <c r="L11" i="54" s="1"/>
  <c r="R7" i="54"/>
  <c r="Q7" i="54"/>
  <c r="O7" i="54"/>
  <c r="N7" i="54"/>
  <c r="M7" i="54"/>
  <c r="L7" i="54"/>
  <c r="P6" i="54"/>
  <c r="P8" i="54" s="1"/>
  <c r="R5" i="54"/>
  <c r="Q5" i="54"/>
  <c r="O5" i="54"/>
  <c r="N5" i="54"/>
  <c r="M5" i="54"/>
  <c r="L5" i="54"/>
  <c r="R4" i="54"/>
  <c r="Q4" i="54"/>
  <c r="Q6" i="54" s="1"/>
  <c r="O4" i="54"/>
  <c r="N4" i="54"/>
  <c r="M4" i="54"/>
  <c r="L4" i="54"/>
  <c r="R12" i="53"/>
  <c r="Q12" i="53"/>
  <c r="O12" i="53"/>
  <c r="N12" i="53"/>
  <c r="M12" i="53"/>
  <c r="L12" i="53"/>
  <c r="P11" i="53"/>
  <c r="P13" i="53" s="1"/>
  <c r="R10" i="53"/>
  <c r="Q10" i="53"/>
  <c r="Q11" i="53" s="1"/>
  <c r="Q13" i="53" s="1"/>
  <c r="O10" i="53"/>
  <c r="N10" i="53"/>
  <c r="M10" i="53"/>
  <c r="L10" i="53"/>
  <c r="R9" i="53"/>
  <c r="R11" i="53" s="1"/>
  <c r="Q9" i="53"/>
  <c r="O9" i="53"/>
  <c r="O11" i="53" s="1"/>
  <c r="O13" i="53" s="1"/>
  <c r="N9" i="53"/>
  <c r="N11" i="53" s="1"/>
  <c r="M9" i="53"/>
  <c r="M11" i="53" s="1"/>
  <c r="L9" i="53"/>
  <c r="L11" i="53" s="1"/>
  <c r="R7" i="53"/>
  <c r="Q7" i="53"/>
  <c r="O7" i="53"/>
  <c r="N7" i="53"/>
  <c r="M7" i="53"/>
  <c r="L7" i="53"/>
  <c r="P8" i="53"/>
  <c r="R5" i="53"/>
  <c r="Q5" i="53"/>
  <c r="O5" i="53"/>
  <c r="N5" i="53"/>
  <c r="M5" i="53"/>
  <c r="L5" i="53"/>
  <c r="R4" i="53"/>
  <c r="R6" i="53" s="1"/>
  <c r="Q4" i="53"/>
  <c r="O4" i="53"/>
  <c r="N4" i="53"/>
  <c r="M4" i="53"/>
  <c r="M6" i="53" s="1"/>
  <c r="M8" i="53" s="1"/>
  <c r="L4" i="53"/>
  <c r="L6" i="53" s="1"/>
  <c r="L8" i="53" s="1"/>
  <c r="R12" i="52"/>
  <c r="Q12" i="52"/>
  <c r="O12" i="52"/>
  <c r="N12" i="52"/>
  <c r="M12" i="52"/>
  <c r="L12" i="52"/>
  <c r="P11" i="52"/>
  <c r="P13" i="52" s="1"/>
  <c r="R10" i="52"/>
  <c r="Q10" i="52"/>
  <c r="O10" i="52"/>
  <c r="N10" i="52"/>
  <c r="M10" i="52"/>
  <c r="L10" i="52"/>
  <c r="R9" i="52"/>
  <c r="R11" i="52" s="1"/>
  <c r="Q9" i="52"/>
  <c r="Q11" i="52" s="1"/>
  <c r="O9" i="52"/>
  <c r="N9" i="52"/>
  <c r="N11" i="52" s="1"/>
  <c r="M9" i="52"/>
  <c r="M11" i="52" s="1"/>
  <c r="L9" i="52"/>
  <c r="R7" i="52"/>
  <c r="Q7" i="52"/>
  <c r="O7" i="52"/>
  <c r="N7" i="52"/>
  <c r="M7" i="52"/>
  <c r="L7" i="52"/>
  <c r="P6" i="52"/>
  <c r="P8" i="52" s="1"/>
  <c r="R5" i="52"/>
  <c r="Q5" i="52"/>
  <c r="O5" i="52"/>
  <c r="N5" i="52"/>
  <c r="M5" i="52"/>
  <c r="L5" i="52"/>
  <c r="R4" i="52"/>
  <c r="Q4" i="52"/>
  <c r="O4" i="52"/>
  <c r="O6" i="52" s="1"/>
  <c r="O8" i="52" s="1"/>
  <c r="N4" i="52"/>
  <c r="N6" i="52" s="1"/>
  <c r="N8" i="52" s="1"/>
  <c r="M4" i="52"/>
  <c r="M6" i="52" s="1"/>
  <c r="L4" i="52"/>
  <c r="R12" i="51"/>
  <c r="Q12" i="51"/>
  <c r="O12" i="51"/>
  <c r="N12" i="51"/>
  <c r="M12" i="51"/>
  <c r="L12" i="51"/>
  <c r="P11" i="51"/>
  <c r="P13" i="51" s="1"/>
  <c r="R10" i="51"/>
  <c r="Q10" i="51"/>
  <c r="O10" i="51"/>
  <c r="N10" i="51"/>
  <c r="M10" i="51"/>
  <c r="L10" i="51"/>
  <c r="R9" i="51"/>
  <c r="Q9" i="51"/>
  <c r="O9" i="51"/>
  <c r="N9" i="51"/>
  <c r="M9" i="51"/>
  <c r="L9" i="51"/>
  <c r="L11" i="51" s="1"/>
  <c r="L13" i="51" s="1"/>
  <c r="R7" i="51"/>
  <c r="Q7" i="51"/>
  <c r="O7" i="51"/>
  <c r="N7" i="51"/>
  <c r="M7" i="51"/>
  <c r="L7" i="51"/>
  <c r="R6" i="51"/>
  <c r="P6" i="51"/>
  <c r="P8" i="51" s="1"/>
  <c r="R5" i="51"/>
  <c r="Q5" i="51"/>
  <c r="O5" i="51"/>
  <c r="N5" i="51"/>
  <c r="M5" i="51"/>
  <c r="L5" i="51"/>
  <c r="R4" i="51"/>
  <c r="Q4" i="51"/>
  <c r="Q6" i="51" s="1"/>
  <c r="Q8" i="51" s="1"/>
  <c r="O4" i="51"/>
  <c r="N4" i="51"/>
  <c r="M4" i="51"/>
  <c r="L4" i="51"/>
  <c r="R12" i="50"/>
  <c r="Q12" i="50"/>
  <c r="O12" i="50"/>
  <c r="N12" i="50"/>
  <c r="M12" i="50"/>
  <c r="L12" i="50"/>
  <c r="P11" i="50"/>
  <c r="P13" i="50" s="1"/>
  <c r="R10" i="50"/>
  <c r="Q10" i="50"/>
  <c r="O10" i="50"/>
  <c r="N10" i="50"/>
  <c r="M10" i="50"/>
  <c r="L10" i="50"/>
  <c r="R9" i="50"/>
  <c r="R11" i="50" s="1"/>
  <c r="Q9" i="50"/>
  <c r="O9" i="50"/>
  <c r="N9" i="50"/>
  <c r="N11" i="50" s="1"/>
  <c r="N13" i="50" s="1"/>
  <c r="M9" i="50"/>
  <c r="M11" i="50" s="1"/>
  <c r="M13" i="50" s="1"/>
  <c r="L9" i="50"/>
  <c r="L11" i="50" s="1"/>
  <c r="R7" i="50"/>
  <c r="Q7" i="50"/>
  <c r="O7" i="50"/>
  <c r="N7" i="50"/>
  <c r="M7" i="50"/>
  <c r="L7" i="50"/>
  <c r="P6" i="50"/>
  <c r="P8" i="50" s="1"/>
  <c r="R5" i="50"/>
  <c r="Q5" i="50"/>
  <c r="O5" i="50"/>
  <c r="N5" i="50"/>
  <c r="M5" i="50"/>
  <c r="L5" i="50"/>
  <c r="R4" i="50"/>
  <c r="Q4" i="50"/>
  <c r="O4" i="50"/>
  <c r="N4" i="50"/>
  <c r="N6" i="50" s="1"/>
  <c r="M4" i="50"/>
  <c r="M6" i="50" s="1"/>
  <c r="L4" i="50"/>
  <c r="R12" i="49"/>
  <c r="Q12" i="49"/>
  <c r="O12" i="49"/>
  <c r="N12" i="49"/>
  <c r="M12" i="49"/>
  <c r="L12" i="49"/>
  <c r="R11" i="49"/>
  <c r="R13" i="49" s="1"/>
  <c r="P11" i="49"/>
  <c r="P13" i="49" s="1"/>
  <c r="R10" i="49"/>
  <c r="Q10" i="49"/>
  <c r="O10" i="49"/>
  <c r="N10" i="49"/>
  <c r="M10" i="49"/>
  <c r="L10" i="49"/>
  <c r="R9" i="49"/>
  <c r="Q9" i="49"/>
  <c r="Q11" i="49" s="1"/>
  <c r="O9" i="49"/>
  <c r="O11" i="49" s="1"/>
  <c r="N9" i="49"/>
  <c r="N11" i="49" s="1"/>
  <c r="M9" i="49"/>
  <c r="L9" i="49"/>
  <c r="R7" i="49"/>
  <c r="Q7" i="49"/>
  <c r="O7" i="49"/>
  <c r="N7" i="49"/>
  <c r="M7" i="49"/>
  <c r="L7" i="49"/>
  <c r="P6" i="49"/>
  <c r="P8" i="49" s="1"/>
  <c r="R5" i="49"/>
  <c r="Q5" i="49"/>
  <c r="O5" i="49"/>
  <c r="N5" i="49"/>
  <c r="M5" i="49"/>
  <c r="L5" i="49"/>
  <c r="R4" i="49"/>
  <c r="Q4" i="49"/>
  <c r="Q6" i="49" s="1"/>
  <c r="O4" i="49"/>
  <c r="O6" i="49" s="1"/>
  <c r="O8" i="49" s="1"/>
  <c r="N4" i="49"/>
  <c r="M4" i="49"/>
  <c r="L4" i="49"/>
  <c r="R12" i="48"/>
  <c r="Q12" i="48"/>
  <c r="O12" i="48"/>
  <c r="N12" i="48"/>
  <c r="M12" i="48"/>
  <c r="L12" i="48"/>
  <c r="Q11" i="48"/>
  <c r="P11" i="48"/>
  <c r="P13" i="48" s="1"/>
  <c r="R10" i="48"/>
  <c r="Q10" i="48"/>
  <c r="O10" i="48"/>
  <c r="O11" i="48" s="1"/>
  <c r="N10" i="48"/>
  <c r="M10" i="48"/>
  <c r="L10" i="48"/>
  <c r="R9" i="48"/>
  <c r="R11" i="48" s="1"/>
  <c r="Q9" i="48"/>
  <c r="O9" i="48"/>
  <c r="N9" i="48"/>
  <c r="N11" i="48" s="1"/>
  <c r="M9" i="48"/>
  <c r="L9" i="48"/>
  <c r="L11" i="48" s="1"/>
  <c r="R7" i="48"/>
  <c r="Q7" i="48"/>
  <c r="O7" i="48"/>
  <c r="N7" i="48"/>
  <c r="M7" i="48"/>
  <c r="L7" i="48"/>
  <c r="P6" i="48"/>
  <c r="P8" i="48" s="1"/>
  <c r="R5" i="48"/>
  <c r="Q5" i="48"/>
  <c r="O5" i="48"/>
  <c r="N5" i="48"/>
  <c r="M5" i="48"/>
  <c r="L5" i="48"/>
  <c r="R4" i="48"/>
  <c r="Q4" i="48"/>
  <c r="O4" i="48"/>
  <c r="N4" i="48"/>
  <c r="N6" i="48" s="1"/>
  <c r="N8" i="48" s="1"/>
  <c r="M4" i="48"/>
  <c r="M6" i="48" s="1"/>
  <c r="M8" i="48" s="1"/>
  <c r="L4" i="48"/>
  <c r="L6" i="48" s="1"/>
  <c r="L8" i="48" s="1"/>
  <c r="R12" i="47"/>
  <c r="Q12" i="47"/>
  <c r="O12" i="47"/>
  <c r="N12" i="47"/>
  <c r="M12" i="47"/>
  <c r="L12" i="47"/>
  <c r="P11" i="47"/>
  <c r="P13" i="47" s="1"/>
  <c r="R10" i="47"/>
  <c r="Q10" i="47"/>
  <c r="O10" i="47"/>
  <c r="O11" i="47" s="1"/>
  <c r="O13" i="47" s="1"/>
  <c r="N10" i="47"/>
  <c r="M10" i="47"/>
  <c r="L10" i="47"/>
  <c r="R9" i="47"/>
  <c r="R11" i="47" s="1"/>
  <c r="Q9" i="47"/>
  <c r="Q11" i="47" s="1"/>
  <c r="O9" i="47"/>
  <c r="N9" i="47"/>
  <c r="N11" i="47" s="1"/>
  <c r="M9" i="47"/>
  <c r="M11" i="47" s="1"/>
  <c r="L9" i="47"/>
  <c r="R7" i="47"/>
  <c r="Q7" i="47"/>
  <c r="O7" i="47"/>
  <c r="N7" i="47"/>
  <c r="M7" i="47"/>
  <c r="L7" i="47"/>
  <c r="P6" i="47"/>
  <c r="P8" i="47" s="1"/>
  <c r="R5" i="47"/>
  <c r="Q5" i="47"/>
  <c r="O5" i="47"/>
  <c r="N5" i="47"/>
  <c r="M5" i="47"/>
  <c r="L5" i="47"/>
  <c r="R4" i="47"/>
  <c r="Q4" i="47"/>
  <c r="O4" i="47"/>
  <c r="N4" i="47"/>
  <c r="N6" i="47" s="1"/>
  <c r="N8" i="47" s="1"/>
  <c r="M4" i="47"/>
  <c r="M6" i="47" s="1"/>
  <c r="L4" i="47"/>
  <c r="R12" i="46"/>
  <c r="Q12" i="46"/>
  <c r="O12" i="46"/>
  <c r="N12" i="46"/>
  <c r="M12" i="46"/>
  <c r="L12" i="46"/>
  <c r="P11" i="46"/>
  <c r="P13" i="46" s="1"/>
  <c r="R10" i="46"/>
  <c r="Q10" i="46"/>
  <c r="O10" i="46"/>
  <c r="N10" i="46"/>
  <c r="M10" i="46"/>
  <c r="L10" i="46"/>
  <c r="R9" i="46"/>
  <c r="Q9" i="46"/>
  <c r="O9" i="46"/>
  <c r="N9" i="46"/>
  <c r="M9" i="46"/>
  <c r="L9" i="46"/>
  <c r="L11" i="46" s="1"/>
  <c r="L13" i="46" s="1"/>
  <c r="R7" i="46"/>
  <c r="Q7" i="46"/>
  <c r="O7" i="46"/>
  <c r="N7" i="46"/>
  <c r="M7" i="46"/>
  <c r="L7" i="46"/>
  <c r="R6" i="46"/>
  <c r="P6" i="46"/>
  <c r="P8" i="46" s="1"/>
  <c r="R5" i="46"/>
  <c r="Q5" i="46"/>
  <c r="O5" i="46"/>
  <c r="N5" i="46"/>
  <c r="M5" i="46"/>
  <c r="L5" i="46"/>
  <c r="R4" i="46"/>
  <c r="Q4" i="46"/>
  <c r="Q6" i="46" s="1"/>
  <c r="O4" i="46"/>
  <c r="N4" i="46"/>
  <c r="M4" i="46"/>
  <c r="L4" i="46"/>
  <c r="R12" i="45"/>
  <c r="Q12" i="45"/>
  <c r="O12" i="45"/>
  <c r="N12" i="45"/>
  <c r="M12" i="45"/>
  <c r="L12" i="45"/>
  <c r="P11" i="45"/>
  <c r="P13" i="45" s="1"/>
  <c r="R10" i="45"/>
  <c r="R11" i="45" s="1"/>
  <c r="Q10" i="45"/>
  <c r="O10" i="45"/>
  <c r="N10" i="45"/>
  <c r="M10" i="45"/>
  <c r="L10" i="45"/>
  <c r="R9" i="45"/>
  <c r="Q9" i="45"/>
  <c r="O9" i="45"/>
  <c r="N9" i="45"/>
  <c r="N11" i="45" s="1"/>
  <c r="N13" i="45" s="1"/>
  <c r="M9" i="45"/>
  <c r="M11" i="45" s="1"/>
  <c r="M13" i="45" s="1"/>
  <c r="L9" i="45"/>
  <c r="L11" i="45" s="1"/>
  <c r="R7" i="45"/>
  <c r="Q7" i="45"/>
  <c r="O7" i="45"/>
  <c r="N7" i="45"/>
  <c r="M7" i="45"/>
  <c r="L7" i="45"/>
  <c r="P6" i="45"/>
  <c r="P8" i="45" s="1"/>
  <c r="R5" i="45"/>
  <c r="Q5" i="45"/>
  <c r="O5" i="45"/>
  <c r="O6" i="45" s="1"/>
  <c r="N5" i="45"/>
  <c r="M5" i="45"/>
  <c r="L5" i="45"/>
  <c r="R4" i="45"/>
  <c r="Q4" i="45"/>
  <c r="O4" i="45"/>
  <c r="N4" i="45"/>
  <c r="M4" i="45"/>
  <c r="L4" i="45"/>
  <c r="R12" i="44"/>
  <c r="Q12" i="44"/>
  <c r="O12" i="44"/>
  <c r="N12" i="44"/>
  <c r="M12" i="44"/>
  <c r="L12" i="44"/>
  <c r="P11" i="44"/>
  <c r="P13" i="44" s="1"/>
  <c r="R10" i="44"/>
  <c r="Q10" i="44"/>
  <c r="O10" i="44"/>
  <c r="N10" i="44"/>
  <c r="M10" i="44"/>
  <c r="L10" i="44"/>
  <c r="R9" i="44"/>
  <c r="Q9" i="44"/>
  <c r="O9" i="44"/>
  <c r="O11" i="44" s="1"/>
  <c r="O13" i="44" s="1"/>
  <c r="N9" i="44"/>
  <c r="M9" i="44"/>
  <c r="M11" i="44" s="1"/>
  <c r="L9" i="44"/>
  <c r="R7" i="44"/>
  <c r="Q7" i="44"/>
  <c r="O7" i="44"/>
  <c r="N7" i="44"/>
  <c r="M7" i="44"/>
  <c r="L7" i="44"/>
  <c r="P6" i="44"/>
  <c r="P8" i="44" s="1"/>
  <c r="R5" i="44"/>
  <c r="Q5" i="44"/>
  <c r="O5" i="44"/>
  <c r="O6" i="44" s="1"/>
  <c r="N5" i="44"/>
  <c r="M5" i="44"/>
  <c r="L5" i="44"/>
  <c r="R4" i="44"/>
  <c r="Q4" i="44"/>
  <c r="O4" i="44"/>
  <c r="N4" i="44"/>
  <c r="M4" i="44"/>
  <c r="L4" i="44"/>
  <c r="R12" i="43"/>
  <c r="Q12" i="43"/>
  <c r="O12" i="43"/>
  <c r="N12" i="43"/>
  <c r="M12" i="43"/>
  <c r="L12" i="43"/>
  <c r="P11" i="43"/>
  <c r="P13" i="43" s="1"/>
  <c r="R10" i="43"/>
  <c r="Q10" i="43"/>
  <c r="O10" i="43"/>
  <c r="N10" i="43"/>
  <c r="M10" i="43"/>
  <c r="L10" i="43"/>
  <c r="R9" i="43"/>
  <c r="Q9" i="43"/>
  <c r="O9" i="43"/>
  <c r="N9" i="43"/>
  <c r="M9" i="43"/>
  <c r="L9" i="43"/>
  <c r="R7" i="43"/>
  <c r="Q7" i="43"/>
  <c r="O7" i="43"/>
  <c r="N7" i="43"/>
  <c r="M7" i="43"/>
  <c r="L7" i="43"/>
  <c r="P6" i="43"/>
  <c r="P8" i="43" s="1"/>
  <c r="R5" i="43"/>
  <c r="Q5" i="43"/>
  <c r="O5" i="43"/>
  <c r="N5" i="43"/>
  <c r="M5" i="43"/>
  <c r="L5" i="43"/>
  <c r="R4" i="43"/>
  <c r="Q4" i="43"/>
  <c r="O4" i="43"/>
  <c r="N4" i="43"/>
  <c r="M4" i="43"/>
  <c r="L4" i="43"/>
  <c r="R12" i="42"/>
  <c r="Q12" i="42"/>
  <c r="O12" i="42"/>
  <c r="N12" i="42"/>
  <c r="M12" i="42"/>
  <c r="L12" i="42"/>
  <c r="R11" i="42"/>
  <c r="R13" i="42" s="1"/>
  <c r="P11" i="42"/>
  <c r="P13" i="42" s="1"/>
  <c r="R10" i="42"/>
  <c r="Q10" i="42"/>
  <c r="O10" i="42"/>
  <c r="N10" i="42"/>
  <c r="M10" i="42"/>
  <c r="L10" i="42"/>
  <c r="R9" i="42"/>
  <c r="Q9" i="42"/>
  <c r="Q11" i="42" s="1"/>
  <c r="O9" i="42"/>
  <c r="N9" i="42"/>
  <c r="N11" i="42" s="1"/>
  <c r="N13" i="42" s="1"/>
  <c r="M9" i="42"/>
  <c r="L9" i="42"/>
  <c r="R8" i="42"/>
  <c r="R7" i="42"/>
  <c r="Q7" i="42"/>
  <c r="O7" i="42"/>
  <c r="N7" i="42"/>
  <c r="M7" i="42"/>
  <c r="L7" i="42"/>
  <c r="R6" i="42"/>
  <c r="Q6" i="42"/>
  <c r="P6" i="42"/>
  <c r="P8" i="42" s="1"/>
  <c r="R5" i="42"/>
  <c r="Q5" i="42"/>
  <c r="O5" i="42"/>
  <c r="N5" i="42"/>
  <c r="M5" i="42"/>
  <c r="L5" i="42"/>
  <c r="R4" i="42"/>
  <c r="Q4" i="42"/>
  <c r="O4" i="42"/>
  <c r="O6" i="42" s="1"/>
  <c r="O8" i="42" s="1"/>
  <c r="N4" i="42"/>
  <c r="N6" i="42" s="1"/>
  <c r="N8" i="42" s="1"/>
  <c r="M4" i="42"/>
  <c r="L4" i="42"/>
  <c r="R12" i="41"/>
  <c r="Q12" i="41"/>
  <c r="O12" i="41"/>
  <c r="N12" i="41"/>
  <c r="M12" i="41"/>
  <c r="L12" i="41"/>
  <c r="P11" i="41"/>
  <c r="P13" i="41" s="1"/>
  <c r="R10" i="41"/>
  <c r="Q10" i="41"/>
  <c r="O10" i="41"/>
  <c r="N10" i="41"/>
  <c r="M10" i="41"/>
  <c r="L10" i="41"/>
  <c r="R9" i="41"/>
  <c r="Q9" i="41"/>
  <c r="O9" i="41"/>
  <c r="N9" i="41"/>
  <c r="N11" i="41" s="1"/>
  <c r="M9" i="41"/>
  <c r="M11" i="41" s="1"/>
  <c r="L9" i="41"/>
  <c r="L11" i="41" s="1"/>
  <c r="R7" i="41"/>
  <c r="Q7" i="41"/>
  <c r="O7" i="41"/>
  <c r="N7" i="41"/>
  <c r="M7" i="41"/>
  <c r="L7" i="41"/>
  <c r="P6" i="41"/>
  <c r="P8" i="41" s="1"/>
  <c r="R5" i="41"/>
  <c r="Q5" i="41"/>
  <c r="O5" i="41"/>
  <c r="N5" i="41"/>
  <c r="M5" i="41"/>
  <c r="L5" i="41"/>
  <c r="R4" i="41"/>
  <c r="Q4" i="41"/>
  <c r="O4" i="41"/>
  <c r="N4" i="41"/>
  <c r="M4" i="41"/>
  <c r="L4" i="41"/>
  <c r="R12" i="33"/>
  <c r="Q12" i="33"/>
  <c r="O12" i="33"/>
  <c r="N12" i="33"/>
  <c r="M12" i="33"/>
  <c r="L12" i="33"/>
  <c r="P11" i="33"/>
  <c r="P13" i="33" s="1"/>
  <c r="R10" i="33"/>
  <c r="Q10" i="33"/>
  <c r="O10" i="33"/>
  <c r="N10" i="33"/>
  <c r="M10" i="33"/>
  <c r="L10" i="33"/>
  <c r="R9" i="33"/>
  <c r="Q9" i="33"/>
  <c r="O9" i="33"/>
  <c r="O11" i="33" s="1"/>
  <c r="O13" i="33" s="1"/>
  <c r="N9" i="33"/>
  <c r="M9" i="33"/>
  <c r="L9" i="33"/>
  <c r="R7" i="33"/>
  <c r="Q7" i="33"/>
  <c r="O7" i="33"/>
  <c r="N7" i="33"/>
  <c r="M7" i="33"/>
  <c r="L7" i="33"/>
  <c r="P6" i="33"/>
  <c r="P8" i="33" s="1"/>
  <c r="R5" i="33"/>
  <c r="Q5" i="33"/>
  <c r="O5" i="33"/>
  <c r="O6" i="33" s="1"/>
  <c r="N5" i="33"/>
  <c r="M5" i="33"/>
  <c r="L5" i="33"/>
  <c r="R4" i="33"/>
  <c r="Q4" i="33"/>
  <c r="Q6" i="33" s="1"/>
  <c r="O4" i="33"/>
  <c r="N4" i="33"/>
  <c r="M4" i="33"/>
  <c r="L4" i="33"/>
  <c r="R12" i="40"/>
  <c r="Q12" i="40"/>
  <c r="O12" i="40"/>
  <c r="N12" i="40"/>
  <c r="M12" i="40"/>
  <c r="L12" i="40"/>
  <c r="P11" i="40"/>
  <c r="P13" i="40" s="1"/>
  <c r="R10" i="40"/>
  <c r="Q10" i="40"/>
  <c r="O10" i="40"/>
  <c r="N10" i="40"/>
  <c r="M10" i="40"/>
  <c r="L10" i="40"/>
  <c r="R9" i="40"/>
  <c r="Q9" i="40"/>
  <c r="Q11" i="40" s="1"/>
  <c r="O9" i="40"/>
  <c r="N9" i="40"/>
  <c r="N11" i="40" s="1"/>
  <c r="N13" i="40" s="1"/>
  <c r="M9" i="40"/>
  <c r="M11" i="40" s="1"/>
  <c r="M13" i="40" s="1"/>
  <c r="L9" i="40"/>
  <c r="R7" i="40"/>
  <c r="Q7" i="40"/>
  <c r="O7" i="40"/>
  <c r="N7" i="40"/>
  <c r="M7" i="40"/>
  <c r="L7" i="40"/>
  <c r="P6" i="40"/>
  <c r="P8" i="40" s="1"/>
  <c r="R5" i="40"/>
  <c r="Q5" i="40"/>
  <c r="Q6" i="40" s="1"/>
  <c r="O5" i="40"/>
  <c r="N5" i="40"/>
  <c r="M5" i="40"/>
  <c r="L5" i="40"/>
  <c r="R4" i="40"/>
  <c r="Q4" i="40"/>
  <c r="O4" i="40"/>
  <c r="N4" i="40"/>
  <c r="M4" i="40"/>
  <c r="M6" i="40" s="1"/>
  <c r="L4" i="40"/>
  <c r="L6" i="40" s="1"/>
  <c r="L8" i="40" s="1"/>
  <c r="R12" i="39"/>
  <c r="Q12" i="39"/>
  <c r="O12" i="39"/>
  <c r="N12" i="39"/>
  <c r="M12" i="39"/>
  <c r="L12" i="39"/>
  <c r="R11" i="39"/>
  <c r="P11" i="39"/>
  <c r="P13" i="39" s="1"/>
  <c r="R10" i="39"/>
  <c r="Q10" i="39"/>
  <c r="O10" i="39"/>
  <c r="N10" i="39"/>
  <c r="M10" i="39"/>
  <c r="L10" i="39"/>
  <c r="R9" i="39"/>
  <c r="Q9" i="39"/>
  <c r="Q11" i="39" s="1"/>
  <c r="O9" i="39"/>
  <c r="N9" i="39"/>
  <c r="M9" i="39"/>
  <c r="L9" i="39"/>
  <c r="R7" i="39"/>
  <c r="Q7" i="39"/>
  <c r="O7" i="39"/>
  <c r="N7" i="39"/>
  <c r="M7" i="39"/>
  <c r="L7" i="39"/>
  <c r="P6" i="39"/>
  <c r="P8" i="39" s="1"/>
  <c r="R5" i="39"/>
  <c r="Q5" i="39"/>
  <c r="O5" i="39"/>
  <c r="N5" i="39"/>
  <c r="M5" i="39"/>
  <c r="L5" i="39"/>
  <c r="R4" i="39"/>
  <c r="Q4" i="39"/>
  <c r="O4" i="39"/>
  <c r="N4" i="39"/>
  <c r="M4" i="39"/>
  <c r="M6" i="39" s="1"/>
  <c r="M8" i="39" s="1"/>
  <c r="L4" i="39"/>
  <c r="L6" i="39" s="1"/>
  <c r="L8" i="39" s="1"/>
  <c r="R12" i="38"/>
  <c r="Q12" i="38"/>
  <c r="O12" i="38"/>
  <c r="N12" i="38"/>
  <c r="M12" i="38"/>
  <c r="L12" i="38"/>
  <c r="P11" i="38"/>
  <c r="P13" i="38" s="1"/>
  <c r="R10" i="38"/>
  <c r="Q10" i="38"/>
  <c r="O10" i="38"/>
  <c r="N10" i="38"/>
  <c r="M10" i="38"/>
  <c r="L10" i="38"/>
  <c r="R9" i="38"/>
  <c r="R11" i="38" s="1"/>
  <c r="Q9" i="38"/>
  <c r="Q11" i="38" s="1"/>
  <c r="O9" i="38"/>
  <c r="O11" i="38" s="1"/>
  <c r="N9" i="38"/>
  <c r="M9" i="38"/>
  <c r="L9" i="38"/>
  <c r="R7" i="38"/>
  <c r="Q7" i="38"/>
  <c r="O7" i="38"/>
  <c r="N7" i="38"/>
  <c r="M7" i="38"/>
  <c r="L7" i="38"/>
  <c r="P6" i="38"/>
  <c r="P8" i="38" s="1"/>
  <c r="R5" i="38"/>
  <c r="Q5" i="38"/>
  <c r="O5" i="38"/>
  <c r="O6" i="38" s="1"/>
  <c r="O8" i="38" s="1"/>
  <c r="N5" i="38"/>
  <c r="M5" i="38"/>
  <c r="L5" i="38"/>
  <c r="R4" i="38"/>
  <c r="Q4" i="38"/>
  <c r="Q6" i="38" s="1"/>
  <c r="O4" i="38"/>
  <c r="N4" i="38"/>
  <c r="M4" i="38"/>
  <c r="L4" i="38"/>
  <c r="R12" i="37"/>
  <c r="Q12" i="37"/>
  <c r="O12" i="37"/>
  <c r="N12" i="37"/>
  <c r="M12" i="37"/>
  <c r="L12" i="37"/>
  <c r="P11" i="37"/>
  <c r="P13" i="37" s="1"/>
  <c r="R10" i="37"/>
  <c r="Q10" i="37"/>
  <c r="Q11" i="37" s="1"/>
  <c r="O10" i="37"/>
  <c r="N10" i="37"/>
  <c r="M10" i="37"/>
  <c r="L10" i="37"/>
  <c r="R9" i="37"/>
  <c r="R11" i="37" s="1"/>
  <c r="Q9" i="37"/>
  <c r="O9" i="37"/>
  <c r="N9" i="37"/>
  <c r="N11" i="37" s="1"/>
  <c r="M9" i="37"/>
  <c r="M11" i="37" s="1"/>
  <c r="M13" i="37" s="1"/>
  <c r="L9" i="37"/>
  <c r="L11" i="37" s="1"/>
  <c r="L13" i="37" s="1"/>
  <c r="R7" i="37"/>
  <c r="Q7" i="37"/>
  <c r="O7" i="37"/>
  <c r="N7" i="37"/>
  <c r="M7" i="37"/>
  <c r="L7" i="37"/>
  <c r="R6" i="37"/>
  <c r="P6" i="37"/>
  <c r="P8" i="37" s="1"/>
  <c r="R5" i="37"/>
  <c r="Q5" i="37"/>
  <c r="O5" i="37"/>
  <c r="N5" i="37"/>
  <c r="M5" i="37"/>
  <c r="L5" i="37"/>
  <c r="R4" i="37"/>
  <c r="Q4" i="37"/>
  <c r="O4" i="37"/>
  <c r="N4" i="37"/>
  <c r="M4" i="37"/>
  <c r="L4" i="37"/>
  <c r="R12" i="36"/>
  <c r="Q12" i="36"/>
  <c r="O12" i="36"/>
  <c r="N12" i="36"/>
  <c r="M12" i="36"/>
  <c r="L12" i="36"/>
  <c r="P11" i="36"/>
  <c r="P13" i="36" s="1"/>
  <c r="R10" i="36"/>
  <c r="Q10" i="36"/>
  <c r="O10" i="36"/>
  <c r="O11" i="36" s="1"/>
  <c r="N10" i="36"/>
  <c r="M10" i="36"/>
  <c r="L10" i="36"/>
  <c r="R9" i="36"/>
  <c r="Q9" i="36"/>
  <c r="O9" i="36"/>
  <c r="N9" i="36"/>
  <c r="N11" i="36" s="1"/>
  <c r="M9" i="36"/>
  <c r="M11" i="36" s="1"/>
  <c r="M13" i="36" s="1"/>
  <c r="L9" i="36"/>
  <c r="R7" i="36"/>
  <c r="Q7" i="36"/>
  <c r="O7" i="36"/>
  <c r="N7" i="36"/>
  <c r="M7" i="36"/>
  <c r="L7" i="36"/>
  <c r="P6" i="36"/>
  <c r="P8" i="36" s="1"/>
  <c r="R5" i="36"/>
  <c r="Q5" i="36"/>
  <c r="Q6" i="36" s="1"/>
  <c r="O5" i="36"/>
  <c r="N5" i="36"/>
  <c r="M5" i="36"/>
  <c r="L5" i="36"/>
  <c r="R4" i="36"/>
  <c r="Q4" i="36"/>
  <c r="O4" i="36"/>
  <c r="N4" i="36"/>
  <c r="M4" i="36"/>
  <c r="L4" i="36"/>
  <c r="L6" i="36" s="1"/>
  <c r="R11" i="61" l="1"/>
  <c r="M6" i="61"/>
  <c r="M8" i="61" s="1"/>
  <c r="Q6" i="61"/>
  <c r="M6" i="59"/>
  <c r="M8" i="59" s="1"/>
  <c r="R6" i="59"/>
  <c r="N6" i="59"/>
  <c r="N6" i="56"/>
  <c r="M6" i="56"/>
  <c r="O6" i="56"/>
  <c r="O8" i="56" s="1"/>
  <c r="Q6" i="56"/>
  <c r="Q8" i="56" s="1"/>
  <c r="R11" i="44"/>
  <c r="R13" i="44" s="1"/>
  <c r="L11" i="44"/>
  <c r="Q11" i="44"/>
  <c r="O8" i="44"/>
  <c r="Q6" i="44"/>
  <c r="R6" i="44"/>
  <c r="R8" i="44" s="1"/>
  <c r="M11" i="43"/>
  <c r="N11" i="43"/>
  <c r="Q11" i="33"/>
  <c r="R11" i="33"/>
  <c r="R13" i="33" s="1"/>
  <c r="O8" i="33"/>
  <c r="R6" i="33"/>
  <c r="M11" i="61"/>
  <c r="M13" i="61" s="1"/>
  <c r="N11" i="61"/>
  <c r="N13" i="61" s="1"/>
  <c r="L11" i="61"/>
  <c r="L13" i="61" s="1"/>
  <c r="O11" i="61"/>
  <c r="O13" i="61" s="1"/>
  <c r="Q13" i="61"/>
  <c r="R13" i="61"/>
  <c r="N6" i="61"/>
  <c r="N8" i="61" s="1"/>
  <c r="R6" i="61"/>
  <c r="R8" i="61" s="1"/>
  <c r="Q8" i="61"/>
  <c r="O6" i="61"/>
  <c r="O8" i="61" s="1"/>
  <c r="M11" i="60"/>
  <c r="M13" i="60" s="1"/>
  <c r="L11" i="60"/>
  <c r="L13" i="60" s="1"/>
  <c r="N11" i="60"/>
  <c r="N13" i="60" s="1"/>
  <c r="Q11" i="60"/>
  <c r="Q13" i="60"/>
  <c r="R13" i="60"/>
  <c r="M8" i="60"/>
  <c r="R6" i="60"/>
  <c r="L6" i="60"/>
  <c r="L8" i="60" s="1"/>
  <c r="R8" i="60"/>
  <c r="O6" i="60"/>
  <c r="O8" i="60" s="1"/>
  <c r="Q8" i="60"/>
  <c r="Q13" i="59"/>
  <c r="N11" i="59"/>
  <c r="N13" i="59" s="1"/>
  <c r="O11" i="59"/>
  <c r="O13" i="59" s="1"/>
  <c r="R11" i="59"/>
  <c r="R13" i="59"/>
  <c r="N8" i="59"/>
  <c r="L6" i="59"/>
  <c r="L8" i="59" s="1"/>
  <c r="R8" i="59"/>
  <c r="M11" i="58"/>
  <c r="M13" i="58" s="1"/>
  <c r="O11" i="58"/>
  <c r="O13" i="58" s="1"/>
  <c r="Q11" i="58"/>
  <c r="Q13" i="58" s="1"/>
  <c r="R11" i="58"/>
  <c r="R13" i="58"/>
  <c r="M6" i="58"/>
  <c r="M8" i="58" s="1"/>
  <c r="N6" i="58"/>
  <c r="N8" i="58" s="1"/>
  <c r="O6" i="58"/>
  <c r="O8" i="58" s="1"/>
  <c r="Q6" i="58"/>
  <c r="Q8" i="58" s="1"/>
  <c r="L6" i="58"/>
  <c r="L8" i="58" s="1"/>
  <c r="R6" i="58"/>
  <c r="R8" i="58"/>
  <c r="O13" i="57"/>
  <c r="L11" i="57"/>
  <c r="L13" i="57" s="1"/>
  <c r="M11" i="57"/>
  <c r="M13" i="57" s="1"/>
  <c r="N11" i="57"/>
  <c r="N13" i="57" s="1"/>
  <c r="Q13" i="57"/>
  <c r="R13" i="57"/>
  <c r="N6" i="57"/>
  <c r="N8" i="57" s="1"/>
  <c r="Q6" i="57"/>
  <c r="R6" i="57"/>
  <c r="O6" i="57"/>
  <c r="O8" i="57" s="1"/>
  <c r="Q8" i="57"/>
  <c r="R8" i="57"/>
  <c r="Q13" i="56"/>
  <c r="L11" i="56"/>
  <c r="L13" i="56" s="1"/>
  <c r="N11" i="56"/>
  <c r="N13" i="56" s="1"/>
  <c r="M11" i="56"/>
  <c r="M13" i="56" s="1"/>
  <c r="O11" i="56"/>
  <c r="O13" i="56" s="1"/>
  <c r="R13" i="56"/>
  <c r="M8" i="56"/>
  <c r="N8" i="56"/>
  <c r="R6" i="56"/>
  <c r="R8" i="56" s="1"/>
  <c r="L6" i="56"/>
  <c r="L8" i="56" s="1"/>
  <c r="O13" i="55"/>
  <c r="M11" i="55"/>
  <c r="M13" i="55" s="1"/>
  <c r="R11" i="55"/>
  <c r="N11" i="55"/>
  <c r="N13" i="55" s="1"/>
  <c r="Q11" i="55"/>
  <c r="Q13" i="55"/>
  <c r="R13" i="55"/>
  <c r="N6" i="55"/>
  <c r="N8" i="55" s="1"/>
  <c r="L6" i="55"/>
  <c r="L8" i="55" s="1"/>
  <c r="M6" i="55"/>
  <c r="M8" i="55" s="1"/>
  <c r="Q6" i="55"/>
  <c r="O6" i="55"/>
  <c r="O8" i="55" s="1"/>
  <c r="Q8" i="55"/>
  <c r="R8" i="55"/>
  <c r="L13" i="54"/>
  <c r="O11" i="54"/>
  <c r="Q11" i="54"/>
  <c r="Q13" i="54" s="1"/>
  <c r="R11" i="54"/>
  <c r="R13" i="54"/>
  <c r="Q8" i="54"/>
  <c r="N6" i="54"/>
  <c r="N8" i="54" s="1"/>
  <c r="M6" i="54"/>
  <c r="M8" i="54" s="1"/>
  <c r="O6" i="54"/>
  <c r="O8" i="54" s="1"/>
  <c r="L6" i="54"/>
  <c r="L8" i="54" s="1"/>
  <c r="R6" i="54"/>
  <c r="R8" i="54"/>
  <c r="L13" i="53"/>
  <c r="M13" i="53"/>
  <c r="N13" i="53"/>
  <c r="R13" i="53"/>
  <c r="N6" i="53"/>
  <c r="N8" i="53" s="1"/>
  <c r="O6" i="53"/>
  <c r="O8" i="53" s="1"/>
  <c r="Q6" i="53"/>
  <c r="Q8" i="53" s="1"/>
  <c r="R8" i="53"/>
  <c r="N13" i="52"/>
  <c r="M13" i="52"/>
  <c r="L11" i="52"/>
  <c r="L13" i="52" s="1"/>
  <c r="O11" i="52"/>
  <c r="O13" i="52" s="1"/>
  <c r="Q13" i="52"/>
  <c r="R13" i="52"/>
  <c r="M8" i="52"/>
  <c r="Q6" i="52"/>
  <c r="R6" i="52"/>
  <c r="L6" i="52"/>
  <c r="L8" i="52" s="1"/>
  <c r="R8" i="52"/>
  <c r="Q8" i="52"/>
  <c r="O11" i="51"/>
  <c r="O13" i="51" s="1"/>
  <c r="M11" i="51"/>
  <c r="M13" i="51" s="1"/>
  <c r="Q11" i="51"/>
  <c r="Q13" i="51" s="1"/>
  <c r="N11" i="51"/>
  <c r="N13" i="51" s="1"/>
  <c r="R11" i="51"/>
  <c r="R13" i="51"/>
  <c r="L6" i="51"/>
  <c r="L8" i="51" s="1"/>
  <c r="N6" i="51"/>
  <c r="N8" i="51" s="1"/>
  <c r="M6" i="51"/>
  <c r="M8" i="51" s="1"/>
  <c r="O6" i="51"/>
  <c r="O8" i="51" s="1"/>
  <c r="R8" i="51"/>
  <c r="L13" i="50"/>
  <c r="O11" i="50"/>
  <c r="O13" i="50" s="1"/>
  <c r="Q11" i="50"/>
  <c r="Q13" i="50"/>
  <c r="R13" i="50"/>
  <c r="M8" i="50"/>
  <c r="N8" i="50"/>
  <c r="L6" i="50"/>
  <c r="L8" i="50" s="1"/>
  <c r="O6" i="50"/>
  <c r="O8" i="50" s="1"/>
  <c r="Q6" i="50"/>
  <c r="Q8" i="50" s="1"/>
  <c r="R6" i="50"/>
  <c r="R8" i="50" s="1"/>
  <c r="N13" i="49"/>
  <c r="O13" i="49"/>
  <c r="L11" i="49"/>
  <c r="L13" i="49" s="1"/>
  <c r="M11" i="49"/>
  <c r="M13" i="49" s="1"/>
  <c r="Q13" i="49"/>
  <c r="R6" i="49"/>
  <c r="R8" i="49" s="1"/>
  <c r="L6" i="49"/>
  <c r="L8" i="49" s="1"/>
  <c r="M6" i="49"/>
  <c r="M8" i="49" s="1"/>
  <c r="N6" i="49"/>
  <c r="N8" i="49" s="1"/>
  <c r="Q8" i="49"/>
  <c r="L13" i="48"/>
  <c r="O13" i="48"/>
  <c r="N13" i="48"/>
  <c r="M11" i="48"/>
  <c r="M13" i="48" s="1"/>
  <c r="Q13" i="48"/>
  <c r="R13" i="48"/>
  <c r="Q6" i="48"/>
  <c r="R6" i="48"/>
  <c r="R8" i="48"/>
  <c r="Q8" i="48"/>
  <c r="O6" i="48"/>
  <c r="O8" i="48" s="1"/>
  <c r="M13" i="47"/>
  <c r="N13" i="47"/>
  <c r="L11" i="47"/>
  <c r="L13" i="47" s="1"/>
  <c r="Q13" i="47"/>
  <c r="R13" i="47"/>
  <c r="M8" i="47"/>
  <c r="R6" i="47"/>
  <c r="R8" i="47" s="1"/>
  <c r="L6" i="47"/>
  <c r="L8" i="47" s="1"/>
  <c r="Q6" i="47"/>
  <c r="O6" i="47"/>
  <c r="O8" i="47" s="1"/>
  <c r="Q8" i="47"/>
  <c r="O11" i="46"/>
  <c r="O13" i="46" s="1"/>
  <c r="Q11" i="46"/>
  <c r="N11" i="46"/>
  <c r="N13" i="46" s="1"/>
  <c r="R11" i="46"/>
  <c r="M11" i="46"/>
  <c r="M13" i="46" s="1"/>
  <c r="Q13" i="46"/>
  <c r="R13" i="46"/>
  <c r="N6" i="46"/>
  <c r="N8" i="46" s="1"/>
  <c r="O6" i="46"/>
  <c r="O8" i="46" s="1"/>
  <c r="L6" i="46"/>
  <c r="L8" i="46" s="1"/>
  <c r="M6" i="46"/>
  <c r="M8" i="46" s="1"/>
  <c r="R8" i="46"/>
  <c r="Q8" i="46"/>
  <c r="L13" i="45"/>
  <c r="Q11" i="45"/>
  <c r="Q13" i="45"/>
  <c r="R13" i="45"/>
  <c r="O11" i="45"/>
  <c r="O13" i="45" s="1"/>
  <c r="O8" i="45"/>
  <c r="M6" i="45"/>
  <c r="M8" i="45" s="1"/>
  <c r="Q6" i="45"/>
  <c r="L6" i="45"/>
  <c r="L8" i="45" s="1"/>
  <c r="N6" i="45"/>
  <c r="N8" i="45" s="1"/>
  <c r="R6" i="45"/>
  <c r="R8" i="45"/>
  <c r="Q8" i="45"/>
  <c r="L13" i="44"/>
  <c r="M13" i="44"/>
  <c r="N11" i="44"/>
  <c r="N13" i="44" s="1"/>
  <c r="Q13" i="44"/>
  <c r="L6" i="44"/>
  <c r="L8" i="44" s="1"/>
  <c r="M6" i="44"/>
  <c r="M8" i="44" s="1"/>
  <c r="N6" i="44"/>
  <c r="N8" i="44" s="1"/>
  <c r="Q8" i="44"/>
  <c r="O11" i="43"/>
  <c r="O13" i="43" s="1"/>
  <c r="Q11" i="43"/>
  <c r="Q13" i="43" s="1"/>
  <c r="R11" i="43"/>
  <c r="R13" i="43" s="1"/>
  <c r="L11" i="43"/>
  <c r="L13" i="43" s="1"/>
  <c r="M13" i="43"/>
  <c r="N13" i="43"/>
  <c r="L6" i="43"/>
  <c r="L8" i="43" s="1"/>
  <c r="O6" i="43"/>
  <c r="O8" i="43" s="1"/>
  <c r="M6" i="43"/>
  <c r="M8" i="43" s="1"/>
  <c r="N6" i="43"/>
  <c r="N8" i="43" s="1"/>
  <c r="Q6" i="43"/>
  <c r="Q8" i="43" s="1"/>
  <c r="R6" i="43"/>
  <c r="R8" i="43" s="1"/>
  <c r="L11" i="42"/>
  <c r="L13" i="42" s="1"/>
  <c r="M11" i="42"/>
  <c r="M13" i="42" s="1"/>
  <c r="O11" i="42"/>
  <c r="O13" i="42" s="1"/>
  <c r="Q13" i="42"/>
  <c r="L6" i="42"/>
  <c r="L8" i="42" s="1"/>
  <c r="M6" i="42"/>
  <c r="M8" i="42" s="1"/>
  <c r="Q8" i="42"/>
  <c r="L13" i="41"/>
  <c r="Q11" i="41"/>
  <c r="Q13" i="41" s="1"/>
  <c r="R11" i="41"/>
  <c r="O11" i="41"/>
  <c r="O13" i="41" s="1"/>
  <c r="R13" i="41"/>
  <c r="N13" i="41"/>
  <c r="L6" i="41"/>
  <c r="L8" i="41" s="1"/>
  <c r="M6" i="41"/>
  <c r="N6" i="41"/>
  <c r="Q6" i="41"/>
  <c r="Q8" i="41" s="1"/>
  <c r="O6" i="41"/>
  <c r="O8" i="41" s="1"/>
  <c r="R6" i="41"/>
  <c r="R8" i="41"/>
  <c r="N11" i="33"/>
  <c r="N13" i="33" s="1"/>
  <c r="L11" i="33"/>
  <c r="L13" i="33" s="1"/>
  <c r="M11" i="33"/>
  <c r="M13" i="33" s="1"/>
  <c r="Q13" i="33"/>
  <c r="R8" i="33"/>
  <c r="L6" i="33"/>
  <c r="L8" i="33" s="1"/>
  <c r="N6" i="33"/>
  <c r="N8" i="33" s="1"/>
  <c r="M6" i="33"/>
  <c r="M8" i="33" s="1"/>
  <c r="Q8" i="33"/>
  <c r="Q13" i="40"/>
  <c r="O11" i="40"/>
  <c r="R11" i="40"/>
  <c r="L11" i="40"/>
  <c r="L13" i="40" s="1"/>
  <c r="R13" i="40"/>
  <c r="M8" i="40"/>
  <c r="Q8" i="40"/>
  <c r="N6" i="40"/>
  <c r="N8" i="40" s="1"/>
  <c r="R6" i="40"/>
  <c r="O6" i="40"/>
  <c r="O8" i="40" s="1"/>
  <c r="R8" i="40"/>
  <c r="M11" i="39"/>
  <c r="M13" i="39" s="1"/>
  <c r="N11" i="39"/>
  <c r="N13" i="39" s="1"/>
  <c r="L11" i="39"/>
  <c r="L13" i="39" s="1"/>
  <c r="O11" i="39"/>
  <c r="O13" i="39" s="1"/>
  <c r="Q13" i="39"/>
  <c r="R13" i="39"/>
  <c r="O6" i="39"/>
  <c r="O8" i="39" s="1"/>
  <c r="Q6" i="39"/>
  <c r="N6" i="39"/>
  <c r="N8" i="39" s="1"/>
  <c r="R6" i="39"/>
  <c r="R8" i="39"/>
  <c r="Q8" i="39"/>
  <c r="O13" i="38"/>
  <c r="M11" i="38"/>
  <c r="M13" i="38" s="1"/>
  <c r="L11" i="38"/>
  <c r="L13" i="38" s="1"/>
  <c r="N11" i="38"/>
  <c r="N13" i="38" s="1"/>
  <c r="Q13" i="38"/>
  <c r="R13" i="38"/>
  <c r="R6" i="38"/>
  <c r="R8" i="38" s="1"/>
  <c r="L6" i="38"/>
  <c r="L8" i="38" s="1"/>
  <c r="M6" i="38"/>
  <c r="M8" i="38" s="1"/>
  <c r="N6" i="38"/>
  <c r="N8" i="38" s="1"/>
  <c r="Q8" i="38"/>
  <c r="Q13" i="37"/>
  <c r="N13" i="37"/>
  <c r="O11" i="37"/>
  <c r="O13" i="37" s="1"/>
  <c r="R13" i="37"/>
  <c r="O6" i="37"/>
  <c r="O8" i="37" s="1"/>
  <c r="L6" i="37"/>
  <c r="L8" i="37" s="1"/>
  <c r="M6" i="37"/>
  <c r="M8" i="37" s="1"/>
  <c r="N6" i="37"/>
  <c r="N8" i="37" s="1"/>
  <c r="Q6" i="37"/>
  <c r="Q8" i="37" s="1"/>
  <c r="R8" i="37"/>
  <c r="O13" i="36"/>
  <c r="N13" i="36"/>
  <c r="Q11" i="36"/>
  <c r="R11" i="36"/>
  <c r="R13" i="36" s="1"/>
  <c r="L11" i="36"/>
  <c r="L13" i="36" s="1"/>
  <c r="Q13" i="36"/>
  <c r="L8" i="36"/>
  <c r="M6" i="36"/>
  <c r="M8" i="36" s="1"/>
  <c r="O6" i="36"/>
  <c r="O8" i="36" s="1"/>
  <c r="N6" i="36"/>
  <c r="N8" i="36" s="1"/>
  <c r="R6" i="36"/>
  <c r="R8" i="36" s="1"/>
  <c r="Q8" i="36"/>
  <c r="O13" i="54"/>
  <c r="M13" i="41"/>
  <c r="M8" i="41"/>
  <c r="N8" i="41"/>
  <c r="O13" i="40"/>
  <c r="R12" i="35" l="1"/>
  <c r="Q12" i="35"/>
  <c r="O12" i="35"/>
  <c r="N12" i="35"/>
  <c r="M12" i="35"/>
  <c r="L12" i="35"/>
  <c r="Q11" i="35"/>
  <c r="P11" i="35"/>
  <c r="P13" i="35" s="1"/>
  <c r="O11" i="35"/>
  <c r="O13" i="35" s="1"/>
  <c r="R10" i="35"/>
  <c r="Q10" i="35"/>
  <c r="O10" i="35"/>
  <c r="N10" i="35"/>
  <c r="M10" i="35"/>
  <c r="L10" i="35"/>
  <c r="R9" i="35"/>
  <c r="Q9" i="35"/>
  <c r="O9" i="35"/>
  <c r="N9" i="35"/>
  <c r="M9" i="35"/>
  <c r="L9" i="35"/>
  <c r="R7" i="35"/>
  <c r="Q7" i="35"/>
  <c r="O7" i="35"/>
  <c r="N7" i="35"/>
  <c r="M7" i="35"/>
  <c r="L7" i="35"/>
  <c r="P6" i="35"/>
  <c r="P8" i="35" s="1"/>
  <c r="R5" i="35"/>
  <c r="Q5" i="35"/>
  <c r="O5" i="35"/>
  <c r="O6" i="35" s="1"/>
  <c r="N5" i="35"/>
  <c r="M5" i="35"/>
  <c r="L5" i="35"/>
  <c r="R4" i="35"/>
  <c r="Q4" i="35"/>
  <c r="O4" i="35"/>
  <c r="N4" i="35"/>
  <c r="N6" i="35" s="1"/>
  <c r="N8" i="35" s="1"/>
  <c r="M4" i="35"/>
  <c r="M6" i="35" s="1"/>
  <c r="M8" i="35" s="1"/>
  <c r="L4" i="35"/>
  <c r="L6" i="35" s="1"/>
  <c r="L12" i="34"/>
  <c r="M12" i="34"/>
  <c r="L10" i="34"/>
  <c r="M10" i="34"/>
  <c r="N10" i="34"/>
  <c r="O10" i="34"/>
  <c r="Q10" i="34"/>
  <c r="R10" i="34"/>
  <c r="L9" i="34"/>
  <c r="M9" i="34"/>
  <c r="L7" i="34"/>
  <c r="M7" i="34"/>
  <c r="L5" i="34"/>
  <c r="M5" i="34"/>
  <c r="N5" i="34"/>
  <c r="O5" i="34"/>
  <c r="Q5" i="34"/>
  <c r="R5" i="34"/>
  <c r="L4" i="34"/>
  <c r="M4" i="34"/>
  <c r="P6" i="34"/>
  <c r="P11" i="34"/>
  <c r="M11" i="35" l="1"/>
  <c r="M13" i="35" s="1"/>
  <c r="R11" i="35"/>
  <c r="R13" i="35" s="1"/>
  <c r="L11" i="35"/>
  <c r="L13" i="35" s="1"/>
  <c r="N11" i="35"/>
  <c r="N13" i="35" s="1"/>
  <c r="Q13" i="35"/>
  <c r="L8" i="35"/>
  <c r="O8" i="35"/>
  <c r="R6" i="35"/>
  <c r="R8" i="35" s="1"/>
  <c r="Q6" i="35"/>
  <c r="Q8" i="35"/>
  <c r="R12" i="34" l="1"/>
  <c r="Q12" i="34"/>
  <c r="O12" i="34"/>
  <c r="N12" i="34"/>
  <c r="Q11" i="34"/>
  <c r="P13" i="34"/>
  <c r="R9" i="34"/>
  <c r="R11" i="34" s="1"/>
  <c r="Q9" i="34"/>
  <c r="O9" i="34"/>
  <c r="N9" i="34"/>
  <c r="P8" i="34"/>
  <c r="R7" i="34"/>
  <c r="Q7" i="34"/>
  <c r="N7" i="34"/>
  <c r="O7" i="34"/>
  <c r="N6" i="34"/>
  <c r="N8" i="34" s="1"/>
  <c r="O6" i="34"/>
  <c r="M6" i="34"/>
  <c r="M8" i="34" s="1"/>
  <c r="R4" i="34"/>
  <c r="R6" i="34" s="1"/>
  <c r="Q4" i="34"/>
  <c r="Q6" i="34" s="1"/>
  <c r="N4" i="34"/>
  <c r="O4" i="34"/>
  <c r="Q13" i="34" l="1"/>
  <c r="O8" i="34"/>
  <c r="L6" i="34"/>
  <c r="L8" i="34" s="1"/>
  <c r="N11" i="34"/>
  <c r="N13" i="34" s="1"/>
  <c r="L11" i="34"/>
  <c r="L13" i="34" s="1"/>
  <c r="M11" i="34"/>
  <c r="M13" i="34" s="1"/>
  <c r="O11" i="34"/>
  <c r="O13" i="34" s="1"/>
  <c r="R13" i="34"/>
  <c r="R8" i="34"/>
  <c r="Q8" i="34"/>
  <c r="H15" i="30" l="1"/>
  <c r="J15" i="30" s="1" a="1"/>
  <c r="J15" i="30" s="1"/>
  <c r="H14" i="30"/>
  <c r="J14" i="30" s="1" a="1"/>
  <c r="J14" i="30" s="1"/>
  <c r="H13" i="30"/>
  <c r="J13" i="30" s="1" a="1"/>
  <c r="J13" i="30" s="1"/>
  <c r="H12" i="30"/>
  <c r="J12" i="30" s="1" a="1"/>
  <c r="J12" i="30" s="1"/>
  <c r="H11" i="30"/>
  <c r="J11" i="30" s="1" a="1"/>
  <c r="J11" i="30" s="1"/>
  <c r="H10" i="30"/>
  <c r="J10" i="30" s="1" a="1"/>
  <c r="J10" i="30" s="1"/>
  <c r="H9" i="30"/>
  <c r="J9" i="30" s="1" a="1"/>
  <c r="J9" i="30" s="1"/>
  <c r="H8" i="30"/>
  <c r="J8" i="30" s="1" a="1"/>
  <c r="J8" i="30" s="1"/>
  <c r="H7" i="30"/>
  <c r="J7" i="30" s="1" a="1"/>
  <c r="J7" i="30" s="1"/>
  <c r="H6" i="30"/>
  <c r="J6" i="30" s="1" a="1"/>
  <c r="J6" i="30" s="1"/>
  <c r="J5" i="30" a="1"/>
  <c r="J5" i="30" s="1"/>
  <c r="D15" i="29"/>
  <c r="D14" i="29"/>
  <c r="D13" i="29"/>
  <c r="D12" i="29"/>
  <c r="D11" i="29"/>
  <c r="D10" i="29"/>
  <c r="D9" i="29"/>
  <c r="D8" i="29"/>
  <c r="D7" i="29"/>
  <c r="D6" i="29"/>
  <c r="D5" i="29"/>
  <c r="D15" i="28"/>
  <c r="D14" i="28"/>
  <c r="D13" i="28"/>
  <c r="D12" i="28"/>
  <c r="D11" i="28"/>
  <c r="D10" i="28"/>
  <c r="D9" i="28"/>
  <c r="D8" i="28"/>
  <c r="D7" i="28"/>
  <c r="D6" i="28"/>
  <c r="D5" i="28"/>
  <c r="D15" i="27"/>
  <c r="D14" i="27"/>
  <c r="D13" i="27"/>
  <c r="D12" i="27"/>
  <c r="D11" i="27"/>
  <c r="D10" i="27"/>
  <c r="D9" i="27"/>
  <c r="D8" i="27"/>
  <c r="D7" i="27"/>
  <c r="D6" i="27"/>
  <c r="D5" i="27"/>
  <c r="D15" i="26"/>
  <c r="D14" i="26"/>
  <c r="D13" i="26"/>
  <c r="D12" i="26"/>
  <c r="D11" i="26"/>
  <c r="D10" i="26"/>
  <c r="D9" i="26"/>
  <c r="D8" i="26"/>
  <c r="D7" i="26"/>
  <c r="D6" i="26"/>
  <c r="D5" i="26"/>
  <c r="D15" i="25"/>
  <c r="D14" i="25"/>
  <c r="D13" i="25"/>
  <c r="D12" i="25"/>
  <c r="D11" i="25"/>
  <c r="D10" i="25"/>
  <c r="D9" i="25"/>
  <c r="D8" i="25"/>
  <c r="D7" i="25"/>
  <c r="D6" i="25"/>
  <c r="D5" i="25"/>
  <c r="D15" i="24"/>
  <c r="D14" i="24"/>
  <c r="D13" i="24"/>
  <c r="D12" i="24"/>
  <c r="D11" i="24"/>
  <c r="D10" i="24"/>
  <c r="D9" i="24"/>
  <c r="D8" i="24"/>
  <c r="D7" i="24"/>
  <c r="D6" i="24"/>
  <c r="D5" i="24"/>
  <c r="D15" i="23"/>
  <c r="D14" i="23"/>
  <c r="D13" i="23"/>
  <c r="D12" i="23"/>
  <c r="D11" i="23"/>
  <c r="D10" i="23"/>
  <c r="D9" i="23"/>
  <c r="D8" i="23"/>
  <c r="D7" i="23"/>
  <c r="D6" i="23"/>
  <c r="D5" i="23"/>
  <c r="D15" i="22"/>
  <c r="D14" i="22"/>
  <c r="D13" i="22"/>
  <c r="D12" i="22"/>
  <c r="D11" i="22"/>
  <c r="D10" i="22"/>
  <c r="D9" i="22"/>
  <c r="D8" i="22"/>
  <c r="D7" i="22"/>
  <c r="D6" i="22"/>
  <c r="D5" i="22"/>
  <c r="D15" i="21"/>
  <c r="D14" i="21"/>
  <c r="D13" i="21"/>
  <c r="D12" i="21"/>
  <c r="D11" i="21"/>
  <c r="D10" i="21"/>
  <c r="D9" i="21"/>
  <c r="D8" i="21"/>
  <c r="D7" i="21"/>
  <c r="D6" i="21"/>
  <c r="D5" i="21"/>
  <c r="D15" i="20"/>
  <c r="D14" i="20"/>
  <c r="D13" i="20"/>
  <c r="D12" i="20"/>
  <c r="D11" i="20"/>
  <c r="D10" i="20"/>
  <c r="D9" i="20"/>
  <c r="D8" i="20"/>
  <c r="D7" i="20"/>
  <c r="D6" i="20"/>
  <c r="D5" i="20"/>
  <c r="D15" i="18"/>
  <c r="D14" i="18"/>
  <c r="D13" i="18"/>
  <c r="D12" i="18"/>
  <c r="D11" i="18"/>
  <c r="D10" i="18"/>
  <c r="D9" i="18"/>
  <c r="D8" i="18"/>
  <c r="D7" i="18"/>
  <c r="D6" i="18"/>
  <c r="D5" i="18"/>
  <c r="D15" i="19"/>
  <c r="D14" i="19"/>
  <c r="D13" i="19"/>
  <c r="D12" i="19"/>
  <c r="D11" i="19"/>
  <c r="D10" i="19"/>
  <c r="D9" i="19"/>
  <c r="D8" i="19"/>
  <c r="D7" i="19"/>
  <c r="D6" i="19"/>
  <c r="D15" i="17"/>
  <c r="D14" i="17"/>
  <c r="D13" i="17"/>
  <c r="D12" i="17"/>
  <c r="D11" i="17"/>
  <c r="D10" i="17"/>
  <c r="D9" i="17"/>
  <c r="D8" i="17"/>
  <c r="D7" i="17"/>
  <c r="D6" i="17"/>
  <c r="D5" i="17"/>
  <c r="D15" i="16"/>
  <c r="D14" i="16"/>
  <c r="D13" i="16"/>
  <c r="D12" i="16"/>
  <c r="D11" i="16"/>
  <c r="D10" i="16"/>
  <c r="D9" i="16"/>
  <c r="D8" i="16"/>
  <c r="D7" i="16"/>
  <c r="D6" i="16"/>
  <c r="D5" i="16"/>
  <c r="D15" i="15"/>
  <c r="D14" i="15"/>
  <c r="D13" i="15"/>
  <c r="D12" i="15"/>
  <c r="D11" i="15"/>
  <c r="D10" i="15"/>
  <c r="D9" i="15"/>
  <c r="D8" i="15"/>
  <c r="D7" i="15"/>
  <c r="D6" i="15"/>
  <c r="D5" i="15"/>
  <c r="D15" i="13"/>
  <c r="D14" i="13"/>
  <c r="D13" i="13"/>
  <c r="D12" i="13"/>
  <c r="D11" i="13"/>
  <c r="D10" i="13"/>
  <c r="D9" i="13"/>
  <c r="D8" i="13"/>
  <c r="D7" i="13"/>
  <c r="D6" i="13"/>
  <c r="D5" i="13"/>
  <c r="D15" i="12"/>
  <c r="D14" i="12"/>
  <c r="D13" i="12"/>
  <c r="D12" i="12"/>
  <c r="D11" i="12"/>
  <c r="D10" i="12"/>
  <c r="D9" i="12"/>
  <c r="D8" i="12"/>
  <c r="D7" i="12"/>
  <c r="D6" i="12"/>
  <c r="D5" i="12"/>
  <c r="D15" i="11"/>
  <c r="D14" i="11"/>
  <c r="D13" i="11"/>
  <c r="D12" i="11"/>
  <c r="D11" i="11"/>
  <c r="D10" i="11"/>
  <c r="D9" i="11"/>
  <c r="D8" i="11"/>
  <c r="D7" i="11"/>
  <c r="D6" i="11"/>
  <c r="D5" i="11"/>
  <c r="D15" i="10"/>
  <c r="D14" i="10"/>
  <c r="D13" i="10"/>
  <c r="D12" i="10"/>
  <c r="D11" i="10"/>
  <c r="D10" i="10"/>
  <c r="D9" i="10"/>
  <c r="D8" i="10"/>
  <c r="D7" i="10"/>
  <c r="D6" i="10"/>
  <c r="D5" i="10"/>
  <c r="D15" i="14"/>
  <c r="D14" i="14"/>
  <c r="D13" i="14"/>
  <c r="D12" i="14"/>
  <c r="D11" i="14"/>
  <c r="D10" i="14"/>
  <c r="D9" i="14"/>
  <c r="D8" i="14"/>
  <c r="D7" i="14"/>
  <c r="D6" i="14"/>
  <c r="D5" i="14"/>
  <c r="D15" i="9"/>
  <c r="D14" i="9"/>
  <c r="D13" i="9"/>
  <c r="D12" i="9"/>
  <c r="D11" i="9"/>
  <c r="D10" i="9"/>
  <c r="D9" i="9"/>
  <c r="D8" i="9"/>
  <c r="D7" i="9"/>
  <c r="D6" i="9"/>
  <c r="D5" i="9"/>
  <c r="D15" i="8"/>
  <c r="D14" i="8"/>
  <c r="D13" i="8"/>
  <c r="D12" i="8"/>
  <c r="D11" i="8"/>
  <c r="D10" i="8"/>
  <c r="D9" i="8"/>
  <c r="D8" i="8"/>
  <c r="D7" i="8"/>
  <c r="D6" i="8"/>
  <c r="D5" i="8"/>
  <c r="D15" i="7"/>
  <c r="D14" i="7"/>
  <c r="D13" i="7"/>
  <c r="D12" i="7"/>
  <c r="D11" i="7"/>
  <c r="D10" i="7"/>
  <c r="D9" i="7"/>
  <c r="D8" i="7"/>
  <c r="D7" i="7"/>
  <c r="D6" i="7"/>
  <c r="D5" i="7"/>
  <c r="D15" i="6"/>
  <c r="D14" i="6"/>
  <c r="D13" i="6"/>
  <c r="D12" i="6"/>
  <c r="D11" i="6"/>
  <c r="D10" i="6"/>
  <c r="D9" i="6"/>
  <c r="D8" i="6"/>
  <c r="D7" i="6"/>
  <c r="D6" i="6"/>
  <c r="D5" i="6"/>
  <c r="D15" i="5"/>
  <c r="D14" i="5"/>
  <c r="D13" i="5"/>
  <c r="D12" i="5"/>
  <c r="D11" i="5"/>
  <c r="D10" i="5"/>
  <c r="D9" i="5"/>
  <c r="D8" i="5"/>
  <c r="D7" i="5"/>
  <c r="D6" i="5"/>
  <c r="D5" i="5"/>
  <c r="D15" i="4"/>
  <c r="D14" i="4"/>
  <c r="D13" i="4"/>
  <c r="D12" i="4"/>
  <c r="D11" i="4"/>
  <c r="D10" i="4"/>
  <c r="D9" i="4"/>
  <c r="D8" i="4"/>
  <c r="D7" i="4"/>
  <c r="D6" i="4"/>
  <c r="D5" i="4"/>
  <c r="D15" i="3"/>
  <c r="D14" i="3"/>
  <c r="D13" i="3"/>
  <c r="D12" i="3"/>
  <c r="D11" i="3"/>
  <c r="D10" i="3"/>
  <c r="D9" i="3"/>
  <c r="D8" i="3"/>
  <c r="D7" i="3"/>
  <c r="D6" i="3"/>
  <c r="D5" i="3"/>
  <c r="D16" i="19" l="1"/>
  <c r="D62" i="19" s="1"/>
  <c r="I62" i="19" s="1" a="1"/>
  <c r="I62" i="19" s="1"/>
  <c r="D16" i="29"/>
  <c r="D62" i="29" s="1"/>
  <c r="I62" i="29" s="1" a="1"/>
  <c r="I62" i="29" s="1"/>
  <c r="D16" i="28"/>
  <c r="D16" i="27"/>
  <c r="D63" i="27" s="1"/>
  <c r="D16" i="26"/>
  <c r="D57" i="26" s="1"/>
  <c r="D59" i="26" s="1"/>
  <c r="D16" i="25"/>
  <c r="D57" i="25" s="1"/>
  <c r="D59" i="25" s="1"/>
  <c r="D16" i="24"/>
  <c r="D63" i="24" s="1"/>
  <c r="D16" i="23"/>
  <c r="D63" i="23" s="1"/>
  <c r="D16" i="22"/>
  <c r="D63" i="22" s="1"/>
  <c r="D16" i="21"/>
  <c r="D16" i="20"/>
  <c r="D16" i="18"/>
  <c r="D62" i="18" s="1"/>
  <c r="I62" i="18" s="1" a="1"/>
  <c r="I62" i="18" s="1"/>
  <c r="D16" i="17"/>
  <c r="D57" i="17" s="1"/>
  <c r="D59" i="17" s="1"/>
  <c r="D16" i="16"/>
  <c r="D16" i="15"/>
  <c r="D62" i="15" s="1"/>
  <c r="I62" i="15" s="1" a="1"/>
  <c r="I62" i="15" s="1"/>
  <c r="D16" i="13"/>
  <c r="D62" i="13" s="1"/>
  <c r="I62" i="13" s="1" a="1"/>
  <c r="I62" i="13" s="1"/>
  <c r="D16" i="12"/>
  <c r="D16" i="11"/>
  <c r="D16" i="10"/>
  <c r="D57" i="10" s="1"/>
  <c r="D59" i="10" s="1"/>
  <c r="D16" i="14"/>
  <c r="D16" i="9"/>
  <c r="D63" i="9" s="1"/>
  <c r="D16" i="8"/>
  <c r="D16" i="7"/>
  <c r="D16" i="6"/>
  <c r="F52" i="5"/>
  <c r="D60" i="5" s="1"/>
  <c r="I60" i="5" s="1" a="1"/>
  <c r="I60" i="5" s="1"/>
  <c r="D16" i="5"/>
  <c r="D16" i="4"/>
  <c r="G52" i="3"/>
  <c r="D65" i="3" s="1"/>
  <c r="I65" i="3" s="1" a="1"/>
  <c r="I65" i="3" s="1"/>
  <c r="D16" i="3"/>
  <c r="H16" i="30"/>
  <c r="D58" i="30" s="1"/>
  <c r="G52" i="4"/>
  <c r="D65" i="4" s="1"/>
  <c r="I65" i="4" s="1" a="1"/>
  <c r="I65" i="4" s="1"/>
  <c r="G52" i="24"/>
  <c r="D65" i="24" s="1"/>
  <c r="I65" i="24" s="1" a="1"/>
  <c r="I65" i="24" s="1"/>
  <c r="F52" i="30"/>
  <c r="G52" i="30"/>
  <c r="F52" i="29"/>
  <c r="D60" i="29" s="1"/>
  <c r="I60" i="29" s="1" a="1"/>
  <c r="I60" i="29" s="1"/>
  <c r="G52" i="29"/>
  <c r="D65" i="29" s="1"/>
  <c r="I65" i="29" s="1" a="1"/>
  <c r="I65" i="29" s="1"/>
  <c r="D57" i="29"/>
  <c r="D59" i="29" s="1"/>
  <c r="D63" i="29"/>
  <c r="D63" i="28"/>
  <c r="F52" i="28"/>
  <c r="G52" i="28"/>
  <c r="D65" i="28" s="1"/>
  <c r="I65" i="28" s="1" a="1"/>
  <c r="I65" i="28" s="1"/>
  <c r="D57" i="27"/>
  <c r="D59" i="27" s="1"/>
  <c r="D62" i="27"/>
  <c r="I62" i="27" s="1" a="1"/>
  <c r="I62" i="27" s="1"/>
  <c r="F52" i="27"/>
  <c r="D60" i="27" s="1"/>
  <c r="I60" i="27" s="1" a="1"/>
  <c r="I60" i="27" s="1"/>
  <c r="G52" i="27"/>
  <c r="D65" i="27" s="1"/>
  <c r="I65" i="27" s="1" a="1"/>
  <c r="I65" i="27" s="1"/>
  <c r="D63" i="26"/>
  <c r="D62" i="26"/>
  <c r="I62" i="26" s="1" a="1"/>
  <c r="I62" i="26" s="1"/>
  <c r="F52" i="26"/>
  <c r="D60" i="26" s="1"/>
  <c r="I60" i="26" s="1" a="1"/>
  <c r="I60" i="26" s="1"/>
  <c r="G52" i="26"/>
  <c r="D65" i="26" s="1"/>
  <c r="I65" i="26" s="1" a="1"/>
  <c r="I65" i="26" s="1"/>
  <c r="D62" i="25"/>
  <c r="I62" i="25" s="1" a="1"/>
  <c r="I62" i="25" s="1"/>
  <c r="F52" i="25"/>
  <c r="D60" i="25" s="1"/>
  <c r="I60" i="25" s="1" a="1"/>
  <c r="I60" i="25" s="1"/>
  <c r="G52" i="25"/>
  <c r="D65" i="25" s="1"/>
  <c r="I65" i="25" s="1" a="1"/>
  <c r="I65" i="25" s="1"/>
  <c r="F52" i="24"/>
  <c r="D60" i="24" s="1"/>
  <c r="I60" i="24" s="1" a="1"/>
  <c r="I60" i="24" s="1"/>
  <c r="D57" i="23"/>
  <c r="D59" i="23" s="1"/>
  <c r="F52" i="23"/>
  <c r="D60" i="23" s="1"/>
  <c r="I60" i="23" s="1" a="1"/>
  <c r="I60" i="23" s="1"/>
  <c r="G52" i="23"/>
  <c r="D65" i="23" s="1"/>
  <c r="I65" i="23" s="1" a="1"/>
  <c r="I65" i="23" s="1"/>
  <c r="D58" i="22"/>
  <c r="D57" i="22"/>
  <c r="F52" i="22"/>
  <c r="D60" i="22" s="1"/>
  <c r="I60" i="22" s="1" a="1"/>
  <c r="I60" i="22" s="1"/>
  <c r="G52" i="22"/>
  <c r="D65" i="22" s="1"/>
  <c r="I65" i="22" s="1" a="1"/>
  <c r="I65" i="22" s="1"/>
  <c r="D62" i="21"/>
  <c r="I62" i="21" s="1" a="1"/>
  <c r="I62" i="21" s="1"/>
  <c r="D63" i="21"/>
  <c r="D57" i="21"/>
  <c r="D59" i="21" s="1"/>
  <c r="F52" i="21"/>
  <c r="D60" i="21" s="1"/>
  <c r="I60" i="21" s="1" a="1"/>
  <c r="I60" i="21" s="1"/>
  <c r="G52" i="21"/>
  <c r="D65" i="21" s="1"/>
  <c r="I65" i="21" s="1" a="1"/>
  <c r="I65" i="21" s="1"/>
  <c r="G52" i="20"/>
  <c r="D65" i="20" s="1"/>
  <c r="I65" i="20" s="1" a="1"/>
  <c r="I65" i="20" s="1"/>
  <c r="D62" i="20"/>
  <c r="I62" i="20" s="1" a="1"/>
  <c r="I62" i="20" s="1"/>
  <c r="D63" i="20"/>
  <c r="D57" i="20"/>
  <c r="D59" i="20" s="1"/>
  <c r="F52" i="20"/>
  <c r="D60" i="20" s="1"/>
  <c r="I60" i="20" s="1" a="1"/>
  <c r="I60" i="20" s="1"/>
  <c r="F52" i="18"/>
  <c r="D60" i="18" s="1"/>
  <c r="I60" i="18" s="1" a="1"/>
  <c r="I60" i="18" s="1"/>
  <c r="D63" i="18"/>
  <c r="G52" i="18"/>
  <c r="D65" i="18" s="1"/>
  <c r="I65" i="18" s="1" a="1"/>
  <c r="I65" i="18" s="1"/>
  <c r="F52" i="19"/>
  <c r="D60" i="19" s="1"/>
  <c r="I60" i="19" s="1" a="1"/>
  <c r="I60" i="19" s="1"/>
  <c r="G52" i="19"/>
  <c r="D65" i="19" s="1"/>
  <c r="I65" i="19" s="1" a="1"/>
  <c r="I65" i="19" s="1"/>
  <c r="D63" i="17"/>
  <c r="D62" i="17"/>
  <c r="I62" i="17" s="1" a="1"/>
  <c r="I62" i="17" s="1"/>
  <c r="F52" i="17"/>
  <c r="D60" i="17" s="1"/>
  <c r="I60" i="17" s="1" a="1"/>
  <c r="I60" i="17" s="1"/>
  <c r="G52" i="17"/>
  <c r="D65" i="17" s="1"/>
  <c r="I65" i="17" s="1" a="1"/>
  <c r="I65" i="17" s="1"/>
  <c r="D62" i="16"/>
  <c r="I62" i="16" s="1" a="1"/>
  <c r="I62" i="16" s="1"/>
  <c r="D57" i="16"/>
  <c r="D59" i="16" s="1"/>
  <c r="F52" i="16"/>
  <c r="D60" i="16" s="1"/>
  <c r="I60" i="16" s="1" a="1"/>
  <c r="I60" i="16" s="1"/>
  <c r="G52" i="16"/>
  <c r="D65" i="16" s="1"/>
  <c r="I65" i="16" s="1" a="1"/>
  <c r="I65" i="16" s="1"/>
  <c r="D57" i="15"/>
  <c r="D59" i="15" s="1"/>
  <c r="F52" i="15"/>
  <c r="D60" i="15" s="1"/>
  <c r="I60" i="15" s="1" a="1"/>
  <c r="I60" i="15" s="1"/>
  <c r="G52" i="15"/>
  <c r="D65" i="15" s="1"/>
  <c r="I65" i="15" s="1" a="1"/>
  <c r="I65" i="15" s="1"/>
  <c r="F52" i="13"/>
  <c r="D60" i="13" s="1"/>
  <c r="I60" i="13" s="1" a="1"/>
  <c r="I60" i="13" s="1"/>
  <c r="G52" i="13"/>
  <c r="D65" i="13" s="1"/>
  <c r="I65" i="13" s="1" a="1"/>
  <c r="I65" i="13" s="1"/>
  <c r="F52" i="12"/>
  <c r="D60" i="12" s="1"/>
  <c r="I60" i="12" s="1" a="1"/>
  <c r="I60" i="12" s="1"/>
  <c r="G52" i="12"/>
  <c r="D65" i="12" s="1"/>
  <c r="I65" i="12" s="1" a="1"/>
  <c r="I65" i="12" s="1"/>
  <c r="G52" i="11"/>
  <c r="D65" i="11" s="1"/>
  <c r="I65" i="11" s="1" a="1"/>
  <c r="I65" i="11" s="1"/>
  <c r="F52" i="11"/>
  <c r="D60" i="11" s="1"/>
  <c r="I60" i="11" s="1" a="1"/>
  <c r="I60" i="11" s="1"/>
  <c r="D62" i="11"/>
  <c r="I62" i="11" s="1" a="1"/>
  <c r="I62" i="11" s="1"/>
  <c r="D57" i="11"/>
  <c r="D59" i="11" s="1"/>
  <c r="D63" i="11"/>
  <c r="D63" i="10"/>
  <c r="F52" i="10"/>
  <c r="D60" i="10" s="1"/>
  <c r="I60" i="10" s="1" a="1"/>
  <c r="I60" i="10" s="1"/>
  <c r="G52" i="10"/>
  <c r="D65" i="10" s="1"/>
  <c r="I65" i="10" s="1" a="1"/>
  <c r="I65" i="10" s="1"/>
  <c r="D57" i="14"/>
  <c r="D59" i="14" s="1"/>
  <c r="D63" i="14"/>
  <c r="D62" i="14"/>
  <c r="I62" i="14" s="1" a="1"/>
  <c r="I62" i="14" s="1"/>
  <c r="F52" i="14"/>
  <c r="D60" i="14" s="1"/>
  <c r="I60" i="14" s="1" a="1"/>
  <c r="I60" i="14" s="1"/>
  <c r="G52" i="14"/>
  <c r="D65" i="14" s="1"/>
  <c r="I65" i="14" s="1" a="1"/>
  <c r="I65" i="14" s="1"/>
  <c r="F52" i="9"/>
  <c r="D60" i="9" s="1"/>
  <c r="I60" i="9" s="1" a="1"/>
  <c r="I60" i="9" s="1"/>
  <c r="D62" i="9"/>
  <c r="I62" i="9" s="1" a="1"/>
  <c r="I62" i="9" s="1"/>
  <c r="D57" i="9"/>
  <c r="D59" i="9" s="1"/>
  <c r="G52" i="9"/>
  <c r="D65" i="9" s="1"/>
  <c r="I65" i="9" s="1" a="1"/>
  <c r="I65" i="9" s="1"/>
  <c r="D57" i="8"/>
  <c r="D59" i="8" s="1"/>
  <c r="D63" i="8"/>
  <c r="D62" i="8"/>
  <c r="I62" i="8" s="1" a="1"/>
  <c r="I62" i="8" s="1"/>
  <c r="F52" i="8"/>
  <c r="D60" i="8" s="1"/>
  <c r="I60" i="8" s="1" a="1"/>
  <c r="I60" i="8" s="1"/>
  <c r="G52" i="8"/>
  <c r="D65" i="8" s="1"/>
  <c r="I65" i="8" s="1" a="1"/>
  <c r="I65" i="8" s="1"/>
  <c r="D63" i="7"/>
  <c r="D62" i="7"/>
  <c r="I62" i="7" s="1" a="1"/>
  <c r="I62" i="7" s="1"/>
  <c r="D57" i="7"/>
  <c r="D59" i="7" s="1"/>
  <c r="F52" i="7"/>
  <c r="D60" i="7" s="1"/>
  <c r="I60" i="7" s="1" a="1"/>
  <c r="I60" i="7" s="1"/>
  <c r="G52" i="7"/>
  <c r="D65" i="7" s="1"/>
  <c r="I65" i="7" s="1" a="1"/>
  <c r="I65" i="7" s="1"/>
  <c r="F52" i="6"/>
  <c r="D60" i="6" s="1"/>
  <c r="I60" i="6" s="1" a="1"/>
  <c r="I60" i="6" s="1"/>
  <c r="G52" i="6"/>
  <c r="D65" i="6" s="1"/>
  <c r="I65" i="6" s="1" a="1"/>
  <c r="I65" i="6" s="1"/>
  <c r="G52" i="5"/>
  <c r="D65" i="5" s="1"/>
  <c r="I65" i="5" s="1" a="1"/>
  <c r="I65" i="5" s="1"/>
  <c r="D63" i="5"/>
  <c r="D62" i="5"/>
  <c r="I62" i="5" s="1" a="1"/>
  <c r="I62" i="5" s="1"/>
  <c r="D57" i="5"/>
  <c r="D59" i="5" s="1"/>
  <c r="D57" i="4"/>
  <c r="D59" i="4" s="1"/>
  <c r="D63" i="4"/>
  <c r="D62" i="4"/>
  <c r="I62" i="4" s="1" a="1"/>
  <c r="I62" i="4" s="1"/>
  <c r="F52" i="4"/>
  <c r="D60" i="4" s="1"/>
  <c r="I60" i="4" s="1" a="1"/>
  <c r="I60" i="4" s="1"/>
  <c r="D63" i="3"/>
  <c r="D62" i="3"/>
  <c r="I62" i="3" s="1" a="1"/>
  <c r="I62" i="3" s="1"/>
  <c r="D57" i="3"/>
  <c r="D59" i="3" s="1"/>
  <c r="F52" i="3"/>
  <c r="D60" i="3" s="1"/>
  <c r="I60" i="3" s="1" a="1"/>
  <c r="I60" i="3" s="1"/>
  <c r="I58" i="30" l="1" a="1"/>
  <c r="I58" i="30" s="1"/>
  <c r="D65" i="30"/>
  <c r="I65" i="30" s="1" a="1"/>
  <c r="I65" i="30" s="1"/>
  <c r="I52" i="30"/>
  <c r="D60" i="30"/>
  <c r="I60" i="30" s="1" a="1"/>
  <c r="I60" i="30" s="1"/>
  <c r="I51" i="30"/>
  <c r="J16" i="30"/>
  <c r="D63" i="30" s="1"/>
  <c r="I63" i="30" s="1" a="1"/>
  <c r="I63" i="30" s="1"/>
  <c r="D59" i="22"/>
  <c r="I58" i="22" a="1"/>
  <c r="I58" i="22" s="1"/>
  <c r="D62" i="22"/>
  <c r="I62" i="22" s="1" a="1"/>
  <c r="I62" i="22" s="1"/>
  <c r="I63" i="29" a="1"/>
  <c r="I63" i="29" s="1"/>
  <c r="D64" i="29"/>
  <c r="I63" i="28" a="1"/>
  <c r="I63" i="28" s="1"/>
  <c r="D64" i="27"/>
  <c r="I63" i="27" a="1"/>
  <c r="I63" i="27" s="1"/>
  <c r="D64" i="26"/>
  <c r="I63" i="26" a="1"/>
  <c r="I63" i="26" s="1"/>
  <c r="I63" i="24" a="1"/>
  <c r="I63" i="24" s="1"/>
  <c r="I63" i="23" a="1"/>
  <c r="I63" i="23" s="1"/>
  <c r="D64" i="22"/>
  <c r="I63" i="22" a="1"/>
  <c r="I63" i="22" s="1"/>
  <c r="I63" i="21" a="1"/>
  <c r="I63" i="21" s="1"/>
  <c r="D64" i="21"/>
  <c r="I63" i="20" a="1"/>
  <c r="I63" i="20" s="1"/>
  <c r="D64" i="20"/>
  <c r="I63" i="18" a="1"/>
  <c r="I63" i="18" s="1"/>
  <c r="D64" i="18"/>
  <c r="I63" i="17" a="1"/>
  <c r="I63" i="17" s="1"/>
  <c r="D64" i="17"/>
  <c r="D64" i="11"/>
  <c r="I63" i="11" a="1"/>
  <c r="I63" i="11" s="1"/>
  <c r="I63" i="10" a="1"/>
  <c r="I63" i="10" s="1"/>
  <c r="D64" i="14"/>
  <c r="I63" i="14" a="1"/>
  <c r="I63" i="14" s="1"/>
  <c r="D64" i="9"/>
  <c r="I63" i="9" a="1"/>
  <c r="I63" i="9" s="1"/>
  <c r="I63" i="8" a="1"/>
  <c r="I63" i="8" s="1"/>
  <c r="D64" i="8"/>
  <c r="D64" i="7"/>
  <c r="I63" i="7" a="1"/>
  <c r="I63" i="7" s="1"/>
  <c r="D64" i="5"/>
  <c r="I63" i="5" a="1"/>
  <c r="I63" i="5" s="1"/>
  <c r="I63" i="4" a="1"/>
  <c r="I63" i="4" s="1"/>
  <c r="D64" i="4"/>
  <c r="I63" i="3" a="1"/>
  <c r="I63" i="3" s="1"/>
  <c r="D64" i="3"/>
  <c r="D60" i="28"/>
  <c r="I60" i="28" s="1" a="1"/>
  <c r="I60" i="28" s="1"/>
  <c r="D63" i="19"/>
  <c r="D64" i="19" s="1"/>
  <c r="D57" i="19"/>
  <c r="I57" i="19" s="1" a="1"/>
  <c r="I57" i="19" s="1"/>
  <c r="D58" i="19"/>
  <c r="I58" i="19" s="1" a="1"/>
  <c r="I58" i="19" s="1"/>
  <c r="D62" i="28"/>
  <c r="I62" i="28" s="1" a="1"/>
  <c r="I62" i="28" s="1"/>
  <c r="D63" i="25"/>
  <c r="D57" i="24"/>
  <c r="D59" i="24" s="1"/>
  <c r="D62" i="24"/>
  <c r="I62" i="24" s="1" a="1"/>
  <c r="I62" i="24" s="1"/>
  <c r="D62" i="23"/>
  <c r="I62" i="23" s="1" a="1"/>
  <c r="I62" i="23" s="1"/>
  <c r="D57" i="18"/>
  <c r="D59" i="18" s="1"/>
  <c r="D63" i="16"/>
  <c r="D62" i="10"/>
  <c r="I62" i="10" s="1" a="1"/>
  <c r="I62" i="10" s="1"/>
  <c r="D62" i="6"/>
  <c r="I62" i="6" s="1" a="1"/>
  <c r="I62" i="6" s="1"/>
  <c r="D63" i="6"/>
  <c r="D57" i="6"/>
  <c r="D59" i="6" s="1"/>
  <c r="D62" i="30"/>
  <c r="I62" i="30" s="1" a="1"/>
  <c r="I62" i="30" s="1"/>
  <c r="D57" i="30"/>
  <c r="D59" i="30" s="1"/>
  <c r="I57" i="29" a="1"/>
  <c r="I57" i="29" s="1"/>
  <c r="I57" i="28" a="1"/>
  <c r="I57" i="28" s="1"/>
  <c r="I57" i="27" a="1"/>
  <c r="I57" i="27" s="1"/>
  <c r="I57" i="26" a="1"/>
  <c r="I57" i="26" s="1"/>
  <c r="I57" i="25" a="1"/>
  <c r="I57" i="25" s="1"/>
  <c r="I57" i="23" a="1"/>
  <c r="I57" i="23" s="1"/>
  <c r="I57" i="22" a="1"/>
  <c r="I57" i="22" s="1"/>
  <c r="I57" i="21" a="1"/>
  <c r="I57" i="21" s="1"/>
  <c r="I57" i="20" a="1"/>
  <c r="I57" i="20" s="1"/>
  <c r="I57" i="17" a="1"/>
  <c r="I57" i="17" s="1"/>
  <c r="I57" i="16" a="1"/>
  <c r="I57" i="16" s="1"/>
  <c r="D63" i="15"/>
  <c r="I57" i="15" a="1"/>
  <c r="I57" i="15" s="1"/>
  <c r="D63" i="13"/>
  <c r="D57" i="13"/>
  <c r="D59" i="13" s="1"/>
  <c r="D62" i="12"/>
  <c r="I62" i="12" s="1" a="1"/>
  <c r="I62" i="12" s="1"/>
  <c r="D63" i="12"/>
  <c r="D57" i="12"/>
  <c r="D59" i="12" s="1"/>
  <c r="I57" i="11" a="1"/>
  <c r="I57" i="11" s="1"/>
  <c r="I57" i="10" a="1"/>
  <c r="I57" i="10" s="1"/>
  <c r="I57" i="14" a="1"/>
  <c r="I57" i="14" s="1"/>
  <c r="I57" i="9" a="1"/>
  <c r="I57" i="9" s="1"/>
  <c r="I57" i="8" a="1"/>
  <c r="I57" i="8" s="1"/>
  <c r="I57" i="7" a="1"/>
  <c r="I57" i="7" s="1"/>
  <c r="I57" i="5" a="1"/>
  <c r="I57" i="5" s="1"/>
  <c r="I57" i="4" a="1"/>
  <c r="I57" i="4" s="1"/>
  <c r="I57" i="3" a="1"/>
  <c r="I57" i="3" s="1"/>
  <c r="G52" i="2"/>
  <c r="I52" i="2" s="1"/>
  <c r="D65" i="2" s="1"/>
  <c r="I65" i="2" s="1" a="1"/>
  <c r="I65" i="2" s="1"/>
  <c r="F52" i="2"/>
  <c r="I51" i="2" s="1"/>
  <c r="I57" i="18" l="1" a="1"/>
  <c r="I57" i="18" s="1"/>
  <c r="I57" i="6" a="1"/>
  <c r="I57" i="6" s="1"/>
  <c r="I57" i="30" a="1"/>
  <c r="I57" i="30" s="1"/>
  <c r="D64" i="10"/>
  <c r="D66" i="10" s="1"/>
  <c r="I66" i="10" s="1" a="1"/>
  <c r="I66" i="10" s="1"/>
  <c r="D64" i="23"/>
  <c r="I64" i="23" s="1" a="1"/>
  <c r="I64" i="23" s="1"/>
  <c r="D64" i="28"/>
  <c r="I64" i="28" s="1" a="1"/>
  <c r="I64" i="28" s="1"/>
  <c r="D64" i="24"/>
  <c r="D66" i="24" s="1"/>
  <c r="I66" i="24" s="1" a="1"/>
  <c r="I66" i="24" s="1"/>
  <c r="D64" i="30"/>
  <c r="I64" i="30" s="1" a="1"/>
  <c r="I64" i="30" s="1"/>
  <c r="D64" i="25"/>
  <c r="D66" i="25" s="1"/>
  <c r="I66" i="25" s="1" a="1"/>
  <c r="I66" i="25" s="1"/>
  <c r="I63" i="25" a="1"/>
  <c r="I63" i="25" s="1"/>
  <c r="I63" i="16" a="1"/>
  <c r="I63" i="16" s="1"/>
  <c r="D64" i="16"/>
  <c r="D66" i="16" s="1"/>
  <c r="I66" i="16" s="1" a="1"/>
  <c r="I66" i="16" s="1"/>
  <c r="D64" i="15"/>
  <c r="I64" i="15" s="1" a="1"/>
  <c r="I64" i="15" s="1"/>
  <c r="I63" i="15" a="1"/>
  <c r="I63" i="15" s="1"/>
  <c r="D64" i="13"/>
  <c r="I64" i="13" s="1" a="1"/>
  <c r="I64" i="13" s="1"/>
  <c r="I63" i="13" a="1"/>
  <c r="I63" i="13" s="1"/>
  <c r="D64" i="12"/>
  <c r="D66" i="12" s="1"/>
  <c r="I66" i="12" s="1" a="1"/>
  <c r="I66" i="12" s="1"/>
  <c r="I63" i="12" a="1"/>
  <c r="I63" i="12" s="1"/>
  <c r="D64" i="6"/>
  <c r="D66" i="6" s="1"/>
  <c r="I66" i="6" s="1" a="1"/>
  <c r="I66" i="6" s="1"/>
  <c r="I63" i="6" a="1"/>
  <c r="I63" i="6" s="1"/>
  <c r="D60" i="2"/>
  <c r="I60" i="2" s="1" a="1"/>
  <c r="I60" i="2" s="1"/>
  <c r="I63" i="19" a="1"/>
  <c r="I63" i="19" s="1"/>
  <c r="D59" i="19"/>
  <c r="D61" i="19" s="1"/>
  <c r="I61" i="19" s="1" a="1"/>
  <c r="I61" i="19" s="1"/>
  <c r="D61" i="28"/>
  <c r="I61" i="28" s="1" a="1"/>
  <c r="I61" i="28" s="1"/>
  <c r="I57" i="24" a="1"/>
  <c r="I57" i="24" s="1"/>
  <c r="D61" i="29"/>
  <c r="I61" i="29" s="1" a="1"/>
  <c r="I61" i="29" s="1"/>
  <c r="I59" i="29" a="1"/>
  <c r="I59" i="29" s="1"/>
  <c r="I59" i="27" a="1"/>
  <c r="I59" i="27" s="1"/>
  <c r="D61" i="27"/>
  <c r="I61" i="27" s="1" a="1"/>
  <c r="I61" i="27" s="1"/>
  <c r="D61" i="26"/>
  <c r="I61" i="26" s="1" a="1"/>
  <c r="I61" i="26" s="1"/>
  <c r="I59" i="26" a="1"/>
  <c r="I59" i="26" s="1"/>
  <c r="I59" i="25" a="1"/>
  <c r="I59" i="25" s="1"/>
  <c r="D61" i="25"/>
  <c r="I61" i="25" s="1" a="1"/>
  <c r="I61" i="25" s="1"/>
  <c r="I59" i="24" a="1"/>
  <c r="I59" i="24" s="1"/>
  <c r="D61" i="24"/>
  <c r="I61" i="24" s="1" a="1"/>
  <c r="I61" i="24" s="1"/>
  <c r="D61" i="23"/>
  <c r="I61" i="23" s="1" a="1"/>
  <c r="I61" i="23" s="1"/>
  <c r="I59" i="23" a="1"/>
  <c r="I59" i="23" s="1"/>
  <c r="D61" i="22"/>
  <c r="I61" i="22" s="1" a="1"/>
  <c r="I61" i="22" s="1"/>
  <c r="I59" i="22" a="1"/>
  <c r="I59" i="22" s="1"/>
  <c r="D61" i="21"/>
  <c r="I61" i="21" s="1" a="1"/>
  <c r="I61" i="21" s="1"/>
  <c r="I59" i="21" a="1"/>
  <c r="I59" i="21" s="1"/>
  <c r="I59" i="20" a="1"/>
  <c r="I59" i="20" s="1"/>
  <c r="D61" i="20"/>
  <c r="I61" i="20" s="1" a="1"/>
  <c r="I61" i="20" s="1"/>
  <c r="D61" i="18"/>
  <c r="I61" i="18" s="1" a="1"/>
  <c r="I61" i="18" s="1"/>
  <c r="I59" i="18" a="1"/>
  <c r="I59" i="18" s="1"/>
  <c r="I59" i="17" a="1"/>
  <c r="I59" i="17" s="1"/>
  <c r="D61" i="17"/>
  <c r="I61" i="17" s="1" a="1"/>
  <c r="I61" i="17" s="1"/>
  <c r="D61" i="16"/>
  <c r="I61" i="16" s="1" a="1"/>
  <c r="I61" i="16" s="1"/>
  <c r="I59" i="16" a="1"/>
  <c r="I59" i="16" s="1"/>
  <c r="D61" i="15"/>
  <c r="I61" i="15" s="1" a="1"/>
  <c r="I61" i="15" s="1"/>
  <c r="I59" i="15" a="1"/>
  <c r="I59" i="15" s="1"/>
  <c r="I57" i="13" a="1"/>
  <c r="I57" i="13" s="1"/>
  <c r="I57" i="12" a="1"/>
  <c r="I57" i="12" s="1"/>
  <c r="D61" i="11"/>
  <c r="I61" i="11" s="1" a="1"/>
  <c r="I61" i="11" s="1"/>
  <c r="I59" i="11" a="1"/>
  <c r="I59" i="11" s="1"/>
  <c r="D61" i="10"/>
  <c r="I61" i="10" s="1" a="1"/>
  <c r="I61" i="10" s="1"/>
  <c r="I59" i="10" a="1"/>
  <c r="I59" i="10" s="1"/>
  <c r="D61" i="14"/>
  <c r="I61" i="14" s="1" a="1"/>
  <c r="I61" i="14" s="1"/>
  <c r="I59" i="14" a="1"/>
  <c r="I59" i="14" s="1"/>
  <c r="D61" i="9"/>
  <c r="I61" i="9" s="1" a="1"/>
  <c r="I61" i="9" s="1"/>
  <c r="I59" i="9" a="1"/>
  <c r="I59" i="9" s="1"/>
  <c r="D61" i="8"/>
  <c r="I61" i="8" s="1" a="1"/>
  <c r="I61" i="8" s="1"/>
  <c r="I59" i="8" a="1"/>
  <c r="I59" i="8" s="1"/>
  <c r="D61" i="7"/>
  <c r="I61" i="7" s="1" a="1"/>
  <c r="I61" i="7" s="1"/>
  <c r="I59" i="7" a="1"/>
  <c r="I59" i="7" s="1"/>
  <c r="D61" i="6"/>
  <c r="I61" i="6" s="1" a="1"/>
  <c r="I61" i="6" s="1"/>
  <c r="I59" i="6" a="1"/>
  <c r="I59" i="6" s="1"/>
  <c r="D61" i="5"/>
  <c r="I61" i="5" s="1" a="1"/>
  <c r="I61" i="5" s="1"/>
  <c r="I59" i="5" a="1"/>
  <c r="I59" i="5" s="1"/>
  <c r="D61" i="4"/>
  <c r="I61" i="4" s="1" a="1"/>
  <c r="I61" i="4" s="1"/>
  <c r="I59" i="4" a="1"/>
  <c r="I59" i="4" s="1"/>
  <c r="I59" i="3" a="1"/>
  <c r="I59" i="3" s="1"/>
  <c r="D61" i="3"/>
  <c r="I61" i="3" s="1" a="1"/>
  <c r="I61" i="3" s="1"/>
  <c r="I59" i="30" a="1"/>
  <c r="I59" i="30" s="1"/>
  <c r="D61" i="30"/>
  <c r="I61" i="30" s="1" a="1"/>
  <c r="I61" i="30" s="1"/>
  <c r="I64" i="29" a="1"/>
  <c r="I64" i="29" s="1"/>
  <c r="D66" i="29"/>
  <c r="I66" i="29" s="1" a="1"/>
  <c r="I66" i="29" s="1"/>
  <c r="I64" i="27" a="1"/>
  <c r="I64" i="27" s="1"/>
  <c r="D66" i="27"/>
  <c r="I66" i="27" s="1" a="1"/>
  <c r="I66" i="27" s="1"/>
  <c r="I64" i="26" a="1"/>
  <c r="I64" i="26" s="1"/>
  <c r="D66" i="26"/>
  <c r="I66" i="26" s="1" a="1"/>
  <c r="I66" i="26" s="1"/>
  <c r="I64" i="22" a="1"/>
  <c r="I64" i="22" s="1"/>
  <c r="D66" i="22"/>
  <c r="I66" i="22" s="1" a="1"/>
  <c r="I66" i="22" s="1"/>
  <c r="I64" i="21" a="1"/>
  <c r="I64" i="21" s="1"/>
  <c r="D66" i="21"/>
  <c r="I66" i="21" s="1" a="1"/>
  <c r="I66" i="21" s="1"/>
  <c r="I64" i="20" a="1"/>
  <c r="I64" i="20" s="1"/>
  <c r="D66" i="20"/>
  <c r="I66" i="20" s="1" a="1"/>
  <c r="I66" i="20" s="1"/>
  <c r="I64" i="18" a="1"/>
  <c r="I64" i="18" s="1"/>
  <c r="D66" i="18"/>
  <c r="I66" i="18" s="1" a="1"/>
  <c r="I66" i="18" s="1"/>
  <c r="I64" i="19" a="1"/>
  <c r="I64" i="19" s="1"/>
  <c r="D66" i="19"/>
  <c r="I66" i="19" s="1" a="1"/>
  <c r="I66" i="19" s="1"/>
  <c r="I64" i="17" a="1"/>
  <c r="I64" i="17" s="1"/>
  <c r="D66" i="17"/>
  <c r="I66" i="17" s="1" a="1"/>
  <c r="I66" i="17" s="1"/>
  <c r="I64" i="11" a="1"/>
  <c r="I64" i="11" s="1"/>
  <c r="D66" i="11"/>
  <c r="I66" i="11" s="1" a="1"/>
  <c r="I66" i="11" s="1"/>
  <c r="I64" i="10" a="1"/>
  <c r="I64" i="10" s="1"/>
  <c r="I64" i="14" a="1"/>
  <c r="I64" i="14" s="1"/>
  <c r="D66" i="14"/>
  <c r="I66" i="14" s="1" a="1"/>
  <c r="I66" i="14" s="1"/>
  <c r="I64" i="9" a="1"/>
  <c r="I64" i="9" s="1"/>
  <c r="D66" i="9"/>
  <c r="I66" i="9" s="1" a="1"/>
  <c r="I66" i="9" s="1"/>
  <c r="I64" i="8" a="1"/>
  <c r="I64" i="8" s="1"/>
  <c r="D66" i="8"/>
  <c r="I66" i="8" s="1" a="1"/>
  <c r="I66" i="8" s="1"/>
  <c r="I64" i="7" a="1"/>
  <c r="I64" i="7" s="1"/>
  <c r="D66" i="7"/>
  <c r="I66" i="7" s="1" a="1"/>
  <c r="I66" i="7" s="1"/>
  <c r="I64" i="5" a="1"/>
  <c r="I64" i="5" s="1"/>
  <c r="D66" i="5"/>
  <c r="I66" i="5" s="1" a="1"/>
  <c r="I66" i="5" s="1"/>
  <c r="I64" i="4" a="1"/>
  <c r="I64" i="4" s="1"/>
  <c r="D66" i="4"/>
  <c r="I66" i="4" s="1" a="1"/>
  <c r="I66" i="4" s="1"/>
  <c r="I64" i="3" a="1"/>
  <c r="I64" i="3" s="1"/>
  <c r="D66" i="3"/>
  <c r="I66" i="3" s="1" a="1"/>
  <c r="I66" i="3" s="1"/>
  <c r="L43" i="2"/>
  <c r="L41" i="2"/>
  <c r="D15" i="2"/>
  <c r="D14" i="2"/>
  <c r="D13" i="2"/>
  <c r="D12" i="2"/>
  <c r="C10" i="32"/>
  <c r="D11" i="2"/>
  <c r="D10" i="2"/>
  <c r="D9" i="2"/>
  <c r="D8" i="2"/>
  <c r="D7" i="2"/>
  <c r="D6" i="2"/>
  <c r="D66" i="28" l="1"/>
  <c r="I66" i="28" s="1" a="1"/>
  <c r="I66" i="28" s="1"/>
  <c r="D66" i="30"/>
  <c r="I66" i="30" s="1" a="1"/>
  <c r="I66" i="30" s="1"/>
  <c r="I64" i="24" a="1"/>
  <c r="I64" i="24" s="1"/>
  <c r="D66" i="23"/>
  <c r="I66" i="23" s="1" a="1"/>
  <c r="I66" i="23" s="1"/>
  <c r="I64" i="6" a="1"/>
  <c r="I64" i="6" s="1"/>
  <c r="I64" i="25" a="1"/>
  <c r="I64" i="25" s="1"/>
  <c r="I59" i="19" a="1"/>
  <c r="I59" i="19" s="1"/>
  <c r="D66" i="13"/>
  <c r="I66" i="13" s="1" a="1"/>
  <c r="I66" i="13" s="1"/>
  <c r="D66" i="15"/>
  <c r="I66" i="15" s="1" a="1"/>
  <c r="I66" i="15" s="1"/>
  <c r="I64" i="16" a="1"/>
  <c r="I64" i="16" s="1"/>
  <c r="D61" i="13"/>
  <c r="I61" i="13" s="1" a="1"/>
  <c r="I61" i="13" s="1"/>
  <c r="I59" i="13" a="1"/>
  <c r="I59" i="13" s="1"/>
  <c r="I64" i="12" a="1"/>
  <c r="I64" i="12" s="1"/>
  <c r="D61" i="12"/>
  <c r="I61" i="12" s="1" a="1"/>
  <c r="I61" i="12" s="1"/>
  <c r="I59" i="12" a="1"/>
  <c r="I59" i="12" s="1"/>
  <c r="D16" i="2"/>
  <c r="D63" i="2" l="1"/>
  <c r="D62" i="2"/>
  <c r="I62" i="2" s="1" a="1"/>
  <c r="I62" i="2" s="1"/>
  <c r="D58" i="2" l="1"/>
  <c r="I58" i="2" s="1" a="1"/>
  <c r="I58" i="2" s="1"/>
  <c r="D57" i="2"/>
  <c r="I63" i="2" a="1"/>
  <c r="I63" i="2" s="1"/>
  <c r="D64" i="2"/>
  <c r="I64" i="2" s="1" a="1"/>
  <c r="I64" i="2" s="1"/>
  <c r="D59" i="2" l="1"/>
  <c r="I59" i="2" s="1" a="1"/>
  <c r="I59" i="2" s="1"/>
  <c r="I57" i="2" a="1"/>
  <c r="I57" i="2" s="1"/>
  <c r="D66" i="2"/>
  <c r="I66" i="2" s="1" a="1"/>
  <c r="I66" i="2" s="1"/>
  <c r="D61" i="2" l="1"/>
  <c r="I61" i="2" s="1" a="1"/>
  <c r="I6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<sst xmlns="http://schemas.openxmlformats.org/spreadsheetml/2006/main" count="4829" uniqueCount="296">
  <si>
    <t>ENERGY TRACKER</t>
  </si>
  <si>
    <t>Select your country, and it will redirect you to the country's sheet. There you will find all the information to fill in and the results of your label.</t>
  </si>
  <si>
    <t>Austria!A1</t>
  </si>
  <si>
    <t>France!A1</t>
  </si>
  <si>
    <t>Netherlands!A1</t>
  </si>
  <si>
    <t>This excel document is used to calculate the energy consumption and carbon emissions associated with electricity use and heating and transportation. The instructions for filling out the document are explained below.</t>
  </si>
  <si>
    <t>Belgium!A1</t>
  </si>
  <si>
    <t>Germany!A1</t>
  </si>
  <si>
    <t>Poland!A1</t>
  </si>
  <si>
    <t>Bulgaria!A1</t>
  </si>
  <si>
    <t>Greece!A1</t>
  </si>
  <si>
    <t>Portugal!A1</t>
  </si>
  <si>
    <t>Croatia!A1</t>
  </si>
  <si>
    <t>Hungary!A1</t>
  </si>
  <si>
    <t>Romania!A1</t>
  </si>
  <si>
    <t>Cyprus!A1</t>
  </si>
  <si>
    <t>Ireland!A1</t>
  </si>
  <si>
    <t>Slovakia!A1</t>
  </si>
  <si>
    <t>INSTRUCTIONS:</t>
  </si>
  <si>
    <t>Czech Republic'!A1</t>
  </si>
  <si>
    <t>Italy!A1</t>
  </si>
  <si>
    <t>Slovenia!A1</t>
  </si>
  <si>
    <t>1) Select your country and just fill in that sheet. If your country does not appear, select EU, it calculates a default</t>
  </si>
  <si>
    <t>Denmark!A1</t>
  </si>
  <si>
    <t>Latvia!A1</t>
  </si>
  <si>
    <t>Spain!A1</t>
  </si>
  <si>
    <t>2) Cells marked in yellow are those that have to be filled in by the users</t>
  </si>
  <si>
    <t>Estonia!A1</t>
  </si>
  <si>
    <t>Lithuania!A1</t>
  </si>
  <si>
    <t>Sweden!A1</t>
  </si>
  <si>
    <t>3) Please, read every "NOTES" cell in the calculator for important information</t>
  </si>
  <si>
    <t>EU28'!A1</t>
  </si>
  <si>
    <t>Luxembourg!A1</t>
  </si>
  <si>
    <t>United Kingdom'!A1</t>
  </si>
  <si>
    <t>4) For the household data, provide your energy bill data from the last 6 months at least, but if possible fill 1 year data. Please, provide electricity and heating consumption</t>
  </si>
  <si>
    <t>Finland!A1</t>
  </si>
  <si>
    <t>Malta!A1</t>
  </si>
  <si>
    <t>5) For the transport, a week should be tracked for a daily routine understanding</t>
  </si>
  <si>
    <t>6) In observations write anything you find interesting for us to know or anything you find important to remark</t>
  </si>
  <si>
    <r>
      <t>For any questions, contact me:</t>
    </r>
    <r>
      <rPr>
        <sz val="12"/>
        <color theme="1"/>
        <rFont val="Calibri"/>
        <family val="2"/>
        <scheme val="minor"/>
      </rPr>
      <t xml:space="preserve"> </t>
    </r>
    <r>
      <rPr>
        <b/>
        <sz val="12"/>
        <color theme="1"/>
        <rFont val="Calibri"/>
        <family val="2"/>
        <scheme val="minor"/>
      </rPr>
      <t>cristina.sanzc@upm.es</t>
    </r>
  </si>
  <si>
    <t>HOUSEHOLD DATA</t>
  </si>
  <si>
    <t>AUSTRIA</t>
  </si>
  <si>
    <t>Number of people living in the household</t>
  </si>
  <si>
    <t>Type of heating source used</t>
  </si>
  <si>
    <t>District heating source (only if the heating system is District heating)</t>
  </si>
  <si>
    <t>NOTES:</t>
  </si>
  <si>
    <t>Period tracked</t>
  </si>
  <si>
    <t>Number of days of the period tracked</t>
  </si>
  <si>
    <t>ELECTRICITY CONSUMPTION (kWh)</t>
  </si>
  <si>
    <t>THERMAL CONSUMPTION (kWh)</t>
  </si>
  <si>
    <t>ELECTRICITY CONSUMPTION PER CAPITA (kWh/capita)</t>
  </si>
  <si>
    <t>THERMAL CONSUMPTION PER CAPITA (kWh/capita)</t>
  </si>
  <si>
    <t>EMISSIONS ASSOCIATED TO ELECTRICITY CONSUMPTION (kg CO2/capita)</t>
  </si>
  <si>
    <t>EMISSIONS ASSOCIATED TO THERMAL CONSUMPTION (kg CO2/capita)</t>
  </si>
  <si>
    <t>Initial date tracked</t>
  </si>
  <si>
    <t>Final date tracked</t>
  </si>
  <si>
    <t>OBSERVATIONS</t>
  </si>
  <si>
    <t>TOTAL</t>
  </si>
  <si>
    <t>TOTAL PER DAY</t>
  </si>
  <si>
    <t>If your heating energy source is one of the followings, please fill in the mass (kg) or volumen (L) in the following cells, indicating the period of that consumption</t>
  </si>
  <si>
    <t>Heating oil (L)</t>
  </si>
  <si>
    <t>Biomass (kg)</t>
  </si>
  <si>
    <t>Wood burning stoves (kg)</t>
  </si>
  <si>
    <t>period tracked (number of days)</t>
  </si>
  <si>
    <t>thermal consumption (kWh)</t>
  </si>
  <si>
    <t>Thermal consumption per capita (kWh/capita)</t>
  </si>
  <si>
    <t>TRANSPORT DATA</t>
  </si>
  <si>
    <t>Please, fill this cell with the number of days you have tracked your transport data</t>
  </si>
  <si>
    <t>Date of travel</t>
  </si>
  <si>
    <t>TYPE OF VEHICLE USED</t>
  </si>
  <si>
    <t>LEVEL OF OCCUPANCY*</t>
  </si>
  <si>
    <t>DISTANCE TRAVELLED (km)</t>
  </si>
  <si>
    <t>ENERGY CONSUMPTION (kWh)</t>
  </si>
  <si>
    <t>EMISSIONS (kg CO2)</t>
  </si>
  <si>
    <t>NUMBER OF DAYS TRACKED</t>
  </si>
  <si>
    <t>ENERGY CONSUMPTION PER DAY</t>
  </si>
  <si>
    <t>For the bus, if you know the energy source, select it in the options of transport. If not, choose "Bus" and a default value for buses will be used for te calculation.</t>
  </si>
  <si>
    <t>EMISSIONS PER DAY</t>
  </si>
  <si>
    <t>Not all countries have the same options for transport, i.e. in Denmark there isn´t option for High speed trains, or in Slovenia, buses are just diesel buses while in UK, buses options go from electric buses to diesel and with alternative fuels.</t>
  </si>
  <si>
    <t>Alternative fuels for buses are: natural gas, Liquified Petro gas (LPG) and biofuels.</t>
  </si>
  <si>
    <t>*LEVEL OF OCCUPANCY: Please, fill only the cells related to the type of vehicle following the rule:</t>
  </si>
  <si>
    <t>LABEL</t>
  </si>
  <si>
    <t>PERSONAL CONSUMPTION AND EMISSIONS</t>
  </si>
  <si>
    <t>PERSONAL LABEL</t>
  </si>
  <si>
    <t>Energy</t>
  </si>
  <si>
    <t>Electricity consumption</t>
  </si>
  <si>
    <t>kWh</t>
  </si>
  <si>
    <t>Thermal consumption</t>
  </si>
  <si>
    <t>Household consumption</t>
  </si>
  <si>
    <t>Transport</t>
  </si>
  <si>
    <t>Emissions</t>
  </si>
  <si>
    <t>kg CO2</t>
  </si>
  <si>
    <t>Household emissions</t>
  </si>
  <si>
    <t>BELGIUM</t>
  </si>
  <si>
    <t>BULGARIA</t>
  </si>
  <si>
    <t>CROATIA</t>
  </si>
  <si>
    <t>CYPRUS</t>
  </si>
  <si>
    <t>CZECH REPUBLIC</t>
  </si>
  <si>
    <t>DENMARK</t>
  </si>
  <si>
    <t>ESTONIA</t>
  </si>
  <si>
    <t>EUROPEAN UNION - 28</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</si>
  <si>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</si>
  <si>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</si>
  <si>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</si>
  <si>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</si>
  <si>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</si>
  <si>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</si>
  <si>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</si>
  <si>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</si>
  <si>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</si>
  <si>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</si>
  <si>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</si>
  <si>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</si>
  <si>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</si>
  <si>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</si>
  <si>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</si>
  <si>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</si>
  <si>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</si>
  <si>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</si>
  <si>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</si>
  <si>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</si>
  <si>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DISTANCE TRAVELLED (mi)</t>
  </si>
  <si>
    <t>Heating fuels</t>
  </si>
  <si>
    <t>EF (kg CO2/kWh)</t>
  </si>
  <si>
    <t>Country</t>
  </si>
  <si>
    <t>Electricity EF (kg CO2/kWh) - 2020</t>
  </si>
  <si>
    <t>Type of vehicles</t>
  </si>
  <si>
    <t>Level of occupancy</t>
  </si>
  <si>
    <t>Austria</t>
  </si>
  <si>
    <t>Walking</t>
  </si>
  <si>
    <t>Natural gas</t>
  </si>
  <si>
    <t>Belgium</t>
  </si>
  <si>
    <t>Bike</t>
  </si>
  <si>
    <t>Bulgaria</t>
  </si>
  <si>
    <t>Fuel car</t>
  </si>
  <si>
    <t>Biomass</t>
  </si>
  <si>
    <t>Croatia</t>
  </si>
  <si>
    <t>Electric car</t>
  </si>
  <si>
    <t>Cyprus</t>
  </si>
  <si>
    <t>Hybrid car</t>
  </si>
  <si>
    <t>Czechia</t>
  </si>
  <si>
    <t>Motorcycle</t>
  </si>
  <si>
    <t>Almost empty</t>
  </si>
  <si>
    <t>Denmark</t>
  </si>
  <si>
    <t>Electric motorcycle</t>
  </si>
  <si>
    <t>Average</t>
  </si>
  <si>
    <t>Estonia</t>
  </si>
  <si>
    <t>Electric bike</t>
  </si>
  <si>
    <t>Nearly full</t>
  </si>
  <si>
    <t>Electric heating</t>
  </si>
  <si>
    <t>European Union (27)</t>
  </si>
  <si>
    <t>Electric scooter</t>
  </si>
  <si>
    <t>Finland</t>
  </si>
  <si>
    <t>Electric bus</t>
  </si>
  <si>
    <t>France</t>
  </si>
  <si>
    <t>Hybrid-electric bus</t>
  </si>
  <si>
    <t>DISTRICT HEATING SOURCES</t>
  </si>
  <si>
    <t>Germany</t>
  </si>
  <si>
    <t>Alternative fuel bus</t>
  </si>
  <si>
    <t>Coal</t>
  </si>
  <si>
    <t>Greece</t>
  </si>
  <si>
    <t>Diesel bus</t>
  </si>
  <si>
    <t>Hungary</t>
  </si>
  <si>
    <t>Bus</t>
  </si>
  <si>
    <t>Oil</t>
  </si>
  <si>
    <t>Ireland</t>
  </si>
  <si>
    <t>Metro, tram, urban light train</t>
  </si>
  <si>
    <t xml:space="preserve">Electricity </t>
  </si>
  <si>
    <t>EU electricity mix</t>
  </si>
  <si>
    <t>Italy</t>
  </si>
  <si>
    <t>Electric passenger train</t>
  </si>
  <si>
    <t>Solar thermal energy</t>
  </si>
  <si>
    <t>Latvia</t>
  </si>
  <si>
    <t>Diesel passenger train</t>
  </si>
  <si>
    <t>Geothermal energy</t>
  </si>
  <si>
    <t>Lithuania</t>
  </si>
  <si>
    <t>High speed train</t>
  </si>
  <si>
    <t>Luxembourg</t>
  </si>
  <si>
    <t>Waste treatment</t>
  </si>
  <si>
    <t>Malta</t>
  </si>
  <si>
    <t>Default</t>
  </si>
  <si>
    <t>Netherlands</t>
  </si>
  <si>
    <t>Poland</t>
  </si>
  <si>
    <t>Portugal</t>
  </si>
  <si>
    <t>Romania</t>
  </si>
  <si>
    <t>Slovakia</t>
  </si>
  <si>
    <t>Slovenia</t>
  </si>
  <si>
    <t>Spain</t>
  </si>
  <si>
    <t>Sweden</t>
  </si>
  <si>
    <t>United Kingdom</t>
  </si>
  <si>
    <t>TRANSPORT DATA BUSES</t>
  </si>
  <si>
    <t>LIMITS FOR LEVELS:</t>
  </si>
  <si>
    <t>A+</t>
  </si>
  <si>
    <t>A</t>
  </si>
  <si>
    <t>B</t>
  </si>
  <si>
    <t>C</t>
  </si>
  <si>
    <t>D</t>
  </si>
  <si>
    <t>E</t>
  </si>
  <si>
    <t>F</t>
  </si>
  <si>
    <t>G</t>
  </si>
  <si>
    <t>Units</t>
  </si>
  <si>
    <t>Number of passengers</t>
  </si>
  <si>
    <t>Fuel consumption per passenger (p-km)</t>
  </si>
  <si>
    <t>Emissions per passenger (kg CO2/p-km)</t>
  </si>
  <si>
    <t>Fuel consumption per passenger (kWh/p-km)</t>
  </si>
  <si>
    <t>Electric consumption</t>
  </si>
  <si>
    <t>&gt;F</t>
  </si>
  <si>
    <t>FUEL CARS</t>
  </si>
  <si>
    <t>ELECTRIC BUS</t>
  </si>
  <si>
    <t>Energy consumption</t>
  </si>
  <si>
    <t>Transport consumption</t>
  </si>
  <si>
    <t>TOTAL CONSUMPTION</t>
  </si>
  <si>
    <t>Electric emissions</t>
  </si>
  <si>
    <t>HYBRID ELECTRIC BUS</t>
  </si>
  <si>
    <t>Thermal emissions</t>
  </si>
  <si>
    <t>Energy emissions</t>
  </si>
  <si>
    <t>MOTORCYCLES</t>
  </si>
  <si>
    <t>Transport emissions</t>
  </si>
  <si>
    <t>TOTAL EMISSIONS</t>
  </si>
  <si>
    <t>ALTERNATIVE FUELS BUS</t>
  </si>
  <si>
    <t>ELECTRIC CARS</t>
  </si>
  <si>
    <t>energy:</t>
  </si>
  <si>
    <t>average</t>
  </si>
  <si>
    <t>transport:</t>
  </si>
  <si>
    <t>DIESEL BUS</t>
  </si>
  <si>
    <t>HYBRID CARS</t>
  </si>
  <si>
    <t>DEFAULT BUS</t>
  </si>
  <si>
    <t>ELECTRIC MOTORCYCLES</t>
  </si>
  <si>
    <t>ELECTRIC BIKES</t>
  </si>
  <si>
    <t>ELECTRIC SCOOTERS</t>
  </si>
  <si>
    <t>METRO TRAM</t>
  </si>
  <si>
    <t>ELECTRIC PASSENGER TRAINS</t>
  </si>
  <si>
    <t>HIGH SPEED TRAINS</t>
  </si>
  <si>
    <t>DIESEL PASSENGER TRAINS</t>
  </si>
  <si>
    <t>AVIATION</t>
  </si>
  <si>
    <t>no electric vehicles data. Default EU-28</t>
  </si>
  <si>
    <t>data from EU28</t>
  </si>
  <si>
    <t>ELECTRIC CMOTORCYCLES</t>
  </si>
  <si>
    <t>EU</t>
  </si>
  <si>
    <t>ELECTRIC MOTORCYLES</t>
  </si>
  <si>
    <t>DIESEL BUSES</t>
  </si>
  <si>
    <t>Fuel consumption per passenger (kWh/p-mile)</t>
  </si>
  <si>
    <t>Emissions per passenger (kg CO2/p-mile)</t>
  </si>
  <si>
    <t>ELECTRIC PASSENGERS TRAINS</t>
  </si>
  <si>
    <t>DIESEL PASSENGERS TRAINS</t>
  </si>
  <si>
    <t>Please, upload your file in this folder (change the name of the file):</t>
  </si>
  <si>
    <t>https://drive.upm.es/s/4Q5ZTiKROrBsaFn</t>
  </si>
  <si>
    <t>DOMESTIC</t>
  </si>
  <si>
    <t>INTERNATIONAL - INTRA EU</t>
  </si>
  <si>
    <t>INTERNATIONAL - EXTRA EU</t>
  </si>
  <si>
    <t>kWh/p-km)</t>
  </si>
  <si>
    <t>emissions (kg CO2/p-km)</t>
  </si>
  <si>
    <t>For the plane, you have to choose between domestic flights and international (intra and extra EU). You don´t have to select anything in level of occupancy.</t>
  </si>
  <si>
    <t>Plane - domestic flight</t>
  </si>
  <si>
    <t>Plane - international (intra EU)</t>
  </si>
  <si>
    <t>Plane - international (extra EU)</t>
  </si>
  <si>
    <t>Please, include on the records your commuting but do not include travels that you make on behalf of your company</t>
  </si>
  <si>
    <t>If your heating system is heating oil, biomass, wood or LPG, please follow the instructions below the table. The mass or volume is needed for the heating energy consumption calculation. Please, do not forget the period.</t>
  </si>
  <si>
    <t>Natural gas (kWh)</t>
  </si>
  <si>
    <t>Geothermal (kWh)</t>
  </si>
  <si>
    <t>Solar thermal (kWh)</t>
  </si>
  <si>
    <t>District heating (kWh)</t>
  </si>
  <si>
    <t>Butane (kg)</t>
  </si>
  <si>
    <t>Locally-produced biomass (kg)</t>
  </si>
  <si>
    <t>Liquified Petro gas (LPG) (L)</t>
  </si>
  <si>
    <t>LPG (L)</t>
  </si>
  <si>
    <t>Emissions associated to thermal consumption (kg CO2/capita)</t>
  </si>
  <si>
    <t>If you have electric heating, your household consumption will be just electricity consumption.</t>
  </si>
  <si>
    <t>GREEN ELECTRICITY</t>
  </si>
  <si>
    <t>Yes</t>
  </si>
  <si>
    <t>No</t>
  </si>
  <si>
    <t>Green electricity</t>
  </si>
  <si>
    <t>If you have a green provider, please select YES in the "green electricity" cell</t>
  </si>
  <si>
    <t>kg</t>
  </si>
  <si>
    <t>lbs</t>
  </si>
  <si>
    <t>L</t>
  </si>
  <si>
    <t>gal</t>
  </si>
  <si>
    <t>Unit conversion</t>
  </si>
  <si>
    <t>Heating oil (gal)</t>
  </si>
  <si>
    <t>Biomass (lbs)</t>
  </si>
  <si>
    <t>Wood burning stoves (lbs)</t>
  </si>
  <si>
    <t>Butane (lbs)</t>
  </si>
  <si>
    <t>LPG (gal)</t>
  </si>
  <si>
    <t>Energy consumption of you car (L/100 km)</t>
  </si>
  <si>
    <t>Energy consumption (kWh)</t>
  </si>
  <si>
    <t>Emissions (kg CO2)</t>
  </si>
  <si>
    <t>If you want the calculation to consider the energy consumption of your car (L/100 km), fill the following cells. It is important to fill the distance travelled in the left table</t>
  </si>
  <si>
    <t>Energy consumption of you car (mpg)</t>
  </si>
  <si>
    <t>mpg</t>
  </si>
  <si>
    <t>L/100km</t>
  </si>
  <si>
    <t>kWh/mi</t>
  </si>
  <si>
    <t>HOME PV</t>
  </si>
  <si>
    <t>PV EXPORT TO GRID</t>
  </si>
  <si>
    <t>PV GENERATION (TOTAL)</t>
  </si>
  <si>
    <t>CONNECTED TO GRID</t>
  </si>
  <si>
    <t>If you have PV panles and want to enter their electricty generation select HOME PV. If your panles are connected to the grid and you want to enter the amount of energy you export to the grid select CONNECTED TO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</si>
</sst>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5"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0"/>
      <color theme="1"/>
      <name val="Calibri"/>
      <family val="2"/>
      <scheme val="minor"/>
    </font>
    <font>
      <b/>
      <sz val="14"/>
      <color theme="1"/>
      <name val="Calibri"/>
      <family val="2"/>
      <scheme val="minor"/>
    </font>
    <font>
      <b/>
      <sz val="18"/>
      <color theme="1"/>
      <name val="Calibri"/>
      <family val="2"/>
      <scheme val="minor"/>
    </font>
    <font>
      <b/>
      <sz val="24"/>
      <color theme="1"/>
      <name val="Calibri"/>
      <family val="2"/>
      <scheme val="minor"/>
    </font>
    <font>
      <b/>
      <sz val="22"/>
      <color theme="1"/>
      <name val="Calibri"/>
      <family val="2"/>
      <scheme val="minor"/>
    </font>
    <font>
      <b/>
      <sz val="11"/>
      <color theme="0"/>
      <name val="Calibri"/>
      <family val="2"/>
      <scheme val="minor"/>
    </font>
    <font>
      <sz val="11"/>
      <color theme="0"/>
      <name val="Calibri"/>
      <family val="2"/>
      <scheme val="minor"/>
    </font>
    <font>
      <u/>
      <sz val="14"/>
      <color theme="10"/>
      <name val="Calibri"/>
      <family val="2"/>
      <scheme val="minor"/>
    </font>
    <font>
      <sz val="11"/>
      <color rgb="FF000000"/>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rgb="FF008000"/>
        <bgColor indexed="64"/>
      </patternFill>
    </fill>
    <fill>
      <patternFill patternType="solid">
        <fgColor rgb="FF33CC33"/>
        <bgColor indexed="64"/>
      </patternFill>
    </fill>
    <fill>
      <patternFill patternType="solid">
        <fgColor rgb="FF99FF33"/>
        <bgColor indexed="64"/>
      </patternFill>
    </fill>
    <fill>
      <patternFill patternType="solid">
        <fgColor rgb="FFFF6600"/>
        <bgColor indexed="64"/>
      </patternFill>
    </fill>
    <fill>
      <patternFill patternType="solid">
        <fgColor rgb="FFC00000"/>
        <bgColor indexed="64"/>
      </patternFill>
    </fill>
    <fill>
      <patternFill patternType="solid">
        <fgColor theme="6" tint="0.59999389629810485"/>
        <bgColor indexed="64"/>
      </patternFill>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top/>
      <bottom style="thin">
        <color theme="1"/>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indexed="64"/>
      </bottom>
      <diagonal/>
    </border>
  </borders>
  <cellStyleXfs count="2">
    <xf numFmtId="0" fontId="0" fillId="0" borderId="0"/>
    <xf numFmtId="0" fontId="3" fillId="0" borderId="0" applyNumberFormat="0" applyFill="0" applyBorder="0" applyAlignment="0" applyProtection="0"/>
  </cellStyleXfs>
  <cellXfs count="336">
    <xf numFmtId="0" fontId="0" fillId="0" borderId="0" xfId="0"/>
    <xf numFmtId="0" fontId="0" fillId="0" borderId="6" xfId="0" applyBorder="1"/>
    <xf numFmtId="0" fontId="2" fillId="0" borderId="0" xfId="0" applyFont="1" applyAlignment="1">
      <alignment horizontal="left" vertical="center" wrapText="1"/>
    </xf>
    <xf numFmtId="0" fontId="0" fillId="0" borderId="10" xfId="0" applyBorder="1" applyAlignment="1">
      <alignment vertical="center" wrapText="1"/>
    </xf>
    <xf numFmtId="0" fontId="0" fillId="0" borderId="0" xfId="0" applyAlignment="1">
      <alignment vertical="center" wrapText="1"/>
    </xf>
    <xf numFmtId="0" fontId="2" fillId="0" borderId="0" xfId="0" applyFont="1"/>
    <xf numFmtId="0" fontId="0" fillId="0" borderId="10" xfId="0" applyBorder="1" applyAlignment="1">
      <alignment horizontal="center" vertical="center" wrapText="1"/>
    </xf>
    <xf numFmtId="0" fontId="0" fillId="0" borderId="0" xfId="0" applyAlignment="1">
      <alignment horizontal="center" vertical="center" wrapText="1"/>
    </xf>
    <xf numFmtId="0" fontId="3" fillId="0" borderId="0" xfId="1" applyBorder="1" applyAlignment="1">
      <alignment horizontal="left" vertical="top"/>
    </xf>
    <xf numFmtId="0" fontId="3" fillId="0" borderId="11" xfId="1" applyBorder="1" applyAlignment="1">
      <alignment horizontal="left" vertical="top"/>
    </xf>
    <xf numFmtId="0" fontId="3" fillId="0" borderId="0" xfId="1" quotePrefix="1" applyBorder="1" applyAlignment="1">
      <alignment horizontal="left" vertical="top"/>
    </xf>
    <xf numFmtId="0" fontId="0" fillId="0" borderId="8" xfId="0" applyBorder="1" applyAlignment="1">
      <alignment horizontal="right" vertical="center" wrapText="1"/>
    </xf>
    <xf numFmtId="0" fontId="6" fillId="0" borderId="8" xfId="0" applyFont="1" applyBorder="1" applyAlignment="1">
      <alignment horizontal="right" vertical="center" wrapText="1"/>
    </xf>
    <xf numFmtId="14" fontId="0" fillId="2" borderId="15" xfId="0" applyNumberFormat="1" applyFill="1" applyBorder="1"/>
    <xf numFmtId="0" fontId="0" fillId="0" borderId="15" xfId="0" applyBorder="1"/>
    <xf numFmtId="0" fontId="0" fillId="2" borderId="16" xfId="0" applyFill="1" applyBorder="1"/>
    <xf numFmtId="0" fontId="2" fillId="0" borderId="5" xfId="0" applyFont="1" applyBorder="1"/>
    <xf numFmtId="4" fontId="0" fillId="0" borderId="7" xfId="0" applyNumberFormat="1" applyBorder="1" applyProtection="1">
      <protection locked="0"/>
    </xf>
    <xf numFmtId="4" fontId="0" fillId="0" borderId="12" xfId="0" applyNumberFormat="1" applyBorder="1" applyProtection="1">
      <protection locked="0"/>
    </xf>
    <xf numFmtId="4" fontId="2" fillId="0" borderId="8" xfId="0" applyNumberFormat="1" applyFont="1" applyBorder="1" applyProtection="1">
      <protection locked="0"/>
    </xf>
    <xf numFmtId="4" fontId="2" fillId="0" borderId="12" xfId="0" applyNumberFormat="1" applyFont="1" applyBorder="1" applyProtection="1">
      <protection locked="0"/>
    </xf>
    <xf numFmtId="0" fontId="0" fillId="0" borderId="0" xfId="0" applyAlignment="1">
      <alignment wrapText="1"/>
    </xf>
    <xf numFmtId="0" fontId="4" fillId="0" borderId="0" xfId="0" applyFont="1" applyAlignment="1">
      <alignment vertical="center"/>
    </xf>
    <xf numFmtId="0" fontId="0" fillId="0" borderId="8" xfId="0" applyBorder="1" applyAlignment="1">
      <alignment wrapText="1"/>
    </xf>
    <xf numFmtId="14" fontId="0" fillId="2" borderId="21" xfId="0" applyNumberFormat="1" applyFill="1" applyBorder="1"/>
    <xf numFmtId="4" fontId="0" fillId="0" borderId="0" xfId="0" applyNumberFormat="1" applyProtection="1">
      <protection locked="0"/>
    </xf>
    <xf numFmtId="0" fontId="0" fillId="2" borderId="22" xfId="0" applyFill="1" applyBorder="1" applyAlignment="1">
      <alignment vertical="center"/>
    </xf>
    <xf numFmtId="0" fontId="0" fillId="2" borderId="22" xfId="0" applyFill="1" applyBorder="1"/>
    <xf numFmtId="0" fontId="0" fillId="0" borderId="16" xfId="0" applyBorder="1"/>
    <xf numFmtId="0" fontId="0" fillId="2" borderId="23" xfId="0" applyFill="1" applyBorder="1"/>
    <xf numFmtId="0" fontId="0" fillId="2" borderId="25" xfId="0" applyFill="1" applyBorder="1"/>
    <xf numFmtId="4" fontId="0" fillId="0" borderId="11" xfId="0" applyNumberFormat="1" applyBorder="1"/>
    <xf numFmtId="0" fontId="0" fillId="2" borderId="28" xfId="0" applyFill="1" applyBorder="1"/>
    <xf numFmtId="0" fontId="0" fillId="2" borderId="29" xfId="0" applyFill="1" applyBorder="1"/>
    <xf numFmtId="0" fontId="0" fillId="2" borderId="30" xfId="0" applyFill="1" applyBorder="1"/>
    <xf numFmtId="4" fontId="0" fillId="0" borderId="6" xfId="0" applyNumberFormat="1" applyBorder="1"/>
    <xf numFmtId="4" fontId="2" fillId="0" borderId="8" xfId="0" applyNumberFormat="1" applyFont="1" applyBorder="1"/>
    <xf numFmtId="4" fontId="2" fillId="0" borderId="12" xfId="0" applyNumberFormat="1" applyFont="1" applyBorder="1"/>
    <xf numFmtId="1" fontId="0" fillId="0" borderId="16" xfId="0" applyNumberFormat="1" applyBorder="1"/>
    <xf numFmtId="164" fontId="0" fillId="0" borderId="16" xfId="0" applyNumberFormat="1" applyBorder="1"/>
    <xf numFmtId="0" fontId="7" fillId="3" borderId="12" xfId="0" applyFont="1" applyFill="1" applyBorder="1"/>
    <xf numFmtId="0" fontId="0" fillId="0" borderId="41" xfId="0" applyBorder="1" applyAlignment="1">
      <alignment wrapText="1"/>
    </xf>
    <xf numFmtId="0" fontId="0" fillId="0" borderId="27" xfId="0" applyBorder="1"/>
    <xf numFmtId="0" fontId="0" fillId="0" borderId="42" xfId="0" applyBorder="1"/>
    <xf numFmtId="165" fontId="0" fillId="0" borderId="0" xfId="0" applyNumberFormat="1"/>
    <xf numFmtId="0" fontId="0" fillId="0" borderId="43" xfId="0" applyBorder="1"/>
    <xf numFmtId="0" fontId="0" fillId="0" borderId="2" xfId="0" applyBorder="1"/>
    <xf numFmtId="0" fontId="0" fillId="0" borderId="0" xfId="0" applyAlignment="1">
      <alignment vertical="center"/>
    </xf>
    <xf numFmtId="4" fontId="2" fillId="0" borderId="6" xfId="0" applyNumberFormat="1" applyFont="1" applyBorder="1"/>
    <xf numFmtId="4" fontId="2" fillId="0" borderId="3" xfId="0" applyNumberFormat="1" applyFont="1" applyBorder="1" applyAlignment="1">
      <alignment vertical="center"/>
    </xf>
    <xf numFmtId="0" fontId="0" fillId="0" borderId="5" xfId="0" applyBorder="1"/>
    <xf numFmtId="0" fontId="0" fillId="2" borderId="34" xfId="0" applyFill="1" applyBorder="1"/>
    <xf numFmtId="0" fontId="0" fillId="2" borderId="32" xfId="0" applyFill="1" applyBorder="1"/>
    <xf numFmtId="0" fontId="0" fillId="2" borderId="19" xfId="0" applyFill="1" applyBorder="1"/>
    <xf numFmtId="4" fontId="0" fillId="0" borderId="5" xfId="0" applyNumberFormat="1" applyBorder="1"/>
    <xf numFmtId="0" fontId="0" fillId="0" borderId="3" xfId="0" applyBorder="1"/>
    <xf numFmtId="0" fontId="0" fillId="0" borderId="11" xfId="0" applyBorder="1"/>
    <xf numFmtId="0" fontId="0" fillId="0" borderId="2" xfId="0" applyBorder="1" applyAlignment="1">
      <alignment wrapText="1"/>
    </xf>
    <xf numFmtId="0" fontId="2" fillId="0" borderId="5" xfId="0" applyFont="1" applyBorder="1" applyAlignment="1">
      <alignment vertical="center"/>
    </xf>
    <xf numFmtId="1" fontId="0" fillId="0" borderId="0" xfId="0" applyNumberFormat="1"/>
    <xf numFmtId="9" fontId="0" fillId="0" borderId="0" xfId="0" applyNumberFormat="1"/>
    <xf numFmtId="0" fontId="0" fillId="0" borderId="1" xfId="0" applyBorder="1"/>
    <xf numFmtId="0" fontId="0" fillId="0" borderId="10" xfId="0" applyBorder="1"/>
    <xf numFmtId="1" fontId="0" fillId="6" borderId="0" xfId="0" applyNumberFormat="1" applyFill="1"/>
    <xf numFmtId="1" fontId="0" fillId="7" borderId="0" xfId="0" applyNumberFormat="1" applyFill="1"/>
    <xf numFmtId="0" fontId="2" fillId="6" borderId="2" xfId="0" applyFont="1" applyFill="1" applyBorder="1"/>
    <xf numFmtId="0" fontId="2" fillId="7" borderId="2" xfId="0" applyFont="1" applyFill="1" applyBorder="1"/>
    <xf numFmtId="0" fontId="11" fillId="8" borderId="2" xfId="0" applyFont="1" applyFill="1" applyBorder="1"/>
    <xf numFmtId="1" fontId="12" fillId="8" borderId="0" xfId="0" applyNumberFormat="1" applyFont="1" applyFill="1"/>
    <xf numFmtId="0" fontId="11" fillId="9" borderId="2" xfId="0" applyFont="1" applyFill="1" applyBorder="1"/>
    <xf numFmtId="1" fontId="12" fillId="9" borderId="0" xfId="0" applyNumberFormat="1" applyFont="1" applyFill="1"/>
    <xf numFmtId="0" fontId="2" fillId="10" borderId="2" xfId="0" applyFont="1" applyFill="1" applyBorder="1"/>
    <xf numFmtId="1" fontId="0" fillId="10" borderId="0" xfId="0" applyNumberFormat="1" applyFill="1"/>
    <xf numFmtId="0" fontId="2" fillId="11" borderId="2" xfId="0" applyFont="1" applyFill="1" applyBorder="1"/>
    <xf numFmtId="1" fontId="0" fillId="11" borderId="0" xfId="0" applyNumberFormat="1" applyFill="1"/>
    <xf numFmtId="0" fontId="2" fillId="12" borderId="2" xfId="0" applyFont="1" applyFill="1" applyBorder="1"/>
    <xf numFmtId="1" fontId="0" fillId="12" borderId="0" xfId="0" applyNumberFormat="1" applyFill="1"/>
    <xf numFmtId="0" fontId="2" fillId="13" borderId="2" xfId="0" applyFont="1" applyFill="1" applyBorder="1"/>
    <xf numFmtId="1" fontId="0" fillId="13" borderId="0" xfId="0" applyNumberFormat="1" applyFill="1"/>
    <xf numFmtId="0" fontId="2" fillId="0" borderId="10" xfId="0" applyFont="1" applyBorder="1"/>
    <xf numFmtId="1" fontId="11" fillId="8" borderId="0" xfId="0" applyNumberFormat="1" applyFont="1" applyFill="1"/>
    <xf numFmtId="1" fontId="11" fillId="9" borderId="0" xfId="0" applyNumberFormat="1" applyFont="1" applyFill="1"/>
    <xf numFmtId="1" fontId="2" fillId="10" borderId="0" xfId="0" applyNumberFormat="1" applyFont="1" applyFill="1"/>
    <xf numFmtId="1" fontId="2" fillId="11" borderId="0" xfId="0" applyNumberFormat="1" applyFont="1" applyFill="1"/>
    <xf numFmtId="1" fontId="2" fillId="6" borderId="0" xfId="0" applyNumberFormat="1" applyFont="1" applyFill="1"/>
    <xf numFmtId="1" fontId="2" fillId="7" borderId="0" xfId="0" applyNumberFormat="1" applyFont="1" applyFill="1"/>
    <xf numFmtId="1" fontId="2" fillId="12" borderId="0" xfId="0" applyNumberFormat="1" applyFont="1" applyFill="1"/>
    <xf numFmtId="1" fontId="2" fillId="13" borderId="0" xfId="0" applyNumberFormat="1" applyFont="1" applyFill="1"/>
    <xf numFmtId="0" fontId="2" fillId="0" borderId="11" xfId="0" applyFont="1" applyBorder="1"/>
    <xf numFmtId="0" fontId="2" fillId="0" borderId="4" xfId="0" applyFont="1" applyBorder="1"/>
    <xf numFmtId="1" fontId="11" fillId="8" borderId="5" xfId="0" applyNumberFormat="1" applyFont="1" applyFill="1" applyBorder="1"/>
    <xf numFmtId="1" fontId="11" fillId="9" borderId="5" xfId="0" applyNumberFormat="1" applyFont="1" applyFill="1" applyBorder="1"/>
    <xf numFmtId="1" fontId="2" fillId="10" borderId="5" xfId="0" applyNumberFormat="1" applyFont="1" applyFill="1" applyBorder="1"/>
    <xf numFmtId="1" fontId="2" fillId="11" borderId="5" xfId="0" applyNumberFormat="1" applyFont="1" applyFill="1" applyBorder="1"/>
    <xf numFmtId="1" fontId="2" fillId="6" borderId="5" xfId="0" applyNumberFormat="1" applyFont="1" applyFill="1" applyBorder="1"/>
    <xf numFmtId="1" fontId="2" fillId="7" borderId="5" xfId="0" applyNumberFormat="1" applyFont="1" applyFill="1" applyBorder="1"/>
    <xf numFmtId="1" fontId="2" fillId="12" borderId="5" xfId="0" applyNumberFormat="1" applyFont="1" applyFill="1" applyBorder="1"/>
    <xf numFmtId="1" fontId="2" fillId="13" borderId="5" xfId="0" applyNumberFormat="1" applyFont="1" applyFill="1" applyBorder="1"/>
    <xf numFmtId="0" fontId="2" fillId="0" borderId="6" xfId="0" applyFont="1" applyBorder="1"/>
    <xf numFmtId="4" fontId="0" fillId="0" borderId="0" xfId="0" applyNumberFormat="1" applyAlignment="1">
      <alignment vertical="center"/>
    </xf>
    <xf numFmtId="4" fontId="0" fillId="0" borderId="2" xfId="0" applyNumberFormat="1" applyBorder="1" applyAlignment="1">
      <alignment vertical="center"/>
    </xf>
    <xf numFmtId="4" fontId="2" fillId="0" borderId="9" xfId="0" applyNumberFormat="1" applyFont="1" applyBorder="1"/>
    <xf numFmtId="0" fontId="0" fillId="2" borderId="44" xfId="0" applyFill="1" applyBorder="1"/>
    <xf numFmtId="4" fontId="0" fillId="0" borderId="2" xfId="0" applyNumberFormat="1" applyBorder="1"/>
    <xf numFmtId="4" fontId="0" fillId="0" borderId="3" xfId="0" applyNumberFormat="1" applyBorder="1"/>
    <xf numFmtId="0" fontId="0" fillId="2" borderId="16" xfId="0" applyFill="1" applyBorder="1" applyAlignment="1">
      <alignment horizontal="left" vertical="center" wrapText="1"/>
    </xf>
    <xf numFmtId="0" fontId="2" fillId="2" borderId="16" xfId="0" applyFont="1" applyFill="1" applyBorder="1" applyAlignment="1">
      <alignment horizontal="left" vertical="center" wrapText="1"/>
    </xf>
    <xf numFmtId="0" fontId="0" fillId="2" borderId="21" xfId="0" applyFill="1" applyBorder="1" applyAlignment="1">
      <alignment horizontal="left" vertical="center" wrapText="1"/>
    </xf>
    <xf numFmtId="0" fontId="2" fillId="2" borderId="21" xfId="0" applyFont="1" applyFill="1" applyBorder="1" applyAlignment="1">
      <alignment horizontal="left" vertical="center" wrapText="1"/>
    </xf>
    <xf numFmtId="0" fontId="0" fillId="2" borderId="45" xfId="0" applyFill="1" applyBorder="1"/>
    <xf numFmtId="0" fontId="6" fillId="0" borderId="11" xfId="0" applyFont="1" applyBorder="1" applyAlignment="1">
      <alignment vertical="center" wrapText="1"/>
    </xf>
    <xf numFmtId="0" fontId="0" fillId="0" borderId="36" xfId="0" applyBorder="1" applyAlignment="1">
      <alignment horizontal="left" vertical="center" wrapText="1"/>
    </xf>
    <xf numFmtId="0" fontId="2" fillId="2" borderId="36" xfId="0" applyFont="1" applyFill="1" applyBorder="1" applyAlignment="1">
      <alignment horizontal="left" vertical="center" wrapText="1"/>
    </xf>
    <xf numFmtId="0" fontId="0" fillId="2" borderId="46" xfId="0" applyFill="1" applyBorder="1"/>
    <xf numFmtId="0" fontId="2" fillId="0" borderId="7" xfId="0" applyFont="1" applyBorder="1"/>
    <xf numFmtId="0" fontId="2" fillId="0" borderId="8" xfId="0" applyFont="1" applyBorder="1"/>
    <xf numFmtId="0" fontId="2" fillId="0" borderId="9" xfId="0" applyFont="1" applyBorder="1"/>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vertical="center" wrapText="1"/>
    </xf>
    <xf numFmtId="0" fontId="0" fillId="0" borderId="16" xfId="0" applyBorder="1" applyAlignment="1">
      <alignment vertical="center" wrapText="1"/>
    </xf>
    <xf numFmtId="165" fontId="0" fillId="0" borderId="16" xfId="0" applyNumberFormat="1" applyBorder="1" applyAlignment="1">
      <alignment wrapText="1"/>
    </xf>
    <xf numFmtId="164" fontId="0" fillId="0" borderId="0" xfId="0" applyNumberFormat="1"/>
    <xf numFmtId="4" fontId="0" fillId="0" borderId="0" xfId="0" applyNumberFormat="1"/>
    <xf numFmtId="0" fontId="0" fillId="2" borderId="39" xfId="0" applyFill="1" applyBorder="1"/>
    <xf numFmtId="0" fontId="0" fillId="2" borderId="36" xfId="0" applyFill="1" applyBorder="1"/>
    <xf numFmtId="0" fontId="0" fillId="2" borderId="48" xfId="0" applyFill="1" applyBorder="1"/>
    <xf numFmtId="4" fontId="0" fillId="0" borderId="1" xfId="0" applyNumberFormat="1" applyBorder="1"/>
    <xf numFmtId="4" fontId="0" fillId="0" borderId="10" xfId="0" applyNumberFormat="1" applyBorder="1"/>
    <xf numFmtId="4" fontId="0" fillId="0" borderId="4" xfId="0" applyNumberFormat="1" applyBorder="1"/>
    <xf numFmtId="4" fontId="2" fillId="0" borderId="5" xfId="0" applyNumberFormat="1" applyFont="1" applyBorder="1"/>
    <xf numFmtId="4" fontId="2" fillId="0" borderId="17" xfId="0" applyNumberFormat="1" applyFont="1" applyBorder="1"/>
    <xf numFmtId="0" fontId="0" fillId="0" borderId="49" xfId="0" applyBorder="1" applyAlignment="1">
      <alignment horizontal="left" vertical="center" wrapText="1"/>
    </xf>
    <xf numFmtId="0" fontId="0" fillId="0" borderId="29" xfId="0" applyBorder="1" applyAlignment="1">
      <alignment horizontal="left" vertical="center" wrapText="1"/>
    </xf>
    <xf numFmtId="0" fontId="4" fillId="2" borderId="9" xfId="0" applyFont="1" applyFill="1" applyBorder="1" applyAlignment="1">
      <alignment vertical="center"/>
    </xf>
    <xf numFmtId="0" fontId="4" fillId="0" borderId="50" xfId="0" applyFont="1" applyBorder="1" applyAlignment="1">
      <alignment vertical="center"/>
    </xf>
    <xf numFmtId="0" fontId="0" fillId="0" borderId="48" xfId="0" applyBorder="1"/>
    <xf numFmtId="0" fontId="0" fillId="0" borderId="51" xfId="0" applyBorder="1"/>
    <xf numFmtId="0" fontId="0" fillId="0" borderId="47" xfId="0" applyBorder="1"/>
    <xf numFmtId="0" fontId="0" fillId="0" borderId="37" xfId="0" applyBorder="1"/>
    <xf numFmtId="0" fontId="0" fillId="0" borderId="38" xfId="0" applyBorder="1"/>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2" fillId="0" borderId="17" xfId="0" applyFont="1" applyBorder="1" applyAlignment="1">
      <alignment vertical="center" wrapText="1"/>
    </xf>
    <xf numFmtId="0" fontId="2" fillId="0" borderId="3" xfId="0" applyFont="1" applyBorder="1" applyAlignment="1">
      <alignment vertical="center" wrapText="1"/>
    </xf>
    <xf numFmtId="0" fontId="0" fillId="2" borderId="21" xfId="0" applyFill="1" applyBorder="1"/>
    <xf numFmtId="0" fontId="0" fillId="0" borderId="52" xfId="0" applyBorder="1"/>
    <xf numFmtId="0" fontId="0" fillId="0" borderId="53" xfId="0" applyBorder="1"/>
    <xf numFmtId="0" fontId="0" fillId="0" borderId="29" xfId="0" applyBorder="1"/>
    <xf numFmtId="0" fontId="0" fillId="0" borderId="49" xfId="0" applyBorder="1" applyAlignment="1">
      <alignment horizontal="center" vertical="center" wrapText="1"/>
    </xf>
    <xf numFmtId="0" fontId="0" fillId="0" borderId="29" xfId="0" applyBorder="1" applyAlignment="1">
      <alignment horizontal="center" vertical="center" wrapText="1"/>
    </xf>
    <xf numFmtId="0" fontId="0" fillId="2" borderId="54" xfId="0" applyFill="1" applyBorder="1"/>
    <xf numFmtId="0" fontId="0" fillId="0" borderId="23" xfId="0" applyBorder="1"/>
    <xf numFmtId="0" fontId="0" fillId="0" borderId="55" xfId="0" applyBorder="1"/>
    <xf numFmtId="0" fontId="0" fillId="0" borderId="56" xfId="0" applyBorder="1"/>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0" fillId="0" borderId="0" xfId="0" applyAlignment="1">
      <alignment horizontal="center"/>
    </xf>
    <xf numFmtId="0" fontId="0" fillId="0" borderId="11"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3" fillId="0" borderId="1" xfId="1" applyBorder="1" applyAlignment="1">
      <alignment horizontal="left" vertical="top"/>
    </xf>
    <xf numFmtId="0" fontId="3" fillId="0" borderId="2" xfId="1" applyBorder="1" applyAlignment="1">
      <alignment horizontal="left" vertical="top"/>
    </xf>
    <xf numFmtId="0" fontId="3" fillId="0" borderId="10" xfId="1" applyBorder="1" applyAlignment="1">
      <alignment horizontal="left" vertical="top"/>
    </xf>
    <xf numFmtId="0" fontId="3" fillId="0" borderId="0" xfId="1" applyBorder="1" applyAlignment="1">
      <alignment horizontal="left" vertical="top"/>
    </xf>
    <xf numFmtId="0" fontId="3" fillId="0" borderId="11" xfId="1" applyBorder="1" applyAlignment="1">
      <alignment horizontal="left" vertical="top"/>
    </xf>
    <xf numFmtId="0" fontId="3" fillId="0" borderId="3" xfId="1" applyBorder="1" applyAlignment="1">
      <alignment horizontal="left" vertical="top"/>
    </xf>
    <xf numFmtId="0" fontId="3" fillId="0" borderId="10" xfId="1" quotePrefix="1" applyBorder="1" applyAlignment="1">
      <alignment horizontal="left" vertical="top"/>
    </xf>
    <xf numFmtId="0" fontId="3" fillId="0" borderId="0" xfId="1" quotePrefix="1" applyBorder="1" applyAlignment="1">
      <alignment horizontal="left" vertical="top"/>
    </xf>
    <xf numFmtId="0" fontId="3" fillId="0" borderId="5" xfId="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3" fillId="0" borderId="10" xfId="1" applyFont="1" applyBorder="1" applyAlignment="1">
      <alignment horizontal="center" vertical="center" wrapText="1"/>
    </xf>
    <xf numFmtId="0" fontId="13" fillId="0" borderId="0" xfId="1" applyFont="1" applyBorder="1" applyAlignment="1">
      <alignment horizontal="center" vertical="center" wrapText="1"/>
    </xf>
    <xf numFmtId="0" fontId="13" fillId="0" borderId="11" xfId="1" applyFont="1" applyBorder="1" applyAlignment="1">
      <alignment horizontal="center" vertical="center" wrapText="1"/>
    </xf>
    <xf numFmtId="0" fontId="13" fillId="0" borderId="4" xfId="1" applyFont="1" applyBorder="1" applyAlignment="1">
      <alignment horizontal="center" vertical="center" wrapText="1"/>
    </xf>
    <xf numFmtId="0" fontId="13" fillId="0" borderId="5" xfId="1" applyFont="1" applyBorder="1" applyAlignment="1">
      <alignment horizontal="center" vertical="center" wrapText="1"/>
    </xf>
    <xf numFmtId="0" fontId="13" fillId="0" borderId="6" xfId="1" applyFont="1" applyBorder="1" applyAlignment="1">
      <alignment horizontal="center" vertical="center" wrapText="1"/>
    </xf>
    <xf numFmtId="0" fontId="3" fillId="0" borderId="4" xfId="1" applyBorder="1" applyAlignment="1">
      <alignment horizontal="left" vertical="top"/>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0" fillId="0" borderId="0" xfId="0" applyAlignment="1">
      <alignment horizontal="center" vertical="center" wrapText="1"/>
    </xf>
    <xf numFmtId="0" fontId="6" fillId="0" borderId="11" xfId="0" applyFont="1" applyBorder="1" applyAlignment="1">
      <alignment horizontal="center" vertical="center" wrapText="1"/>
    </xf>
    <xf numFmtId="0" fontId="2" fillId="0" borderId="19" xfId="0" applyFont="1" applyBorder="1" applyAlignment="1">
      <alignment horizontal="center"/>
    </xf>
    <xf numFmtId="0" fontId="2" fillId="0" borderId="20" xfId="0" applyFont="1" applyBorder="1" applyAlignment="1">
      <alignment horizont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9" fillId="0" borderId="11" xfId="0" applyFont="1" applyBorder="1" applyAlignment="1">
      <alignment horizontal="center" vertical="center" textRotation="90"/>
    </xf>
    <xf numFmtId="0" fontId="9" fillId="0" borderId="0" xfId="0" applyFont="1" applyAlignment="1">
      <alignment horizontal="center" vertical="center" textRotation="90"/>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2" xfId="0" applyFont="1" applyBorder="1" applyAlignment="1">
      <alignment horizontal="left" vertical="center" wrapText="1"/>
    </xf>
    <xf numFmtId="0" fontId="2" fillId="0" borderId="14" xfId="0" applyFont="1" applyBorder="1" applyAlignment="1">
      <alignment horizontal="left" vertical="center" wrapText="1"/>
    </xf>
    <xf numFmtId="0" fontId="2" fillId="0" borderId="33" xfId="0" applyFont="1" applyBorder="1" applyAlignment="1">
      <alignment horizontal="left" vertical="center" wrapText="1"/>
    </xf>
    <xf numFmtId="0" fontId="0" fillId="0" borderId="34" xfId="0" applyBorder="1" applyAlignment="1">
      <alignment horizontal="left" vertical="top" wrapText="1"/>
    </xf>
    <xf numFmtId="0" fontId="0" fillId="0" borderId="31" xfId="0" applyBorder="1" applyAlignment="1">
      <alignment horizontal="left" vertical="top" wrapText="1"/>
    </xf>
    <xf numFmtId="0" fontId="0" fillId="0" borderId="35" xfId="0" applyBorder="1" applyAlignment="1">
      <alignment horizontal="left" vertical="top" wrapText="1"/>
    </xf>
    <xf numFmtId="0" fontId="0" fillId="0" borderId="32" xfId="0" applyBorder="1" applyAlignment="1">
      <alignment horizontal="left" vertical="top" wrapText="1"/>
    </xf>
    <xf numFmtId="0" fontId="0" fillId="0" borderId="14" xfId="0" applyBorder="1" applyAlignment="1">
      <alignment horizontal="left" vertical="top" wrapText="1"/>
    </xf>
    <xf numFmtId="0" fontId="0" fillId="0" borderId="33" xfId="0" applyBorder="1" applyAlignment="1">
      <alignment horizontal="left"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2" fillId="0" borderId="7" xfId="0" applyFont="1" applyBorder="1" applyAlignment="1">
      <alignment horizontal="right"/>
    </xf>
    <xf numFmtId="0" fontId="2" fillId="0" borderId="8" xfId="0" applyFont="1" applyBorder="1" applyAlignment="1">
      <alignment horizontal="right"/>
    </xf>
    <xf numFmtId="0" fontId="2" fillId="0" borderId="9" xfId="0" applyFont="1" applyBorder="1" applyAlignment="1">
      <alignment horizontal="right"/>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center" vertical="top" wrapText="1"/>
    </xf>
    <xf numFmtId="0" fontId="0" fillId="0" borderId="11"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textRotation="90"/>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5" xfId="0" applyBorder="1" applyAlignment="1">
      <alignment horizontal="center" wrapText="1"/>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wrapText="1"/>
    </xf>
    <xf numFmtId="0" fontId="2" fillId="4" borderId="37" xfId="0" applyFont="1" applyFill="1" applyBorder="1" applyAlignment="1">
      <alignment horizontal="left"/>
    </xf>
    <xf numFmtId="0" fontId="2" fillId="4" borderId="14" xfId="0" applyFont="1" applyFill="1" applyBorder="1" applyAlignment="1">
      <alignment horizontal="left"/>
    </xf>
    <xf numFmtId="0" fontId="2" fillId="4" borderId="38" xfId="0" applyFont="1" applyFill="1" applyBorder="1" applyAlignment="1">
      <alignment horizontal="left"/>
    </xf>
    <xf numFmtId="0" fontId="2" fillId="4" borderId="16" xfId="0" applyFont="1" applyFill="1" applyBorder="1" applyAlignment="1">
      <alignment horizontal="left"/>
    </xf>
    <xf numFmtId="0" fontId="2" fillId="4" borderId="36" xfId="0" applyFont="1" applyFill="1" applyBorder="1" applyAlignment="1">
      <alignment horizontal="left"/>
    </xf>
    <xf numFmtId="0" fontId="2" fillId="4" borderId="26" xfId="0" applyFont="1" applyFill="1" applyBorder="1" applyAlignment="1">
      <alignment horizontal="left"/>
    </xf>
    <xf numFmtId="0" fontId="2" fillId="4" borderId="15" xfId="0" applyFont="1" applyFill="1" applyBorder="1" applyAlignment="1">
      <alignment horizontal="left"/>
    </xf>
    <xf numFmtId="0" fontId="2" fillId="14" borderId="0" xfId="0" applyFont="1" applyFill="1" applyAlignment="1">
      <alignment horizontal="left"/>
    </xf>
    <xf numFmtId="0" fontId="2" fillId="14" borderId="47" xfId="0" applyFont="1" applyFill="1" applyBorder="1" applyAlignment="1">
      <alignment horizontal="left" vertical="center"/>
    </xf>
    <xf numFmtId="0" fontId="2" fillId="14" borderId="0" xfId="0" applyFont="1" applyFill="1" applyAlignment="1">
      <alignment horizontal="left" vertical="center"/>
    </xf>
    <xf numFmtId="0" fontId="2" fillId="5" borderId="16" xfId="0" applyFont="1" applyFill="1" applyBorder="1" applyAlignment="1">
      <alignment horizontal="left"/>
    </xf>
    <xf numFmtId="0" fontId="7" fillId="3" borderId="10" xfId="0" applyFont="1" applyFill="1" applyBorder="1" applyAlignment="1">
      <alignment horizontal="center"/>
    </xf>
    <xf numFmtId="0" fontId="7" fillId="3" borderId="0" xfId="0" applyFont="1" applyFill="1" applyAlignment="1">
      <alignment horizontal="center"/>
    </xf>
    <xf numFmtId="0" fontId="2" fillId="4" borderId="29" xfId="0" applyFont="1" applyFill="1" applyBorder="1" applyAlignment="1">
      <alignment horizontal="left"/>
    </xf>
    <xf numFmtId="0" fontId="0" fillId="0" borderId="13" xfId="0" applyBorder="1" applyAlignment="1">
      <alignment horizontal="center" wrapText="1"/>
    </xf>
    <xf numFmtId="0" fontId="2" fillId="4" borderId="39" xfId="0" applyFont="1" applyFill="1" applyBorder="1" applyAlignment="1">
      <alignment horizontal="left"/>
    </xf>
    <xf numFmtId="0" fontId="2" fillId="4" borderId="24" xfId="0" applyFont="1" applyFill="1" applyBorder="1" applyAlignment="1">
      <alignment horizontal="left"/>
    </xf>
    <xf numFmtId="0" fontId="2" fillId="4" borderId="40" xfId="0" applyFont="1" applyFill="1" applyBorder="1" applyAlignment="1">
      <alignment horizontal="left"/>
    </xf>
    <xf numFmtId="0" fontId="0" fillId="0" borderId="36" xfId="0" applyBorder="1" applyAlignment="1">
      <alignment horizontal="center"/>
    </xf>
    <xf numFmtId="0" fontId="0" fillId="0" borderId="15" xfId="0" applyBorder="1" applyAlignment="1">
      <alignment horizontal="center"/>
    </xf>
    <xf numFmtId="0" fontId="0" fillId="0" borderId="0" xfId="0" applyBorder="1" applyAlignment="1">
      <alignment horizontal="center" vertical="top" wrapText="1"/>
    </xf>
    <xf numFmtId="0" fontId="0" fillId="0" borderId="10" xfId="0" applyBorder="1" applyAlignment="1">
      <alignment horizontal="left" wrapText="1"/>
    </xf>
    <xf numFmtId="0" fontId="0" fillId="0" borderId="0" xfId="0" applyBorder="1" applyAlignment="1">
      <alignment horizontal="left" wrapText="1"/>
    </xf>
    <xf numFmtId="0" fontId="0" fillId="0" borderId="11" xfId="0" applyBorder="1" applyAlignment="1">
      <alignment horizontal="left" wrapText="1"/>
    </xf>
    <xf numFmtId="4" fontId="0" fillId="0" borderId="0" xfId="0" applyNumberFormat="1" applyBorder="1" applyProtection="1">
      <protection locked="0"/>
    </xf>
    <xf numFmtId="0" fontId="6" fillId="0" borderId="0" xfId="0" applyFont="1" applyBorder="1" applyAlignment="1">
      <alignment vertical="center" wrapText="1"/>
    </xf>
    <xf numFmtId="0" fontId="2" fillId="0" borderId="0" xfId="0" applyFont="1" applyBorder="1"/>
    <xf numFmtId="0" fontId="0" fillId="0" borderId="0" xfId="0" applyBorder="1" applyAlignment="1">
      <alignment horizontal="left" wrapText="1"/>
    </xf>
    <xf numFmtId="0" fontId="0" fillId="0" borderId="0" xfId="0" applyBorder="1" applyAlignment="1">
      <alignment horizontal="center" vertical="center"/>
    </xf>
    <xf numFmtId="0" fontId="0" fillId="0" borderId="0" xfId="0" applyBorder="1"/>
    <xf numFmtId="2" fontId="4" fillId="2" borderId="21" xfId="0" applyNumberFormat="1" applyFont="1" applyFill="1" applyBorder="1" applyAlignment="1">
      <alignment vertical="center"/>
    </xf>
    <xf numFmtId="0" fontId="4" fillId="2" borderId="52" xfId="0" applyFont="1" applyFill="1" applyBorder="1" applyAlignment="1">
      <alignment vertical="center"/>
    </xf>
    <xf numFmtId="0" fontId="0" fillId="0" borderId="0" xfId="0" applyBorder="1" applyAlignment="1">
      <alignment horizontal="left" vertical="top" wrapText="1"/>
    </xf>
    <xf numFmtId="0" fontId="14" fillId="0" borderId="1" xfId="0" applyFont="1" applyBorder="1" applyAlignment="1">
      <alignment horizontal="left" wrapText="1"/>
    </xf>
    <xf numFmtId="0" fontId="14" fillId="0" borderId="2" xfId="0" applyFont="1" applyBorder="1" applyAlignment="1">
      <alignment horizontal="left" wrapText="1"/>
    </xf>
    <xf numFmtId="0" fontId="14" fillId="0" borderId="57" xfId="0" applyFont="1" applyBorder="1" applyAlignment="1">
      <alignment horizontal="left" wrapText="1"/>
    </xf>
    <xf numFmtId="0" fontId="14" fillId="0" borderId="10" xfId="0" applyFont="1" applyBorder="1" applyAlignment="1">
      <alignment horizontal="left" wrapText="1"/>
    </xf>
    <xf numFmtId="0" fontId="14" fillId="0" borderId="0" xfId="0" applyFont="1" applyBorder="1" applyAlignment="1">
      <alignment horizontal="left" wrapText="1"/>
    </xf>
    <xf numFmtId="0" fontId="14" fillId="0" borderId="58" xfId="0" applyFont="1" applyBorder="1" applyAlignment="1">
      <alignment horizontal="left" wrapText="1"/>
    </xf>
    <xf numFmtId="0" fontId="14" fillId="0" borderId="4" xfId="0" applyFont="1" applyBorder="1" applyAlignment="1">
      <alignment horizontal="left" wrapText="1"/>
    </xf>
    <xf numFmtId="0" fontId="14" fillId="0" borderId="5" xfId="0" applyFont="1" applyBorder="1" applyAlignment="1">
      <alignment horizontal="left" wrapText="1"/>
    </xf>
    <xf numFmtId="0" fontId="14" fillId="0" borderId="59" xfId="0" applyFont="1" applyBorder="1" applyAlignment="1">
      <alignment horizontal="left" wrapText="1"/>
    </xf>
  </cellXfs>
  <cellStyles count="2">
    <cellStyle name="Hyperlink" xfId="1" builtinId="8"/>
    <cellStyle name="Normal" xfId="0" builtinId="0"/>
  </cellStyles>
  <dxfs count="420">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fill>
        <patternFill>
          <bgColor theme="6"/>
        </patternFill>
      </fill>
    </dxf>
    <dxf>
      <fill>
        <patternFill>
          <bgColor theme="2" tint="-9.9948118533890809E-2"/>
        </patternFill>
      </fill>
    </dxf>
    <dxf>
      <fill>
        <patternFill>
          <bgColor rgb="FFFF0000"/>
        </patternFill>
      </fill>
    </dxf>
    <dxf>
      <fill>
        <patternFill>
          <bgColor theme="5"/>
        </patternFill>
      </fill>
    </dxf>
    <dxf>
      <fill>
        <patternFill>
          <bgColor rgb="FFFFC000"/>
        </patternFill>
      </fill>
    </dxf>
    <dxf>
      <fill>
        <patternFill>
          <bgColor rgb="FFFFFF00"/>
        </patternFill>
      </fill>
    </dxf>
    <dxf>
      <fill>
        <patternFill>
          <bgColor rgb="FF92D050"/>
        </patternFill>
      </fill>
    </dxf>
    <dxf>
      <fill>
        <patternFill>
          <bgColor theme="9"/>
        </patternFill>
      </fill>
    </dxf>
    <dxf>
      <fill>
        <patternFill>
          <fgColor theme="0"/>
          <bgColor rgb="FF008000"/>
        </patternFill>
      </fill>
    </dxf>
    <dxf>
      <fill>
        <patternFill>
          <fgColor theme="0"/>
          <bgColor rgb="FF0070C0"/>
        </patternFill>
      </fill>
    </dxf>
    <dxf>
      <alignment horizontal="general" vertical="bottom" textRotation="0" wrapText="1" indent="0" justifyLastLine="0" shrinkToFit="0" readingOrder="0"/>
    </dxf>
    <dxf>
      <border outline="0">
        <left style="medium">
          <color indexed="64"/>
        </left>
        <top style="medium">
          <color indexed="64"/>
        </top>
        <bottom style="medium">
          <color indexed="64"/>
        </bottom>
      </border>
    </dxf>
    <dxf>
      <border outline="0">
        <bottom style="medium">
          <color indexed="64"/>
        </bottom>
      </border>
    </dxf>
    <dxf>
      <fill>
        <patternFill patternType="none">
          <bgColor auto="1"/>
        </patternFill>
      </fill>
    </dxf>
    <dxf>
      <border outline="0">
        <left style="medium">
          <color indexed="64"/>
        </left>
        <top style="medium">
          <color indexed="64"/>
        </top>
        <bottom style="medium">
          <color indexed="64"/>
        </bottom>
      </border>
    </dxf>
    <dxf>
      <border outline="0">
        <bottom style="medium">
          <color indexed="64"/>
        </bottom>
      </border>
    </dxf>
  </dxfs>
  <tableStyles count="0" defaultTableStyle="TableStyleMedium2" defaultPivotStyle="PivotStyleLight16"/>
  <colors>
    <mruColors>
      <color rgb="FF008000"/>
      <color rgb="FFFF6600"/>
      <color rgb="FF99FF33"/>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144781</xdr:rowOff>
    </xdr:from>
    <xdr:to>
      <xdr:col>2</xdr:col>
      <xdr:colOff>777240</xdr:colOff>
      <xdr:row>2</xdr:row>
      <xdr:rowOff>60175</xdr:rowOff>
    </xdr:to>
    <xdr:pic>
      <xdr:nvPicPr>
        <xdr:cNvPr id="3" name="Imagen 2">
          <a:extLst>
            <a:ext uri="{FF2B5EF4-FFF2-40B4-BE49-F238E27FC236}">
              <a16:creationId xmlns:a16="http://schemas.microsoft.com/office/drawing/2014/main" id="{00AC0989-E5E0-9290-7377-DD494C2C30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44781"/>
          <a:ext cx="2362200" cy="60881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32E426-FCBB-4EFA-90F4-309A630B4B3C}" name="Tabla1" displayName="Tabla1" ref="E2:F31" totalsRowShown="0" headerRowBorderDxfId="419" tableBorderDxfId="418">
  <autoFilter ref="E2:F31" xr:uid="{BD32E426-FCBB-4EFA-90F4-309A630B4B3C}"/>
  <tableColumns count="2">
    <tableColumn id="1" xr3:uid="{502644BA-872F-40F0-AA93-1D276EF0D94F}" name="Country" dataDxfId="417"/>
    <tableColumn id="2" xr3:uid="{C82DAA7F-9266-4577-8EC4-FBF508F79741}" name="Electricity EF (kg CO2/kWh) - 20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40F407-3B00-43AE-B9EC-7583D24627AC}" name="Tabla2" displayName="Tabla2" ref="B2:B13" totalsRowShown="0" headerRowBorderDxfId="416" tableBorderDxfId="415">
  <autoFilter ref="B2:B13" xr:uid="{6640F407-3B00-43AE-B9EC-7583D24627AC}"/>
  <tableColumns count="1">
    <tableColumn id="1" xr3:uid="{C7A6C7E5-4CBE-48D1-9112-DFF52493679F}" name="Heating fue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25198C-F6CF-4082-8946-45083DB1C26D}" name="Tabla3" displayName="Tabla3" ref="H2:H23" totalsRowShown="0">
  <autoFilter ref="H2:H23" xr:uid="{F825198C-F6CF-4082-8946-45083DB1C26D}"/>
  <tableColumns count="1">
    <tableColumn id="1" xr3:uid="{FC37CE5C-5455-4382-AF87-BEC0690779CB}" name="Type of vehicl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EF9DA45-55C0-45FB-988D-A3CA48CDB061}" name="Tabla4" displayName="Tabla4" ref="J2:J10" totalsRowShown="0" headerRowDxfId="414">
  <autoFilter ref="J2:J10" xr:uid="{3EF9DA45-55C0-45FB-988D-A3CA48CDB061}"/>
  <tableColumns count="1">
    <tableColumn id="1" xr3:uid="{F1D048BC-D772-4994-83BF-B4351F8C07E0}" name="Level of occupanc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3CA3C06-9B82-476A-9C81-D7C1652A6376}" name="Tabla5" displayName="Tabla5" ref="B14:C23" totalsRowShown="0">
  <autoFilter ref="B14:C23" xr:uid="{93CA3C06-9B82-476A-9C81-D7C1652A6376}"/>
  <tableColumns count="2">
    <tableColumn id="1" xr3:uid="{75E79E5F-5C19-4137-8482-23E73A8D0787}" name="DISTRICT HEATING SOURCES"/>
    <tableColumn id="2" xr3:uid="{55406163-A7FC-4428-8C4E-C6B1E017E633}" name="EF (kg CO2/kWh)"/>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E5475C-1761-4309-B4B9-66EC134E53D5}" name="Table1" displayName="Table1" ref="L3:L5" totalsRowShown="0">
  <autoFilter ref="L3:L5" xr:uid="{D1E5475C-1761-4309-B4B9-66EC134E53D5}"/>
  <tableColumns count="1">
    <tableColumn id="1" xr3:uid="{DD76B13F-BBE0-4FAB-A7FC-FE93F35CE2B6}" name="Green electricity"/>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upm.es/s/4Q5ZTiKROrBsaFn"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8AC5-EB89-49B9-BDF7-EDD8643C2610}">
  <dimension ref="A1:P20"/>
  <sheetViews>
    <sheetView zoomScale="80" zoomScaleNormal="80" workbookViewId="0">
      <selection activeCell="K17" sqref="K17"/>
    </sheetView>
  </sheetViews>
  <sheetFormatPr baseColWidth="10" defaultColWidth="11.5" defaultRowHeight="15" x14ac:dyDescent="0.2"/>
  <cols>
    <col min="10" max="10" width="10.1640625" customWidth="1"/>
    <col min="12" max="12" width="5.5" customWidth="1"/>
    <col min="14" max="14" width="3.83203125" customWidth="1"/>
    <col min="16" max="16" width="8.6640625" customWidth="1"/>
  </cols>
  <sheetData>
    <row r="1" spans="1:16" ht="10.25" customHeight="1" thickBot="1" x14ac:dyDescent="0.25"/>
    <row r="2" spans="1:16" ht="44" customHeight="1" thickBot="1" x14ac:dyDescent="0.25">
      <c r="A2" s="158"/>
      <c r="B2" s="158"/>
      <c r="C2" s="159"/>
      <c r="D2" s="155" t="s">
        <v>0</v>
      </c>
      <c r="E2" s="156"/>
      <c r="F2" s="156"/>
      <c r="G2" s="156"/>
      <c r="H2" s="156"/>
      <c r="I2" s="157"/>
      <c r="K2" s="160" t="s">
        <v>1</v>
      </c>
      <c r="L2" s="161"/>
      <c r="M2" s="161"/>
      <c r="N2" s="161"/>
      <c r="O2" s="161"/>
      <c r="P2" s="162"/>
    </row>
    <row r="3" spans="1:16" ht="14.5" customHeight="1" thickBot="1" x14ac:dyDescent="0.25">
      <c r="K3" s="172" t="s">
        <v>2</v>
      </c>
      <c r="L3" s="173"/>
      <c r="M3" s="173" t="s">
        <v>3</v>
      </c>
      <c r="N3" s="173"/>
      <c r="O3" s="173" t="s">
        <v>4</v>
      </c>
      <c r="P3" s="177"/>
    </row>
    <row r="4" spans="1:16" ht="29" customHeight="1" x14ac:dyDescent="0.2">
      <c r="D4" s="160" t="s">
        <v>5</v>
      </c>
      <c r="E4" s="161"/>
      <c r="F4" s="161"/>
      <c r="G4" s="161"/>
      <c r="H4" s="161"/>
      <c r="I4" s="162"/>
      <c r="K4" s="174" t="s">
        <v>6</v>
      </c>
      <c r="L4" s="175"/>
      <c r="M4" s="175" t="s">
        <v>7</v>
      </c>
      <c r="N4" s="175"/>
      <c r="O4" s="175" t="s">
        <v>8</v>
      </c>
      <c r="P4" s="176"/>
    </row>
    <row r="5" spans="1:16" x14ac:dyDescent="0.2">
      <c r="D5" s="163"/>
      <c r="E5" s="164"/>
      <c r="F5" s="164"/>
      <c r="G5" s="164"/>
      <c r="H5" s="164"/>
      <c r="I5" s="165"/>
      <c r="K5" s="174" t="s">
        <v>9</v>
      </c>
      <c r="L5" s="175"/>
      <c r="M5" s="175" t="s">
        <v>10</v>
      </c>
      <c r="N5" s="175"/>
      <c r="O5" s="175" t="s">
        <v>11</v>
      </c>
      <c r="P5" s="176"/>
    </row>
    <row r="6" spans="1:16" ht="16" thickBot="1" x14ac:dyDescent="0.25">
      <c r="D6" s="166"/>
      <c r="E6" s="167"/>
      <c r="F6" s="167"/>
      <c r="G6" s="167"/>
      <c r="H6" s="167"/>
      <c r="I6" s="168"/>
      <c r="K6" s="174" t="s">
        <v>12</v>
      </c>
      <c r="L6" s="175"/>
      <c r="M6" s="175" t="s">
        <v>13</v>
      </c>
      <c r="N6" s="175"/>
      <c r="O6" s="175" t="s">
        <v>14</v>
      </c>
      <c r="P6" s="176"/>
    </row>
    <row r="7" spans="1:16" ht="16" thickBot="1" x14ac:dyDescent="0.25">
      <c r="K7" s="174" t="s">
        <v>15</v>
      </c>
      <c r="L7" s="175"/>
      <c r="M7" s="175" t="s">
        <v>16</v>
      </c>
      <c r="N7" s="175"/>
      <c r="O7" s="175" t="s">
        <v>17</v>
      </c>
      <c r="P7" s="176"/>
    </row>
    <row r="8" spans="1:16" ht="17" thickBot="1" x14ac:dyDescent="0.25">
      <c r="D8" s="169" t="s">
        <v>18</v>
      </c>
      <c r="E8" s="170"/>
      <c r="F8" s="170"/>
      <c r="G8" s="170"/>
      <c r="H8" s="170"/>
      <c r="I8" s="171"/>
      <c r="K8" s="178" t="s">
        <v>19</v>
      </c>
      <c r="L8" s="179"/>
      <c r="M8" s="175" t="s">
        <v>20</v>
      </c>
      <c r="N8" s="175"/>
      <c r="O8" s="175" t="s">
        <v>21</v>
      </c>
      <c r="P8" s="176"/>
    </row>
    <row r="9" spans="1:16" ht="27.5" customHeight="1" x14ac:dyDescent="0.2">
      <c r="D9" s="160" t="s">
        <v>22</v>
      </c>
      <c r="E9" s="161"/>
      <c r="F9" s="161"/>
      <c r="G9" s="161"/>
      <c r="H9" s="161"/>
      <c r="I9" s="162"/>
      <c r="K9" s="174" t="s">
        <v>23</v>
      </c>
      <c r="L9" s="175"/>
      <c r="M9" s="175" t="s">
        <v>24</v>
      </c>
      <c r="N9" s="175"/>
      <c r="O9" s="175" t="s">
        <v>25</v>
      </c>
      <c r="P9" s="176"/>
    </row>
    <row r="10" spans="1:16" x14ac:dyDescent="0.2">
      <c r="D10" s="163" t="s">
        <v>26</v>
      </c>
      <c r="E10" s="164"/>
      <c r="F10" s="164"/>
      <c r="G10" s="164"/>
      <c r="H10" s="164"/>
      <c r="I10" s="165"/>
      <c r="K10" s="174" t="s">
        <v>27</v>
      </c>
      <c r="L10" s="175"/>
      <c r="M10" s="175" t="s">
        <v>28</v>
      </c>
      <c r="N10" s="175"/>
      <c r="O10" s="175" t="s">
        <v>29</v>
      </c>
      <c r="P10" s="176"/>
    </row>
    <row r="11" spans="1:16" x14ac:dyDescent="0.2">
      <c r="D11" s="163" t="s">
        <v>30</v>
      </c>
      <c r="E11" s="164"/>
      <c r="F11" s="164"/>
      <c r="G11" s="164"/>
      <c r="H11" s="164"/>
      <c r="I11" s="165"/>
      <c r="K11" s="178" t="s">
        <v>31</v>
      </c>
      <c r="L11" s="179"/>
      <c r="M11" s="8" t="s">
        <v>32</v>
      </c>
      <c r="N11" s="8"/>
      <c r="O11" s="10" t="s">
        <v>33</v>
      </c>
      <c r="P11" s="9"/>
    </row>
    <row r="12" spans="1:16" ht="42.5" customHeight="1" thickBot="1" x14ac:dyDescent="0.25">
      <c r="D12" s="163" t="s">
        <v>34</v>
      </c>
      <c r="E12" s="164"/>
      <c r="F12" s="164"/>
      <c r="G12" s="164"/>
      <c r="H12" s="164"/>
      <c r="I12" s="165"/>
      <c r="K12" s="192" t="s">
        <v>35</v>
      </c>
      <c r="L12" s="180"/>
      <c r="M12" s="180" t="s">
        <v>36</v>
      </c>
      <c r="N12" s="180"/>
      <c r="O12" s="181"/>
      <c r="P12" s="182"/>
    </row>
    <row r="13" spans="1:16" x14ac:dyDescent="0.2">
      <c r="D13" s="163" t="s">
        <v>37</v>
      </c>
      <c r="E13" s="164"/>
      <c r="F13" s="164"/>
      <c r="G13" s="164"/>
      <c r="H13" s="164"/>
      <c r="I13" s="165"/>
    </row>
    <row r="14" spans="1:16" ht="27.5" customHeight="1" thickBot="1" x14ac:dyDescent="0.25">
      <c r="D14" s="166" t="s">
        <v>38</v>
      </c>
      <c r="E14" s="167"/>
      <c r="F14" s="167"/>
      <c r="G14" s="167"/>
      <c r="H14" s="167"/>
      <c r="I14" s="168"/>
    </row>
    <row r="15" spans="1:16" ht="14.5" customHeight="1" thickBot="1" x14ac:dyDescent="0.25"/>
    <row r="16" spans="1:16" ht="17" thickBot="1" x14ac:dyDescent="0.25">
      <c r="D16" s="193" t="s">
        <v>39</v>
      </c>
      <c r="E16" s="194"/>
      <c r="F16" s="194"/>
      <c r="G16" s="194"/>
      <c r="H16" s="194"/>
      <c r="I16" s="195"/>
    </row>
    <row r="17" spans="4:9" ht="16" thickBot="1" x14ac:dyDescent="0.25"/>
    <row r="18" spans="4:9" ht="16" x14ac:dyDescent="0.2">
      <c r="D18" s="183" t="s">
        <v>245</v>
      </c>
      <c r="E18" s="184"/>
      <c r="F18" s="184"/>
      <c r="G18" s="184"/>
      <c r="H18" s="184"/>
      <c r="I18" s="185"/>
    </row>
    <row r="19" spans="4:9" ht="14.5" customHeight="1" x14ac:dyDescent="0.2">
      <c r="D19" s="186" t="s">
        <v>246</v>
      </c>
      <c r="E19" s="187"/>
      <c r="F19" s="187"/>
      <c r="G19" s="187"/>
      <c r="H19" s="187"/>
      <c r="I19" s="188"/>
    </row>
    <row r="20" spans="4:9" ht="16" thickBot="1" x14ac:dyDescent="0.25">
      <c r="D20" s="189"/>
      <c r="E20" s="190"/>
      <c r="F20" s="190"/>
      <c r="G20" s="190"/>
      <c r="H20" s="190"/>
      <c r="I20" s="191"/>
    </row>
  </sheetData>
  <mergeCells count="42">
    <mergeCell ref="D18:I18"/>
    <mergeCell ref="D19:I20"/>
    <mergeCell ref="K9:L9"/>
    <mergeCell ref="K10:L10"/>
    <mergeCell ref="K11:L11"/>
    <mergeCell ref="K12:L12"/>
    <mergeCell ref="D16:I16"/>
    <mergeCell ref="M12:N12"/>
    <mergeCell ref="O9:P9"/>
    <mergeCell ref="O10:P10"/>
    <mergeCell ref="O12:P12"/>
    <mergeCell ref="M5:N5"/>
    <mergeCell ref="M6:N6"/>
    <mergeCell ref="M7:N7"/>
    <mergeCell ref="M8:N8"/>
    <mergeCell ref="M9:N9"/>
    <mergeCell ref="M10:N10"/>
    <mergeCell ref="K8:L8"/>
    <mergeCell ref="M3:N3"/>
    <mergeCell ref="K7:L7"/>
    <mergeCell ref="O7:P7"/>
    <mergeCell ref="O8:P8"/>
    <mergeCell ref="K2:P2"/>
    <mergeCell ref="K3:L3"/>
    <mergeCell ref="K4:L4"/>
    <mergeCell ref="K5:L5"/>
    <mergeCell ref="K6:L6"/>
    <mergeCell ref="O4:P4"/>
    <mergeCell ref="O5:P5"/>
    <mergeCell ref="O6:P6"/>
    <mergeCell ref="O3:P3"/>
    <mergeCell ref="M4:N4"/>
    <mergeCell ref="D2:I2"/>
    <mergeCell ref="A2:C2"/>
    <mergeCell ref="D4:I6"/>
    <mergeCell ref="D8:I8"/>
    <mergeCell ref="D14:I14"/>
    <mergeCell ref="D12:I12"/>
    <mergeCell ref="D9:I9"/>
    <mergeCell ref="D10:I10"/>
    <mergeCell ref="D11:I11"/>
    <mergeCell ref="D13:I13"/>
  </mergeCells>
  <phoneticPr fontId="5" type="noConversion"/>
  <hyperlinks>
    <hyperlink ref="K3" location="Austria!A1" display="Austria!A1" xr:uid="{637BB1B6-AF78-4C98-AC26-C068BCCEC478}"/>
    <hyperlink ref="K4" location="Belgium!A1" display="Belgium!A1" xr:uid="{BEF481C5-E67D-47C4-BC3A-C14B2C02BEF8}"/>
    <hyperlink ref="K5" location="Bulgaria!A1" display="Bulgaria!A1" xr:uid="{F74522E3-E081-4E04-9BFC-31DADEC48E3F}"/>
    <hyperlink ref="K6" location="Croatia!A1" display="Croatia!A1" xr:uid="{DCE78973-4A15-4952-926B-A56F8C2113B2}"/>
    <hyperlink ref="K8" location="'Czech Republic'!A1" display="'Czech Republic'!A1" xr:uid="{CA5FA9D4-A334-4F2F-B536-80E413BF1D30}"/>
    <hyperlink ref="K9" location="Denmark!A1" display="Denmark!A1" xr:uid="{5F935699-6DFA-44A1-A9B7-C08DD1D53B93}"/>
    <hyperlink ref="K10" location="Estonia!A1" display="Estonia!A1" xr:uid="{5DE6E40B-4888-45C7-8268-B3D937C13490}"/>
    <hyperlink ref="K11" location="'EU28'!A1" display="'EU28'!A1" xr:uid="{10667AC2-5BE0-4C6A-AE82-9C69FC1DB57C}"/>
    <hyperlink ref="K12" location="Finland!A1" display="Finland!A1" xr:uid="{84606F8F-067E-4693-A719-D44CF6365AA2}"/>
    <hyperlink ref="M3" location="France!A1" display="France!A1" xr:uid="{ED63F7D0-FCFD-44EA-B3A3-FB075DA1E631}"/>
    <hyperlink ref="M4" location="Germany!A1" display="Germany!A1" xr:uid="{1B972394-FE43-4A72-B22F-D3C45BFACFCD}"/>
    <hyperlink ref="M5" location="Greece!A1" display="Greece!A1" xr:uid="{F0AE0F68-90A6-4879-8EDD-575259314F49}"/>
    <hyperlink ref="M6" location="Hungary!A1" display="Hungary!A1" xr:uid="{745F48BA-554C-425A-829F-390E04B5FA22}"/>
    <hyperlink ref="M7" location="Ireland!A1" display="Ireland!A1" xr:uid="{C9276D27-3BA8-4000-8F02-A272CEA2BF15}"/>
    <hyperlink ref="M8" location="Italy!A1" display="Italy!A1" xr:uid="{C851ED32-284A-4F26-ACF2-4067B3724BA5}"/>
    <hyperlink ref="M9" location="Latvia!A1" display="Latvia!A1" xr:uid="{6291B252-F601-45E1-9EFC-908A85D85B9A}"/>
    <hyperlink ref="M10" location="Lithuania!A1" display="Lithuania!A1" xr:uid="{E8936116-BA5F-4B2F-AA97-DA991DE69190}"/>
    <hyperlink ref="M11" location="Luxembourg!A1" display="Luxembourg!A1" xr:uid="{C68172E9-8438-4B51-9BA6-7BCFA29068DF}"/>
    <hyperlink ref="M12" location="Malta!A1" display="Malta!A1" xr:uid="{FA5264B3-C59C-4845-B2B4-7E4BAC8E4A4A}"/>
    <hyperlink ref="O3" location="Netherlands!A1" display="Netherlands!A1" xr:uid="{2DDD023F-2ED1-4C0C-9ECF-81F85409AC66}"/>
    <hyperlink ref="O4" location="Poland!A1" display="Poland!A1" xr:uid="{771AE558-D25C-4568-81B2-7DC568BFF47E}"/>
    <hyperlink ref="O5" location="Portugal!A1" display="Portugal!A1" xr:uid="{F175CFA7-8BDA-4A16-8C06-0BC5639C6B90}"/>
    <hyperlink ref="O6" location="Romania!A1" display="Romania!A1" xr:uid="{AFA44C7F-C62E-40B7-A187-C0C286F79B17}"/>
    <hyperlink ref="O7" location="Slovakia!A1" display="Slovakia!A1" xr:uid="{59CCCA39-43A2-420F-904D-38A9D9853705}"/>
    <hyperlink ref="O8" location="Slovenia!A1" display="Slovenia!A1" xr:uid="{2A473C12-76CE-4D62-B5BD-7E3F73F04D6B}"/>
    <hyperlink ref="O9" location="Spain!A1" display="Spain!A1" xr:uid="{1C7E3D7E-5775-4792-9E63-341AB408ED0F}"/>
    <hyperlink ref="O10" location="Sweden!A1" display="Sweden!A1" xr:uid="{14EB2925-275B-4428-982E-9F600DDB5434}"/>
    <hyperlink ref="O11" location="UK!A1" display="UK!A1" xr:uid="{7866E3BC-E8A2-4B88-99C7-EA5D017DABFF}"/>
    <hyperlink ref="O11:P11" location="'United Kingdom'!A1" display="'United Kingdom'!A1" xr:uid="{C08AD624-818A-4815-A141-6BFE1E0C5D27}"/>
    <hyperlink ref="K7" location="Cyprus!A1" display="Cyprus!A1" xr:uid="{B72E2BB9-572D-483A-9E2E-BA4F729EC067}"/>
    <hyperlink ref="D19" r:id="rId1" xr:uid="{3F9B5F18-7F72-4449-B1C7-7ED940A52B2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F09F-17F8-4F37-8C36-2EA6A2C90CE1}">
  <dimension ref="A1:Q66"/>
  <sheetViews>
    <sheetView tabSelected="1" zoomScale="80" zoomScaleNormal="80" workbookViewId="0">
      <selection activeCell="H9" sqref="H9"/>
    </sheetView>
  </sheetViews>
  <sheetFormatPr baseColWidth="10" defaultColWidth="11.5" defaultRowHeight="15" x14ac:dyDescent="0.2"/>
  <cols>
    <col min="1" max="1" width="6.5" customWidth="1"/>
    <col min="3" max="3" width="14.33203125" customWidth="1"/>
    <col min="4" max="4" width="12.6640625" customWidth="1"/>
    <col min="5" max="5" width="17.5" customWidth="1"/>
    <col min="6" max="6" width="16.6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41</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IF($O$18="Yes",(E5/$F$2)*DATA!$C$9,(E5/$F$2)*DATA!F$3)+IF(ISBLANK(K5),0,K5/$F$2)*DATA!$C$9-IF(ISBLANK(L5),0,L5/$F$2)*DATA!F$3</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1" si="0">C6-B6</f>
        <v>0</v>
      </c>
      <c r="E6" s="15"/>
      <c r="F6" s="15"/>
      <c r="G6" s="25" t="e">
        <f t="shared" ref="G6:G15" si="1">(E6+IF(ISBLANK(K6),0,K6)-IF(ISBLANK(L6),0,L6))/$F$2</f>
        <v>#DIV/0!</v>
      </c>
      <c r="H6" s="25" t="e">
        <f t="shared" ref="H6:H15" si="2">F6/$F$2</f>
        <v>#DIV/0!</v>
      </c>
      <c r="I6" s="25" t="e">
        <f>IF($O$18="Yes",(E6/$F$2)*DATA!$C$9,(E6/$F$2)*DATA!F$3)+IF(ISBLANK(K6),0,K6/$F$2)*DATA!$C$9-IF(ISBLANK(L6),0,L6/$F$2)*DATA!F$3</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IF($O$18="Yes",(E7/$F$2)*DATA!$C$9,(E7/$F$2)*DATA!F$3)+IF(ISBLANK(K7),0,K7/$F$2)*DATA!$C$9-IF(ISBLANK(L7),0,L7/$F$2)*DATA!F$3</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IF($O$18="Yes",(E8/$F$2)*DATA!$C$9,(E8/$F$2)*DATA!F$3)+IF(ISBLANK(K8),0,K8/$F$2)*DATA!$C$9-IF(ISBLANK(L8),0,L8/$F$2)*DATA!F$3</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IF($O$18="Yes",(E9/$F$2)*DATA!$C$9,(E9/$F$2)*DATA!F$3)+IF(ISBLANK(K9),0,K9/$F$2)*DATA!$C$9-IF(ISBLANK(L9),0,L9/$F$2)*DATA!F$3</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IF($O$18="Yes",(E10/$F$2)*DATA!$C$9,(E10/$F$2)*DATA!F$3)+IF(ISBLANK(K10),0,K10/$F$2)*DATA!$C$9-IF(ISBLANK(L10),0,L10/$F$2)*DATA!F$3</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198" t="s">
        <v>295</v>
      </c>
      <c r="O10" s="199"/>
      <c r="P10" s="200"/>
    </row>
    <row r="11" spans="1:16" ht="16" x14ac:dyDescent="0.2">
      <c r="A11" s="221"/>
      <c r="B11" s="24"/>
      <c r="C11" s="13"/>
      <c r="D11" s="14">
        <f t="shared" si="0"/>
        <v>0</v>
      </c>
      <c r="E11" s="15"/>
      <c r="F11" s="15"/>
      <c r="G11" s="25" t="e">
        <f t="shared" si="1"/>
        <v>#DIV/0!</v>
      </c>
      <c r="H11" s="25" t="e">
        <f t="shared" si="2"/>
        <v>#DIV/0!</v>
      </c>
      <c r="I11" s="25" t="e">
        <f>IF($O$18="Yes",(E11/$F$2)*DATA!$C$9,(E11/$F$2)*DATA!F$3)+IF(ISBLANK(K11),0,K11/$F$2)*DATA!$C$9-IF(ISBLANK(L11),0,L11/$F$2)*DATA!F$3</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15"/>
      <c r="O11" s="316"/>
      <c r="P11" s="317"/>
    </row>
    <row r="12" spans="1:16" ht="17" thickBot="1" x14ac:dyDescent="0.25">
      <c r="A12" s="221"/>
      <c r="B12" s="24"/>
      <c r="C12" s="13"/>
      <c r="D12" s="14">
        <f t="shared" ref="D12:D15" si="3">C12-B12</f>
        <v>0</v>
      </c>
      <c r="E12" s="15"/>
      <c r="F12" s="15"/>
      <c r="G12" s="25" t="e">
        <f t="shared" si="1"/>
        <v>#DIV/0!</v>
      </c>
      <c r="H12" s="25" t="e">
        <f t="shared" si="2"/>
        <v>#DIV/0!</v>
      </c>
      <c r="I12" s="25" t="e">
        <f>IF($O$18="Yes",(E12/$F$2)*DATA!$C$9,(E12/$F$2)*DATA!F$3)+IF(ISBLANK(K12),0,K12/$F$2)*DATA!$C$9-IF(ISBLANK(L12),0,L12/$F$2)*DATA!F$3</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246"/>
      <c r="O12" s="247"/>
      <c r="P12" s="248"/>
    </row>
    <row r="13" spans="1:16" ht="20" customHeight="1" thickBot="1" x14ac:dyDescent="0.25">
      <c r="A13" s="221"/>
      <c r="B13" s="24"/>
      <c r="C13" s="13"/>
      <c r="D13" s="14">
        <f t="shared" si="3"/>
        <v>0</v>
      </c>
      <c r="E13" s="15"/>
      <c r="F13" s="15"/>
      <c r="G13" s="25" t="e">
        <f t="shared" si="1"/>
        <v>#DIV/0!</v>
      </c>
      <c r="H13" s="25" t="e">
        <f t="shared" si="2"/>
        <v>#DIV/0!</v>
      </c>
      <c r="I13" s="25" t="e">
        <f>IF($O$18="Yes",(E13/$F$2)*DATA!$C$9,(E13/$F$2)*DATA!F$3)+IF(ISBLANK(K13),0,K13/$F$2)*DATA!$C$9-IF(ISBLANK(L13),0,L13/$F$2)*DATA!F$3</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3"/>
        <v>0</v>
      </c>
      <c r="E14" s="15"/>
      <c r="F14" s="15"/>
      <c r="G14" s="25" t="e">
        <f t="shared" si="1"/>
        <v>#DIV/0!</v>
      </c>
      <c r="H14" s="25" t="e">
        <f t="shared" si="2"/>
        <v>#DIV/0!</v>
      </c>
      <c r="I14" s="25" t="e">
        <f>IF($O$18="Yes",(E14/$F$2)*DATA!$C$9,(E14/$F$2)*DATA!F$3)+IF(ISBLANK(K14),0,K14/$F$2)*DATA!$C$9-IF(ISBLANK(L14),0,L14/$F$2)*DATA!F$3</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3"/>
        <v>0</v>
      </c>
      <c r="E15" s="15"/>
      <c r="F15" s="15"/>
      <c r="G15" s="25" t="e">
        <f t="shared" si="1"/>
        <v>#DIV/0!</v>
      </c>
      <c r="H15" s="25" t="e">
        <f t="shared" si="2"/>
        <v>#DIV/0!</v>
      </c>
      <c r="I15" s="25" t="e">
        <f>IF($O$18="Yes",(E15/$F$2)*DATA!$C$9,(E15/$F$2)*DATA!F$3)+IF(ISBLANK(K15),0,K15/$F$2)*DATA!$C$9-IF(ISBLANK(L15),0,L15/$F$2)*DATA!F$3</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49" t="s">
        <v>60</v>
      </c>
      <c r="C19" s="150" t="s">
        <v>61</v>
      </c>
      <c r="D19" s="150" t="s">
        <v>62</v>
      </c>
      <c r="E19" s="150" t="s">
        <v>262</v>
      </c>
      <c r="F19" s="150"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4">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5">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5"/>
        <v>#N/A</v>
      </c>
      <c r="J23" s="110" t="e" cm="1">
        <f t="array" ref="J23">_xlfn.IFS(B23&gt;0,I23*DATA!$C$3,C23&gt;0,I23*DATA!$C$6,I23&gt;0,D23*DATA!$C$12,E23&gt;0,DATA!$C$13,F23&gt;0,F23*DATA!$C$5)</f>
        <v>#N/A</v>
      </c>
    </row>
    <row r="24" spans="1:17" ht="16" thickBot="1" x14ac:dyDescent="0.25">
      <c r="H24" s="114" t="s">
        <v>58</v>
      </c>
      <c r="I24" s="115" t="e">
        <f t="shared" ref="I24:J24" si="6">SUM(I20:I23)</f>
        <v>#N/A</v>
      </c>
      <c r="J24" s="116" t="e">
        <f t="shared" si="6"/>
        <v>#N/A</v>
      </c>
    </row>
    <row r="25" spans="1:17" ht="10.25" customHeight="1" thickBot="1" x14ac:dyDescent="0.25"/>
    <row r="26" spans="1:17" ht="43.7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58" t="s">
        <v>69</v>
      </c>
      <c r="D27" s="258" t="s">
        <v>70</v>
      </c>
      <c r="E27" s="258" t="s">
        <v>71</v>
      </c>
      <c r="F27" s="258" t="s">
        <v>72</v>
      </c>
      <c r="G27" s="260" t="s">
        <v>73</v>
      </c>
      <c r="H27" s="201" t="s">
        <v>283</v>
      </c>
      <c r="I27" s="209" t="s">
        <v>284</v>
      </c>
      <c r="J27" s="202" t="s">
        <v>285</v>
      </c>
      <c r="L27" s="215" t="s">
        <v>252</v>
      </c>
      <c r="M27" s="216"/>
      <c r="N27" s="217"/>
    </row>
    <row r="28" spans="1:17" ht="24.5" customHeight="1" thickBot="1" x14ac:dyDescent="0.25">
      <c r="A28" s="222"/>
      <c r="B28" s="279"/>
      <c r="C28" s="259"/>
      <c r="D28" s="259"/>
      <c r="E28" s="259"/>
      <c r="F28" s="259"/>
      <c r="G28" s="261"/>
      <c r="H28" s="201"/>
      <c r="I28" s="209"/>
      <c r="J28" s="202"/>
      <c r="L28" s="223"/>
      <c r="M28" s="224"/>
      <c r="N28" s="225"/>
    </row>
    <row r="29" spans="1:17" ht="16" thickBot="1" x14ac:dyDescent="0.25">
      <c r="A29" s="222"/>
      <c r="B29" s="102"/>
      <c r="C29" s="29"/>
      <c r="D29" s="29"/>
      <c r="E29" s="29"/>
      <c r="F29" s="103" t="e" cm="1">
        <f t="array" ref="F29">_xlfn.IFS(AND($C29="Fuel car",$D29=1),$E29*'AT '!C$7,AND($C29="Fuel car",$D29=2),$E29*'AT '!C$8,AND($C29="Fuel car",$D29=3),$E29*'AT '!C$9,AND($C29="Fuel car",$D29=4),$E29*'AT '!C$10,AND($C29="Fuel car",$D29=5),$E29*'AT '!C$11,AND($C29="Motorcycle",$D29=1),$E29*'AT '!C$13,AND($C29="Motorcycle",$D29=2),$E29*'AT '!C$14,AND($C29="Electric car",$D29=1),$E29*'AT '!C$16,AND($C29="Electric car",$D29=2),$E29*'AT '!C$17,AND($C29="Electric car",$D29=3),$E29*'AT '!C$18,AND($C29="Electric car",$D29=4),$E29*'AT '!C$19,AND($C29="Electric car",$D29=5),$E29*'AT '!C$20,AND($C29="Hybrid car",$D29=1),$E29*'AT '!C$22,AND($C29="Hybrid car",$D29=2),$E29*'AT '!C$23,AND($C29="Hybrid car",$D29=3),$E29*'AT '!C$24,AND($C29="Hybrid car",$D29=4),$E29*'AT '!C$25,AND($C29="Hybrid car",$D29=5),$E29*'AT '!C$26,AND($C29="Electric motorcycle",$D29=1),$E29*'AT '!C$28,AND($C29="Electric motorcycle",$D29=2),$E29*'AT '!C$29,AND($C29="Electric bike",$D29=1),$E29*'AT '!C$31,AND($C29="Electric scooter",$D29=1),$E29*'AT '!C$33,AND($C29="Bus",$D29="Almost empty"),$E29*'AT '!H$23,AND($C29="Bus",$D29="Average"),$E29*'AT '!H$24,AND($C29="Bus",$D29="Nearly full"),$E29*'AT '!H$25,AND($C29="Electric bus",$D29="Almost empty"),$E29*'AT '!H$7,AND($C29="Electric bus",$D29="Average"),$E29*'AT '!H$8,AND($C29="Electric bus",$D29="Nearly full"),$E29*'AT '!H$9,AND($C29="Diesel bus",$D29="Almost empty"),$E29*'AT '!H$19,AND($C29="Diesel bus",$D29="Average"),$E29*'AT '!H$20,AND($C29="Diesel bus",$D29="Nearly full"),$E29*'AT '!H$21,AND($C29="Hybrid-electric bus",$D29="Almost empty"),$E29*'AT '!H$11,AND($C29="Hybrid-electric bus",$D29="Average"),$E29*'AT '!H$12,AND($C29="Hybrid-electric bus",$D29="Nearly full"),$E29*'AT '!H$13,AND($C29="Alternative fuel bus",$D29="Almost empty"),$E29*'AT '!H$15,AND($C29="Alternative fuel bus",$D29="Average"),$E29*'AT '!H$16,AND($C29="Alternative fuel bus",$D29="Nearly full"),$E29*'AT '!H$17,AND($C29="Metro, tram, urban light train",$D29="Almost empty"),$E29*'AT '!C$35,AND($C29="Metro, tram, urban light train",$D29="Average"),$E29*'AT '!C$36,AND($C29="Metro, tram, urban light train",$D29="Nearly full"),$E29*'AT '!C$37,AND($C29="Electric passenger train",$D29="Almost empty"),$E29*'AT '!C$39,AND($C29="Electric passenger train",$D29="Average"),$E29*'AT '!C$40,AND($C29="Electric passenger train",$D29="Nearly full"),$E29*'AT '!C$41,AND($C29="Diesel passenger train",$D29="Almost empty"),$E29*'AT '!C$47,AND($C29="Diesel passenger train",$D29="Average"),$E29*'AT '!C$48,AND($C29="Diesel passenger train",$D29="Nearly full"),$E29*'AT '!C$49,AND($C29="Walking"),$E29*0,AND($C29="Bike"),$E29*0,AND($C29="Plane - domestic flight"),$E29*'AT '!$C53,AND($C29="Plane - international - intra EU"),$E29*'AT '!$C55,AND($C29="Plane - international (extra EU)"),$E29*'AT '!$C57)</f>
        <v>#N/A</v>
      </c>
      <c r="G29" s="104" t="e" cm="1">
        <f t="array" ref="G29">_xlfn.IFS(AND($C29="Fuel car",$D29=1),$E29*'AT '!D$7,AND($C29="Fuel car",$D29=2),$E29*'AT '!D$8,AND($C29="Fuel car",$D29=3),$E29*'AT '!D$9,AND($C29="Fuel car",$D29=4),$E29*'AT '!D$10,AND($C29="Fuel car",$D29=5),$E29*'AT '!D$11,AND($C29="Motorcycle",$D29=1),$E29*'AT '!D$13,AND($C29="Motorcycle",$D29=2),$E29*'AT '!D$14,AND($C29="Electric car",$D29=1),$E29*'AT '!D$16,AND($C29="Electric car",$D29=2),$E29*'AT '!D$17,AND($C29="Electric car",$D29=3),$E29*'AT '!D$18,AND($C29="Electric car",$D29=4),$E29*'AT '!D$19,AND($C29="Electric car",$D29=5),$E29*'AT '!D$20,AND($C29="Hybrid car",$D29=1),$E29*'AT '!D$22,AND($C29="Hybrid car",$D29=2),$E29*'AT '!D$23,AND($C29="Hybrid car",$D29=3),$E29*'AT '!D$24,AND($C29="Hybrid car",$D29=4),$E29*'AT '!D$25,AND($C29="Hybrid car",$D29=5),$E29*'AT '!D$26,AND($C29="Electric motorcycle",$D29=1),$E29*'AT '!D$28,AND($C29="Electric motorcycle",$D29=2),$E29*'AT '!D$29,AND($C29="Electric bike",$D29=1),$E29*'AT '!D$31,AND($C29="Electric scooter",$D29=1),$E29*'AT '!D$33,AND($C29="Bus",$D29="Almost empty"),$E29*'AT '!I$23,AND($C29="Bus",$D29="Average"),$E29*'AT '!I$24,AND($C29="Bus",$D29="Nearly full"),$E29*'AT '!I$25,AND($C29="Electric bus",$D29="Almost empty"),$E29*'AT '!I$7,AND($C29="Electric bus",$D29="Average"),$E29*'AT '!I$8,AND($C29="Electric bus",$D29="Nearly full"),$E29*'AT '!I$9,AND($C29="Diesel bus",$D29="Almost empty"),$E29*'AT '!I$19,AND($C29="Diesel bus",$D29="Average"),$E29*'AT '!I$20,AND($C29="Diesel bus",$D29="Nearly full"),$E29*'AT '!I$21,AND($C29="Hybrid-electric bus",$D29="Almost empty"),$E29*'AT '!I$11,AND($C29="Hybrid-electric bus",$D29="Average"),$E29*'AT '!I$12,AND($C29="Hybrid-electric bus",$D29="Nearly full"),$E29*'AT '!I$13,AND($C29="Alternative fuel bus",$D29="Almost empty"),$E29*'AT '!I$15,AND($C29="Alternative fuel bus",$D29="Average"),$E29*'AT '!I$16,AND($C29="Alternative fuel bus",$D29="Nearly full"),$E29*'AT '!I$17,AND($C29="Metro, tram, urban light train",$D29="Almost empty"),$E29*'AT '!D$35,AND($C29="Metro, tram, urban light train",$D29="Average"),$E29*'AT '!D$36,AND($C29="Metro, tram, urban light train",$D29="Nearly full"),$E29*'AT '!D$37,AND($C29="Electric passenger train",$D29="Almost empty"),$E29*'AT '!D$39,AND($C29="Electric passenger train",$D29="Average"),$E29*'AT '!D$40,AND($C29="Electric passenger train",$D29="Nearly full"),$E29*'AT '!D$41,AND($C29="Diesel passenger train",$D29="Almost empty"),$E29*'AT '!D$47,AND($C29="Diesel passenger train",$D29="Average"),$E29*'AT '!D$48,AND($C29="Diesel passenger train",$D29="Nearly full"),$E29*'AT '!D$49,AND($C29="Walking"),$E29*0,AND($C29="Bike"),$E29*0,AND($C29="Plane - domestic flight"),$E29*'AT '!$C53,AND($C29="Plane - international - intra EU"),$E29*'AT '!$C55,AND($C29="Plane - international (extra EU)"),$E29*'AT '!$C57)</f>
        <v>#N/A</v>
      </c>
      <c r="H29" s="151"/>
      <c r="I29" s="152">
        <f>H29/10*E29</f>
        <v>0</v>
      </c>
      <c r="J29" s="153" t="e" cm="1">
        <f t="array" ref="J29">_xlfn.IFS(Austria!C29="Fuel car",Austria!I29*DATA!$C$17,C29="Electric car",Austria!I29*DATA!$F$3,Austria!C29="Hybrid car",Austria!I29*(0.5*DATA!$C$17+0.5*DATA!$F$3))</f>
        <v>#N/A</v>
      </c>
      <c r="L29" s="218"/>
      <c r="M29" s="219"/>
      <c r="N29" s="220"/>
    </row>
    <row r="30" spans="1:17" ht="32" customHeight="1" x14ac:dyDescent="0.2">
      <c r="A30" s="222"/>
      <c r="B30" s="30"/>
      <c r="C30" s="15"/>
      <c r="D30" s="15"/>
      <c r="E30" s="15"/>
      <c r="F30" s="123" t="e" cm="1">
        <f t="array" ref="F30">_xlfn.IFS(AND($C30="Fuel car",$D30=1),$E30*'AT '!C$7,AND($C30="Fuel car",$D30=2),$E30*'AT '!C$8,AND($C30="Fuel car",$D30=3),$E30*'AT '!C$9,AND($C30="Fuel car",$D30=4),$E30*'AT '!C$10,AND($C30="Fuel car",$D30=5),$E30*'AT '!C$11,AND($C30="Motorcycle",$D30=1),$E30*'AT '!C$13,AND($C30="Motorcycle",$D30=2),$E30*'AT '!C$14,AND($C30="Electric car",$D30=1),$E30*'AT '!C$16,AND($C30="Electric car",$D30=2),$E30*'AT '!C$17,AND($C30="Electric car",$D30=3),$E30*'AT '!C$18,AND($C30="Electric car",$D30=4),$E30*'AT '!C$19,AND($C30="Electric car",$D30=5),$E30*'AT '!C$20,AND($C30="Hybrid car",$D30=1),$E30*'AT '!C$22,AND($C30="Hybrid car",$D30=2),$E30*'AT '!C$23,AND($C30="Hybrid car",$D30=3),$E30*'AT '!C$24,AND($C30="Hybrid car",$D30=4),$E30*'AT '!C$25,AND($C30="Hybrid car",$D30=5),$E30*'AT '!C$26,AND($C30="Electric motorcycle",$D30=1),$E30*'AT '!C$28,AND($C30="Electric motorcycle",$D30=2),$E30*'AT '!C$29,AND($C30="Electric bike",$D30=1),$E30*'AT '!C$31,AND($C30="Electric scooter",$D30=1),$E30*'AT '!C$33,AND($C30="Bus",$D30="Almost empty"),$E30*'AT '!H$23,AND($C30="Bus",$D30="Average"),$E30*'AT '!H$24,AND($C30="Bus",$D30="Nearly full"),$E30*'AT '!H$25,AND($C30="Electric bus",$D30="Almost empty"),$E30*'AT '!H$7,AND($C30="Electric bus",$D30="Average"),$E30*'AT '!H$8,AND($C30="Electric bus",$D30="Nearly full"),$E30*'AT '!H$9,AND($C30="Diesel bus",$D30="Almost empty"),$E30*'AT '!H$19,AND($C30="Diesel bus",$D30="Average"),$E30*'AT '!H$20,AND($C30="Diesel bus",$D30="Nearly full"),$E30*'AT '!H$21,AND($C30="Hybrid-electric bus",$D30="Almost empty"),$E30*'AT '!H$11,AND($C30="Hybrid-electric bus",$D30="Average"),$E30*'AT '!H$12,AND($C30="Hybrid-electric bus",$D30="Nearly full"),$E30*'AT '!H$13,AND($C30="Alternative fuel bus",$D30="Almost empty"),$E30*'AT '!H$15,AND($C30="Alternative fuel bus",$D30="Average"),$E30*'AT '!H$16,AND($C30="Alternative fuel bus",$D30="Nearly full"),$E30*'AT '!H$17,AND($C30="Metro, tram, urban light train",$D30="Almost empty"),$E30*'AT '!C$35,AND($C30="Metro, tram, urban light train",$D30="Average"),$E30*'AT '!C$36,AND($C30="Metro, tram, urban light train",$D30="Nearly full"),$E30*'AT '!C$37,AND($C30="Electric passenger train",$D30="Almost empty"),$E30*'AT '!C$39,AND($C30="Electric passenger train",$D30="Average"),$E30*'AT '!C$40,AND($C30="Electric passenger train",$D30="Nearly full"),$E30*'AT '!C$41,AND($C30="Diesel passenger train",$D30="Almost empty"),$E30*'AT '!C$47,AND($C30="Diesel passenger train",$D30="Average"),$E30*'AT '!C$48,AND($C30="Diesel passenger train",$D30="Nearly full"),$E30*'AT '!C$49,AND($C30="Walking"),$E30*0,AND($C30="Bike"),$E30*0,AND($C30="Plane - domestic flight"),$E30*'AT '!$C54,AND($C30="Plane - international - intra EU"),$E30*'AT '!$C56,AND($C30="Plane - international (extra EU)"),$E30*'AT '!$C58)</f>
        <v>#N/A</v>
      </c>
      <c r="G30" s="31" t="e" cm="1">
        <f t="array" ref="G30">_xlfn.IFS(AND($C30="Fuel car",$D30=1),$E30*'AT '!D$7,AND($C30="Fuel car",$D30=2),$E30*'AT '!D$8,AND($C30="Fuel car",$D30=3),$E30*'AT '!D$9,AND($C30="Fuel car",$D30=4),$E30*'AT '!D$10,AND($C30="Fuel car",$D30=5),$E30*'AT '!D$11,AND($C30="Motorcycle",$D30=1),$E30*'AT '!D$13,AND($C30="Motorcycle",$D30=2),$E30*'AT '!D$14,AND($C30="Electric car",$D30=1),$E30*'AT '!D$16,AND($C30="Electric car",$D30=2),$E30*'AT '!D$17,AND($C30="Electric car",$D30=3),$E30*'AT '!D$18,AND($C30="Electric car",$D30=4),$E30*'AT '!D$19,AND($C30="Electric car",$D30=5),$E30*'AT '!D$20,AND($C30="Hybrid car",$D30=1),$E30*'AT '!D$22,AND($C30="Hybrid car",$D30=2),$E30*'AT '!D$23,AND($C30="Hybrid car",$D30=3),$E30*'AT '!D$24,AND($C30="Hybrid car",$D30=4),$E30*'AT '!D$25,AND($C30="Hybrid car",$D30=5),$E30*'AT '!D$26,AND($C30="Electric motorcycle",$D30=1),$E30*'AT '!D$28,AND($C30="Electric motorcycle",$D30=2),$E30*'AT '!D$29,AND($C30="Electric bike",$D30=1),$E30*'AT '!D$31,AND($C30="Electric scooter",$D30=1),$E30*'AT '!D$33,AND($C30="Bus",$D30="Almost empty"),$E30*'AT '!I$23,AND($C30="Bus",$D30="Average"),$E30*'AT '!I$24,AND($C30="Bus",$D30="Nearly full"),$E30*'AT '!I$25,AND($C30="Electric bus",$D30="Almost empty"),$E30*'AT '!I$7,AND($C30="Electric bus",$D30="Average"),$E30*'AT '!I$8,AND($C30="Electric bus",$D30="Nearly full"),$E30*'AT '!I$9,AND($C30="Diesel bus",$D30="Almost empty"),$E30*'AT '!I$19,AND($C30="Diesel bus",$D30="Average"),$E30*'AT '!I$20,AND($C30="Diesel bus",$D30="Nearly full"),$E30*'AT '!I$21,AND($C30="Hybrid-electric bus",$D30="Almost empty"),$E30*'AT '!I$11,AND($C30="Hybrid-electric bus",$D30="Average"),$E30*'AT '!I$12,AND($C30="Hybrid-electric bus",$D30="Nearly full"),$E30*'AT '!I$13,AND($C30="Alternative fuel bus",$D30="Almost empty"),$E30*'AT '!I$15,AND($C30="Alternative fuel bus",$D30="Average"),$E30*'AT '!I$16,AND($C30="Alternative fuel bus",$D30="Nearly full"),$E30*'AT '!I$17,AND($C30="Metro, tram, urban light train",$D30="Almost empty"),$E30*'AT '!D$35,AND($C30="Metro, tram, urban light train",$D30="Average"),$E30*'AT '!D$36,AND($C30="Metro, tram, urban light train",$D30="Nearly full"),$E30*'AT '!D$37,AND($C30="Electric passenger train",$D30="Almost empty"),$E30*'AT '!D$39,AND($C30="Electric passenger train",$D30="Average"),$E30*'AT '!D$40,AND($C30="Electric passenger train",$D30="Nearly full"),$E30*'AT '!D$41,AND($C30="Diesel passenger train",$D30="Almost empty"),$E30*'AT '!D$47,AND($C30="Diesel passenger train",$D30="Average"),$E30*'AT '!D$48,AND($C30="Diesel passenger train",$D30="Nearly full"),$E30*'AT '!D$49,AND($C30="Walking"),$E30*0,AND($C30="Bike"),$E30*0,AND($C30="Plane - domestic flight"),$E30*'AT '!$C54,AND($C30="Plane - international - intra EU"),$E30*'AT '!$C56,AND($C30="Plane - international (extra EU)"),$E30*'AT '!$C58)</f>
        <v>#N/A</v>
      </c>
      <c r="H30" s="145"/>
      <c r="I30" s="148">
        <f t="shared" ref="I30:I43" si="7">H30/10*E30</f>
        <v>0</v>
      </c>
      <c r="J30" s="146" t="e" cm="1">
        <f t="array" ref="J30">_xlfn.IFS(Austria!C30="Fuel car",Austria!I30*DATA!$C$17,C30="Electric car",Austria!I30*DATA!$F$3,Austria!C30="Hybrid car",Austria!I30*(0.5*DATA!$C$17+0.5*DATA!$F$3))</f>
        <v>#N/A</v>
      </c>
      <c r="L30" s="215" t="s">
        <v>76</v>
      </c>
      <c r="M30" s="216"/>
      <c r="N30" s="217"/>
    </row>
    <row r="31" spans="1:17" x14ac:dyDescent="0.2">
      <c r="A31" s="222"/>
      <c r="B31" s="30"/>
      <c r="C31" s="15"/>
      <c r="D31" s="15"/>
      <c r="E31" s="15"/>
      <c r="F31" s="123" t="e" cm="1">
        <f t="array" ref="F31">_xlfn.IFS(AND($C31="Fuel car",$D31=1),$E31*'AT '!C$7,AND($C31="Fuel car",$D31=2),$E31*'AT '!C$8,AND($C31="Fuel car",$D31=3),$E31*'AT '!C$9,AND($C31="Fuel car",$D31=4),$E31*'AT '!C$10,AND($C31="Fuel car",$D31=5),$E31*'AT '!C$11,AND($C31="Motorcycle",$D31=1),$E31*'AT '!C$13,AND($C31="Motorcycle",$D31=2),$E31*'AT '!C$14,AND($C31="Electric car",$D31=1),$E31*'AT '!C$16,AND($C31="Electric car",$D31=2),$E31*'AT '!C$17,AND($C31="Electric car",$D31=3),$E31*'AT '!C$18,AND($C31="Electric car",$D31=4),$E31*'AT '!C$19,AND($C31="Electric car",$D31=5),$E31*'AT '!C$20,AND($C31="Hybrid car",$D31=1),$E31*'AT '!C$22,AND($C31="Hybrid car",$D31=2),$E31*'AT '!C$23,AND($C31="Hybrid car",$D31=3),$E31*'AT '!C$24,AND($C31="Hybrid car",$D31=4),$E31*'AT '!C$25,AND($C31="Hybrid car",$D31=5),$E31*'AT '!C$26,AND($C31="Electric motorcycle",$D31=1),$E31*'AT '!C$28,AND($C31="Electric motorcycle",$D31=2),$E31*'AT '!C$29,AND($C31="Electric bike",$D31=1),$E31*'AT '!C$31,AND($C31="Electric scooter",$D31=1),$E31*'AT '!C$33,AND($C31="Bus",$D31="Almost empty"),$E31*'AT '!H$23,AND($C31="Bus",$D31="Average"),$E31*'AT '!H$24,AND($C31="Bus",$D31="Nearly full"),$E31*'AT '!H$25,AND($C31="Electric bus",$D31="Almost empty"),$E31*'AT '!H$7,AND($C31="Electric bus",$D31="Average"),$E31*'AT '!H$8,AND($C31="Electric bus",$D31="Nearly full"),$E31*'AT '!H$9,AND($C31="Diesel bus",$D31="Almost empty"),$E31*'AT '!H$19,AND($C31="Diesel bus",$D31="Average"),$E31*'AT '!H$20,AND($C31="Diesel bus",$D31="Nearly full"),$E31*'AT '!H$21,AND($C31="Hybrid-electric bus",$D31="Almost empty"),$E31*'AT '!H$11,AND($C31="Hybrid-electric bus",$D31="Average"),$E31*'AT '!H$12,AND($C31="Hybrid-electric bus",$D31="Nearly full"),$E31*'AT '!H$13,AND($C31="Alternative fuel bus",$D31="Almost empty"),$E31*'AT '!H$15,AND($C31="Alternative fuel bus",$D31="Average"),$E31*'AT '!H$16,AND($C31="Alternative fuel bus",$D31="Nearly full"),$E31*'AT '!H$17,AND($C31="Metro, tram, urban light train",$D31="Almost empty"),$E31*'AT '!C$35,AND($C31="Metro, tram, urban light train",$D31="Average"),$E31*'AT '!C$36,AND($C31="Metro, tram, urban light train",$D31="Nearly full"),$E31*'AT '!C$37,AND($C31="Electric passenger train",$D31="Almost empty"),$E31*'AT '!C$39,AND($C31="Electric passenger train",$D31="Average"),$E31*'AT '!C$40,AND($C31="Electric passenger train",$D31="Nearly full"),$E31*'AT '!C$41,AND($C31="Diesel passenger train",$D31="Almost empty"),$E31*'AT '!C$47,AND($C31="Diesel passenger train",$D31="Average"),$E31*'AT '!C$48,AND($C31="Diesel passenger train",$D31="Nearly full"),$E31*'AT '!C$49,AND($C31="Walking"),$E31*0,AND($C31="Bike"),$E31*0,AND($C31="Plane - domestic flight"),$E31*'AT '!$C55,AND($C31="Plane - international - intra EU"),$E31*'AT '!$C57,AND($C31="Plane - international (extra EU)"),$E31*'AT '!$C59)</f>
        <v>#N/A</v>
      </c>
      <c r="G31" s="31" t="e" cm="1">
        <f t="array" ref="G31">_xlfn.IFS(AND($C31="Fuel car",$D31=1),$E31*'AT '!D$7,AND($C31="Fuel car",$D31=2),$E31*'AT '!D$8,AND($C31="Fuel car",$D31=3),$E31*'AT '!D$9,AND($C31="Fuel car",$D31=4),$E31*'AT '!D$10,AND($C31="Fuel car",$D31=5),$E31*'AT '!D$11,AND($C31="Motorcycle",$D31=1),$E31*'AT '!D$13,AND($C31="Motorcycle",$D31=2),$E31*'AT '!D$14,AND($C31="Electric car",$D31=1),$E31*'AT '!D$16,AND($C31="Electric car",$D31=2),$E31*'AT '!D$17,AND($C31="Electric car",$D31=3),$E31*'AT '!D$18,AND($C31="Electric car",$D31=4),$E31*'AT '!D$19,AND($C31="Electric car",$D31=5),$E31*'AT '!D$20,AND($C31="Hybrid car",$D31=1),$E31*'AT '!D$22,AND($C31="Hybrid car",$D31=2),$E31*'AT '!D$23,AND($C31="Hybrid car",$D31=3),$E31*'AT '!D$24,AND($C31="Hybrid car",$D31=4),$E31*'AT '!D$25,AND($C31="Hybrid car",$D31=5),$E31*'AT '!D$26,AND($C31="Electric motorcycle",$D31=1),$E31*'AT '!D$28,AND($C31="Electric motorcycle",$D31=2),$E31*'AT '!D$29,AND($C31="Electric bike",$D31=1),$E31*'AT '!D$31,AND($C31="Electric scooter",$D31=1),$E31*'AT '!D$33,AND($C31="Bus",$D31="Almost empty"),$E31*'AT '!I$23,AND($C31="Bus",$D31="Average"),$E31*'AT '!I$24,AND($C31="Bus",$D31="Nearly full"),$E31*'AT '!I$25,AND($C31="Electric bus",$D31="Almost empty"),$E31*'AT '!I$7,AND($C31="Electric bus",$D31="Average"),$E31*'AT '!I$8,AND($C31="Electric bus",$D31="Nearly full"),$E31*'AT '!I$9,AND($C31="Diesel bus",$D31="Almost empty"),$E31*'AT '!I$19,AND($C31="Diesel bus",$D31="Average"),$E31*'AT '!I$20,AND($C31="Diesel bus",$D31="Nearly full"),$E31*'AT '!I$21,AND($C31="Hybrid-electric bus",$D31="Almost empty"),$E31*'AT '!I$11,AND($C31="Hybrid-electric bus",$D31="Average"),$E31*'AT '!I$12,AND($C31="Hybrid-electric bus",$D31="Nearly full"),$E31*'AT '!I$13,AND($C31="Alternative fuel bus",$D31="Almost empty"),$E31*'AT '!I$15,AND($C31="Alternative fuel bus",$D31="Average"),$E31*'AT '!I$16,AND($C31="Alternative fuel bus",$D31="Nearly full"),$E31*'AT '!I$17,AND($C31="Metro, tram, urban light train",$D31="Almost empty"),$E31*'AT '!D$35,AND($C31="Metro, tram, urban light train",$D31="Average"),$E31*'AT '!D$36,AND($C31="Metro, tram, urban light train",$D31="Nearly full"),$E31*'AT '!D$37,AND($C31="Electric passenger train",$D31="Almost empty"),$E31*'AT '!D$39,AND($C31="Electric passenger train",$D31="Average"),$E31*'AT '!D$40,AND($C31="Electric passenger train",$D31="Nearly full"),$E31*'AT '!D$41,AND($C31="Diesel passenger train",$D31="Almost empty"),$E31*'AT '!D$47,AND($C31="Diesel passenger train",$D31="Average"),$E31*'AT '!D$48,AND($C31="Diesel passenger train",$D31="Nearly full"),$E31*'AT '!D$49,AND($C31="Walking"),$E31*0,AND($C31="Bike"),$E31*0,AND($C31="Plane - domestic flight"),$E31*'AT '!$C55,AND($C31="Plane - international - intra EU"),$E31*'AT '!$C57,AND($C31="Plane - international (extra EU)"),$E31*'AT '!$C59)</f>
        <v>#N/A</v>
      </c>
      <c r="H31" s="145"/>
      <c r="I31" s="148">
        <f t="shared" si="7"/>
        <v>0</v>
      </c>
      <c r="J31" s="146" t="e" cm="1">
        <f t="array" ref="J31">_xlfn.IFS(Austria!C31="Fuel car",Austria!I31*DATA!$C$17,C31="Electric car",Austria!I31*DATA!$F$3,Austria!C31="Hybrid car",Austria!I31*(0.5*DATA!$C$17+0.5*DATA!$F$3))</f>
        <v>#N/A</v>
      </c>
      <c r="L31" s="223"/>
      <c r="M31" s="224"/>
      <c r="N31" s="225"/>
    </row>
    <row r="32" spans="1:17" ht="16" thickBot="1" x14ac:dyDescent="0.25">
      <c r="A32" s="222"/>
      <c r="B32" s="30"/>
      <c r="C32" s="15"/>
      <c r="D32" s="15"/>
      <c r="E32" s="15"/>
      <c r="F32" s="123" t="e" cm="1">
        <f t="array" ref="F32">_xlfn.IFS(AND($C32="Fuel car",$D32=1),$E32*'AT '!C$7,AND($C32="Fuel car",$D32=2),$E32*'AT '!C$8,AND($C32="Fuel car",$D32=3),$E32*'AT '!C$9,AND($C32="Fuel car",$D32=4),$E32*'AT '!C$10,AND($C32="Fuel car",$D32=5),$E32*'AT '!C$11,AND($C32="Motorcycle",$D32=1),$E32*'AT '!C$13,AND($C32="Motorcycle",$D32=2),$E32*'AT '!C$14,AND($C32="Electric car",$D32=1),$E32*'AT '!C$16,AND($C32="Electric car",$D32=2),$E32*'AT '!C$17,AND($C32="Electric car",$D32=3),$E32*'AT '!C$18,AND($C32="Electric car",$D32=4),$E32*'AT '!C$19,AND($C32="Electric car",$D32=5),$E32*'AT '!C$20,AND($C32="Hybrid car",$D32=1),$E32*'AT '!C$22,AND($C32="Hybrid car",$D32=2),$E32*'AT '!C$23,AND($C32="Hybrid car",$D32=3),$E32*'AT '!C$24,AND($C32="Hybrid car",$D32=4),$E32*'AT '!C$25,AND($C32="Hybrid car",$D32=5),$E32*'AT '!C$26,AND($C32="Electric motorcycle",$D32=1),$E32*'AT '!C$28,AND($C32="Electric motorcycle",$D32=2),$E32*'AT '!C$29,AND($C32="Electric bike",$D32=1),$E32*'AT '!C$31,AND($C32="Electric scooter",$D32=1),$E32*'AT '!C$33,AND($C32="Bus",$D32="Almost empty"),$E32*'AT '!H$23,AND($C32="Bus",$D32="Average"),$E32*'AT '!H$24,AND($C32="Bus",$D32="Nearly full"),$E32*'AT '!H$25,AND($C32="Electric bus",$D32="Almost empty"),$E32*'AT '!H$7,AND($C32="Electric bus",$D32="Average"),$E32*'AT '!H$8,AND($C32="Electric bus",$D32="Nearly full"),$E32*'AT '!H$9,AND($C32="Diesel bus",$D32="Almost empty"),$E32*'AT '!H$19,AND($C32="Diesel bus",$D32="Average"),$E32*'AT '!H$20,AND($C32="Diesel bus",$D32="Nearly full"),$E32*'AT '!H$21,AND($C32="Hybrid-electric bus",$D32="Almost empty"),$E32*'AT '!H$11,AND($C32="Hybrid-electric bus",$D32="Average"),$E32*'AT '!H$12,AND($C32="Hybrid-electric bus",$D32="Nearly full"),$E32*'AT '!H$13,AND($C32="Alternative fuel bus",$D32="Almost empty"),$E32*'AT '!H$15,AND($C32="Alternative fuel bus",$D32="Average"),$E32*'AT '!H$16,AND($C32="Alternative fuel bus",$D32="Nearly full"),$E32*'AT '!H$17,AND($C32="Metro, tram, urban light train",$D32="Almost empty"),$E32*'AT '!C$35,AND($C32="Metro, tram, urban light train",$D32="Average"),$E32*'AT '!C$36,AND($C32="Metro, tram, urban light train",$D32="Nearly full"),$E32*'AT '!C$37,AND($C32="Electric passenger train",$D32="Almost empty"),$E32*'AT '!C$39,AND($C32="Electric passenger train",$D32="Average"),$E32*'AT '!C$40,AND($C32="Electric passenger train",$D32="Nearly full"),$E32*'AT '!C$41,AND($C32="Diesel passenger train",$D32="Almost empty"),$E32*'AT '!C$47,AND($C32="Diesel passenger train",$D32="Average"),$E32*'AT '!C$48,AND($C32="Diesel passenger train",$D32="Nearly full"),$E32*'AT '!C$49,AND($C32="Walking"),$E32*0,AND($C32="Bike"),$E32*0,AND($C32="Plane - domestic flight"),$E32*'AT '!$C56,AND($C32="Plane - international - intra EU"),$E32*'AT '!$C58,AND($C32="Plane - international (extra EU)"),$E32*'AT '!$C60)</f>
        <v>#N/A</v>
      </c>
      <c r="G32" s="31" t="e" cm="1">
        <f t="array" ref="G32">_xlfn.IFS(AND($C32="Fuel car",$D32=1),$E32*'AT '!D$7,AND($C32="Fuel car",$D32=2),$E32*'AT '!D$8,AND($C32="Fuel car",$D32=3),$E32*'AT '!D$9,AND($C32="Fuel car",$D32=4),$E32*'AT '!D$10,AND($C32="Fuel car",$D32=5),$E32*'AT '!D$11,AND($C32="Motorcycle",$D32=1),$E32*'AT '!D$13,AND($C32="Motorcycle",$D32=2),$E32*'AT '!D$14,AND($C32="Electric car",$D32=1),$E32*'AT '!D$16,AND($C32="Electric car",$D32=2),$E32*'AT '!D$17,AND($C32="Electric car",$D32=3),$E32*'AT '!D$18,AND($C32="Electric car",$D32=4),$E32*'AT '!D$19,AND($C32="Electric car",$D32=5),$E32*'AT '!D$20,AND($C32="Hybrid car",$D32=1),$E32*'AT '!D$22,AND($C32="Hybrid car",$D32=2),$E32*'AT '!D$23,AND($C32="Hybrid car",$D32=3),$E32*'AT '!D$24,AND($C32="Hybrid car",$D32=4),$E32*'AT '!D$25,AND($C32="Hybrid car",$D32=5),$E32*'AT '!D$26,AND($C32="Electric motorcycle",$D32=1),$E32*'AT '!D$28,AND($C32="Electric motorcycle",$D32=2),$E32*'AT '!D$29,AND($C32="Electric bike",$D32=1),$E32*'AT '!D$31,AND($C32="Electric scooter",$D32=1),$E32*'AT '!D$33,AND($C32="Bus",$D32="Almost empty"),$E32*'AT '!I$23,AND($C32="Bus",$D32="Average"),$E32*'AT '!I$24,AND($C32="Bus",$D32="Nearly full"),$E32*'AT '!I$25,AND($C32="Electric bus",$D32="Almost empty"),$E32*'AT '!I$7,AND($C32="Electric bus",$D32="Average"),$E32*'AT '!I$8,AND($C32="Electric bus",$D32="Nearly full"),$E32*'AT '!I$9,AND($C32="Diesel bus",$D32="Almost empty"),$E32*'AT '!I$19,AND($C32="Diesel bus",$D32="Average"),$E32*'AT '!I$20,AND($C32="Diesel bus",$D32="Nearly full"),$E32*'AT '!I$21,AND($C32="Hybrid-electric bus",$D32="Almost empty"),$E32*'AT '!I$11,AND($C32="Hybrid-electric bus",$D32="Average"),$E32*'AT '!I$12,AND($C32="Hybrid-electric bus",$D32="Nearly full"),$E32*'AT '!I$13,AND($C32="Alternative fuel bus",$D32="Almost empty"),$E32*'AT '!I$15,AND($C32="Alternative fuel bus",$D32="Average"),$E32*'AT '!I$16,AND($C32="Alternative fuel bus",$D32="Nearly full"),$E32*'AT '!I$17,AND($C32="Metro, tram, urban light train",$D32="Almost empty"),$E32*'AT '!D$35,AND($C32="Metro, tram, urban light train",$D32="Average"),$E32*'AT '!D$36,AND($C32="Metro, tram, urban light train",$D32="Nearly full"),$E32*'AT '!D$37,AND($C32="Electric passenger train",$D32="Almost empty"),$E32*'AT '!D$39,AND($C32="Electric passenger train",$D32="Average"),$E32*'AT '!D$40,AND($C32="Electric passenger train",$D32="Nearly full"),$E32*'AT '!D$41,AND($C32="Diesel passenger train",$D32="Almost empty"),$E32*'AT '!D$47,AND($C32="Diesel passenger train",$D32="Average"),$E32*'AT '!D$48,AND($C32="Diesel passenger train",$D32="Nearly full"),$E32*'AT '!D$49,AND($C32="Walking"),$E32*0,AND($C32="Bike"),$E32*0,AND($C32="Plane - domestic flight"),$E32*'AT '!$C56,AND($C32="Plane - international - intra EU"),$E32*'AT '!$C58,AND($C32="Plane - international (extra EU)"),$E32*'AT '!$C60)</f>
        <v>#N/A</v>
      </c>
      <c r="H32" s="145"/>
      <c r="I32" s="148">
        <f t="shared" si="7"/>
        <v>0</v>
      </c>
      <c r="J32" s="146" t="e" cm="1">
        <f t="array" ref="J32">_xlfn.IFS(Austria!C32="Fuel car",Austria!I32*DATA!$C$17,C32="Electric car",Austria!I32*DATA!$F$3,Austria!C32="Hybrid car",Austria!I32*(0.5*DATA!$C$17+0.5*DATA!$F$3))</f>
        <v>#N/A</v>
      </c>
      <c r="L32" s="218"/>
      <c r="M32" s="219"/>
      <c r="N32" s="220"/>
    </row>
    <row r="33" spans="1:14" ht="14.5" customHeight="1" x14ac:dyDescent="0.2">
      <c r="A33" s="222"/>
      <c r="B33" s="30"/>
      <c r="C33" s="15"/>
      <c r="D33" s="15"/>
      <c r="E33" s="15"/>
      <c r="F33" s="123" t="e" cm="1">
        <f t="array" ref="F33">_xlfn.IFS(AND($C33="Fuel car",$D33=1),$E33*'AT '!C$7,AND($C33="Fuel car",$D33=2),$E33*'AT '!C$8,AND($C33="Fuel car",$D33=3),$E33*'AT '!C$9,AND($C33="Fuel car",$D33=4),$E33*'AT '!C$10,AND($C33="Fuel car",$D33=5),$E33*'AT '!C$11,AND($C33="Motorcycle",$D33=1),$E33*'AT '!C$13,AND($C33="Motorcycle",$D33=2),$E33*'AT '!C$14,AND($C33="Electric car",$D33=1),$E33*'AT '!C$16,AND($C33="Electric car",$D33=2),$E33*'AT '!C$17,AND($C33="Electric car",$D33=3),$E33*'AT '!C$18,AND($C33="Electric car",$D33=4),$E33*'AT '!C$19,AND($C33="Electric car",$D33=5),$E33*'AT '!C$20,AND($C33="Hybrid car",$D33=1),$E33*'AT '!C$22,AND($C33="Hybrid car",$D33=2),$E33*'AT '!C$23,AND($C33="Hybrid car",$D33=3),$E33*'AT '!C$24,AND($C33="Hybrid car",$D33=4),$E33*'AT '!C$25,AND($C33="Hybrid car",$D33=5),$E33*'AT '!C$26,AND($C33="Electric motorcycle",$D33=1),$E33*'AT '!C$28,AND($C33="Electric motorcycle",$D33=2),$E33*'AT '!C$29,AND($C33="Electric bike",$D33=1),$E33*'AT '!C$31,AND($C33="Electric scooter",$D33=1),$E33*'AT '!C$33,AND($C33="Bus",$D33="Almost empty"),$E33*'AT '!H$23,AND($C33="Bus",$D33="Average"),$E33*'AT '!H$24,AND($C33="Bus",$D33="Nearly full"),$E33*'AT '!H$25,AND($C33="Electric bus",$D33="Almost empty"),$E33*'AT '!H$7,AND($C33="Electric bus",$D33="Average"),$E33*'AT '!H$8,AND($C33="Electric bus",$D33="Nearly full"),$E33*'AT '!H$9,AND($C33="Diesel bus",$D33="Almost empty"),$E33*'AT '!H$19,AND($C33="Diesel bus",$D33="Average"),$E33*'AT '!H$20,AND($C33="Diesel bus",$D33="Nearly full"),$E33*'AT '!H$21,AND($C33="Hybrid-electric bus",$D33="Almost empty"),$E33*'AT '!H$11,AND($C33="Hybrid-electric bus",$D33="Average"),$E33*'AT '!H$12,AND($C33="Hybrid-electric bus",$D33="Nearly full"),$E33*'AT '!H$13,AND($C33="Alternative fuel bus",$D33="Almost empty"),$E33*'AT '!H$15,AND($C33="Alternative fuel bus",$D33="Average"),$E33*'AT '!H$16,AND($C33="Alternative fuel bus",$D33="Nearly full"),$E33*'AT '!H$17,AND($C33="Metro, tram, urban light train",$D33="Almost empty"),$E33*'AT '!C$35,AND($C33="Metro, tram, urban light train",$D33="Average"),$E33*'AT '!C$36,AND($C33="Metro, tram, urban light train",$D33="Nearly full"),$E33*'AT '!C$37,AND($C33="Electric passenger train",$D33="Almost empty"),$E33*'AT '!C$39,AND($C33="Electric passenger train",$D33="Average"),$E33*'AT '!C$40,AND($C33="Electric passenger train",$D33="Nearly full"),$E33*'AT '!C$41,AND($C33="Diesel passenger train",$D33="Almost empty"),$E33*'AT '!C$47,AND($C33="Diesel passenger train",$D33="Average"),$E33*'AT '!C$48,AND($C33="Diesel passenger train",$D33="Nearly full"),$E33*'AT '!C$49,AND($C33="Walking"),$E33*0,AND($C33="Bike"),$E33*0,AND($C33="Plane - domestic flight"),$E33*'AT '!$C57,AND($C33="Plane - international - intra EU"),$E33*'AT '!$C59,AND($C33="Plane - international (extra EU)"),$E33*'AT '!$C61)</f>
        <v>#N/A</v>
      </c>
      <c r="G33" s="31" t="e" cm="1">
        <f t="array" ref="G33">_xlfn.IFS(AND($C33="Fuel car",$D33=1),$E33*'AT '!D$7,AND($C33="Fuel car",$D33=2),$E33*'AT '!D$8,AND($C33="Fuel car",$D33=3),$E33*'AT '!D$9,AND($C33="Fuel car",$D33=4),$E33*'AT '!D$10,AND($C33="Fuel car",$D33=5),$E33*'AT '!D$11,AND($C33="Motorcycle",$D33=1),$E33*'AT '!D$13,AND($C33="Motorcycle",$D33=2),$E33*'AT '!D$14,AND($C33="Electric car",$D33=1),$E33*'AT '!D$16,AND($C33="Electric car",$D33=2),$E33*'AT '!D$17,AND($C33="Electric car",$D33=3),$E33*'AT '!D$18,AND($C33="Electric car",$D33=4),$E33*'AT '!D$19,AND($C33="Electric car",$D33=5),$E33*'AT '!D$20,AND($C33="Hybrid car",$D33=1),$E33*'AT '!D$22,AND($C33="Hybrid car",$D33=2),$E33*'AT '!D$23,AND($C33="Hybrid car",$D33=3),$E33*'AT '!D$24,AND($C33="Hybrid car",$D33=4),$E33*'AT '!D$25,AND($C33="Hybrid car",$D33=5),$E33*'AT '!D$26,AND($C33="Electric motorcycle",$D33=1),$E33*'AT '!D$28,AND($C33="Electric motorcycle",$D33=2),$E33*'AT '!D$29,AND($C33="Electric bike",$D33=1),$E33*'AT '!D$31,AND($C33="Electric scooter",$D33=1),$E33*'AT '!D$33,AND($C33="Bus",$D33="Almost empty"),$E33*'AT '!I$23,AND($C33="Bus",$D33="Average"),$E33*'AT '!I$24,AND($C33="Bus",$D33="Nearly full"),$E33*'AT '!I$25,AND($C33="Electric bus",$D33="Almost empty"),$E33*'AT '!I$7,AND($C33="Electric bus",$D33="Average"),$E33*'AT '!I$8,AND($C33="Electric bus",$D33="Nearly full"),$E33*'AT '!I$9,AND($C33="Diesel bus",$D33="Almost empty"),$E33*'AT '!I$19,AND($C33="Diesel bus",$D33="Average"),$E33*'AT '!I$20,AND($C33="Diesel bus",$D33="Nearly full"),$E33*'AT '!I$21,AND($C33="Hybrid-electric bus",$D33="Almost empty"),$E33*'AT '!I$11,AND($C33="Hybrid-electric bus",$D33="Average"),$E33*'AT '!I$12,AND($C33="Hybrid-electric bus",$D33="Nearly full"),$E33*'AT '!I$13,AND($C33="Alternative fuel bus",$D33="Almost empty"),$E33*'AT '!I$15,AND($C33="Alternative fuel bus",$D33="Average"),$E33*'AT '!I$16,AND($C33="Alternative fuel bus",$D33="Nearly full"),$E33*'AT '!I$17,AND($C33="Metro, tram, urban light train",$D33="Almost empty"),$E33*'AT '!D$35,AND($C33="Metro, tram, urban light train",$D33="Average"),$E33*'AT '!D$36,AND($C33="Metro, tram, urban light train",$D33="Nearly full"),$E33*'AT '!D$37,AND($C33="Electric passenger train",$D33="Almost empty"),$E33*'AT '!D$39,AND($C33="Electric passenger train",$D33="Average"),$E33*'AT '!D$40,AND($C33="Electric passenger train",$D33="Nearly full"),$E33*'AT '!D$41,AND($C33="Diesel passenger train",$D33="Almost empty"),$E33*'AT '!D$47,AND($C33="Diesel passenger train",$D33="Average"),$E33*'AT '!D$48,AND($C33="Diesel passenger train",$D33="Nearly full"),$E33*'AT '!D$49,AND($C33="Walking"),$E33*0,AND($C33="Bike"),$E33*0,AND($C33="Plane - domestic flight"),$E33*'AT '!$C57,AND($C33="Plane - international - intra EU"),$E33*'AT '!$C59,AND($C33="Plane - international (extra EU)"),$E33*'AT '!$C61)</f>
        <v>#N/A</v>
      </c>
      <c r="H33" s="145"/>
      <c r="I33" s="148">
        <f t="shared" si="7"/>
        <v>0</v>
      </c>
      <c r="J33" s="146" t="e" cm="1">
        <f t="array" ref="J33">_xlfn.IFS(Austria!C33="Fuel car",Austria!I33*DATA!$C$17,C33="Electric car",Austria!I33*DATA!$F$3,Austria!C33="Hybrid car",Austria!I33*(0.5*DATA!$C$17+0.5*DATA!$F$3))</f>
        <v>#N/A</v>
      </c>
      <c r="L33" s="223" t="s">
        <v>78</v>
      </c>
      <c r="M33" s="224"/>
      <c r="N33" s="225"/>
    </row>
    <row r="34" spans="1:14" x14ac:dyDescent="0.2">
      <c r="A34" s="222"/>
      <c r="B34" s="30"/>
      <c r="C34" s="15"/>
      <c r="D34" s="15"/>
      <c r="E34" s="15"/>
      <c r="F34" s="123" t="e" cm="1">
        <f t="array" ref="F34">_xlfn.IFS(AND($C34="Fuel car",$D34=1),$E34*'AT '!C$7,AND($C34="Fuel car",$D34=2),$E34*'AT '!C$8,AND($C34="Fuel car",$D34=3),$E34*'AT '!C$9,AND($C34="Fuel car",$D34=4),$E34*'AT '!C$10,AND($C34="Fuel car",$D34=5),$E34*'AT '!C$11,AND($C34="Motorcycle",$D34=1),$E34*'AT '!C$13,AND($C34="Motorcycle",$D34=2),$E34*'AT '!C$14,AND($C34="Electric car",$D34=1),$E34*'AT '!C$16,AND($C34="Electric car",$D34=2),$E34*'AT '!C$17,AND($C34="Electric car",$D34=3),$E34*'AT '!C$18,AND($C34="Electric car",$D34=4),$E34*'AT '!C$19,AND($C34="Electric car",$D34=5),$E34*'AT '!C$20,AND($C34="Hybrid car",$D34=1),$E34*'AT '!C$22,AND($C34="Hybrid car",$D34=2),$E34*'AT '!C$23,AND($C34="Hybrid car",$D34=3),$E34*'AT '!C$24,AND($C34="Hybrid car",$D34=4),$E34*'AT '!C$25,AND($C34="Hybrid car",$D34=5),$E34*'AT '!C$26,AND($C34="Electric motorcycle",$D34=1),$E34*'AT '!C$28,AND($C34="Electric motorcycle",$D34=2),$E34*'AT '!C$29,AND($C34="Electric bike",$D34=1),$E34*'AT '!C$31,AND($C34="Electric scooter",$D34=1),$E34*'AT '!C$33,AND($C34="Bus",$D34="Almost empty"),$E34*'AT '!H$23,AND($C34="Bus",$D34="Average"),$E34*'AT '!H$24,AND($C34="Bus",$D34="Nearly full"),$E34*'AT '!H$25,AND($C34="Electric bus",$D34="Almost empty"),$E34*'AT '!H$7,AND($C34="Electric bus",$D34="Average"),$E34*'AT '!H$8,AND($C34="Electric bus",$D34="Nearly full"),$E34*'AT '!H$9,AND($C34="Diesel bus",$D34="Almost empty"),$E34*'AT '!H$19,AND($C34="Diesel bus",$D34="Average"),$E34*'AT '!H$20,AND($C34="Diesel bus",$D34="Nearly full"),$E34*'AT '!H$21,AND($C34="Hybrid-electric bus",$D34="Almost empty"),$E34*'AT '!H$11,AND($C34="Hybrid-electric bus",$D34="Average"),$E34*'AT '!H$12,AND($C34="Hybrid-electric bus",$D34="Nearly full"),$E34*'AT '!H$13,AND($C34="Alternative fuel bus",$D34="Almost empty"),$E34*'AT '!H$15,AND($C34="Alternative fuel bus",$D34="Average"),$E34*'AT '!H$16,AND($C34="Alternative fuel bus",$D34="Nearly full"),$E34*'AT '!H$17,AND($C34="Metro, tram, urban light train",$D34="Almost empty"),$E34*'AT '!C$35,AND($C34="Metro, tram, urban light train",$D34="Average"),$E34*'AT '!C$36,AND($C34="Metro, tram, urban light train",$D34="Nearly full"),$E34*'AT '!C$37,AND($C34="Electric passenger train",$D34="Almost empty"),$E34*'AT '!C$39,AND($C34="Electric passenger train",$D34="Average"),$E34*'AT '!C$40,AND($C34="Electric passenger train",$D34="Nearly full"),$E34*'AT '!C$41,AND($C34="Diesel passenger train",$D34="Almost empty"),$E34*'AT '!C$47,AND($C34="Diesel passenger train",$D34="Average"),$E34*'AT '!C$48,AND($C34="Diesel passenger train",$D34="Nearly full"),$E34*'AT '!C$49,AND($C34="Walking"),$E34*0,AND($C34="Bike"),$E34*0,AND($C34="Plane - domestic flight"),$E34*'AT '!$C58,AND($C34="Plane - international - intra EU"),$E34*'AT '!$C60,AND($C34="Plane - international (extra EU)"),$E34*'AT '!$C62)</f>
        <v>#N/A</v>
      </c>
      <c r="G34" s="31" t="e" cm="1">
        <f t="array" ref="G34">_xlfn.IFS(AND($C34="Fuel car",$D34=1),$E34*'AT '!D$7,AND($C34="Fuel car",$D34=2),$E34*'AT '!D$8,AND($C34="Fuel car",$D34=3),$E34*'AT '!D$9,AND($C34="Fuel car",$D34=4),$E34*'AT '!D$10,AND($C34="Fuel car",$D34=5),$E34*'AT '!D$11,AND($C34="Motorcycle",$D34=1),$E34*'AT '!D$13,AND($C34="Motorcycle",$D34=2),$E34*'AT '!D$14,AND($C34="Electric car",$D34=1),$E34*'AT '!D$16,AND($C34="Electric car",$D34=2),$E34*'AT '!D$17,AND($C34="Electric car",$D34=3),$E34*'AT '!D$18,AND($C34="Electric car",$D34=4),$E34*'AT '!D$19,AND($C34="Electric car",$D34=5),$E34*'AT '!D$20,AND($C34="Hybrid car",$D34=1),$E34*'AT '!D$22,AND($C34="Hybrid car",$D34=2),$E34*'AT '!D$23,AND($C34="Hybrid car",$D34=3),$E34*'AT '!D$24,AND($C34="Hybrid car",$D34=4),$E34*'AT '!D$25,AND($C34="Hybrid car",$D34=5),$E34*'AT '!D$26,AND($C34="Electric motorcycle",$D34=1),$E34*'AT '!D$28,AND($C34="Electric motorcycle",$D34=2),$E34*'AT '!D$29,AND($C34="Electric bike",$D34=1),$E34*'AT '!D$31,AND($C34="Electric scooter",$D34=1),$E34*'AT '!D$33,AND($C34="Bus",$D34="Almost empty"),$E34*'AT '!I$23,AND($C34="Bus",$D34="Average"),$E34*'AT '!I$24,AND($C34="Bus",$D34="Nearly full"),$E34*'AT '!I$25,AND($C34="Electric bus",$D34="Almost empty"),$E34*'AT '!I$7,AND($C34="Electric bus",$D34="Average"),$E34*'AT '!I$8,AND($C34="Electric bus",$D34="Nearly full"),$E34*'AT '!I$9,AND($C34="Diesel bus",$D34="Almost empty"),$E34*'AT '!I$19,AND($C34="Diesel bus",$D34="Average"),$E34*'AT '!I$20,AND($C34="Diesel bus",$D34="Nearly full"),$E34*'AT '!I$21,AND($C34="Hybrid-electric bus",$D34="Almost empty"),$E34*'AT '!I$11,AND($C34="Hybrid-electric bus",$D34="Average"),$E34*'AT '!I$12,AND($C34="Hybrid-electric bus",$D34="Nearly full"),$E34*'AT '!I$13,AND($C34="Alternative fuel bus",$D34="Almost empty"),$E34*'AT '!I$15,AND($C34="Alternative fuel bus",$D34="Average"),$E34*'AT '!I$16,AND($C34="Alternative fuel bus",$D34="Nearly full"),$E34*'AT '!I$17,AND($C34="Metro, tram, urban light train",$D34="Almost empty"),$E34*'AT '!D$35,AND($C34="Metro, tram, urban light train",$D34="Average"),$E34*'AT '!D$36,AND($C34="Metro, tram, urban light train",$D34="Nearly full"),$E34*'AT '!D$37,AND($C34="Electric passenger train",$D34="Almost empty"),$E34*'AT '!D$39,AND($C34="Electric passenger train",$D34="Average"),$E34*'AT '!D$40,AND($C34="Electric passenger train",$D34="Nearly full"),$E34*'AT '!D$41,AND($C34="Diesel passenger train",$D34="Almost empty"),$E34*'AT '!D$47,AND($C34="Diesel passenger train",$D34="Average"),$E34*'AT '!D$48,AND($C34="Diesel passenger train",$D34="Nearly full"),$E34*'AT '!D$49,AND($C34="Walking"),$E34*0,AND($C34="Bike"),$E34*0,AND($C34="Plane - domestic flight"),$E34*'AT '!$C58,AND($C34="Plane - international - intra EU"),$E34*'AT '!$C60,AND($C34="Plane - international (extra EU)"),$E34*'AT '!$C62)</f>
        <v>#N/A</v>
      </c>
      <c r="H34" s="145"/>
      <c r="I34" s="148">
        <f t="shared" si="7"/>
        <v>0</v>
      </c>
      <c r="J34" s="146" t="e" cm="1">
        <f t="array" ref="J34">_xlfn.IFS(Austria!C34="Fuel car",Austria!I34*DATA!$C$17,C34="Electric car",Austria!I34*DATA!$F$3,Austria!C34="Hybrid car",Austria!I34*(0.5*DATA!$C$17+0.5*DATA!$F$3))</f>
        <v>#N/A</v>
      </c>
      <c r="L34" s="223"/>
      <c r="M34" s="224"/>
      <c r="N34" s="225"/>
    </row>
    <row r="35" spans="1:14" ht="14.5" customHeight="1" x14ac:dyDescent="0.2">
      <c r="A35" s="222"/>
      <c r="B35" s="30"/>
      <c r="C35" s="15"/>
      <c r="D35" s="15"/>
      <c r="E35" s="15"/>
      <c r="F35" s="123" t="e" cm="1">
        <f t="array" ref="F35">_xlfn.IFS(AND($C35="Fuel car",$D35=1),$E35*'AT '!C$7,AND($C35="Fuel car",$D35=2),$E35*'AT '!C$8,AND($C35="Fuel car",$D35=3),$E35*'AT '!C$9,AND($C35="Fuel car",$D35=4),$E35*'AT '!C$10,AND($C35="Fuel car",$D35=5),$E35*'AT '!C$11,AND($C35="Motorcycle",$D35=1),$E35*'AT '!C$13,AND($C35="Motorcycle",$D35=2),$E35*'AT '!C$14,AND($C35="Electric car",$D35=1),$E35*'AT '!C$16,AND($C35="Electric car",$D35=2),$E35*'AT '!C$17,AND($C35="Electric car",$D35=3),$E35*'AT '!C$18,AND($C35="Electric car",$D35=4),$E35*'AT '!C$19,AND($C35="Electric car",$D35=5),$E35*'AT '!C$20,AND($C35="Hybrid car",$D35=1),$E35*'AT '!C$22,AND($C35="Hybrid car",$D35=2),$E35*'AT '!C$23,AND($C35="Hybrid car",$D35=3),$E35*'AT '!C$24,AND($C35="Hybrid car",$D35=4),$E35*'AT '!C$25,AND($C35="Hybrid car",$D35=5),$E35*'AT '!C$26,AND($C35="Electric motorcycle",$D35=1),$E35*'AT '!C$28,AND($C35="Electric motorcycle",$D35=2),$E35*'AT '!C$29,AND($C35="Electric bike",$D35=1),$E35*'AT '!C$31,AND($C35="Electric scooter",$D35=1),$E35*'AT '!C$33,AND($C35="Bus",$D35="Almost empty"),$E35*'AT '!H$23,AND($C35="Bus",$D35="Average"),$E35*'AT '!H$24,AND($C35="Bus",$D35="Nearly full"),$E35*'AT '!H$25,AND($C35="Electric bus",$D35="Almost empty"),$E35*'AT '!H$7,AND($C35="Electric bus",$D35="Average"),$E35*'AT '!H$8,AND($C35="Electric bus",$D35="Nearly full"),$E35*'AT '!H$9,AND($C35="Diesel bus",$D35="Almost empty"),$E35*'AT '!H$19,AND($C35="Diesel bus",$D35="Average"),$E35*'AT '!H$20,AND($C35="Diesel bus",$D35="Nearly full"),$E35*'AT '!H$21,AND($C35="Hybrid-electric bus",$D35="Almost empty"),$E35*'AT '!H$11,AND($C35="Hybrid-electric bus",$D35="Average"),$E35*'AT '!H$12,AND($C35="Hybrid-electric bus",$D35="Nearly full"),$E35*'AT '!H$13,AND($C35="Alternative fuel bus",$D35="Almost empty"),$E35*'AT '!H$15,AND($C35="Alternative fuel bus",$D35="Average"),$E35*'AT '!H$16,AND($C35="Alternative fuel bus",$D35="Nearly full"),$E35*'AT '!H$17,AND($C35="Metro, tram, urban light train",$D35="Almost empty"),$E35*'AT '!C$35,AND($C35="Metro, tram, urban light train",$D35="Average"),$E35*'AT '!C$36,AND($C35="Metro, tram, urban light train",$D35="Nearly full"),$E35*'AT '!C$37,AND($C35="Electric passenger train",$D35="Almost empty"),$E35*'AT '!C$39,AND($C35="Electric passenger train",$D35="Average"),$E35*'AT '!C$40,AND($C35="Electric passenger train",$D35="Nearly full"),$E35*'AT '!C$41,AND($C35="Diesel passenger train",$D35="Almost empty"),$E35*'AT '!C$47,AND($C35="Diesel passenger train",$D35="Average"),$E35*'AT '!C$48,AND($C35="Diesel passenger train",$D35="Nearly full"),$E35*'AT '!C$49,AND($C35="Walking"),$E35*0,AND($C35="Bike"),$E35*0,AND($C35="Plane - domestic flight"),$E35*'AT '!$C59,AND($C35="Plane - international - intra EU"),$E35*'AT '!$C61,AND($C35="Plane - international (extra EU)"),$E35*'AT '!$C63)</f>
        <v>#N/A</v>
      </c>
      <c r="G35" s="31" t="e" cm="1">
        <f t="array" ref="G35">_xlfn.IFS(AND($C35="Fuel car",$D35=1),$E35*'AT '!D$7,AND($C35="Fuel car",$D35=2),$E35*'AT '!D$8,AND($C35="Fuel car",$D35=3),$E35*'AT '!D$9,AND($C35="Fuel car",$D35=4),$E35*'AT '!D$10,AND($C35="Fuel car",$D35=5),$E35*'AT '!D$11,AND($C35="Motorcycle",$D35=1),$E35*'AT '!D$13,AND($C35="Motorcycle",$D35=2),$E35*'AT '!D$14,AND($C35="Electric car",$D35=1),$E35*'AT '!D$16,AND($C35="Electric car",$D35=2),$E35*'AT '!D$17,AND($C35="Electric car",$D35=3),$E35*'AT '!D$18,AND($C35="Electric car",$D35=4),$E35*'AT '!D$19,AND($C35="Electric car",$D35=5),$E35*'AT '!D$20,AND($C35="Hybrid car",$D35=1),$E35*'AT '!D$22,AND($C35="Hybrid car",$D35=2),$E35*'AT '!D$23,AND($C35="Hybrid car",$D35=3),$E35*'AT '!D$24,AND($C35="Hybrid car",$D35=4),$E35*'AT '!D$25,AND($C35="Hybrid car",$D35=5),$E35*'AT '!D$26,AND($C35="Electric motorcycle",$D35=1),$E35*'AT '!D$28,AND($C35="Electric motorcycle",$D35=2),$E35*'AT '!D$29,AND($C35="Electric bike",$D35=1),$E35*'AT '!D$31,AND($C35="Electric scooter",$D35=1),$E35*'AT '!D$33,AND($C35="Bus",$D35="Almost empty"),$E35*'AT '!I$23,AND($C35="Bus",$D35="Average"),$E35*'AT '!I$24,AND($C35="Bus",$D35="Nearly full"),$E35*'AT '!I$25,AND($C35="Electric bus",$D35="Almost empty"),$E35*'AT '!I$7,AND($C35="Electric bus",$D35="Average"),$E35*'AT '!I$8,AND($C35="Electric bus",$D35="Nearly full"),$E35*'AT '!I$9,AND($C35="Diesel bus",$D35="Almost empty"),$E35*'AT '!I$19,AND($C35="Diesel bus",$D35="Average"),$E35*'AT '!I$20,AND($C35="Diesel bus",$D35="Nearly full"),$E35*'AT '!I$21,AND($C35="Hybrid-electric bus",$D35="Almost empty"),$E35*'AT '!I$11,AND($C35="Hybrid-electric bus",$D35="Average"),$E35*'AT '!I$12,AND($C35="Hybrid-electric bus",$D35="Nearly full"),$E35*'AT '!I$13,AND($C35="Alternative fuel bus",$D35="Almost empty"),$E35*'AT '!I$15,AND($C35="Alternative fuel bus",$D35="Average"),$E35*'AT '!I$16,AND($C35="Alternative fuel bus",$D35="Nearly full"),$E35*'AT '!I$17,AND($C35="Metro, tram, urban light train",$D35="Almost empty"),$E35*'AT '!D$35,AND($C35="Metro, tram, urban light train",$D35="Average"),$E35*'AT '!D$36,AND($C35="Metro, tram, urban light train",$D35="Nearly full"),$E35*'AT '!D$37,AND($C35="Electric passenger train",$D35="Almost empty"),$E35*'AT '!D$39,AND($C35="Electric passenger train",$D35="Average"),$E35*'AT '!D$40,AND($C35="Electric passenger train",$D35="Nearly full"),$E35*'AT '!D$41,AND($C35="Diesel passenger train",$D35="Almost empty"),$E35*'AT '!D$47,AND($C35="Diesel passenger train",$D35="Average"),$E35*'AT '!D$48,AND($C35="Diesel passenger train",$D35="Nearly full"),$E35*'AT '!D$49,AND($C35="Walking"),$E35*0,AND($C35="Bike"),$E35*0,AND($C35="Plane - domestic flight"),$E35*'AT '!$C59,AND($C35="Plane - international - intra EU"),$E35*'AT '!$C61,AND($C35="Plane - international (extra EU)"),$E35*'AT '!$C63)</f>
        <v>#N/A</v>
      </c>
      <c r="H35" s="145"/>
      <c r="I35" s="148">
        <f t="shared" si="7"/>
        <v>0</v>
      </c>
      <c r="J35" s="146" t="e" cm="1">
        <f t="array" ref="J35">_xlfn.IFS(Austria!C35="Fuel car",Austria!I35*DATA!$C$17,C35="Electric car",Austria!I35*DATA!$F$3,Austria!C35="Hybrid car",Austria!I35*(0.5*DATA!$C$17+0.5*DATA!$F$3))</f>
        <v>#N/A</v>
      </c>
      <c r="L35" s="223"/>
      <c r="M35" s="224"/>
      <c r="N35" s="225"/>
    </row>
    <row r="36" spans="1:14" ht="16" thickBot="1" x14ac:dyDescent="0.25">
      <c r="A36" s="222"/>
      <c r="B36" s="30"/>
      <c r="C36" s="15"/>
      <c r="D36" s="15"/>
      <c r="E36" s="15"/>
      <c r="F36" s="123" t="e" cm="1">
        <f t="array" ref="F36">_xlfn.IFS(AND($C36="Fuel car",$D36=1),$E36*'AT '!C$7,AND($C36="Fuel car",$D36=2),$E36*'AT '!C$8,AND($C36="Fuel car",$D36=3),$E36*'AT '!C$9,AND($C36="Fuel car",$D36=4),$E36*'AT '!C$10,AND($C36="Fuel car",$D36=5),$E36*'AT '!C$11,AND($C36="Motorcycle",$D36=1),$E36*'AT '!C$13,AND($C36="Motorcycle",$D36=2),$E36*'AT '!C$14,AND($C36="Electric car",$D36=1),$E36*'AT '!C$16,AND($C36="Electric car",$D36=2),$E36*'AT '!C$17,AND($C36="Electric car",$D36=3),$E36*'AT '!C$18,AND($C36="Electric car",$D36=4),$E36*'AT '!C$19,AND($C36="Electric car",$D36=5),$E36*'AT '!C$20,AND($C36="Hybrid car",$D36=1),$E36*'AT '!C$22,AND($C36="Hybrid car",$D36=2),$E36*'AT '!C$23,AND($C36="Hybrid car",$D36=3),$E36*'AT '!C$24,AND($C36="Hybrid car",$D36=4),$E36*'AT '!C$25,AND($C36="Hybrid car",$D36=5),$E36*'AT '!C$26,AND($C36="Electric motorcycle",$D36=1),$E36*'AT '!C$28,AND($C36="Electric motorcycle",$D36=2),$E36*'AT '!C$29,AND($C36="Electric bike",$D36=1),$E36*'AT '!C$31,AND($C36="Electric scooter",$D36=1),$E36*'AT '!C$33,AND($C36="Bus",$D36="Almost empty"),$E36*'AT '!H$23,AND($C36="Bus",$D36="Average"),$E36*'AT '!H$24,AND($C36="Bus",$D36="Nearly full"),$E36*'AT '!H$25,AND($C36="Electric bus",$D36="Almost empty"),$E36*'AT '!H$7,AND($C36="Electric bus",$D36="Average"),$E36*'AT '!H$8,AND($C36="Electric bus",$D36="Nearly full"),$E36*'AT '!H$9,AND($C36="Diesel bus",$D36="Almost empty"),$E36*'AT '!H$19,AND($C36="Diesel bus",$D36="Average"),$E36*'AT '!H$20,AND($C36="Diesel bus",$D36="Nearly full"),$E36*'AT '!H$21,AND($C36="Hybrid-electric bus",$D36="Almost empty"),$E36*'AT '!H$11,AND($C36="Hybrid-electric bus",$D36="Average"),$E36*'AT '!H$12,AND($C36="Hybrid-electric bus",$D36="Nearly full"),$E36*'AT '!H$13,AND($C36="Alternative fuel bus",$D36="Almost empty"),$E36*'AT '!H$15,AND($C36="Alternative fuel bus",$D36="Average"),$E36*'AT '!H$16,AND($C36="Alternative fuel bus",$D36="Nearly full"),$E36*'AT '!H$17,AND($C36="Metro, tram, urban light train",$D36="Almost empty"),$E36*'AT '!C$35,AND($C36="Metro, tram, urban light train",$D36="Average"),$E36*'AT '!C$36,AND($C36="Metro, tram, urban light train",$D36="Nearly full"),$E36*'AT '!C$37,AND($C36="Electric passenger train",$D36="Almost empty"),$E36*'AT '!C$39,AND($C36="Electric passenger train",$D36="Average"),$E36*'AT '!C$40,AND($C36="Electric passenger train",$D36="Nearly full"),$E36*'AT '!C$41,AND($C36="Diesel passenger train",$D36="Almost empty"),$E36*'AT '!C$47,AND($C36="Diesel passenger train",$D36="Average"),$E36*'AT '!C$48,AND($C36="Diesel passenger train",$D36="Nearly full"),$E36*'AT '!C$49,AND($C36="Walking"),$E36*0,AND($C36="Bike"),$E36*0,AND($C36="Plane - domestic flight"),$E36*'AT '!$C60,AND($C36="Plane - international - intra EU"),$E36*'AT '!$C62,AND($C36="Plane - international (extra EU)"),$E36*'AT '!$C64)</f>
        <v>#N/A</v>
      </c>
      <c r="G36" s="31" t="e" cm="1">
        <f t="array" ref="G36">_xlfn.IFS(AND($C36="Fuel car",$D36=1),$E36*'AT '!D$7,AND($C36="Fuel car",$D36=2),$E36*'AT '!D$8,AND($C36="Fuel car",$D36=3),$E36*'AT '!D$9,AND($C36="Fuel car",$D36=4),$E36*'AT '!D$10,AND($C36="Fuel car",$D36=5),$E36*'AT '!D$11,AND($C36="Motorcycle",$D36=1),$E36*'AT '!D$13,AND($C36="Motorcycle",$D36=2),$E36*'AT '!D$14,AND($C36="Electric car",$D36=1),$E36*'AT '!D$16,AND($C36="Electric car",$D36=2),$E36*'AT '!D$17,AND($C36="Electric car",$D36=3),$E36*'AT '!D$18,AND($C36="Electric car",$D36=4),$E36*'AT '!D$19,AND($C36="Electric car",$D36=5),$E36*'AT '!D$20,AND($C36="Hybrid car",$D36=1),$E36*'AT '!D$22,AND($C36="Hybrid car",$D36=2),$E36*'AT '!D$23,AND($C36="Hybrid car",$D36=3),$E36*'AT '!D$24,AND($C36="Hybrid car",$D36=4),$E36*'AT '!D$25,AND($C36="Hybrid car",$D36=5),$E36*'AT '!D$26,AND($C36="Electric motorcycle",$D36=1),$E36*'AT '!D$28,AND($C36="Electric motorcycle",$D36=2),$E36*'AT '!D$29,AND($C36="Electric bike",$D36=1),$E36*'AT '!D$31,AND($C36="Electric scooter",$D36=1),$E36*'AT '!D$33,AND($C36="Bus",$D36="Almost empty"),$E36*'AT '!I$23,AND($C36="Bus",$D36="Average"),$E36*'AT '!I$24,AND($C36="Bus",$D36="Nearly full"),$E36*'AT '!I$25,AND($C36="Electric bus",$D36="Almost empty"),$E36*'AT '!I$7,AND($C36="Electric bus",$D36="Average"),$E36*'AT '!I$8,AND($C36="Electric bus",$D36="Nearly full"),$E36*'AT '!I$9,AND($C36="Diesel bus",$D36="Almost empty"),$E36*'AT '!I$19,AND($C36="Diesel bus",$D36="Average"),$E36*'AT '!I$20,AND($C36="Diesel bus",$D36="Nearly full"),$E36*'AT '!I$21,AND($C36="Hybrid-electric bus",$D36="Almost empty"),$E36*'AT '!I$11,AND($C36="Hybrid-electric bus",$D36="Average"),$E36*'AT '!I$12,AND($C36="Hybrid-electric bus",$D36="Nearly full"),$E36*'AT '!I$13,AND($C36="Alternative fuel bus",$D36="Almost empty"),$E36*'AT '!I$15,AND($C36="Alternative fuel bus",$D36="Average"),$E36*'AT '!I$16,AND($C36="Alternative fuel bus",$D36="Nearly full"),$E36*'AT '!I$17,AND($C36="Metro, tram, urban light train",$D36="Almost empty"),$E36*'AT '!D$35,AND($C36="Metro, tram, urban light train",$D36="Average"),$E36*'AT '!D$36,AND($C36="Metro, tram, urban light train",$D36="Nearly full"),$E36*'AT '!D$37,AND($C36="Electric passenger train",$D36="Almost empty"),$E36*'AT '!D$39,AND($C36="Electric passenger train",$D36="Average"),$E36*'AT '!D$40,AND($C36="Electric passenger train",$D36="Nearly full"),$E36*'AT '!D$41,AND($C36="Diesel passenger train",$D36="Almost empty"),$E36*'AT '!D$47,AND($C36="Diesel passenger train",$D36="Average"),$E36*'AT '!D$48,AND($C36="Diesel passenger train",$D36="Nearly full"),$E36*'AT '!D$49,AND($C36="Walking"),$E36*0,AND($C36="Bike"),$E36*0,AND($C36="Plane - domestic flight"),$E36*'AT '!$C60,AND($C36="Plane - international - intra EU"),$E36*'AT '!$C62,AND($C36="Plane - international (extra EU)"),$E36*'AT '!$C64)</f>
        <v>#N/A</v>
      </c>
      <c r="H36" s="145"/>
      <c r="I36" s="148">
        <f t="shared" si="7"/>
        <v>0</v>
      </c>
      <c r="J36" s="146" t="e" cm="1">
        <f t="array" ref="J36">_xlfn.IFS(Austria!C36="Fuel car",Austria!I36*DATA!$C$17,C36="Electric car",Austria!I36*DATA!$F$3,Austria!C36="Hybrid car",Austria!I36*(0.5*DATA!$C$17+0.5*DATA!$F$3))</f>
        <v>#N/A</v>
      </c>
      <c r="L36" s="218"/>
      <c r="M36" s="219"/>
      <c r="N36" s="220"/>
    </row>
    <row r="37" spans="1:14" ht="14.5" customHeight="1" x14ac:dyDescent="0.2">
      <c r="A37" s="222"/>
      <c r="B37" s="30"/>
      <c r="C37" s="15"/>
      <c r="D37" s="15"/>
      <c r="E37" s="15"/>
      <c r="F37" s="123" t="e" cm="1">
        <f t="array" ref="F37">_xlfn.IFS(AND($C37="Fuel car",$D37=1),$E37*'AT '!C$7,AND($C37="Fuel car",$D37=2),$E37*'AT '!C$8,AND($C37="Fuel car",$D37=3),$E37*'AT '!C$9,AND($C37="Fuel car",$D37=4),$E37*'AT '!C$10,AND($C37="Fuel car",$D37=5),$E37*'AT '!C$11,AND($C37="Motorcycle",$D37=1),$E37*'AT '!C$13,AND($C37="Motorcycle",$D37=2),$E37*'AT '!C$14,AND($C37="Electric car",$D37=1),$E37*'AT '!C$16,AND($C37="Electric car",$D37=2),$E37*'AT '!C$17,AND($C37="Electric car",$D37=3),$E37*'AT '!C$18,AND($C37="Electric car",$D37=4),$E37*'AT '!C$19,AND($C37="Electric car",$D37=5),$E37*'AT '!C$20,AND($C37="Hybrid car",$D37=1),$E37*'AT '!C$22,AND($C37="Hybrid car",$D37=2),$E37*'AT '!C$23,AND($C37="Hybrid car",$D37=3),$E37*'AT '!C$24,AND($C37="Hybrid car",$D37=4),$E37*'AT '!C$25,AND($C37="Hybrid car",$D37=5),$E37*'AT '!C$26,AND($C37="Electric motorcycle",$D37=1),$E37*'AT '!C$28,AND($C37="Electric motorcycle",$D37=2),$E37*'AT '!C$29,AND($C37="Electric bike",$D37=1),$E37*'AT '!C$31,AND($C37="Electric scooter",$D37=1),$E37*'AT '!C$33,AND($C37="Bus",$D37="Almost empty"),$E37*'AT '!H$23,AND($C37="Bus",$D37="Average"),$E37*'AT '!H$24,AND($C37="Bus",$D37="Nearly full"),$E37*'AT '!H$25,AND($C37="Electric bus",$D37="Almost empty"),$E37*'AT '!H$7,AND($C37="Electric bus",$D37="Average"),$E37*'AT '!H$8,AND($C37="Electric bus",$D37="Nearly full"),$E37*'AT '!H$9,AND($C37="Diesel bus",$D37="Almost empty"),$E37*'AT '!H$19,AND($C37="Diesel bus",$D37="Average"),$E37*'AT '!H$20,AND($C37="Diesel bus",$D37="Nearly full"),$E37*'AT '!H$21,AND($C37="Hybrid-electric bus",$D37="Almost empty"),$E37*'AT '!H$11,AND($C37="Hybrid-electric bus",$D37="Average"),$E37*'AT '!H$12,AND($C37="Hybrid-electric bus",$D37="Nearly full"),$E37*'AT '!H$13,AND($C37="Alternative fuel bus",$D37="Almost empty"),$E37*'AT '!H$15,AND($C37="Alternative fuel bus",$D37="Average"),$E37*'AT '!H$16,AND($C37="Alternative fuel bus",$D37="Nearly full"),$E37*'AT '!H$17,AND($C37="Metro, tram, urban light train",$D37="Almost empty"),$E37*'AT '!C$35,AND($C37="Metro, tram, urban light train",$D37="Average"),$E37*'AT '!C$36,AND($C37="Metro, tram, urban light train",$D37="Nearly full"),$E37*'AT '!C$37,AND($C37="Electric passenger train",$D37="Almost empty"),$E37*'AT '!C$39,AND($C37="Electric passenger train",$D37="Average"),$E37*'AT '!C$40,AND($C37="Electric passenger train",$D37="Nearly full"),$E37*'AT '!C$41,AND($C37="Diesel passenger train",$D37="Almost empty"),$E37*'AT '!C$47,AND($C37="Diesel passenger train",$D37="Average"),$E37*'AT '!C$48,AND($C37="Diesel passenger train",$D37="Nearly full"),$E37*'AT '!C$49,AND($C37="Walking"),$E37*0,AND($C37="Bike"),$E37*0,AND($C37="Plane - domestic flight"),$E37*'AT '!$C61,AND($C37="Plane - international - intra EU"),$E37*'AT '!$C63,AND($C37="Plane - international (extra EU)"),$E37*'AT '!$C65)</f>
        <v>#N/A</v>
      </c>
      <c r="G37" s="31" t="e" cm="1">
        <f t="array" ref="G37">_xlfn.IFS(AND($C37="Fuel car",$D37=1),$E37*'AT '!D$7,AND($C37="Fuel car",$D37=2),$E37*'AT '!D$8,AND($C37="Fuel car",$D37=3),$E37*'AT '!D$9,AND($C37="Fuel car",$D37=4),$E37*'AT '!D$10,AND($C37="Fuel car",$D37=5),$E37*'AT '!D$11,AND($C37="Motorcycle",$D37=1),$E37*'AT '!D$13,AND($C37="Motorcycle",$D37=2),$E37*'AT '!D$14,AND($C37="Electric car",$D37=1),$E37*'AT '!D$16,AND($C37="Electric car",$D37=2),$E37*'AT '!D$17,AND($C37="Electric car",$D37=3),$E37*'AT '!D$18,AND($C37="Electric car",$D37=4),$E37*'AT '!D$19,AND($C37="Electric car",$D37=5),$E37*'AT '!D$20,AND($C37="Hybrid car",$D37=1),$E37*'AT '!D$22,AND($C37="Hybrid car",$D37=2),$E37*'AT '!D$23,AND($C37="Hybrid car",$D37=3),$E37*'AT '!D$24,AND($C37="Hybrid car",$D37=4),$E37*'AT '!D$25,AND($C37="Hybrid car",$D37=5),$E37*'AT '!D$26,AND($C37="Electric motorcycle",$D37=1),$E37*'AT '!D$28,AND($C37="Electric motorcycle",$D37=2),$E37*'AT '!D$29,AND($C37="Electric bike",$D37=1),$E37*'AT '!D$31,AND($C37="Electric scooter",$D37=1),$E37*'AT '!D$33,AND($C37="Bus",$D37="Almost empty"),$E37*'AT '!I$23,AND($C37="Bus",$D37="Average"),$E37*'AT '!I$24,AND($C37="Bus",$D37="Nearly full"),$E37*'AT '!I$25,AND($C37="Electric bus",$D37="Almost empty"),$E37*'AT '!I$7,AND($C37="Electric bus",$D37="Average"),$E37*'AT '!I$8,AND($C37="Electric bus",$D37="Nearly full"),$E37*'AT '!I$9,AND($C37="Diesel bus",$D37="Almost empty"),$E37*'AT '!I$19,AND($C37="Diesel bus",$D37="Average"),$E37*'AT '!I$20,AND($C37="Diesel bus",$D37="Nearly full"),$E37*'AT '!I$21,AND($C37="Hybrid-electric bus",$D37="Almost empty"),$E37*'AT '!I$11,AND($C37="Hybrid-electric bus",$D37="Average"),$E37*'AT '!I$12,AND($C37="Hybrid-electric bus",$D37="Nearly full"),$E37*'AT '!I$13,AND($C37="Alternative fuel bus",$D37="Almost empty"),$E37*'AT '!I$15,AND($C37="Alternative fuel bus",$D37="Average"),$E37*'AT '!I$16,AND($C37="Alternative fuel bus",$D37="Nearly full"),$E37*'AT '!I$17,AND($C37="Metro, tram, urban light train",$D37="Almost empty"),$E37*'AT '!D$35,AND($C37="Metro, tram, urban light train",$D37="Average"),$E37*'AT '!D$36,AND($C37="Metro, tram, urban light train",$D37="Nearly full"),$E37*'AT '!D$37,AND($C37="Electric passenger train",$D37="Almost empty"),$E37*'AT '!D$39,AND($C37="Electric passenger train",$D37="Average"),$E37*'AT '!D$40,AND($C37="Electric passenger train",$D37="Nearly full"),$E37*'AT '!D$41,AND($C37="Diesel passenger train",$D37="Almost empty"),$E37*'AT '!D$47,AND($C37="Diesel passenger train",$D37="Average"),$E37*'AT '!D$48,AND($C37="Diesel passenger train",$D37="Nearly full"),$E37*'AT '!D$49,AND($C37="Walking"),$E37*0,AND($C37="Bike"),$E37*0,AND($C37="Plane - domestic flight"),$E37*'AT '!$C61,AND($C37="Plane - international - intra EU"),$E37*'AT '!$C63,AND($C37="Plane - international (extra EU)"),$E37*'AT '!$C65)</f>
        <v>#N/A</v>
      </c>
      <c r="H37" s="145"/>
      <c r="I37" s="148">
        <f t="shared" si="7"/>
        <v>0</v>
      </c>
      <c r="J37" s="146" t="e" cm="1">
        <f t="array" ref="J37">_xlfn.IFS(Austria!C37="Fuel car",Austria!I37*DATA!$C$17,C37="Electric car",Austria!I37*DATA!$F$3,Austria!C37="Hybrid car",Austria!I37*(0.5*DATA!$C$17+0.5*DATA!$F$3))</f>
        <v>#N/A</v>
      </c>
      <c r="L37" s="215" t="s">
        <v>79</v>
      </c>
      <c r="M37" s="216"/>
      <c r="N37" s="217"/>
    </row>
    <row r="38" spans="1:14" ht="16" thickBot="1" x14ac:dyDescent="0.25">
      <c r="A38" s="222"/>
      <c r="B38" s="30"/>
      <c r="C38" s="15"/>
      <c r="D38" s="15"/>
      <c r="E38" s="15"/>
      <c r="F38" s="123" t="e" cm="1">
        <f t="array" ref="F38">_xlfn.IFS(AND($C38="Fuel car",$D38=1),$E38*'AT '!C$7,AND($C38="Fuel car",$D38=2),$E38*'AT '!C$8,AND($C38="Fuel car",$D38=3),$E38*'AT '!C$9,AND($C38="Fuel car",$D38=4),$E38*'AT '!C$10,AND($C38="Fuel car",$D38=5),$E38*'AT '!C$11,AND($C38="Motorcycle",$D38=1),$E38*'AT '!C$13,AND($C38="Motorcycle",$D38=2),$E38*'AT '!C$14,AND($C38="Electric car",$D38=1),$E38*'AT '!C$16,AND($C38="Electric car",$D38=2),$E38*'AT '!C$17,AND($C38="Electric car",$D38=3),$E38*'AT '!C$18,AND($C38="Electric car",$D38=4),$E38*'AT '!C$19,AND($C38="Electric car",$D38=5),$E38*'AT '!C$20,AND($C38="Hybrid car",$D38=1),$E38*'AT '!C$22,AND($C38="Hybrid car",$D38=2),$E38*'AT '!C$23,AND($C38="Hybrid car",$D38=3),$E38*'AT '!C$24,AND($C38="Hybrid car",$D38=4),$E38*'AT '!C$25,AND($C38="Hybrid car",$D38=5),$E38*'AT '!C$26,AND($C38="Electric motorcycle",$D38=1),$E38*'AT '!C$28,AND($C38="Electric motorcycle",$D38=2),$E38*'AT '!C$29,AND($C38="Electric bike",$D38=1),$E38*'AT '!C$31,AND($C38="Electric scooter",$D38=1),$E38*'AT '!C$33,AND($C38="Bus",$D38="Almost empty"),$E38*'AT '!H$23,AND($C38="Bus",$D38="Average"),$E38*'AT '!H$24,AND($C38="Bus",$D38="Nearly full"),$E38*'AT '!H$25,AND($C38="Electric bus",$D38="Almost empty"),$E38*'AT '!H$7,AND($C38="Electric bus",$D38="Average"),$E38*'AT '!H$8,AND($C38="Electric bus",$D38="Nearly full"),$E38*'AT '!H$9,AND($C38="Diesel bus",$D38="Almost empty"),$E38*'AT '!H$19,AND($C38="Diesel bus",$D38="Average"),$E38*'AT '!H$20,AND($C38="Diesel bus",$D38="Nearly full"),$E38*'AT '!H$21,AND($C38="Hybrid-electric bus",$D38="Almost empty"),$E38*'AT '!H$11,AND($C38="Hybrid-electric bus",$D38="Average"),$E38*'AT '!H$12,AND($C38="Hybrid-electric bus",$D38="Nearly full"),$E38*'AT '!H$13,AND($C38="Alternative fuel bus",$D38="Almost empty"),$E38*'AT '!H$15,AND($C38="Alternative fuel bus",$D38="Average"),$E38*'AT '!H$16,AND($C38="Alternative fuel bus",$D38="Nearly full"),$E38*'AT '!H$17,AND($C38="Metro, tram, urban light train",$D38="Almost empty"),$E38*'AT '!C$35,AND($C38="Metro, tram, urban light train",$D38="Average"),$E38*'AT '!C$36,AND($C38="Metro, tram, urban light train",$D38="Nearly full"),$E38*'AT '!C$37,AND($C38="Electric passenger train",$D38="Almost empty"),$E38*'AT '!C$39,AND($C38="Electric passenger train",$D38="Average"),$E38*'AT '!C$40,AND($C38="Electric passenger train",$D38="Nearly full"),$E38*'AT '!C$41,AND($C38="Diesel passenger train",$D38="Almost empty"),$E38*'AT '!C$47,AND($C38="Diesel passenger train",$D38="Average"),$E38*'AT '!C$48,AND($C38="Diesel passenger train",$D38="Nearly full"),$E38*'AT '!C$49,AND($C38="Walking"),$E38*0,AND($C38="Bike"),$E38*0,AND($C38="Plane - domestic flight"),$E38*'AT '!$C62,AND($C38="Plane - international - intra EU"),$E38*'AT '!$C64,AND($C38="Plane - international (extra EU)"),$E38*'AT '!$C66)</f>
        <v>#N/A</v>
      </c>
      <c r="G38" s="31" t="e" cm="1">
        <f t="array" ref="G38">_xlfn.IFS(AND($C38="Fuel car",$D38=1),$E38*'AT '!D$7,AND($C38="Fuel car",$D38=2),$E38*'AT '!D$8,AND($C38="Fuel car",$D38=3),$E38*'AT '!D$9,AND($C38="Fuel car",$D38=4),$E38*'AT '!D$10,AND($C38="Fuel car",$D38=5),$E38*'AT '!D$11,AND($C38="Motorcycle",$D38=1),$E38*'AT '!D$13,AND($C38="Motorcycle",$D38=2),$E38*'AT '!D$14,AND($C38="Electric car",$D38=1),$E38*'AT '!D$16,AND($C38="Electric car",$D38=2),$E38*'AT '!D$17,AND($C38="Electric car",$D38=3),$E38*'AT '!D$18,AND($C38="Electric car",$D38=4),$E38*'AT '!D$19,AND($C38="Electric car",$D38=5),$E38*'AT '!D$20,AND($C38="Hybrid car",$D38=1),$E38*'AT '!D$22,AND($C38="Hybrid car",$D38=2),$E38*'AT '!D$23,AND($C38="Hybrid car",$D38=3),$E38*'AT '!D$24,AND($C38="Hybrid car",$D38=4),$E38*'AT '!D$25,AND($C38="Hybrid car",$D38=5),$E38*'AT '!D$26,AND($C38="Electric motorcycle",$D38=1),$E38*'AT '!D$28,AND($C38="Electric motorcycle",$D38=2),$E38*'AT '!D$29,AND($C38="Electric bike",$D38=1),$E38*'AT '!D$31,AND($C38="Electric scooter",$D38=1),$E38*'AT '!D$33,AND($C38="Bus",$D38="Almost empty"),$E38*'AT '!I$23,AND($C38="Bus",$D38="Average"),$E38*'AT '!I$24,AND($C38="Bus",$D38="Nearly full"),$E38*'AT '!I$25,AND($C38="Electric bus",$D38="Almost empty"),$E38*'AT '!I$7,AND($C38="Electric bus",$D38="Average"),$E38*'AT '!I$8,AND($C38="Electric bus",$D38="Nearly full"),$E38*'AT '!I$9,AND($C38="Diesel bus",$D38="Almost empty"),$E38*'AT '!I$19,AND($C38="Diesel bus",$D38="Average"),$E38*'AT '!I$20,AND($C38="Diesel bus",$D38="Nearly full"),$E38*'AT '!I$21,AND($C38="Hybrid-electric bus",$D38="Almost empty"),$E38*'AT '!I$11,AND($C38="Hybrid-electric bus",$D38="Average"),$E38*'AT '!I$12,AND($C38="Hybrid-electric bus",$D38="Nearly full"),$E38*'AT '!I$13,AND($C38="Alternative fuel bus",$D38="Almost empty"),$E38*'AT '!I$15,AND($C38="Alternative fuel bus",$D38="Average"),$E38*'AT '!I$16,AND($C38="Alternative fuel bus",$D38="Nearly full"),$E38*'AT '!I$17,AND($C38="Metro, tram, urban light train",$D38="Almost empty"),$E38*'AT '!D$35,AND($C38="Metro, tram, urban light train",$D38="Average"),$E38*'AT '!D$36,AND($C38="Metro, tram, urban light train",$D38="Nearly full"),$E38*'AT '!D$37,AND($C38="Electric passenger train",$D38="Almost empty"),$E38*'AT '!D$39,AND($C38="Electric passenger train",$D38="Average"),$E38*'AT '!D$40,AND($C38="Electric passenger train",$D38="Nearly full"),$E38*'AT '!D$41,AND($C38="Diesel passenger train",$D38="Almost empty"),$E38*'AT '!D$47,AND($C38="Diesel passenger train",$D38="Average"),$E38*'AT '!D$48,AND($C38="Diesel passenger train",$D38="Nearly full"),$E38*'AT '!D$49,AND($C38="Walking"),$E38*0,AND($C38="Bike"),$E38*0,AND($C38="Plane - domestic flight"),$E38*'AT '!$C62,AND($C38="Plane - international - intra EU"),$E38*'AT '!$C64,AND($C38="Plane - international (extra EU)"),$E38*'AT '!$C66)</f>
        <v>#N/A</v>
      </c>
      <c r="H38" s="145"/>
      <c r="I38" s="148">
        <f t="shared" si="7"/>
        <v>0</v>
      </c>
      <c r="J38" s="146" t="e" cm="1">
        <f t="array" ref="J38">_xlfn.IFS(Austria!C38="Fuel car",Austria!I38*DATA!$C$17,C38="Electric car",Austria!I38*DATA!$F$3,Austria!C38="Hybrid car",Austria!I38*(0.5*DATA!$C$17+0.5*DATA!$F$3))</f>
        <v>#N/A</v>
      </c>
      <c r="L38" s="218"/>
      <c r="M38" s="219"/>
      <c r="N38" s="220"/>
    </row>
    <row r="39" spans="1:14" x14ac:dyDescent="0.2">
      <c r="A39" s="222"/>
      <c r="B39" s="30"/>
      <c r="C39" s="15"/>
      <c r="D39" s="15"/>
      <c r="E39" s="15"/>
      <c r="F39" s="123" t="e" cm="1">
        <f t="array" ref="F39">_xlfn.IFS(AND($C39="Fuel car",$D39=1),$E39*'AT '!C$7,AND($C39="Fuel car",$D39=2),$E39*'AT '!C$8,AND($C39="Fuel car",$D39=3),$E39*'AT '!C$9,AND($C39="Fuel car",$D39=4),$E39*'AT '!C$10,AND($C39="Fuel car",$D39=5),$E39*'AT '!C$11,AND($C39="Motorcycle",$D39=1),$E39*'AT '!C$13,AND($C39="Motorcycle",$D39=2),$E39*'AT '!C$14,AND($C39="Electric car",$D39=1),$E39*'AT '!C$16,AND($C39="Electric car",$D39=2),$E39*'AT '!C$17,AND($C39="Electric car",$D39=3),$E39*'AT '!C$18,AND($C39="Electric car",$D39=4),$E39*'AT '!C$19,AND($C39="Electric car",$D39=5),$E39*'AT '!C$20,AND($C39="Hybrid car",$D39=1),$E39*'AT '!C$22,AND($C39="Hybrid car",$D39=2),$E39*'AT '!C$23,AND($C39="Hybrid car",$D39=3),$E39*'AT '!C$24,AND($C39="Hybrid car",$D39=4),$E39*'AT '!C$25,AND($C39="Hybrid car",$D39=5),$E39*'AT '!C$26,AND($C39="Electric motorcycle",$D39=1),$E39*'AT '!C$28,AND($C39="Electric motorcycle",$D39=2),$E39*'AT '!C$29,AND($C39="Electric bike",$D39=1),$E39*'AT '!C$31,AND($C39="Electric scooter",$D39=1),$E39*'AT '!C$33,AND($C39="Bus",$D39="Almost empty"),$E39*'AT '!H$23,AND($C39="Bus",$D39="Average"),$E39*'AT '!H$24,AND($C39="Bus",$D39="Nearly full"),$E39*'AT '!H$25,AND($C39="Electric bus",$D39="Almost empty"),$E39*'AT '!H$7,AND($C39="Electric bus",$D39="Average"),$E39*'AT '!H$8,AND($C39="Electric bus",$D39="Nearly full"),$E39*'AT '!H$9,AND($C39="Diesel bus",$D39="Almost empty"),$E39*'AT '!H$19,AND($C39="Diesel bus",$D39="Average"),$E39*'AT '!H$20,AND($C39="Diesel bus",$D39="Nearly full"),$E39*'AT '!H$21,AND($C39="Hybrid-electric bus",$D39="Almost empty"),$E39*'AT '!H$11,AND($C39="Hybrid-electric bus",$D39="Average"),$E39*'AT '!H$12,AND($C39="Hybrid-electric bus",$D39="Nearly full"),$E39*'AT '!H$13,AND($C39="Alternative fuel bus",$D39="Almost empty"),$E39*'AT '!H$15,AND($C39="Alternative fuel bus",$D39="Average"),$E39*'AT '!H$16,AND($C39="Alternative fuel bus",$D39="Nearly full"),$E39*'AT '!H$17,AND($C39="Metro, tram, urban light train",$D39="Almost empty"),$E39*'AT '!C$35,AND($C39="Metro, tram, urban light train",$D39="Average"),$E39*'AT '!C$36,AND($C39="Metro, tram, urban light train",$D39="Nearly full"),$E39*'AT '!C$37,AND($C39="Electric passenger train",$D39="Almost empty"),$E39*'AT '!C$39,AND($C39="Electric passenger train",$D39="Average"),$E39*'AT '!C$40,AND($C39="Electric passenger train",$D39="Nearly full"),$E39*'AT '!C$41,AND($C39="Diesel passenger train",$D39="Almost empty"),$E39*'AT '!C$47,AND($C39="Diesel passenger train",$D39="Average"),$E39*'AT '!C$48,AND($C39="Diesel passenger train",$D39="Nearly full"),$E39*'AT '!C$49,AND($C39="Walking"),$E39*0,AND($C39="Bike"),$E39*0,AND($C39="Plane - domestic flight"),$E39*'AT '!$C63,AND($C39="Plane - international - intra EU"),$E39*'AT '!$C65,AND($C39="Plane - international (extra EU)"),$E39*'AT '!$C67)</f>
        <v>#N/A</v>
      </c>
      <c r="G39" s="31" t="e" cm="1">
        <f t="array" ref="G39">_xlfn.IFS(AND($C39="Fuel car",$D39=1),$E39*'AT '!D$7,AND($C39="Fuel car",$D39=2),$E39*'AT '!D$8,AND($C39="Fuel car",$D39=3),$E39*'AT '!D$9,AND($C39="Fuel car",$D39=4),$E39*'AT '!D$10,AND($C39="Fuel car",$D39=5),$E39*'AT '!D$11,AND($C39="Motorcycle",$D39=1),$E39*'AT '!D$13,AND($C39="Motorcycle",$D39=2),$E39*'AT '!D$14,AND($C39="Electric car",$D39=1),$E39*'AT '!D$16,AND($C39="Electric car",$D39=2),$E39*'AT '!D$17,AND($C39="Electric car",$D39=3),$E39*'AT '!D$18,AND($C39="Electric car",$D39=4),$E39*'AT '!D$19,AND($C39="Electric car",$D39=5),$E39*'AT '!D$20,AND($C39="Hybrid car",$D39=1),$E39*'AT '!D$22,AND($C39="Hybrid car",$D39=2),$E39*'AT '!D$23,AND($C39="Hybrid car",$D39=3),$E39*'AT '!D$24,AND($C39="Hybrid car",$D39=4),$E39*'AT '!D$25,AND($C39="Hybrid car",$D39=5),$E39*'AT '!D$26,AND($C39="Electric motorcycle",$D39=1),$E39*'AT '!D$28,AND($C39="Electric motorcycle",$D39=2),$E39*'AT '!D$29,AND($C39="Electric bike",$D39=1),$E39*'AT '!D$31,AND($C39="Electric scooter",$D39=1),$E39*'AT '!D$33,AND($C39="Bus",$D39="Almost empty"),$E39*'AT '!I$23,AND($C39="Bus",$D39="Average"),$E39*'AT '!I$24,AND($C39="Bus",$D39="Nearly full"),$E39*'AT '!I$25,AND($C39="Electric bus",$D39="Almost empty"),$E39*'AT '!I$7,AND($C39="Electric bus",$D39="Average"),$E39*'AT '!I$8,AND($C39="Electric bus",$D39="Nearly full"),$E39*'AT '!I$9,AND($C39="Diesel bus",$D39="Almost empty"),$E39*'AT '!I$19,AND($C39="Diesel bus",$D39="Average"),$E39*'AT '!I$20,AND($C39="Diesel bus",$D39="Nearly full"),$E39*'AT '!I$21,AND($C39="Hybrid-electric bus",$D39="Almost empty"),$E39*'AT '!I$11,AND($C39="Hybrid-electric bus",$D39="Average"),$E39*'AT '!I$12,AND($C39="Hybrid-electric bus",$D39="Nearly full"),$E39*'AT '!I$13,AND($C39="Alternative fuel bus",$D39="Almost empty"),$E39*'AT '!I$15,AND($C39="Alternative fuel bus",$D39="Average"),$E39*'AT '!I$16,AND($C39="Alternative fuel bus",$D39="Nearly full"),$E39*'AT '!I$17,AND($C39="Metro, tram, urban light train",$D39="Almost empty"),$E39*'AT '!D$35,AND($C39="Metro, tram, urban light train",$D39="Average"),$E39*'AT '!D$36,AND($C39="Metro, tram, urban light train",$D39="Nearly full"),$E39*'AT '!D$37,AND($C39="Electric passenger train",$D39="Almost empty"),$E39*'AT '!D$39,AND($C39="Electric passenger train",$D39="Average"),$E39*'AT '!D$40,AND($C39="Electric passenger train",$D39="Nearly full"),$E39*'AT '!D$41,AND($C39="Diesel passenger train",$D39="Almost empty"),$E39*'AT '!D$47,AND($C39="Diesel passenger train",$D39="Average"),$E39*'AT '!D$48,AND($C39="Diesel passenger train",$D39="Nearly full"),$E39*'AT '!D$49,AND($C39="Walking"),$E39*0,AND($C39="Bike"),$E39*0,AND($C39="Plane - domestic flight"),$E39*'AT '!$C63,AND($C39="Plane - international - intra EU"),$E39*'AT '!$C65,AND($C39="Plane - international (extra EU)"),$E39*'AT '!$C67)</f>
        <v>#N/A</v>
      </c>
      <c r="H39" s="145"/>
      <c r="I39" s="148">
        <f t="shared" si="7"/>
        <v>0</v>
      </c>
      <c r="J39" s="146" t="e" cm="1">
        <f t="array" ref="J39">_xlfn.IFS(Austria!C39="Fuel car",Austria!I39*DATA!$C$17,C39="Electric car",Austria!I39*DATA!$F$3,Austria!C39="Hybrid car",Austria!I39*(0.5*DATA!$C$17+0.5*DATA!$F$3))</f>
        <v>#N/A</v>
      </c>
      <c r="L39" s="226" t="s">
        <v>80</v>
      </c>
      <c r="M39" s="227"/>
      <c r="N39" s="228"/>
    </row>
    <row r="40" spans="1:14" x14ac:dyDescent="0.2">
      <c r="A40" s="222"/>
      <c r="B40" s="30"/>
      <c r="C40" s="15"/>
      <c r="D40" s="15"/>
      <c r="E40" s="15"/>
      <c r="F40" s="123" t="e" cm="1">
        <f t="array" ref="F40">_xlfn.IFS(AND($C40="Fuel car",$D40=1),$E40*'AT '!C$7,AND($C40="Fuel car",$D40=2),$E40*'AT '!C$8,AND($C40="Fuel car",$D40=3),$E40*'AT '!C$9,AND($C40="Fuel car",$D40=4),$E40*'AT '!C$10,AND($C40="Fuel car",$D40=5),$E40*'AT '!C$11,AND($C40="Motorcycle",$D40=1),$E40*'AT '!C$13,AND($C40="Motorcycle",$D40=2),$E40*'AT '!C$14,AND($C40="Electric car",$D40=1),$E40*'AT '!C$16,AND($C40="Electric car",$D40=2),$E40*'AT '!C$17,AND($C40="Electric car",$D40=3),$E40*'AT '!C$18,AND($C40="Electric car",$D40=4),$E40*'AT '!C$19,AND($C40="Electric car",$D40=5),$E40*'AT '!C$20,AND($C40="Hybrid car",$D40=1),$E40*'AT '!C$22,AND($C40="Hybrid car",$D40=2),$E40*'AT '!C$23,AND($C40="Hybrid car",$D40=3),$E40*'AT '!C$24,AND($C40="Hybrid car",$D40=4),$E40*'AT '!C$25,AND($C40="Hybrid car",$D40=5),$E40*'AT '!C$26,AND($C40="Electric motorcycle",$D40=1),$E40*'AT '!C$28,AND($C40="Electric motorcycle",$D40=2),$E40*'AT '!C$29,AND($C40="Electric bike",$D40=1),$E40*'AT '!C$31,AND($C40="Electric scooter",$D40=1),$E40*'AT '!C$33,AND($C40="Bus",$D40="Almost empty"),$E40*'AT '!H$23,AND($C40="Bus",$D40="Average"),$E40*'AT '!H$24,AND($C40="Bus",$D40="Nearly full"),$E40*'AT '!H$25,AND($C40="Electric bus",$D40="Almost empty"),$E40*'AT '!H$7,AND($C40="Electric bus",$D40="Average"),$E40*'AT '!H$8,AND($C40="Electric bus",$D40="Nearly full"),$E40*'AT '!H$9,AND($C40="Diesel bus",$D40="Almost empty"),$E40*'AT '!H$19,AND($C40="Diesel bus",$D40="Average"),$E40*'AT '!H$20,AND($C40="Diesel bus",$D40="Nearly full"),$E40*'AT '!H$21,AND($C40="Hybrid-electric bus",$D40="Almost empty"),$E40*'AT '!H$11,AND($C40="Hybrid-electric bus",$D40="Average"),$E40*'AT '!H$12,AND($C40="Hybrid-electric bus",$D40="Nearly full"),$E40*'AT '!H$13,AND($C40="Alternative fuel bus",$D40="Almost empty"),$E40*'AT '!H$15,AND($C40="Alternative fuel bus",$D40="Average"),$E40*'AT '!H$16,AND($C40="Alternative fuel bus",$D40="Nearly full"),$E40*'AT '!H$17,AND($C40="Metro, tram, urban light train",$D40="Almost empty"),$E40*'AT '!C$35,AND($C40="Metro, tram, urban light train",$D40="Average"),$E40*'AT '!C$36,AND($C40="Metro, tram, urban light train",$D40="Nearly full"),$E40*'AT '!C$37,AND($C40="Electric passenger train",$D40="Almost empty"),$E40*'AT '!C$39,AND($C40="Electric passenger train",$D40="Average"),$E40*'AT '!C$40,AND($C40="Electric passenger train",$D40="Nearly full"),$E40*'AT '!C$41,AND($C40="Diesel passenger train",$D40="Almost empty"),$E40*'AT '!C$47,AND($C40="Diesel passenger train",$D40="Average"),$E40*'AT '!C$48,AND($C40="Diesel passenger train",$D40="Nearly full"),$E40*'AT '!C$49,AND($C40="Walking"),$E40*0,AND($C40="Bike"),$E40*0,AND($C40="Plane - domestic flight"),$E40*'AT '!$C64,AND($C40="Plane - international - intra EU"),$E40*'AT '!$C66,AND($C40="Plane - international (extra EU)"),$E40*'AT '!$C68)</f>
        <v>#N/A</v>
      </c>
      <c r="G40" s="31" t="e" cm="1">
        <f t="array" ref="G40">_xlfn.IFS(AND($C40="Fuel car",$D40=1),$E40*'AT '!D$7,AND($C40="Fuel car",$D40=2),$E40*'AT '!D$8,AND($C40="Fuel car",$D40=3),$E40*'AT '!D$9,AND($C40="Fuel car",$D40=4),$E40*'AT '!D$10,AND($C40="Fuel car",$D40=5),$E40*'AT '!D$11,AND($C40="Motorcycle",$D40=1),$E40*'AT '!D$13,AND($C40="Motorcycle",$D40=2),$E40*'AT '!D$14,AND($C40="Electric car",$D40=1),$E40*'AT '!D$16,AND($C40="Electric car",$D40=2),$E40*'AT '!D$17,AND($C40="Electric car",$D40=3),$E40*'AT '!D$18,AND($C40="Electric car",$D40=4),$E40*'AT '!D$19,AND($C40="Electric car",$D40=5),$E40*'AT '!D$20,AND($C40="Hybrid car",$D40=1),$E40*'AT '!D$22,AND($C40="Hybrid car",$D40=2),$E40*'AT '!D$23,AND($C40="Hybrid car",$D40=3),$E40*'AT '!D$24,AND($C40="Hybrid car",$D40=4),$E40*'AT '!D$25,AND($C40="Hybrid car",$D40=5),$E40*'AT '!D$26,AND($C40="Electric motorcycle",$D40=1),$E40*'AT '!D$28,AND($C40="Electric motorcycle",$D40=2),$E40*'AT '!D$29,AND($C40="Electric bike",$D40=1),$E40*'AT '!D$31,AND($C40="Electric scooter",$D40=1),$E40*'AT '!D$33,AND($C40="Bus",$D40="Almost empty"),$E40*'AT '!I$23,AND($C40="Bus",$D40="Average"),$E40*'AT '!I$24,AND($C40="Bus",$D40="Nearly full"),$E40*'AT '!I$25,AND($C40="Electric bus",$D40="Almost empty"),$E40*'AT '!I$7,AND($C40="Electric bus",$D40="Average"),$E40*'AT '!I$8,AND($C40="Electric bus",$D40="Nearly full"),$E40*'AT '!I$9,AND($C40="Diesel bus",$D40="Almost empty"),$E40*'AT '!I$19,AND($C40="Diesel bus",$D40="Average"),$E40*'AT '!I$20,AND($C40="Diesel bus",$D40="Nearly full"),$E40*'AT '!I$21,AND($C40="Hybrid-electric bus",$D40="Almost empty"),$E40*'AT '!I$11,AND($C40="Hybrid-electric bus",$D40="Average"),$E40*'AT '!I$12,AND($C40="Hybrid-electric bus",$D40="Nearly full"),$E40*'AT '!I$13,AND($C40="Alternative fuel bus",$D40="Almost empty"),$E40*'AT '!I$15,AND($C40="Alternative fuel bus",$D40="Average"),$E40*'AT '!I$16,AND($C40="Alternative fuel bus",$D40="Nearly full"),$E40*'AT '!I$17,AND($C40="Metro, tram, urban light train",$D40="Almost empty"),$E40*'AT '!D$35,AND($C40="Metro, tram, urban light train",$D40="Average"),$E40*'AT '!D$36,AND($C40="Metro, tram, urban light train",$D40="Nearly full"),$E40*'AT '!D$37,AND($C40="Electric passenger train",$D40="Almost empty"),$E40*'AT '!D$39,AND($C40="Electric passenger train",$D40="Average"),$E40*'AT '!D$40,AND($C40="Electric passenger train",$D40="Nearly full"),$E40*'AT '!D$41,AND($C40="Diesel passenger train",$D40="Almost empty"),$E40*'AT '!D$47,AND($C40="Diesel passenger train",$D40="Average"),$E40*'AT '!D$48,AND($C40="Diesel passenger train",$D40="Nearly full"),$E40*'AT '!D$49,AND($C40="Walking"),$E40*0,AND($C40="Bike"),$E40*0,AND($C40="Plane - domestic flight"),$E40*'AT '!$C64,AND($C40="Plane - international - intra EU"),$E40*'AT '!$C66,AND($C40="Plane - international (extra EU)"),$E40*'AT '!$C68)</f>
        <v>#N/A</v>
      </c>
      <c r="H40" s="145"/>
      <c r="I40" s="148">
        <f t="shared" si="7"/>
        <v>0</v>
      </c>
      <c r="J40" s="146" t="e" cm="1">
        <f t="array" ref="J40">_xlfn.IFS(Austria!C40="Fuel car",Austria!I40*DATA!$C$17,C40="Electric car",Austria!I40*DATA!$F$3,Austria!C40="Hybrid car",Austria!I40*(0.5*DATA!$C$17+0.5*DATA!$F$3))</f>
        <v>#N/A</v>
      </c>
      <c r="L40" s="229"/>
      <c r="M40" s="230"/>
      <c r="N40" s="231"/>
    </row>
    <row r="41" spans="1:14" x14ac:dyDescent="0.2">
      <c r="A41" s="222"/>
      <c r="B41" s="30"/>
      <c r="C41" s="15"/>
      <c r="D41" s="15"/>
      <c r="E41" s="15"/>
      <c r="F41" s="123" t="e" cm="1">
        <f t="array" ref="F41">_xlfn.IFS(AND($C41="Fuel car",$D41=1),$E41*'AT '!C$7,AND($C41="Fuel car",$D41=2),$E41*'AT '!C$8,AND($C41="Fuel car",$D41=3),$E41*'AT '!C$9,AND($C41="Fuel car",$D41=4),$E41*'AT '!C$10,AND($C41="Fuel car",$D41=5),$E41*'AT '!C$11,AND($C41="Motorcycle",$D41=1),$E41*'AT '!C$13,AND($C41="Motorcycle",$D41=2),$E41*'AT '!C$14,AND($C41="Electric car",$D41=1),$E41*'AT '!C$16,AND($C41="Electric car",$D41=2),$E41*'AT '!C$17,AND($C41="Electric car",$D41=3),$E41*'AT '!C$18,AND($C41="Electric car",$D41=4),$E41*'AT '!C$19,AND($C41="Electric car",$D41=5),$E41*'AT '!C$20,AND($C41="Hybrid car",$D41=1),$E41*'AT '!C$22,AND($C41="Hybrid car",$D41=2),$E41*'AT '!C$23,AND($C41="Hybrid car",$D41=3),$E41*'AT '!C$24,AND($C41="Hybrid car",$D41=4),$E41*'AT '!C$25,AND($C41="Hybrid car",$D41=5),$E41*'AT '!C$26,AND($C41="Electric motorcycle",$D41=1),$E41*'AT '!C$28,AND($C41="Electric motorcycle",$D41=2),$E41*'AT '!C$29,AND($C41="Electric bike",$D41=1),$E41*'AT '!C$31,AND($C41="Electric scooter",$D41=1),$E41*'AT '!C$33,AND($C41="Bus",$D41="Almost empty"),$E41*'AT '!H$23,AND($C41="Bus",$D41="Average"),$E41*'AT '!H$24,AND($C41="Bus",$D41="Nearly full"),$E41*'AT '!H$25,AND($C41="Electric bus",$D41="Almost empty"),$E41*'AT '!H$7,AND($C41="Electric bus",$D41="Average"),$E41*'AT '!H$8,AND($C41="Electric bus",$D41="Nearly full"),$E41*'AT '!H$9,AND($C41="Diesel bus",$D41="Almost empty"),$E41*'AT '!H$19,AND($C41="Diesel bus",$D41="Average"),$E41*'AT '!H$20,AND($C41="Diesel bus",$D41="Nearly full"),$E41*'AT '!H$21,AND($C41="Hybrid-electric bus",$D41="Almost empty"),$E41*'AT '!H$11,AND($C41="Hybrid-electric bus",$D41="Average"),$E41*'AT '!H$12,AND($C41="Hybrid-electric bus",$D41="Nearly full"),$E41*'AT '!H$13,AND($C41="Alternative fuel bus",$D41="Almost empty"),$E41*'AT '!H$15,AND($C41="Alternative fuel bus",$D41="Average"),$E41*'AT '!H$16,AND($C41="Alternative fuel bus",$D41="Nearly full"),$E41*'AT '!H$17,AND($C41="Metro, tram, urban light train",$D41="Almost empty"),$E41*'AT '!C$35,AND($C41="Metro, tram, urban light train",$D41="Average"),$E41*'AT '!C$36,AND($C41="Metro, tram, urban light train",$D41="Nearly full"),$E41*'AT '!C$37,AND($C41="Electric passenger train",$D41="Almost empty"),$E41*'AT '!C$39,AND($C41="Electric passenger train",$D41="Average"),$E41*'AT '!C$40,AND($C41="Electric passenger train",$D41="Nearly full"),$E41*'AT '!C$41,AND($C41="Diesel passenger train",$D41="Almost empty"),$E41*'AT '!C$47,AND($C41="Diesel passenger train",$D41="Average"),$E41*'AT '!C$48,AND($C41="Diesel passenger train",$D41="Nearly full"),$E41*'AT '!C$49,AND($C41="Walking"),$E41*0,AND($C41="Bike"),$E41*0,AND($C41="Plane - domestic flight"),$E41*'AT '!$C65,AND($C41="Plane - international - intra EU"),$E41*'AT '!$C67,AND($C41="Plane - international (extra EU)"),$E41*'AT '!$C69)</f>
        <v>#N/A</v>
      </c>
      <c r="G41" s="31" t="e" cm="1">
        <f t="array" ref="G41">_xlfn.IFS(AND($C41="Fuel car",$D41=1),$E41*'AT '!D$7,AND($C41="Fuel car",$D41=2),$E41*'AT '!D$8,AND($C41="Fuel car",$D41=3),$E41*'AT '!D$9,AND($C41="Fuel car",$D41=4),$E41*'AT '!D$10,AND($C41="Fuel car",$D41=5),$E41*'AT '!D$11,AND($C41="Motorcycle",$D41=1),$E41*'AT '!D$13,AND($C41="Motorcycle",$D41=2),$E41*'AT '!D$14,AND($C41="Electric car",$D41=1),$E41*'AT '!D$16,AND($C41="Electric car",$D41=2),$E41*'AT '!D$17,AND($C41="Electric car",$D41=3),$E41*'AT '!D$18,AND($C41="Electric car",$D41=4),$E41*'AT '!D$19,AND($C41="Electric car",$D41=5),$E41*'AT '!D$20,AND($C41="Hybrid car",$D41=1),$E41*'AT '!D$22,AND($C41="Hybrid car",$D41=2),$E41*'AT '!D$23,AND($C41="Hybrid car",$D41=3),$E41*'AT '!D$24,AND($C41="Hybrid car",$D41=4),$E41*'AT '!D$25,AND($C41="Hybrid car",$D41=5),$E41*'AT '!D$26,AND($C41="Electric motorcycle",$D41=1),$E41*'AT '!D$28,AND($C41="Electric motorcycle",$D41=2),$E41*'AT '!D$29,AND($C41="Electric bike",$D41=1),$E41*'AT '!D$31,AND($C41="Electric scooter",$D41=1),$E41*'AT '!D$33,AND($C41="Bus",$D41="Almost empty"),$E41*'AT '!I$23,AND($C41="Bus",$D41="Average"),$E41*'AT '!I$24,AND($C41="Bus",$D41="Nearly full"),$E41*'AT '!I$25,AND($C41="Electric bus",$D41="Almost empty"),$E41*'AT '!I$7,AND($C41="Electric bus",$D41="Average"),$E41*'AT '!I$8,AND($C41="Electric bus",$D41="Nearly full"),$E41*'AT '!I$9,AND($C41="Diesel bus",$D41="Almost empty"),$E41*'AT '!I$19,AND($C41="Diesel bus",$D41="Average"),$E41*'AT '!I$20,AND($C41="Diesel bus",$D41="Nearly full"),$E41*'AT '!I$21,AND($C41="Hybrid-electric bus",$D41="Almost empty"),$E41*'AT '!I$11,AND($C41="Hybrid-electric bus",$D41="Average"),$E41*'AT '!I$12,AND($C41="Hybrid-electric bus",$D41="Nearly full"),$E41*'AT '!I$13,AND($C41="Alternative fuel bus",$D41="Almost empty"),$E41*'AT '!I$15,AND($C41="Alternative fuel bus",$D41="Average"),$E41*'AT '!I$16,AND($C41="Alternative fuel bus",$D41="Nearly full"),$E41*'AT '!I$17,AND($C41="Metro, tram, urban light train",$D41="Almost empty"),$E41*'AT '!D$35,AND($C41="Metro, tram, urban light train",$D41="Average"),$E41*'AT '!D$36,AND($C41="Metro, tram, urban light train",$D41="Nearly full"),$E41*'AT '!D$37,AND($C41="Electric passenger train",$D41="Almost empty"),$E41*'AT '!D$39,AND($C41="Electric passenger train",$D41="Average"),$E41*'AT '!D$40,AND($C41="Electric passenger train",$D41="Nearly full"),$E41*'AT '!D$41,AND($C41="Diesel passenger train",$D41="Almost empty"),$E41*'AT '!D$47,AND($C41="Diesel passenger train",$D41="Average"),$E41*'AT '!D$48,AND($C41="Diesel passenger train",$D41="Nearly full"),$E41*'AT '!D$49,AND($C41="Walking"),$E41*0,AND($C41="Bike"),$E41*0,AND($C41="Plane - domestic flight"),$E41*'AT '!$C65,AND($C41="Plane - international - intra EU"),$E41*'AT '!$C67,AND($C41="Plane - international (extra EU)"),$E41*'AT '!$C69)</f>
        <v>#N/A</v>
      </c>
      <c r="H41" s="145"/>
      <c r="I41" s="148">
        <f t="shared" si="7"/>
        <v>0</v>
      </c>
      <c r="J41" s="146" t="e" cm="1">
        <f t="array" ref="J41">_xlfn.IFS(Austria!C41="Fuel car",Austria!I41*DATA!$C$17,C41="Electric car",Austria!I41*DATA!$F$3,Austria!C41="Hybrid car",Austria!I41*(0.5*DATA!$C$17+0.5*DATA!$F$3))</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car",$D42=1),$E42*'AT '!C$7,AND($C42="Fuel car",$D42=2),$E42*'AT '!C$8,AND($C42="Fuel car",$D42=3),$E42*'AT '!C$9,AND($C42="Fuel car",$D42=4),$E42*'AT '!C$10,AND($C42="Fuel car",$D42=5),$E42*'AT '!C$11,AND($C42="Motorcycle",$D42=1),$E42*'AT '!C$13,AND($C42="Motorcycle",$D42=2),$E42*'AT '!C$14,AND($C42="Electric car",$D42=1),$E42*'AT '!C$16,AND($C42="Electric car",$D42=2),$E42*'AT '!C$17,AND($C42="Electric car",$D42=3),$E42*'AT '!C$18,AND($C42="Electric car",$D42=4),$E42*'AT '!C$19,AND($C42="Electric car",$D42=5),$E42*'AT '!C$20,AND($C42="Hybrid car",$D42=1),$E42*'AT '!C$22,AND($C42="Hybrid car",$D42=2),$E42*'AT '!C$23,AND($C42="Hybrid car",$D42=3),$E42*'AT '!C$24,AND($C42="Hybrid car",$D42=4),$E42*'AT '!C$25,AND($C42="Hybrid car",$D42=5),$E42*'AT '!C$26,AND($C42="Electric motorcycle",$D42=1),$E42*'AT '!C$28,AND($C42="Electric motorcycle",$D42=2),$E42*'AT '!C$29,AND($C42="Electric bike",$D42=1),$E42*'AT '!C$31,AND($C42="Electric scooter",$D42=1),$E42*'AT '!C$33,AND($C42="Bus",$D42="Almost empty"),$E42*'AT '!H$23,AND($C42="Bus",$D42="Average"),$E42*'AT '!H$24,AND($C42="Bus",$D42="Nearly full"),$E42*'AT '!H$25,AND($C42="Electric bus",$D42="Almost empty"),$E42*'AT '!H$7,AND($C42="Electric bus",$D42="Average"),$E42*'AT '!H$8,AND($C42="Electric bus",$D42="Nearly full"),$E42*'AT '!H$9,AND($C42="Diesel bus",$D42="Almost empty"),$E42*'AT '!H$19,AND($C42="Diesel bus",$D42="Average"),$E42*'AT '!H$20,AND($C42="Diesel bus",$D42="Nearly full"),$E42*'AT '!H$21,AND($C42="Hybrid-electric bus",$D42="Almost empty"),$E42*'AT '!H$11,AND($C42="Hybrid-electric bus",$D42="Average"),$E42*'AT '!H$12,AND($C42="Hybrid-electric bus",$D42="Nearly full"),$E42*'AT '!H$13,AND($C42="Alternative fuel bus",$D42="Almost empty"),$E42*'AT '!H$15,AND($C42="Alternative fuel bus",$D42="Average"),$E42*'AT '!H$16,AND($C42="Alternative fuel bus",$D42="Nearly full"),$E42*'AT '!H$17,AND($C42="Metro, tram, urban light train",$D42="Almost empty"),$E42*'AT '!C$35,AND($C42="Metro, tram, urban light train",$D42="Average"),$E42*'AT '!C$36,AND($C42="Metro, tram, urban light train",$D42="Nearly full"),$E42*'AT '!C$37,AND($C42="Electric passenger train",$D42="Almost empty"),$E42*'AT '!C$39,AND($C42="Electric passenger train",$D42="Average"),$E42*'AT '!C$40,AND($C42="Electric passenger train",$D42="Nearly full"),$E42*'AT '!C$41,AND($C42="Diesel passenger train",$D42="Almost empty"),$E42*'AT '!C$47,AND($C42="Diesel passenger train",$D42="Average"),$E42*'AT '!C$48,AND($C42="Diesel passenger train",$D42="Nearly full"),$E42*'AT '!C$49,AND($C42="Walking"),$E42*0,AND($C42="Bike"),$E42*0,AND($C42="Plane - domestic flight"),$E42*'AT '!$C66,AND($C42="Plane - international - intra EU"),$E42*'AT '!$C68,AND($C42="Plane - international (extra EU)"),$E42*'AT '!$C70)</f>
        <v>#N/A</v>
      </c>
      <c r="G42" s="31" t="e" cm="1">
        <f t="array" ref="G42">_xlfn.IFS(AND($C42="Fuel car",$D42=1),$E42*'AT '!D$7,AND($C42="Fuel car",$D42=2),$E42*'AT '!D$8,AND($C42="Fuel car",$D42=3),$E42*'AT '!D$9,AND($C42="Fuel car",$D42=4),$E42*'AT '!D$10,AND($C42="Fuel car",$D42=5),$E42*'AT '!D$11,AND($C42="Motorcycle",$D42=1),$E42*'AT '!D$13,AND($C42="Motorcycle",$D42=2),$E42*'AT '!D$14,AND($C42="Electric car",$D42=1),$E42*'AT '!D$16,AND($C42="Electric car",$D42=2),$E42*'AT '!D$17,AND($C42="Electric car",$D42=3),$E42*'AT '!D$18,AND($C42="Electric car",$D42=4),$E42*'AT '!D$19,AND($C42="Electric car",$D42=5),$E42*'AT '!D$20,AND($C42="Hybrid car",$D42=1),$E42*'AT '!D$22,AND($C42="Hybrid car",$D42=2),$E42*'AT '!D$23,AND($C42="Hybrid car",$D42=3),$E42*'AT '!D$24,AND($C42="Hybrid car",$D42=4),$E42*'AT '!D$25,AND($C42="Hybrid car",$D42=5),$E42*'AT '!D$26,AND($C42="Electric motorcycle",$D42=1),$E42*'AT '!D$28,AND($C42="Electric motorcycle",$D42=2),$E42*'AT '!D$29,AND($C42="Electric bike",$D42=1),$E42*'AT '!D$31,AND($C42="Electric scooter",$D42=1),$E42*'AT '!D$33,AND($C42="Bus",$D42="Almost empty"),$E42*'AT '!I$23,AND($C42="Bus",$D42="Average"),$E42*'AT '!I$24,AND($C42="Bus",$D42="Nearly full"),$E42*'AT '!I$25,AND($C42="Electric bus",$D42="Almost empty"),$E42*'AT '!I$7,AND($C42="Electric bus",$D42="Average"),$E42*'AT '!I$8,AND($C42="Electric bus",$D42="Nearly full"),$E42*'AT '!I$9,AND($C42="Diesel bus",$D42="Almost empty"),$E42*'AT '!I$19,AND($C42="Diesel bus",$D42="Average"),$E42*'AT '!I$20,AND($C42="Diesel bus",$D42="Nearly full"),$E42*'AT '!I$21,AND($C42="Hybrid-electric bus",$D42="Almost empty"),$E42*'AT '!I$11,AND($C42="Hybrid-electric bus",$D42="Average"),$E42*'AT '!I$12,AND($C42="Hybrid-electric bus",$D42="Nearly full"),$E42*'AT '!I$13,AND($C42="Alternative fuel bus",$D42="Almost empty"),$E42*'AT '!I$15,AND($C42="Alternative fuel bus",$D42="Average"),$E42*'AT '!I$16,AND($C42="Alternative fuel bus",$D42="Nearly full"),$E42*'AT '!I$17,AND($C42="Metro, tram, urban light train",$D42="Almost empty"),$E42*'AT '!D$35,AND($C42="Metro, tram, urban light train",$D42="Average"),$E42*'AT '!D$36,AND($C42="Metro, tram, urban light train",$D42="Nearly full"),$E42*'AT '!D$37,AND($C42="Electric passenger train",$D42="Almost empty"),$E42*'AT '!D$39,AND($C42="Electric passenger train",$D42="Average"),$E42*'AT '!D$40,AND($C42="Electric passenger train",$D42="Nearly full"),$E42*'AT '!D$41,AND($C42="Diesel passenger train",$D42="Almost empty"),$E42*'AT '!D$47,AND($C42="Diesel passenger train",$D42="Average"),$E42*'AT '!D$48,AND($C42="Diesel passenger train",$D42="Nearly full"),$E42*'AT '!D$49,AND($C42="Walking"),$E42*0,AND($C42="Bike"),$E42*0,AND($C42="Plane - domestic flight"),$E42*'AT '!$C66,AND($C42="Plane - international - intra EU"),$E42*'AT '!$C68,AND($C42="Plane - international (extra EU)"),$E42*'AT '!$C70)</f>
        <v>#N/A</v>
      </c>
      <c r="H42" s="145"/>
      <c r="I42" s="148">
        <f t="shared" si="7"/>
        <v>0</v>
      </c>
      <c r="J42" s="146" t="e" cm="1">
        <f t="array" ref="J42">_xlfn.IFS(Austria!C42="Fuel car",Austria!I42*DATA!$C$17,C42="Electric car",Austria!I42*DATA!$F$3,Austria!C42="Hybrid car",Austria!I42*(0.5*DATA!$C$17+0.5*DATA!$F$3))</f>
        <v>#N/A</v>
      </c>
      <c r="L42" s="235"/>
      <c r="M42" s="236"/>
      <c r="N42" s="237"/>
    </row>
    <row r="43" spans="1:14" ht="16" thickBot="1" x14ac:dyDescent="0.25">
      <c r="A43" s="222"/>
      <c r="B43" s="30"/>
      <c r="C43" s="15"/>
      <c r="D43" s="15"/>
      <c r="E43" s="15"/>
      <c r="F43" s="123" t="e" cm="1">
        <f t="array" ref="F43">_xlfn.IFS(AND($C43="Fuel car",$D43=1),$E43*'AT '!C$7,AND($C43="Fuel car",$D43=2),$E43*'AT '!C$8,AND($C43="Fuel car",$D43=3),$E43*'AT '!C$9,AND($C43="Fuel car",$D43=4),$E43*'AT '!C$10,AND($C43="Fuel car",$D43=5),$E43*'AT '!C$11,AND($C43="Motorcycle",$D43=1),$E43*'AT '!C$13,AND($C43="Motorcycle",$D43=2),$E43*'AT '!C$14,AND($C43="Electric car",$D43=1),$E43*'AT '!C$16,AND($C43="Electric car",$D43=2),$E43*'AT '!C$17,AND($C43="Electric car",$D43=3),$E43*'AT '!C$18,AND($C43="Electric car",$D43=4),$E43*'AT '!C$19,AND($C43="Electric car",$D43=5),$E43*'AT '!C$20,AND($C43="Hybrid car",$D43=1),$E43*'AT '!C$22,AND($C43="Hybrid car",$D43=2),$E43*'AT '!C$23,AND($C43="Hybrid car",$D43=3),$E43*'AT '!C$24,AND($C43="Hybrid car",$D43=4),$E43*'AT '!C$25,AND($C43="Hybrid car",$D43=5),$E43*'AT '!C$26,AND($C43="Electric motorcycle",$D43=1),$E43*'AT '!C$28,AND($C43="Electric motorcycle",$D43=2),$E43*'AT '!C$29,AND($C43="Electric bike",$D43=1),$E43*'AT '!C$31,AND($C43="Electric scooter",$D43=1),$E43*'AT '!C$33,AND($C43="Bus",$D43="Almost empty"),$E43*'AT '!H$23,AND($C43="Bus",$D43="Average"),$E43*'AT '!H$24,AND($C43="Bus",$D43="Nearly full"),$E43*'AT '!H$25,AND($C43="Electric bus",$D43="Almost empty"),$E43*'AT '!H$7,AND($C43="Electric bus",$D43="Average"),$E43*'AT '!H$8,AND($C43="Electric bus",$D43="Nearly full"),$E43*'AT '!H$9,AND($C43="Diesel bus",$D43="Almost empty"),$E43*'AT '!H$19,AND($C43="Diesel bus",$D43="Average"),$E43*'AT '!H$20,AND($C43="Diesel bus",$D43="Nearly full"),$E43*'AT '!H$21,AND($C43="Hybrid-electric bus",$D43="Almost empty"),$E43*'AT '!H$11,AND($C43="Hybrid-electric bus",$D43="Average"),$E43*'AT '!H$12,AND($C43="Hybrid-electric bus",$D43="Nearly full"),$E43*'AT '!H$13,AND($C43="Alternative fuel bus",$D43="Almost empty"),$E43*'AT '!H$15,AND($C43="Alternative fuel bus",$D43="Average"),$E43*'AT '!H$16,AND($C43="Alternative fuel bus",$D43="Nearly full"),$E43*'AT '!H$17,AND($C43="Metro, tram, urban light train",$D43="Almost empty"),$E43*'AT '!C$35,AND($C43="Metro, tram, urban light train",$D43="Average"),$E43*'AT '!C$36,AND($C43="Metro, tram, urban light train",$D43="Nearly full"),$E43*'AT '!C$37,AND($C43="Electric passenger train",$D43="Almost empty"),$E43*'AT '!C$39,AND($C43="Electric passenger train",$D43="Average"),$E43*'AT '!C$40,AND($C43="Electric passenger train",$D43="Nearly full"),$E43*'AT '!C$41,AND($C43="Diesel passenger train",$D43="Almost empty"),$E43*'AT '!C$47,AND($C43="Diesel passenger train",$D43="Average"),$E43*'AT '!C$48,AND($C43="Diesel passenger train",$D43="Nearly full"),$E43*'AT '!C$49,AND($C43="Walking"),$E43*0,AND($C43="Bike"),$E43*0,AND($C43="Plane - domestic flight"),$E43*'AT '!$C67,AND($C43="Plane - international - intra EU"),$E43*'AT '!$C69,AND($C43="Plane - international (extra EU)"),$E43*'AT '!$C71)</f>
        <v>#N/A</v>
      </c>
      <c r="G43" s="31" t="e" cm="1">
        <f t="array" ref="G43">_xlfn.IFS(AND($C43="Fuel car",$D43=1),$E43*'AT '!D$7,AND($C43="Fuel car",$D43=2),$E43*'AT '!D$8,AND($C43="Fuel car",$D43=3),$E43*'AT '!D$9,AND($C43="Fuel car",$D43=4),$E43*'AT '!D$10,AND($C43="Fuel car",$D43=5),$E43*'AT '!D$11,AND($C43="Motorcycle",$D43=1),$E43*'AT '!D$13,AND($C43="Motorcycle",$D43=2),$E43*'AT '!D$14,AND($C43="Electric car",$D43=1),$E43*'AT '!D$16,AND($C43="Electric car",$D43=2),$E43*'AT '!D$17,AND($C43="Electric car",$D43=3),$E43*'AT '!D$18,AND($C43="Electric car",$D43=4),$E43*'AT '!D$19,AND($C43="Electric car",$D43=5),$E43*'AT '!D$20,AND($C43="Hybrid car",$D43=1),$E43*'AT '!D$22,AND($C43="Hybrid car",$D43=2),$E43*'AT '!D$23,AND($C43="Hybrid car",$D43=3),$E43*'AT '!D$24,AND($C43="Hybrid car",$D43=4),$E43*'AT '!D$25,AND($C43="Hybrid car",$D43=5),$E43*'AT '!D$26,AND($C43="Electric motorcycle",$D43=1),$E43*'AT '!D$28,AND($C43="Electric motorcycle",$D43=2),$E43*'AT '!D$29,AND($C43="Electric bike",$D43=1),$E43*'AT '!D$31,AND($C43="Electric scooter",$D43=1),$E43*'AT '!D$33,AND($C43="Bus",$D43="Almost empty"),$E43*'AT '!I$23,AND($C43="Bus",$D43="Average"),$E43*'AT '!I$24,AND($C43="Bus",$D43="Nearly full"),$E43*'AT '!I$25,AND($C43="Electric bus",$D43="Almost empty"),$E43*'AT '!I$7,AND($C43="Electric bus",$D43="Average"),$E43*'AT '!I$8,AND($C43="Electric bus",$D43="Nearly full"),$E43*'AT '!I$9,AND($C43="Diesel bus",$D43="Almost empty"),$E43*'AT '!I$19,AND($C43="Diesel bus",$D43="Average"),$E43*'AT '!I$20,AND($C43="Diesel bus",$D43="Nearly full"),$E43*'AT '!I$21,AND($C43="Hybrid-electric bus",$D43="Almost empty"),$E43*'AT '!I$11,AND($C43="Hybrid-electric bus",$D43="Average"),$E43*'AT '!I$12,AND($C43="Hybrid-electric bus",$D43="Nearly full"),$E43*'AT '!I$13,AND($C43="Alternative fuel bus",$D43="Almost empty"),$E43*'AT '!I$15,AND($C43="Alternative fuel bus",$D43="Average"),$E43*'AT '!I$16,AND($C43="Alternative fuel bus",$D43="Nearly full"),$E43*'AT '!I$17,AND($C43="Metro, tram, urban light train",$D43="Almost empty"),$E43*'AT '!D$35,AND($C43="Metro, tram, urban light train",$D43="Average"),$E43*'AT '!D$36,AND($C43="Metro, tram, urban light train",$D43="Nearly full"),$E43*'AT '!D$37,AND($C43="Electric passenger train",$D43="Almost empty"),$E43*'AT '!D$39,AND($C43="Electric passenger train",$D43="Average"),$E43*'AT '!D$40,AND($C43="Electric passenger train",$D43="Nearly full"),$E43*'AT '!D$41,AND($C43="Diesel passenger train",$D43="Almost empty"),$E43*'AT '!D$47,AND($C43="Diesel passenger train",$D43="Average"),$E43*'AT '!D$48,AND($C43="Diesel passenger train",$D43="Nearly full"),$E43*'AT '!D$49,AND($C43="Walking"),$E43*0,AND($C43="Bike"),$E43*0,AND($C43="Plane - domestic flight"),$E43*'AT '!$C67,AND($C43="Plane - international - intra EU"),$E43*'AT '!$C69,AND($C43="Plane - international (extra EU)"),$E43*'AT '!$C71)</f>
        <v>#N/A</v>
      </c>
      <c r="H43" s="109"/>
      <c r="I43" s="154">
        <f t="shared" si="7"/>
        <v>0</v>
      </c>
      <c r="J43" s="147" t="e" cm="1">
        <f t="array" ref="J43">_xlfn.IFS(Austria!C43="Fuel car",Austria!I43*DATA!$C$17,C43="Electric car",Austria!I43*DATA!$F$3,Austria!C43="Hybrid car",Austria!I43*(0.5*DATA!$C$17+0.5*DATA!$F$3))</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car",$D44=1),$E44*'AT '!C$7,AND($C44="Fuel car",$D44=2),$E44*'AT '!C$8,AND($C44="Fuel car",$D44=3),$E44*'AT '!C$9,AND($C44="Fuel car",$D44=4),$E44*'AT '!C$10,AND($C44="Fuel car",$D44=5),$E44*'AT '!C$11,AND($C44="Motorcycle",$D44=1),$E44*'AT '!C$13,AND($C44="Motorcycle",$D44=2),$E44*'AT '!C$14,AND($C44="Electric car",$D44=1),$E44*'AT '!C$16,AND($C44="Electric car",$D44=2),$E44*'AT '!C$17,AND($C44="Electric car",$D44=3),$E44*'AT '!C$18,AND($C44="Electric car",$D44=4),$E44*'AT '!C$19,AND($C44="Electric car",$D44=5),$E44*'AT '!C$20,AND($C44="Hybrid car",$D44=1),$E44*'AT '!C$22,AND($C44="Hybrid car",$D44=2),$E44*'AT '!C$23,AND($C44="Hybrid car",$D44=3),$E44*'AT '!C$24,AND($C44="Hybrid car",$D44=4),$E44*'AT '!C$25,AND($C44="Hybrid car",$D44=5),$E44*'AT '!C$26,AND($C44="Electric motorcycle",$D44=1),$E44*'AT '!C$28,AND($C44="Electric motorcycle",$D44=2),$E44*'AT '!C$29,AND($C44="Electric bike",$D44=1),$E44*'AT '!C$31,AND($C44="Electric scooter",$D44=1),$E44*'AT '!C$33,AND($C44="Bus",$D44="Almost empty"),$E44*'AT '!H$23,AND($C44="Bus",$D44="Average"),$E44*'AT '!H$24,AND($C44="Bus",$D44="Nearly full"),$E44*'AT '!H$25,AND($C44="Electric bus",$D44="Almost empty"),$E44*'AT '!H$7,AND($C44="Electric bus",$D44="Average"),$E44*'AT '!H$8,AND($C44="Electric bus",$D44="Nearly full"),$E44*'AT '!H$9,AND($C44="Diesel bus",$D44="Almost empty"),$E44*'AT '!H$19,AND($C44="Diesel bus",$D44="Average"),$E44*'AT '!H$20,AND($C44="Diesel bus",$D44="Nearly full"),$E44*'AT '!H$21,AND($C44="Hybrid-electric bus",$D44="Almost empty"),$E44*'AT '!H$11,AND($C44="Hybrid-electric bus",$D44="Average"),$E44*'AT '!H$12,AND($C44="Hybrid-electric bus",$D44="Nearly full"),$E44*'AT '!H$13,AND($C44="Alternative fuel bus",$D44="Almost empty"),$E44*'AT '!H$15,AND($C44="Alternative fuel bus",$D44="Average"),$E44*'AT '!H$16,AND($C44="Alternative fuel bus",$D44="Nearly full"),$E44*'AT '!H$17,AND($C44="Metro, tram, urban light train",$D44="Almost empty"),$E44*'AT '!C$35,AND($C44="Metro, tram, urban light train",$D44="Average"),$E44*'AT '!C$36,AND($C44="Metro, tram, urban light train",$D44="Nearly full"),$E44*'AT '!C$37,AND($C44="Electric passenger train",$D44="Almost empty"),$E44*'AT '!C$39,AND($C44="Electric passenger train",$D44="Average"),$E44*'AT '!C$40,AND($C44="Electric passenger train",$D44="Nearly full"),$E44*'AT '!C$41,AND($C44="Diesel passenger train",$D44="Almost empty"),$E44*'AT '!C$47,AND($C44="Diesel passenger train",$D44="Average"),$E44*'AT '!C$48,AND($C44="Diesel passenger train",$D44="Nearly full"),$E44*'AT '!C$49,AND($C44="Walking"),$E44*0,AND($C44="Bike"),$E44*0,AND($C44="Plane - domestic flight"),$E44*'AT '!$C68,AND($C44="Plane - international - intra EU"),$E44*'AT '!$C70,AND($C44="Plane - international (extra EU)"),$E44*'AT '!$C72)</f>
        <v>#N/A</v>
      </c>
      <c r="G44" s="31" t="e" cm="1">
        <f t="array" ref="G44">_xlfn.IFS(AND($C44="Fuel car",$D44=1),$E44*'AT '!D$7,AND($C44="Fuel car",$D44=2),$E44*'AT '!D$8,AND($C44="Fuel car",$D44=3),$E44*'AT '!D$9,AND($C44="Fuel car",$D44=4),$E44*'AT '!D$10,AND($C44="Fuel car",$D44=5),$E44*'AT '!D$11,AND($C44="Motorcycle",$D44=1),$E44*'AT '!D$13,AND($C44="Motorcycle",$D44=2),$E44*'AT '!D$14,AND($C44="Electric car",$D44=1),$E44*'AT '!D$16,AND($C44="Electric car",$D44=2),$E44*'AT '!D$17,AND($C44="Electric car",$D44=3),$E44*'AT '!D$18,AND($C44="Electric car",$D44=4),$E44*'AT '!D$19,AND($C44="Electric car",$D44=5),$E44*'AT '!D$20,AND($C44="Hybrid car",$D44=1),$E44*'AT '!D$22,AND($C44="Hybrid car",$D44=2),$E44*'AT '!D$23,AND($C44="Hybrid car",$D44=3),$E44*'AT '!D$24,AND($C44="Hybrid car",$D44=4),$E44*'AT '!D$25,AND($C44="Hybrid car",$D44=5),$E44*'AT '!D$26,AND($C44="Electric motorcycle",$D44=1),$E44*'AT '!D$28,AND($C44="Electric motorcycle",$D44=2),$E44*'AT '!D$29,AND($C44="Electric bike",$D44=1),$E44*'AT '!D$31,AND($C44="Electric scooter",$D44=1),$E44*'AT '!D$33,AND($C44="Bus",$D44="Almost empty"),$E44*'AT '!I$23,AND($C44="Bus",$D44="Average"),$E44*'AT '!I$24,AND($C44="Bus",$D44="Nearly full"),$E44*'AT '!I$25,AND($C44="Electric bus",$D44="Almost empty"),$E44*'AT '!I$7,AND($C44="Electric bus",$D44="Average"),$E44*'AT '!I$8,AND($C44="Electric bus",$D44="Nearly full"),$E44*'AT '!I$9,AND($C44="Diesel bus",$D44="Almost empty"),$E44*'AT '!I$19,AND($C44="Diesel bus",$D44="Average"),$E44*'AT '!I$20,AND($C44="Diesel bus",$D44="Nearly full"),$E44*'AT '!I$21,AND($C44="Hybrid-electric bus",$D44="Almost empty"),$E44*'AT '!I$11,AND($C44="Hybrid-electric bus",$D44="Average"),$E44*'AT '!I$12,AND($C44="Hybrid-electric bus",$D44="Nearly full"),$E44*'AT '!I$13,AND($C44="Alternative fuel bus",$D44="Almost empty"),$E44*'AT '!I$15,AND($C44="Alternative fuel bus",$D44="Average"),$E44*'AT '!I$16,AND($C44="Alternative fuel bus",$D44="Nearly full"),$E44*'AT '!I$17,AND($C44="Metro, tram, urban light train",$D44="Almost empty"),$E44*'AT '!D$35,AND($C44="Metro, tram, urban light train",$D44="Average"),$E44*'AT '!D$36,AND($C44="Metro, tram, urban light train",$D44="Nearly full"),$E44*'AT '!D$37,AND($C44="Electric passenger train",$D44="Almost empty"),$E44*'AT '!D$39,AND($C44="Electric passenger train",$D44="Average"),$E44*'AT '!D$40,AND($C44="Electric passenger train",$D44="Nearly full"),$E44*'AT '!D$41,AND($C44="Diesel passenger train",$D44="Almost empty"),$E44*'AT '!D$47,AND($C44="Diesel passenger train",$D44="Average"),$E44*'AT '!D$48,AND($C44="Diesel passenger train",$D44="Nearly full"),$E44*'AT '!D$49,AND($C44="Walking"),$E44*0,AND($C44="Bike"),$E44*0,AND($C44="Plane - domestic flight"),$E44*'AT '!$C68,AND($C44="Plane - international - intra EU"),$E44*'AT '!$C70,AND($C44="Plane - international (extra EU)"),$E44*'AT '!$C72)</f>
        <v>#N/A</v>
      </c>
      <c r="L44" s="218"/>
      <c r="M44" s="219"/>
      <c r="N44" s="220"/>
    </row>
    <row r="45" spans="1:14" x14ac:dyDescent="0.2">
      <c r="A45" s="222"/>
      <c r="B45" s="30"/>
      <c r="C45" s="15"/>
      <c r="D45" s="15"/>
      <c r="E45" s="15"/>
      <c r="F45" s="123" t="e" cm="1">
        <f t="array" ref="F45">_xlfn.IFS(AND($C45="Fuel car",$D45=1),$E45*'AT '!C$7,AND($C45="Fuel car",$D45=2),$E45*'AT '!C$8,AND($C45="Fuel car",$D45=3),$E45*'AT '!C$9,AND($C45="Fuel car",$D45=4),$E45*'AT '!C$10,AND($C45="Fuel car",$D45=5),$E45*'AT '!C$11,AND($C45="Motorcycle",$D45=1),$E45*'AT '!C$13,AND($C45="Motorcycle",$D45=2),$E45*'AT '!C$14,AND($C45="Electric car",$D45=1),$E45*'AT '!C$16,AND($C45="Electric car",$D45=2),$E45*'AT '!C$17,AND($C45="Electric car",$D45=3),$E45*'AT '!C$18,AND($C45="Electric car",$D45=4),$E45*'AT '!C$19,AND($C45="Electric car",$D45=5),$E45*'AT '!C$20,AND($C45="Hybrid car",$D45=1),$E45*'AT '!C$22,AND($C45="Hybrid car",$D45=2),$E45*'AT '!C$23,AND($C45="Hybrid car",$D45=3),$E45*'AT '!C$24,AND($C45="Hybrid car",$D45=4),$E45*'AT '!C$25,AND($C45="Hybrid car",$D45=5),$E45*'AT '!C$26,AND($C45="Electric motorcycle",$D45=1),$E45*'AT '!C$28,AND($C45="Electric motorcycle",$D45=2),$E45*'AT '!C$29,AND($C45="Electric bike",$D45=1),$E45*'AT '!C$31,AND($C45="Electric scooter",$D45=1),$E45*'AT '!C$33,AND($C45="Bus",$D45="Almost empty"),$E45*'AT '!H$23,AND($C45="Bus",$D45="Average"),$E45*'AT '!H$24,AND($C45="Bus",$D45="Nearly full"),$E45*'AT '!H$25,AND($C45="Electric bus",$D45="Almost empty"),$E45*'AT '!H$7,AND($C45="Electric bus",$D45="Average"),$E45*'AT '!H$8,AND($C45="Electric bus",$D45="Nearly full"),$E45*'AT '!H$9,AND($C45="Diesel bus",$D45="Almost empty"),$E45*'AT '!H$19,AND($C45="Diesel bus",$D45="Average"),$E45*'AT '!H$20,AND($C45="Diesel bus",$D45="Nearly full"),$E45*'AT '!H$21,AND($C45="Hybrid-electric bus",$D45="Almost empty"),$E45*'AT '!H$11,AND($C45="Hybrid-electric bus",$D45="Average"),$E45*'AT '!H$12,AND($C45="Hybrid-electric bus",$D45="Nearly full"),$E45*'AT '!H$13,AND($C45="Alternative fuel bus",$D45="Almost empty"),$E45*'AT '!H$15,AND($C45="Alternative fuel bus",$D45="Average"),$E45*'AT '!H$16,AND($C45="Alternative fuel bus",$D45="Nearly full"),$E45*'AT '!H$17,AND($C45="Metro, tram, urban light train",$D45="Almost empty"),$E45*'AT '!C$35,AND($C45="Metro, tram, urban light train",$D45="Average"),$E45*'AT '!C$36,AND($C45="Metro, tram, urban light train",$D45="Nearly full"),$E45*'AT '!C$37,AND($C45="Electric passenger train",$D45="Almost empty"),$E45*'AT '!C$39,AND($C45="Electric passenger train",$D45="Average"),$E45*'AT '!C$40,AND($C45="Electric passenger train",$D45="Nearly full"),$E45*'AT '!C$41,AND($C45="Diesel passenger train",$D45="Almost empty"),$E45*'AT '!C$47,AND($C45="Diesel passenger train",$D45="Average"),$E45*'AT '!C$48,AND($C45="Diesel passenger train",$D45="Nearly full"),$E45*'AT '!C$49,AND($C45="Walking"),$E45*0,AND($C45="Bike"),$E45*0,AND($C45="Plane - domestic flight"),$E45*'AT '!$C69,AND($C45="Plane - international - intra EU"),$E45*'AT '!$C71,AND($C45="Plane - international (extra EU)"),$E45*'AT '!$C73)</f>
        <v>#N/A</v>
      </c>
      <c r="G45" s="31" t="e" cm="1">
        <f t="array" ref="G45">_xlfn.IFS(AND($C45="Fuel car",$D45=1),$E45*'AT '!D$7,AND($C45="Fuel car",$D45=2),$E45*'AT '!D$8,AND($C45="Fuel car",$D45=3),$E45*'AT '!D$9,AND($C45="Fuel car",$D45=4),$E45*'AT '!D$10,AND($C45="Fuel car",$D45=5),$E45*'AT '!D$11,AND($C45="Motorcycle",$D45=1),$E45*'AT '!D$13,AND($C45="Motorcycle",$D45=2),$E45*'AT '!D$14,AND($C45="Electric car",$D45=1),$E45*'AT '!D$16,AND($C45="Electric car",$D45=2),$E45*'AT '!D$17,AND($C45="Electric car",$D45=3),$E45*'AT '!D$18,AND($C45="Electric car",$D45=4),$E45*'AT '!D$19,AND($C45="Electric car",$D45=5),$E45*'AT '!D$20,AND($C45="Hybrid car",$D45=1),$E45*'AT '!D$22,AND($C45="Hybrid car",$D45=2),$E45*'AT '!D$23,AND($C45="Hybrid car",$D45=3),$E45*'AT '!D$24,AND($C45="Hybrid car",$D45=4),$E45*'AT '!D$25,AND($C45="Hybrid car",$D45=5),$E45*'AT '!D$26,AND($C45="Electric motorcycle",$D45=1),$E45*'AT '!D$28,AND($C45="Electric motorcycle",$D45=2),$E45*'AT '!D$29,AND($C45="Electric bike",$D45=1),$E45*'AT '!D$31,AND($C45="Electric scooter",$D45=1),$E45*'AT '!D$33,AND($C45="Bus",$D45="Almost empty"),$E45*'AT '!I$23,AND($C45="Bus",$D45="Average"),$E45*'AT '!I$24,AND($C45="Bus",$D45="Nearly full"),$E45*'AT '!I$25,AND($C45="Electric bus",$D45="Almost empty"),$E45*'AT '!I$7,AND($C45="Electric bus",$D45="Average"),$E45*'AT '!I$8,AND($C45="Electric bus",$D45="Nearly full"),$E45*'AT '!I$9,AND($C45="Diesel bus",$D45="Almost empty"),$E45*'AT '!I$19,AND($C45="Diesel bus",$D45="Average"),$E45*'AT '!I$20,AND($C45="Diesel bus",$D45="Nearly full"),$E45*'AT '!I$21,AND($C45="Hybrid-electric bus",$D45="Almost empty"),$E45*'AT '!I$11,AND($C45="Hybrid-electric bus",$D45="Average"),$E45*'AT '!I$12,AND($C45="Hybrid-electric bus",$D45="Nearly full"),$E45*'AT '!I$13,AND($C45="Alternative fuel bus",$D45="Almost empty"),$E45*'AT '!I$15,AND($C45="Alternative fuel bus",$D45="Average"),$E45*'AT '!I$16,AND($C45="Alternative fuel bus",$D45="Nearly full"),$E45*'AT '!I$17,AND($C45="Metro, tram, urban light train",$D45="Almost empty"),$E45*'AT '!D$35,AND($C45="Metro, tram, urban light train",$D45="Average"),$E45*'AT '!D$36,AND($C45="Metro, tram, urban light train",$D45="Nearly full"),$E45*'AT '!D$37,AND($C45="Electric passenger train",$D45="Almost empty"),$E45*'AT '!D$39,AND($C45="Electric passenger train",$D45="Average"),$E45*'AT '!D$40,AND($C45="Electric passenger train",$D45="Nearly full"),$E45*'AT '!D$41,AND($C45="Diesel passenger train",$D45="Almost empty"),$E45*'AT '!D$47,AND($C45="Diesel passenger train",$D45="Average"),$E45*'AT '!D$48,AND($C45="Diesel passenger train",$D45="Nearly full"),$E45*'AT '!D$49,AND($C45="Walking"),$E45*0,AND($C45="Bike"),$E45*0,AND($C45="Plane - domestic flight"),$E45*'AT '!$C69,AND($C45="Plane - international - intra EU"),$E45*'AT '!$C71,AND($C45="Plane - international (extra EU)"),$E45*'AT '!$C73)</f>
        <v>#N/A</v>
      </c>
      <c r="L45" s="198" t="s">
        <v>256</v>
      </c>
      <c r="M45" s="199"/>
      <c r="N45" s="200"/>
    </row>
    <row r="46" spans="1:14" ht="16" thickBot="1" x14ac:dyDescent="0.25">
      <c r="A46" s="222"/>
      <c r="B46" s="30"/>
      <c r="C46" s="15"/>
      <c r="D46" s="15"/>
      <c r="E46" s="15"/>
      <c r="F46" s="123" t="e" cm="1">
        <f t="array" ref="F46">_xlfn.IFS(AND($C46="Fuel car",$D46=1),$E46*'AT '!C$7,AND($C46="Fuel car",$D46=2),$E46*'AT '!C$8,AND($C46="Fuel car",$D46=3),$E46*'AT '!C$9,AND($C46="Fuel car",$D46=4),$E46*'AT '!C$10,AND($C46="Fuel car",$D46=5),$E46*'AT '!C$11,AND($C46="Motorcycle",$D46=1),$E46*'AT '!C$13,AND($C46="Motorcycle",$D46=2),$E46*'AT '!C$14,AND($C46="Electric car",$D46=1),$E46*'AT '!C$16,AND($C46="Electric car",$D46=2),$E46*'AT '!C$17,AND($C46="Electric car",$D46=3),$E46*'AT '!C$18,AND($C46="Electric car",$D46=4),$E46*'AT '!C$19,AND($C46="Electric car",$D46=5),$E46*'AT '!C$20,AND($C46="Hybrid car",$D46=1),$E46*'AT '!C$22,AND($C46="Hybrid car",$D46=2),$E46*'AT '!C$23,AND($C46="Hybrid car",$D46=3),$E46*'AT '!C$24,AND($C46="Hybrid car",$D46=4),$E46*'AT '!C$25,AND($C46="Hybrid car",$D46=5),$E46*'AT '!C$26,AND($C46="Electric motorcycle",$D46=1),$E46*'AT '!C$28,AND($C46="Electric motorcycle",$D46=2),$E46*'AT '!C$29,AND($C46="Electric bike",$D46=1),$E46*'AT '!C$31,AND($C46="Electric scooter",$D46=1),$E46*'AT '!C$33,AND($C46="Bus",$D46="Almost empty"),$E46*'AT '!H$23,AND($C46="Bus",$D46="Average"),$E46*'AT '!H$24,AND($C46="Bus",$D46="Nearly full"),$E46*'AT '!H$25,AND($C46="Electric bus",$D46="Almost empty"),$E46*'AT '!H$7,AND($C46="Electric bus",$D46="Average"),$E46*'AT '!H$8,AND($C46="Electric bus",$D46="Nearly full"),$E46*'AT '!H$9,AND($C46="Diesel bus",$D46="Almost empty"),$E46*'AT '!H$19,AND($C46="Diesel bus",$D46="Average"),$E46*'AT '!H$20,AND($C46="Diesel bus",$D46="Nearly full"),$E46*'AT '!H$21,AND($C46="Hybrid-electric bus",$D46="Almost empty"),$E46*'AT '!H$11,AND($C46="Hybrid-electric bus",$D46="Average"),$E46*'AT '!H$12,AND($C46="Hybrid-electric bus",$D46="Nearly full"),$E46*'AT '!H$13,AND($C46="Alternative fuel bus",$D46="Almost empty"),$E46*'AT '!H$15,AND($C46="Alternative fuel bus",$D46="Average"),$E46*'AT '!H$16,AND($C46="Alternative fuel bus",$D46="Nearly full"),$E46*'AT '!H$17,AND($C46="Metro, tram, urban light train",$D46="Almost empty"),$E46*'AT '!C$35,AND($C46="Metro, tram, urban light train",$D46="Average"),$E46*'AT '!C$36,AND($C46="Metro, tram, urban light train",$D46="Nearly full"),$E46*'AT '!C$37,AND($C46="Electric passenger train",$D46="Almost empty"),$E46*'AT '!C$39,AND($C46="Electric passenger train",$D46="Average"),$E46*'AT '!C$40,AND($C46="Electric passenger train",$D46="Nearly full"),$E46*'AT '!C$41,AND($C46="Diesel passenger train",$D46="Almost empty"),$E46*'AT '!C$47,AND($C46="Diesel passenger train",$D46="Average"),$E46*'AT '!C$48,AND($C46="Diesel passenger train",$D46="Nearly full"),$E46*'AT '!C$49,AND($C46="Walking"),$E46*0,AND($C46="Bike"),$E46*0,AND($C46="Plane - domestic flight"),$E46*'AT '!$C70,AND($C46="Plane - international - intra EU"),$E46*'AT '!$C72,AND($C46="Plane - international (extra EU)"),$E46*'AT '!$C74)</f>
        <v>#N/A</v>
      </c>
      <c r="G46" s="31" t="e" cm="1">
        <f t="array" ref="G46">_xlfn.IFS(AND($C46="Fuel car",$D46=1),$E46*'AT '!D$7,AND($C46="Fuel car",$D46=2),$E46*'AT '!D$8,AND($C46="Fuel car",$D46=3),$E46*'AT '!D$9,AND($C46="Fuel car",$D46=4),$E46*'AT '!D$10,AND($C46="Fuel car",$D46=5),$E46*'AT '!D$11,AND($C46="Motorcycle",$D46=1),$E46*'AT '!D$13,AND($C46="Motorcycle",$D46=2),$E46*'AT '!D$14,AND($C46="Electric car",$D46=1),$E46*'AT '!D$16,AND($C46="Electric car",$D46=2),$E46*'AT '!D$17,AND($C46="Electric car",$D46=3),$E46*'AT '!D$18,AND($C46="Electric car",$D46=4),$E46*'AT '!D$19,AND($C46="Electric car",$D46=5),$E46*'AT '!D$20,AND($C46="Hybrid car",$D46=1),$E46*'AT '!D$22,AND($C46="Hybrid car",$D46=2),$E46*'AT '!D$23,AND($C46="Hybrid car",$D46=3),$E46*'AT '!D$24,AND($C46="Hybrid car",$D46=4),$E46*'AT '!D$25,AND($C46="Hybrid car",$D46=5),$E46*'AT '!D$26,AND($C46="Electric motorcycle",$D46=1),$E46*'AT '!D$28,AND($C46="Electric motorcycle",$D46=2),$E46*'AT '!D$29,AND($C46="Electric bike",$D46=1),$E46*'AT '!D$31,AND($C46="Electric scooter",$D46=1),$E46*'AT '!D$33,AND($C46="Bus",$D46="Almost empty"),$E46*'AT '!I$23,AND($C46="Bus",$D46="Average"),$E46*'AT '!I$24,AND($C46="Bus",$D46="Nearly full"),$E46*'AT '!I$25,AND($C46="Electric bus",$D46="Almost empty"),$E46*'AT '!I$7,AND($C46="Electric bus",$D46="Average"),$E46*'AT '!I$8,AND($C46="Electric bus",$D46="Nearly full"),$E46*'AT '!I$9,AND($C46="Diesel bus",$D46="Almost empty"),$E46*'AT '!I$19,AND($C46="Diesel bus",$D46="Average"),$E46*'AT '!I$20,AND($C46="Diesel bus",$D46="Nearly full"),$E46*'AT '!I$21,AND($C46="Hybrid-electric bus",$D46="Almost empty"),$E46*'AT '!I$11,AND($C46="Hybrid-electric bus",$D46="Average"),$E46*'AT '!I$12,AND($C46="Hybrid-electric bus",$D46="Nearly full"),$E46*'AT '!I$13,AND($C46="Alternative fuel bus",$D46="Almost empty"),$E46*'AT '!I$15,AND($C46="Alternative fuel bus",$D46="Average"),$E46*'AT '!I$16,AND($C46="Alternative fuel bus",$D46="Nearly full"),$E46*'AT '!I$17,AND($C46="Metro, tram, urban light train",$D46="Almost empty"),$E46*'AT '!D$35,AND($C46="Metro, tram, urban light train",$D46="Average"),$E46*'AT '!D$36,AND($C46="Metro, tram, urban light train",$D46="Nearly full"),$E46*'AT '!D$37,AND($C46="Electric passenger train",$D46="Almost empty"),$E46*'AT '!D$39,AND($C46="Electric passenger train",$D46="Average"),$E46*'AT '!D$40,AND($C46="Electric passenger train",$D46="Nearly full"),$E46*'AT '!D$41,AND($C46="Diesel passenger train",$D46="Almost empty"),$E46*'AT '!D$47,AND($C46="Diesel passenger train",$D46="Average"),$E46*'AT '!D$48,AND($C46="Diesel passenger train",$D46="Nearly full"),$E46*'AT '!D$49,AND($C46="Walking"),$E46*0,AND($C46="Bike"),$E46*0,AND($C46="Plane - domestic flight"),$E46*'AT '!$C70,AND($C46="Plane - international - intra EU"),$E46*'AT '!$C72,AND($C46="Plane - international (extra EU)"),$E46*'AT '!$C74)</f>
        <v>#N/A</v>
      </c>
      <c r="L46" s="246"/>
      <c r="M46" s="247"/>
      <c r="N46" s="248"/>
    </row>
    <row r="47" spans="1:14" ht="20" thickBot="1" x14ac:dyDescent="0.25">
      <c r="A47" s="222"/>
      <c r="B47" s="30"/>
      <c r="C47" s="15"/>
      <c r="D47" s="15"/>
      <c r="E47" s="15"/>
      <c r="F47" s="123" t="e" cm="1">
        <f t="array" ref="F47">_xlfn.IFS(AND($C47="Fuel car",$D47=1),$E47*'AT '!C$7,AND($C47="Fuel car",$D47=2),$E47*'AT '!C$8,AND($C47="Fuel car",$D47=3),$E47*'AT '!C$9,AND($C47="Fuel car",$D47=4),$E47*'AT '!C$10,AND($C47="Fuel car",$D47=5),$E47*'AT '!C$11,AND($C47="Motorcycle",$D47=1),$E47*'AT '!C$13,AND($C47="Motorcycle",$D47=2),$E47*'AT '!C$14,AND($C47="Electric car",$D47=1),$E47*'AT '!C$16,AND($C47="Electric car",$D47=2),$E47*'AT '!C$17,AND($C47="Electric car",$D47=3),$E47*'AT '!C$18,AND($C47="Electric car",$D47=4),$E47*'AT '!C$19,AND($C47="Electric car",$D47=5),$E47*'AT '!C$20,AND($C47="Hybrid car",$D47=1),$E47*'AT '!C$22,AND($C47="Hybrid car",$D47=2),$E47*'AT '!C$23,AND($C47="Hybrid car",$D47=3),$E47*'AT '!C$24,AND($C47="Hybrid car",$D47=4),$E47*'AT '!C$25,AND($C47="Hybrid car",$D47=5),$E47*'AT '!C$26,AND($C47="Electric motorcycle",$D47=1),$E47*'AT '!C$28,AND($C47="Electric motorcycle",$D47=2),$E47*'AT '!C$29,AND($C47="Electric bike",$D47=1),$E47*'AT '!C$31,AND($C47="Electric scooter",$D47=1),$E47*'AT '!C$33,AND($C47="Bus",$D47="Almost empty"),$E47*'AT '!H$23,AND($C47="Bus",$D47="Average"),$E47*'AT '!H$24,AND($C47="Bus",$D47="Nearly full"),$E47*'AT '!H$25,AND($C47="Electric bus",$D47="Almost empty"),$E47*'AT '!H$7,AND($C47="Electric bus",$D47="Average"),$E47*'AT '!H$8,AND($C47="Electric bus",$D47="Nearly full"),$E47*'AT '!H$9,AND($C47="Diesel bus",$D47="Almost empty"),$E47*'AT '!H$19,AND($C47="Diesel bus",$D47="Average"),$E47*'AT '!H$20,AND($C47="Diesel bus",$D47="Nearly full"),$E47*'AT '!H$21,AND($C47="Hybrid-electric bus",$D47="Almost empty"),$E47*'AT '!H$11,AND($C47="Hybrid-electric bus",$D47="Average"),$E47*'AT '!H$12,AND($C47="Hybrid-electric bus",$D47="Nearly full"),$E47*'AT '!H$13,AND($C47="Alternative fuel bus",$D47="Almost empty"),$E47*'AT '!H$15,AND($C47="Alternative fuel bus",$D47="Average"),$E47*'AT '!H$16,AND($C47="Alternative fuel bus",$D47="Nearly full"),$E47*'AT '!H$17,AND($C47="Metro, tram, urban light train",$D47="Almost empty"),$E47*'AT '!C$35,AND($C47="Metro, tram, urban light train",$D47="Average"),$E47*'AT '!C$36,AND($C47="Metro, tram, urban light train",$D47="Nearly full"),$E47*'AT '!C$37,AND($C47="Electric passenger train",$D47="Almost empty"),$E47*'AT '!C$39,AND($C47="Electric passenger train",$D47="Average"),$E47*'AT '!C$40,AND($C47="Electric passenger train",$D47="Nearly full"),$E47*'AT '!C$41,AND($C47="Diesel passenger train",$D47="Almost empty"),$E47*'AT '!C$47,AND($C47="Diesel passenger train",$D47="Average"),$E47*'AT '!C$48,AND($C47="Diesel passenger train",$D47="Nearly full"),$E47*'AT '!C$49,AND($C47="Walking"),$E47*0,AND($C47="Bike"),$E47*0,AND($C47="Plane - domestic flight"),$E47*'AT '!$C71,AND($C47="Plane - international - intra EU"),$E47*'AT '!$C73,AND($C47="Plane - international (extra EU)"),$E47*'AT '!$C75)</f>
        <v>#N/A</v>
      </c>
      <c r="G47" s="31" t="e" cm="1">
        <f t="array" ref="G47">_xlfn.IFS(AND($C47="Fuel car",$D47=1),$E47*'AT '!D$7,AND($C47="Fuel car",$D47=2),$E47*'AT '!D$8,AND($C47="Fuel car",$D47=3),$E47*'AT '!D$9,AND($C47="Fuel car",$D47=4),$E47*'AT '!D$10,AND($C47="Fuel car",$D47=5),$E47*'AT '!D$11,AND($C47="Motorcycle",$D47=1),$E47*'AT '!D$13,AND($C47="Motorcycle",$D47=2),$E47*'AT '!D$14,AND($C47="Electric car",$D47=1),$E47*'AT '!D$16,AND($C47="Electric car",$D47=2),$E47*'AT '!D$17,AND($C47="Electric car",$D47=3),$E47*'AT '!D$18,AND($C47="Electric car",$D47=4),$E47*'AT '!D$19,AND($C47="Electric car",$D47=5),$E47*'AT '!D$20,AND($C47="Hybrid car",$D47=1),$E47*'AT '!D$22,AND($C47="Hybrid car",$D47=2),$E47*'AT '!D$23,AND($C47="Hybrid car",$D47=3),$E47*'AT '!D$24,AND($C47="Hybrid car",$D47=4),$E47*'AT '!D$25,AND($C47="Hybrid car",$D47=5),$E47*'AT '!D$26,AND($C47="Electric motorcycle",$D47=1),$E47*'AT '!D$28,AND($C47="Electric motorcycle",$D47=2),$E47*'AT '!D$29,AND($C47="Electric bike",$D47=1),$E47*'AT '!D$31,AND($C47="Electric scooter",$D47=1),$E47*'AT '!D$33,AND($C47="Bus",$D47="Almost empty"),$E47*'AT '!I$23,AND($C47="Bus",$D47="Average"),$E47*'AT '!I$24,AND($C47="Bus",$D47="Nearly full"),$E47*'AT '!I$25,AND($C47="Electric bus",$D47="Almost empty"),$E47*'AT '!I$7,AND($C47="Electric bus",$D47="Average"),$E47*'AT '!I$8,AND($C47="Electric bus",$D47="Nearly full"),$E47*'AT '!I$9,AND($C47="Diesel bus",$D47="Almost empty"),$E47*'AT '!I$19,AND($C47="Diesel bus",$D47="Average"),$E47*'AT '!I$20,AND($C47="Diesel bus",$D47="Nearly full"),$E47*'AT '!I$21,AND($C47="Hybrid-electric bus",$D47="Almost empty"),$E47*'AT '!I$11,AND($C47="Hybrid-electric bus",$D47="Average"),$E47*'AT '!I$12,AND($C47="Hybrid-electric bus",$D47="Nearly full"),$E47*'AT '!I$13,AND($C47="Alternative fuel bus",$D47="Almost empty"),$E47*'AT '!I$15,AND($C47="Alternative fuel bus",$D47="Average"),$E47*'AT '!I$16,AND($C47="Alternative fuel bus",$D47="Nearly full"),$E47*'AT '!I$17,AND($C47="Metro, tram, urban light train",$D47="Almost empty"),$E47*'AT '!D$35,AND($C47="Metro, tram, urban light train",$D47="Average"),$E47*'AT '!D$36,AND($C47="Metro, tram, urban light train",$D47="Nearly full"),$E47*'AT '!D$37,AND($C47="Electric passenger train",$D47="Almost empty"),$E47*'AT '!D$39,AND($C47="Electric passenger train",$D47="Average"),$E47*'AT '!D$40,AND($C47="Electric passenger train",$D47="Nearly full"),$E47*'AT '!D$41,AND($C47="Diesel passenger train",$D47="Almost empty"),$E47*'AT '!D$47,AND($C47="Diesel passenger train",$D47="Average"),$E47*'AT '!D$48,AND($C47="Diesel passenger train",$D47="Nearly full"),$E47*'AT '!D$49,AND($C47="Walking"),$E47*0,AND($C47="Bike"),$E47*0,AND($C47="Plane - domestic flight"),$E47*'AT '!$C71,AND($C47="Plane - international - intra EU"),$E47*'AT '!$C73,AND($C47="Plane - international (extra EU)"),$E47*'AT '!$C75)</f>
        <v>#N/A</v>
      </c>
      <c r="L47" s="238" t="s">
        <v>56</v>
      </c>
      <c r="M47" s="239"/>
      <c r="N47" s="240"/>
    </row>
    <row r="48" spans="1:14" ht="31.75" customHeight="1" thickBot="1" x14ac:dyDescent="0.25">
      <c r="A48" s="222"/>
      <c r="B48" s="30"/>
      <c r="C48" s="15"/>
      <c r="D48" s="15"/>
      <c r="E48" s="15"/>
      <c r="F48" s="123" t="e" cm="1">
        <f t="array" ref="F48">_xlfn.IFS(AND($C48="Fuel car",$D48=1),$E48*'AT '!C$7,AND($C48="Fuel car",$D48=2),$E48*'AT '!C$8,AND($C48="Fuel car",$D48=3),$E48*'AT '!C$9,AND($C48="Fuel car",$D48=4),$E48*'AT '!C$10,AND($C48="Fuel car",$D48=5),$E48*'AT '!C$11,AND($C48="Motorcycle",$D48=1),$E48*'AT '!C$13,AND($C48="Motorcycle",$D48=2),$E48*'AT '!C$14,AND($C48="Electric car",$D48=1),$E48*'AT '!C$16,AND($C48="Electric car",$D48=2),$E48*'AT '!C$17,AND($C48="Electric car",$D48=3),$E48*'AT '!C$18,AND($C48="Electric car",$D48=4),$E48*'AT '!C$19,AND($C48="Electric car",$D48=5),$E48*'AT '!C$20,AND($C48="Hybrid car",$D48=1),$E48*'AT '!C$22,AND($C48="Hybrid car",$D48=2),$E48*'AT '!C$23,AND($C48="Hybrid car",$D48=3),$E48*'AT '!C$24,AND($C48="Hybrid car",$D48=4),$E48*'AT '!C$25,AND($C48="Hybrid car",$D48=5),$E48*'AT '!C$26,AND($C48="Electric motorcycle",$D48=1),$E48*'AT '!C$28,AND($C48="Electric motorcycle",$D48=2),$E48*'AT '!C$29,AND($C48="Electric bike",$D48=1),$E48*'AT '!C$31,AND($C48="Electric scooter",$D48=1),$E48*'AT '!C$33,AND($C48="Bus",$D48="Almost empty"),$E48*'AT '!H$23,AND($C48="Bus",$D48="Average"),$E48*'AT '!H$24,AND($C48="Bus",$D48="Nearly full"),$E48*'AT '!H$25,AND($C48="Electric bus",$D48="Almost empty"),$E48*'AT '!H$7,AND($C48="Electric bus",$D48="Average"),$E48*'AT '!H$8,AND($C48="Electric bus",$D48="Nearly full"),$E48*'AT '!H$9,AND($C48="Diesel bus",$D48="Almost empty"),$E48*'AT '!H$19,AND($C48="Diesel bus",$D48="Average"),$E48*'AT '!H$20,AND($C48="Diesel bus",$D48="Nearly full"),$E48*'AT '!H$21,AND($C48="Hybrid-electric bus",$D48="Almost empty"),$E48*'AT '!H$11,AND($C48="Hybrid-electric bus",$D48="Average"),$E48*'AT '!H$12,AND($C48="Hybrid-electric bus",$D48="Nearly full"),$E48*'AT '!H$13,AND($C48="Alternative fuel bus",$D48="Almost empty"),$E48*'AT '!H$15,AND($C48="Alternative fuel bus",$D48="Average"),$E48*'AT '!H$16,AND($C48="Alternative fuel bus",$D48="Nearly full"),$E48*'AT '!H$17,AND($C48="Metro, tram, urban light train",$D48="Almost empty"),$E48*'AT '!C$35,AND($C48="Metro, tram, urban light train",$D48="Average"),$E48*'AT '!C$36,AND($C48="Metro, tram, urban light train",$D48="Nearly full"),$E48*'AT '!C$37,AND($C48="Electric passenger train",$D48="Almost empty"),$E48*'AT '!C$39,AND($C48="Electric passenger train",$D48="Average"),$E48*'AT '!C$40,AND($C48="Electric passenger train",$D48="Nearly full"),$E48*'AT '!C$41,AND($C48="Diesel passenger train",$D48="Almost empty"),$E48*'AT '!C$47,AND($C48="Diesel passenger train",$D48="Average"),$E48*'AT '!C$48,AND($C48="Diesel passenger train",$D48="Nearly full"),$E48*'AT '!C$49,AND($C48="Walking"),$E48*0,AND($C48="Bike"),$E48*0,AND($C48="Plane - domestic flight"),$E48*'AT '!$C72,AND($C48="Plane - international - intra EU"),$E48*'AT '!$C74,AND($C48="Plane - international (extra EU)"),$E48*'AT '!$C76)</f>
        <v>#N/A</v>
      </c>
      <c r="G48" s="31" t="e" cm="1">
        <f t="array" ref="G48">_xlfn.IFS(AND($C48="Fuel car",$D48=1),$E48*'AT '!D$7,AND($C48="Fuel car",$D48=2),$E48*'AT '!D$8,AND($C48="Fuel car",$D48=3),$E48*'AT '!D$9,AND($C48="Fuel car",$D48=4),$E48*'AT '!D$10,AND($C48="Fuel car",$D48=5),$E48*'AT '!D$11,AND($C48="Motorcycle",$D48=1),$E48*'AT '!D$13,AND($C48="Motorcycle",$D48=2),$E48*'AT '!D$14,AND($C48="Electric car",$D48=1),$E48*'AT '!D$16,AND($C48="Electric car",$D48=2),$E48*'AT '!D$17,AND($C48="Electric car",$D48=3),$E48*'AT '!D$18,AND($C48="Electric car",$D48=4),$E48*'AT '!D$19,AND($C48="Electric car",$D48=5),$E48*'AT '!D$20,AND($C48="Hybrid car",$D48=1),$E48*'AT '!D$22,AND($C48="Hybrid car",$D48=2),$E48*'AT '!D$23,AND($C48="Hybrid car",$D48=3),$E48*'AT '!D$24,AND($C48="Hybrid car",$D48=4),$E48*'AT '!D$25,AND($C48="Hybrid car",$D48=5),$E48*'AT '!D$26,AND($C48="Electric motorcycle",$D48=1),$E48*'AT '!D$28,AND($C48="Electric motorcycle",$D48=2),$E48*'AT '!D$29,AND($C48="Electric bike",$D48=1),$E48*'AT '!D$31,AND($C48="Electric scooter",$D48=1),$E48*'AT '!D$33,AND($C48="Bus",$D48="Almost empty"),$E48*'AT '!I$23,AND($C48="Bus",$D48="Average"),$E48*'AT '!I$24,AND($C48="Bus",$D48="Nearly full"),$E48*'AT '!I$25,AND($C48="Electric bus",$D48="Almost empty"),$E48*'AT '!I$7,AND($C48="Electric bus",$D48="Average"),$E48*'AT '!I$8,AND($C48="Electric bus",$D48="Nearly full"),$E48*'AT '!I$9,AND($C48="Diesel bus",$D48="Almost empty"),$E48*'AT '!I$19,AND($C48="Diesel bus",$D48="Average"),$E48*'AT '!I$20,AND($C48="Diesel bus",$D48="Nearly full"),$E48*'AT '!I$21,AND($C48="Hybrid-electric bus",$D48="Almost empty"),$E48*'AT '!I$11,AND($C48="Hybrid-electric bus",$D48="Average"),$E48*'AT '!I$12,AND($C48="Hybrid-electric bus",$D48="Nearly full"),$E48*'AT '!I$13,AND($C48="Alternative fuel bus",$D48="Almost empty"),$E48*'AT '!I$15,AND($C48="Alternative fuel bus",$D48="Average"),$E48*'AT '!I$16,AND($C48="Alternative fuel bus",$D48="Nearly full"),$E48*'AT '!I$17,AND($C48="Metro, tram, urban light train",$D48="Almost empty"),$E48*'AT '!D$35,AND($C48="Metro, tram, urban light train",$D48="Average"),$E48*'AT '!D$36,AND($C48="Metro, tram, urban light train",$D48="Nearly full"),$E48*'AT '!D$37,AND($C48="Electric passenger train",$D48="Almost empty"),$E48*'AT '!D$39,AND($C48="Electric passenger train",$D48="Average"),$E48*'AT '!D$40,AND($C48="Electric passenger train",$D48="Nearly full"),$E48*'AT '!D$41,AND($C48="Diesel passenger train",$D48="Almost empty"),$E48*'AT '!D$47,AND($C48="Diesel passenger train",$D48="Average"),$E48*'AT '!D$48,AND($C48="Diesel passenger train",$D48="Nearly full"),$E48*'AT '!D$49,AND($C48="Walking"),$E48*0,AND($C48="Bike"),$E48*0,AND($C48="Plane - domestic flight"),$E48*'AT '!$C72,AND($C48="Plane - international - intra EU"),$E48*'AT '!$C74,AND($C48="Plane - international (extra EU)"),$E48*'AT '!$C76)</f>
        <v>#N/A</v>
      </c>
      <c r="H48" s="196" t="s">
        <v>67</v>
      </c>
      <c r="I48" s="197"/>
      <c r="L48" s="249"/>
      <c r="M48" s="250"/>
      <c r="N48" s="251"/>
    </row>
    <row r="49" spans="1:14" x14ac:dyDescent="0.2">
      <c r="A49" s="222"/>
      <c r="B49" s="30"/>
      <c r="C49" s="15"/>
      <c r="D49" s="15"/>
      <c r="E49" s="15"/>
      <c r="F49" s="123" t="e" cm="1">
        <f t="array" ref="F49">_xlfn.IFS(AND($C49="Fuel car",$D49=1),$E49*'AT '!C$7,AND($C49="Fuel car",$D49=2),$E49*'AT '!C$8,AND($C49="Fuel car",$D49=3),$E49*'AT '!C$9,AND($C49="Fuel car",$D49=4),$E49*'AT '!C$10,AND($C49="Fuel car",$D49=5),$E49*'AT '!C$11,AND($C49="Motorcycle",$D49=1),$E49*'AT '!C$13,AND($C49="Motorcycle",$D49=2),$E49*'AT '!C$14,AND($C49="Electric car",$D49=1),$E49*'AT '!C$16,AND($C49="Electric car",$D49=2),$E49*'AT '!C$17,AND($C49="Electric car",$D49=3),$E49*'AT '!C$18,AND($C49="Electric car",$D49=4),$E49*'AT '!C$19,AND($C49="Electric car",$D49=5),$E49*'AT '!C$20,AND($C49="Hybrid car",$D49=1),$E49*'AT '!C$22,AND($C49="Hybrid car",$D49=2),$E49*'AT '!C$23,AND($C49="Hybrid car",$D49=3),$E49*'AT '!C$24,AND($C49="Hybrid car",$D49=4),$E49*'AT '!C$25,AND($C49="Hybrid car",$D49=5),$E49*'AT '!C$26,AND($C49="Electric motorcycle",$D49=1),$E49*'AT '!C$28,AND($C49="Electric motorcycle",$D49=2),$E49*'AT '!C$29,AND($C49="Electric bike",$D49=1),$E49*'AT '!C$31,AND($C49="Electric scooter",$D49=1),$E49*'AT '!C$33,AND($C49="Bus",$D49="Almost empty"),$E49*'AT '!H$23,AND($C49="Bus",$D49="Average"),$E49*'AT '!H$24,AND($C49="Bus",$D49="Nearly full"),$E49*'AT '!H$25,AND($C49="Electric bus",$D49="Almost empty"),$E49*'AT '!H$7,AND($C49="Electric bus",$D49="Average"),$E49*'AT '!H$8,AND($C49="Electric bus",$D49="Nearly full"),$E49*'AT '!H$9,AND($C49="Diesel bus",$D49="Almost empty"),$E49*'AT '!H$19,AND($C49="Diesel bus",$D49="Average"),$E49*'AT '!H$20,AND($C49="Diesel bus",$D49="Nearly full"),$E49*'AT '!H$21,AND($C49="Hybrid-electric bus",$D49="Almost empty"),$E49*'AT '!H$11,AND($C49="Hybrid-electric bus",$D49="Average"),$E49*'AT '!H$12,AND($C49="Hybrid-electric bus",$D49="Nearly full"),$E49*'AT '!H$13,AND($C49="Alternative fuel bus",$D49="Almost empty"),$E49*'AT '!H$15,AND($C49="Alternative fuel bus",$D49="Average"),$E49*'AT '!H$16,AND($C49="Alternative fuel bus",$D49="Nearly full"),$E49*'AT '!H$17,AND($C49="Metro, tram, urban light train",$D49="Almost empty"),$E49*'AT '!C$35,AND($C49="Metro, tram, urban light train",$D49="Average"),$E49*'AT '!C$36,AND($C49="Metro, tram, urban light train",$D49="Nearly full"),$E49*'AT '!C$37,AND($C49="Electric passenger train",$D49="Almost empty"),$E49*'AT '!C$39,AND($C49="Electric passenger train",$D49="Average"),$E49*'AT '!C$40,AND($C49="Electric passenger train",$D49="Nearly full"),$E49*'AT '!C$41,AND($C49="Diesel passenger train",$D49="Almost empty"),$E49*'AT '!C$47,AND($C49="Diesel passenger train",$D49="Average"),$E49*'AT '!C$48,AND($C49="Diesel passenger train",$D49="Nearly full"),$E49*'AT '!C$49,AND($C49="Walking"),$E49*0,AND($C49="Bike"),$E49*0,AND($C49="Plane - domestic flight"),$E49*'AT '!$C73,AND($C49="Plane - international - intra EU"),$E49*'AT '!$C75,AND($C49="Plane - international (extra EU)"),$E49*'AT '!$C77)</f>
        <v>#N/A</v>
      </c>
      <c r="G49" s="31" t="e" cm="1">
        <f t="array" ref="G49">_xlfn.IFS(AND($C49="Fuel car",$D49=1),$E49*'AT '!D$7,AND($C49="Fuel car",$D49=2),$E49*'AT '!D$8,AND($C49="Fuel car",$D49=3),$E49*'AT '!D$9,AND($C49="Fuel car",$D49=4),$E49*'AT '!D$10,AND($C49="Fuel car",$D49=5),$E49*'AT '!D$11,AND($C49="Motorcycle",$D49=1),$E49*'AT '!D$13,AND($C49="Motorcycle",$D49=2),$E49*'AT '!D$14,AND($C49="Electric car",$D49=1),$E49*'AT '!D$16,AND($C49="Electric car",$D49=2),$E49*'AT '!D$17,AND($C49="Electric car",$D49=3),$E49*'AT '!D$18,AND($C49="Electric car",$D49=4),$E49*'AT '!D$19,AND($C49="Electric car",$D49=5),$E49*'AT '!D$20,AND($C49="Hybrid car",$D49=1),$E49*'AT '!D$22,AND($C49="Hybrid car",$D49=2),$E49*'AT '!D$23,AND($C49="Hybrid car",$D49=3),$E49*'AT '!D$24,AND($C49="Hybrid car",$D49=4),$E49*'AT '!D$25,AND($C49="Hybrid car",$D49=5),$E49*'AT '!D$26,AND($C49="Electric motorcycle",$D49=1),$E49*'AT '!D$28,AND($C49="Electric motorcycle",$D49=2),$E49*'AT '!D$29,AND($C49="Electric bike",$D49=1),$E49*'AT '!D$31,AND($C49="Electric scooter",$D49=1),$E49*'AT '!D$33,AND($C49="Bus",$D49="Almost empty"),$E49*'AT '!I$23,AND($C49="Bus",$D49="Average"),$E49*'AT '!I$24,AND($C49="Bus",$D49="Nearly full"),$E49*'AT '!I$25,AND($C49="Electric bus",$D49="Almost empty"),$E49*'AT '!I$7,AND($C49="Electric bus",$D49="Average"),$E49*'AT '!I$8,AND($C49="Electric bus",$D49="Nearly full"),$E49*'AT '!I$9,AND($C49="Diesel bus",$D49="Almost empty"),$E49*'AT '!I$19,AND($C49="Diesel bus",$D49="Average"),$E49*'AT '!I$20,AND($C49="Diesel bus",$D49="Nearly full"),$E49*'AT '!I$21,AND($C49="Hybrid-electric bus",$D49="Almost empty"),$E49*'AT '!I$11,AND($C49="Hybrid-electric bus",$D49="Average"),$E49*'AT '!I$12,AND($C49="Hybrid-electric bus",$D49="Nearly full"),$E49*'AT '!I$13,AND($C49="Alternative fuel bus",$D49="Almost empty"),$E49*'AT '!I$15,AND($C49="Alternative fuel bus",$D49="Average"),$E49*'AT '!I$16,AND($C49="Alternative fuel bus",$D49="Nearly full"),$E49*'AT '!I$17,AND($C49="Metro, tram, urban light train",$D49="Almost empty"),$E49*'AT '!D$35,AND($C49="Metro, tram, urban light train",$D49="Average"),$E49*'AT '!D$36,AND($C49="Metro, tram, urban light train",$D49="Nearly full"),$E49*'AT '!D$37,AND($C49="Electric passenger train",$D49="Almost empty"),$E49*'AT '!D$39,AND($C49="Electric passenger train",$D49="Average"),$E49*'AT '!D$40,AND($C49="Electric passenger train",$D49="Nearly full"),$E49*'AT '!D$41,AND($C49="Diesel passenger train",$D49="Almost empty"),$E49*'AT '!D$47,AND($C49="Diesel passenger train",$D49="Average"),$E49*'AT '!D$48,AND($C49="Diesel passenger train",$D49="Nearly full"),$E49*'AT '!D$49,AND($C49="Walking"),$E49*0,AND($C49="Bike"),$E49*0,AND($C49="Plane - domestic flight"),$E49*'AT '!$C73,AND($C49="Plane - international - intra EU"),$E49*'AT '!$C75,AND($C49="Plane - international (extra EU)"),$E49*'AT '!$C77)</f>
        <v>#N/A</v>
      </c>
      <c r="H49" s="244" t="s">
        <v>74</v>
      </c>
      <c r="I49" s="141"/>
      <c r="L49" s="252"/>
      <c r="M49" s="253"/>
      <c r="N49" s="254"/>
    </row>
    <row r="50" spans="1:14" ht="16" thickBot="1" x14ac:dyDescent="0.25">
      <c r="A50" s="222"/>
      <c r="B50" s="51"/>
      <c r="C50" s="15"/>
      <c r="D50" s="15"/>
      <c r="E50" s="32"/>
      <c r="F50" s="123" t="e" cm="1">
        <f t="array" ref="F50">_xlfn.IFS(AND($C50="Fuel car",$D50=1),$E50*'AT '!C$7,AND($C50="Fuel car",$D50=2),$E50*'AT '!C$8,AND($C50="Fuel car",$D50=3),$E50*'AT '!C$9,AND($C50="Fuel car",$D50=4),$E50*'AT '!C$10,AND($C50="Fuel car",$D50=5),$E50*'AT '!C$11,AND($C50="Motorcycle",$D50=1),$E50*'AT '!C$13,AND($C50="Motorcycle",$D50=2),$E50*'AT '!C$14,AND($C50="Electric car",$D50=1),$E50*'AT '!C$16,AND($C50="Electric car",$D50=2),$E50*'AT '!C$17,AND($C50="Electric car",$D50=3),$E50*'AT '!C$18,AND($C50="Electric car",$D50=4),$E50*'AT '!C$19,AND($C50="Electric car",$D50=5),$E50*'AT '!C$20,AND($C50="Hybrid car",$D50=1),$E50*'AT '!C$22,AND($C50="Hybrid car",$D50=2),$E50*'AT '!C$23,AND($C50="Hybrid car",$D50=3),$E50*'AT '!C$24,AND($C50="Hybrid car",$D50=4),$E50*'AT '!C$25,AND($C50="Hybrid car",$D50=5),$E50*'AT '!C$26,AND($C50="Electric motorcycle",$D50=1),$E50*'AT '!C$28,AND($C50="Electric motorcycle",$D50=2),$E50*'AT '!C$29,AND($C50="Electric bike",$D50=1),$E50*'AT '!C$31,AND($C50="Electric scooter",$D50=1),$E50*'AT '!C$33,AND($C50="Bus",$D50="Almost empty"),$E50*'AT '!H$23,AND($C50="Bus",$D50="Average"),$E50*'AT '!H$24,AND($C50="Bus",$D50="Nearly full"),$E50*'AT '!H$25,AND($C50="Electric bus",$D50="Almost empty"),$E50*'AT '!H$7,AND($C50="Electric bus",$D50="Average"),$E50*'AT '!H$8,AND($C50="Electric bus",$D50="Nearly full"),$E50*'AT '!H$9,AND($C50="Diesel bus",$D50="Almost empty"),$E50*'AT '!H$19,AND($C50="Diesel bus",$D50="Average"),$E50*'AT '!H$20,AND($C50="Diesel bus",$D50="Nearly full"),$E50*'AT '!H$21,AND($C50="Hybrid-electric bus",$D50="Almost empty"),$E50*'AT '!H$11,AND($C50="Hybrid-electric bus",$D50="Average"),$E50*'AT '!H$12,AND($C50="Hybrid-electric bus",$D50="Nearly full"),$E50*'AT '!H$13,AND($C50="Alternative fuel bus",$D50="Almost empty"),$E50*'AT '!H$15,AND($C50="Alternative fuel bus",$D50="Average"),$E50*'AT '!H$16,AND($C50="Alternative fuel bus",$D50="Nearly full"),$E50*'AT '!H$17,AND($C50="Metro, tram, urban light train",$D50="Almost empty"),$E50*'AT '!C$35,AND($C50="Metro, tram, urban light train",$D50="Average"),$E50*'AT '!C$36,AND($C50="Metro, tram, urban light train",$D50="Nearly full"),$E50*'AT '!C$37,AND($C50="Electric passenger train",$D50="Almost empty"),$E50*'AT '!C$39,AND($C50="Electric passenger train",$D50="Average"),$E50*'AT '!C$40,AND($C50="Electric passenger train",$D50="Nearly full"),$E50*'AT '!C$41,AND($C50="Diesel passenger train",$D50="Almost empty"),$E50*'AT '!C$47,AND($C50="Diesel passenger train",$D50="Average"),$E50*'AT '!C$48,AND($C50="Diesel passenger train",$D50="Nearly full"),$E50*'AT '!C$49,AND($C50="Walking"),$E50*0,AND($C50="Bike"),$E50*0,AND($C50="Plane - domestic flight"),$E50*'AT '!$C74,AND($C50="Plane - international - intra EU"),$E50*'AT '!$C76,AND($C50="Plane - international (extra EU)"),$E50*'AT '!$C78)</f>
        <v>#N/A</v>
      </c>
      <c r="G50" s="31" t="e" cm="1">
        <f t="array" ref="G50">_xlfn.IFS(AND($C50="Fuel car",$D50=1),$E50*'AT '!D$7,AND($C50="Fuel car",$D50=2),$E50*'AT '!D$8,AND($C50="Fuel car",$D50=3),$E50*'AT '!D$9,AND($C50="Fuel car",$D50=4),$E50*'AT '!D$10,AND($C50="Fuel car",$D50=5),$E50*'AT '!D$11,AND($C50="Motorcycle",$D50=1),$E50*'AT '!D$13,AND($C50="Motorcycle",$D50=2),$E50*'AT '!D$14,AND($C50="Electric car",$D50=1),$E50*'AT '!D$16,AND($C50="Electric car",$D50=2),$E50*'AT '!D$17,AND($C50="Electric car",$D50=3),$E50*'AT '!D$18,AND($C50="Electric car",$D50=4),$E50*'AT '!D$19,AND($C50="Electric car",$D50=5),$E50*'AT '!D$20,AND($C50="Hybrid car",$D50=1),$E50*'AT '!D$22,AND($C50="Hybrid car",$D50=2),$E50*'AT '!D$23,AND($C50="Hybrid car",$D50=3),$E50*'AT '!D$24,AND($C50="Hybrid car",$D50=4),$E50*'AT '!D$25,AND($C50="Hybrid car",$D50=5),$E50*'AT '!D$26,AND($C50="Electric motorcycle",$D50=1),$E50*'AT '!D$28,AND($C50="Electric motorcycle",$D50=2),$E50*'AT '!D$29,AND($C50="Electric bike",$D50=1),$E50*'AT '!D$31,AND($C50="Electric scooter",$D50=1),$E50*'AT '!D$33,AND($C50="Bus",$D50="Almost empty"),$E50*'AT '!I$23,AND($C50="Bus",$D50="Average"),$E50*'AT '!I$24,AND($C50="Bus",$D50="Nearly full"),$E50*'AT '!I$25,AND($C50="Electric bus",$D50="Almost empty"),$E50*'AT '!I$7,AND($C50="Electric bus",$D50="Average"),$E50*'AT '!I$8,AND($C50="Electric bus",$D50="Nearly full"),$E50*'AT '!I$9,AND($C50="Diesel bus",$D50="Almost empty"),$E50*'AT '!I$19,AND($C50="Diesel bus",$D50="Average"),$E50*'AT '!I$20,AND($C50="Diesel bus",$D50="Nearly full"),$E50*'AT '!I$21,AND($C50="Hybrid-electric bus",$D50="Almost empty"),$E50*'AT '!I$11,AND($C50="Hybrid-electric bus",$D50="Average"),$E50*'AT '!I$12,AND($C50="Hybrid-electric bus",$D50="Nearly full"),$E50*'AT '!I$13,AND($C50="Alternative fuel bus",$D50="Almost empty"),$E50*'AT '!I$15,AND($C50="Alternative fuel bus",$D50="Average"),$E50*'AT '!I$16,AND($C50="Alternative fuel bus",$D50="Nearly full"),$E50*'AT '!I$17,AND($C50="Metro, tram, urban light train",$D50="Almost empty"),$E50*'AT '!D$35,AND($C50="Metro, tram, urban light train",$D50="Average"),$E50*'AT '!D$36,AND($C50="Metro, tram, urban light train",$D50="Nearly full"),$E50*'AT '!D$37,AND($C50="Electric passenger train",$D50="Almost empty"),$E50*'AT '!D$39,AND($C50="Electric passenger train",$D50="Average"),$E50*'AT '!D$40,AND($C50="Electric passenger train",$D50="Nearly full"),$E50*'AT '!D$41,AND($C50="Diesel passenger train",$D50="Almost empty"),$E50*'AT '!D$47,AND($C50="Diesel passenger train",$D50="Average"),$E50*'AT '!D$48,AND($C50="Diesel passenger train",$D50="Nearly full"),$E50*'AT '!D$49,AND($C50="Walking"),$E50*0,AND($C50="Bike"),$E50*0,AND($C50="Plane - domestic flight"),$E50*'AT '!$C74,AND($C50="Plane - international - intra EU"),$E50*'AT '!$C76,AND($C50="Plane - international (extra EU)"),$E50*'AT '!$C78)</f>
        <v>#N/A</v>
      </c>
      <c r="H50" s="245"/>
      <c r="I50" s="142"/>
      <c r="L50" s="252"/>
      <c r="M50" s="253"/>
      <c r="N50" s="254"/>
    </row>
    <row r="51" spans="1:14" ht="33" thickBot="1" x14ac:dyDescent="0.25">
      <c r="A51" s="222"/>
      <c r="B51" s="53"/>
      <c r="C51" s="34"/>
      <c r="D51" s="34"/>
      <c r="E51" s="34"/>
      <c r="F51" s="54" t="e" cm="1">
        <f t="array" ref="F51">_xlfn.IFS(AND($C51="Fuel car",$D51=1),$E51*'AT '!C$7,AND($C51="Fuel car",$D51=2),$E51*'AT '!C$8,AND($C51="Fuel car",$D51=3),$E51*'AT '!C$9,AND($C51="Fuel car",$D51=4),$E51*'AT '!C$10,AND($C51="Fuel car",$D51=5),$E51*'AT '!C$11,AND($C51="Motorcycle",$D51=1),$E51*'AT '!C$13,AND($C51="Motorcycle",$D51=2),$E51*'AT '!C$14,AND($C51="Electric car",$D51=1),$E51*'AT '!C$16,AND($C51="Electric car",$D51=2),$E51*'AT '!C$17,AND($C51="Electric car",$D51=3),$E51*'AT '!C$18,AND($C51="Electric car",$D51=4),$E51*'AT '!C$19,AND($C51="Electric car",$D51=5),$E51*'AT '!C$20,AND($C51="Hybrid car",$D51=1),$E51*'AT '!C$22,AND($C51="Hybrid car",$D51=2),$E51*'AT '!C$23,AND($C51="Hybrid car",$D51=3),$E51*'AT '!C$24,AND($C51="Hybrid car",$D51=4),$E51*'AT '!C$25,AND($C51="Hybrid car",$D51=5),$E51*'AT '!C$26,AND($C51="Electric motorcycle",$D51=1),$E51*'AT '!C$28,AND($C51="Electric motorcycle",$D51=2),$E51*'AT '!C$29,AND($C51="Electric bike",$D51=1),$E51*'AT '!C$31,AND($C51="Electric scooter",$D51=1),$E51*'AT '!C$33,AND($C51="Bus",$D51="Almost empty"),$E51*'AT '!H$23,AND($C51="Bus",$D51="Average"),$E51*'AT '!H$24,AND($C51="Bus",$D51="Nearly full"),$E51*'AT '!H$25,AND($C51="Electric bus",$D51="Almost empty"),$E51*'AT '!H$7,AND($C51="Electric bus",$D51="Average"),$E51*'AT '!H$8,AND($C51="Electric bus",$D51="Nearly full"),$E51*'AT '!H$9,AND($C51="Diesel bus",$D51="Almost empty"),$E51*'AT '!H$19,AND($C51="Diesel bus",$D51="Average"),$E51*'AT '!H$20,AND($C51="Diesel bus",$D51="Nearly full"),$E51*'AT '!H$21,AND($C51="Hybrid-electric bus",$D51="Almost empty"),$E51*'AT '!H$11,AND($C51="Hybrid-electric bus",$D51="Average"),$E51*'AT '!H$12,AND($C51="Hybrid-electric bus",$D51="Nearly full"),$E51*'AT '!H$13,AND($C51="Alternative fuel bus",$D51="Almost empty"),$E51*'AT '!H$15,AND($C51="Alternative fuel bus",$D51="Average"),$E51*'AT '!H$16,AND($C51="Alternative fuel bus",$D51="Nearly full"),$E51*'AT '!H$17,AND($C51="Metro, tram, urban light train",$D51="Almost empty"),$E51*'AT '!C$35,AND($C51="Metro, tram, urban light train",$D51="Average"),$E51*'AT '!C$36,AND($C51="Metro, tram, urban light train",$D51="Nearly full"),$E51*'AT '!C$37,AND($C51="Electric passenger train",$D51="Almost empty"),$E51*'AT '!C$39,AND($C51="Electric passenger train",$D51="Average"),$E51*'AT '!C$40,AND($C51="Electric passenger train",$D51="Nearly full"),$E51*'AT '!C$41,AND($C51="Diesel passenger train",$D51="Almost empty"),$E51*'AT '!C$47,AND($C51="Diesel passenger train",$D51="Average"),$E51*'AT '!C$48,AND($C51="Diesel passenger train",$D51="Nearly full"),$E51*'AT '!C$49,AND($C51="Walking"),$E51*0,AND($C51="Bike"),$E51*0,AND($C51="Plane - domestic flight"),$E51*'AT '!$C75,AND($C51="Plane - international - intra EU"),$E51*'AT '!$C77,AND($C51="Plane - international (extra EU)"),$E51*'AT '!$C79)</f>
        <v>#N/A</v>
      </c>
      <c r="G51" s="35" t="e" cm="1">
        <f t="array" ref="G51">_xlfn.IFS(AND($C51="Fuel car",$D51=1),$E51*'AT '!D$7,AND($C51="Fuel car",$D51=2),$E51*'AT '!D$8,AND($C51="Fuel car",$D51=3),$E51*'AT '!D$9,AND($C51="Fuel car",$D51=4),$E51*'AT '!D$10,AND($C51="Fuel car",$D51=5),$E51*'AT '!D$11,AND($C51="Motorcycle",$D51=1),$E51*'AT '!D$13,AND($C51="Motorcycle",$D51=2),$E51*'AT '!D$14,AND($C51="Electric car",$D51=1),$E51*'AT '!D$16,AND($C51="Electric car",$D51=2),$E51*'AT '!D$17,AND($C51="Electric car",$D51=3),$E51*'AT '!D$18,AND($C51="Electric car",$D51=4),$E51*'AT '!D$19,AND($C51="Electric car",$D51=5),$E51*'AT '!D$20,AND($C51="Hybrid car",$D51=1),$E51*'AT '!D$22,AND($C51="Hybrid car",$D51=2),$E51*'AT '!D$23,AND($C51="Hybrid car",$D51=3),$E51*'AT '!D$24,AND($C51="Hybrid car",$D51=4),$E51*'AT '!D$25,AND($C51="Hybrid car",$D51=5),$E51*'AT '!D$26,AND($C51="Electric motorcycle",$D51=1),$E51*'AT '!D$28,AND($C51="Electric motorcycle",$D51=2),$E51*'AT '!D$29,AND($C51="Electric bike",$D51=1),$E51*'AT '!D$31,AND($C51="Electric scooter",$D51=1),$E51*'AT '!D$33,AND($C51="Bus",$D51="Almost empty"),$E51*'AT '!I$23,AND($C51="Bus",$D51="Average"),$E51*'AT '!I$24,AND($C51="Bus",$D51="Nearly full"),$E51*'AT '!I$25,AND($C51="Electric bus",$D51="Almost empty"),$E51*'AT '!I$7,AND($C51="Electric bus",$D51="Average"),$E51*'AT '!I$8,AND($C51="Electric bus",$D51="Nearly full"),$E51*'AT '!I$9,AND($C51="Diesel bus",$D51="Almost empty"),$E51*'AT '!I$19,AND($C51="Diesel bus",$D51="Average"),$E51*'AT '!I$20,AND($C51="Diesel bus",$D51="Nearly full"),$E51*'AT '!I$21,AND($C51="Hybrid-electric bus",$D51="Almost empty"),$E51*'AT '!I$11,AND($C51="Hybrid-electric bus",$D51="Average"),$E51*'AT '!I$12,AND($C51="Hybrid-electric bus",$D51="Nearly full"),$E51*'AT '!I$13,AND($C51="Alternative fuel bus",$D51="Almost empty"),$E51*'AT '!I$15,AND($C51="Alternative fuel bus",$D51="Average"),$E51*'AT '!I$16,AND($C51="Alternative fuel bus",$D51="Nearly full"),$E51*'AT '!I$17,AND($C51="Metro, tram, urban light train",$D51="Almost empty"),$E51*'AT '!D$35,AND($C51="Metro, tram, urban light train",$D51="Average"),$E51*'AT '!D$36,AND($C51="Metro, tram, urban light train",$D51="Nearly full"),$E51*'AT '!D$37,AND($C51="Electric passenger train",$D51="Almost empty"),$E51*'AT '!D$39,AND($C51="Electric passenger train",$D51="Average"),$E51*'AT '!D$40,AND($C51="Electric passenger train",$D51="Nearly full"),$E51*'AT '!D$41,AND($C51="Diesel passenger train",$D51="Almost empty"),$E51*'AT '!D$47,AND($C51="Diesel passenger train",$D51="Average"),$E51*'AT '!D$48,AND($C51="Diesel passenger train",$D51="Nearly full"),$E51*'AT '!D$49,AND($C51="Walking"),$E51*0,AND($C51="Bike"),$E51*0,AND($C51="Plane - domestic flight"),$E51*'AT '!$C75,AND($C51="Plane - international - intra EU"),$E51*'AT '!$C77,AND($C51="Plane - international (extra EU)"),$E51*'AT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c r="D55" s="50"/>
      <c r="E55" s="50"/>
    </row>
    <row r="56" spans="1:14" ht="17" thickBot="1" x14ac:dyDescent="0.25">
      <c r="A56" s="221" t="s">
        <v>81</v>
      </c>
      <c r="B56" s="183" t="s">
        <v>82</v>
      </c>
      <c r="C56" s="184"/>
      <c r="D56" s="184"/>
      <c r="E56" s="185"/>
      <c r="G56" s="274" t="s">
        <v>83</v>
      </c>
      <c r="H56" s="275"/>
      <c r="I56" s="276"/>
    </row>
    <row r="57" spans="1:14" ht="32" x14ac:dyDescent="0.2">
      <c r="A57" s="262"/>
      <c r="B57" s="263" t="s">
        <v>84</v>
      </c>
      <c r="C57" s="57" t="s">
        <v>85</v>
      </c>
      <c r="D57" s="100" t="e">
        <f>G16</f>
        <v>#DIV/0!</v>
      </c>
      <c r="E57" s="260" t="s">
        <v>86</v>
      </c>
      <c r="G57" s="263" t="s">
        <v>84</v>
      </c>
      <c r="H57" s="46" t="s">
        <v>85</v>
      </c>
      <c r="I57" s="55" t="e" cm="1">
        <f t="array" ref="I57">_xlfn.IFS(AND(D57&lt;='AT '!L4),"A+",AND(D57&lt;='AT '!M4,D57&gt;'AT '!L4),"A",AND(D57&lt;='AT '!N4,D57&gt;'AT '!M4),"B",AND(D57&lt;='AT '!O4,D57&gt;'AT '!N4),"C",AND(D57&lt;='AT '!P4,D57&gt;'AT '!O4),"D",AND(D57&lt;='AT '!Q4,D57&gt;'AT '!P4),"E",AND(D57&lt;='AT '!R4,D57&gt;'AT '!Q4),"F",AND(D57&gt;'AT '!R4),"G")</f>
        <v>#DIV/0!</v>
      </c>
    </row>
    <row r="58" spans="1:14" ht="32" x14ac:dyDescent="0.2">
      <c r="A58" s="262"/>
      <c r="B58" s="264"/>
      <c r="C58" s="21" t="s">
        <v>87</v>
      </c>
      <c r="D58" s="99" t="str">
        <f>IF(AND(ISNUMBER(H16),ISNUMBER(I24)),H16+I24,IF(ISNUMBER(H16),H16,IF(ISNUMBER(I24),I24,"#")))</f>
        <v>#</v>
      </c>
      <c r="E58" s="277"/>
      <c r="G58" s="264"/>
      <c r="H58" t="s">
        <v>87</v>
      </c>
      <c r="I58" s="56" t="str" cm="1">
        <f t="array" ref="I58">_xlfn.IFS(D58="#","#",AND(D58&lt;='AT '!L5),"A+",AND(D58&lt;='AT '!M5,D58&gt;'AT '!L5),"A",AND(D58&lt;='AT '!N5,D58&gt;'AT '!M5),"B",AND(D58&lt;='AT '!O5,D58&gt;'AT '!N5),"C",AND(D58&lt;='AT '!P5,D58&gt;'AT '!O5),"D",AND(D58&lt;='AT '!Q5,D58&gt;'AT '!P5),"E",AND(D58&lt;='AT '!R5,D58&gt;'AT '!Q5),"F",AND(D58&gt;'AT '!R5),"G")</f>
        <v>#</v>
      </c>
    </row>
    <row r="59" spans="1:14" ht="32" x14ac:dyDescent="0.2">
      <c r="A59" s="262"/>
      <c r="B59" s="264"/>
      <c r="C59" s="21" t="s">
        <v>88</v>
      </c>
      <c r="D59" s="47" t="e">
        <f>IF(ISNUMBER(D58), D57 + D58, D57)</f>
        <v>#DIV/0!</v>
      </c>
      <c r="E59" s="277"/>
      <c r="G59" s="264"/>
      <c r="H59" t="s">
        <v>88</v>
      </c>
      <c r="I59" s="56" t="e" cm="1">
        <f t="array" ref="I59">_xlfn.IFS(AND(D59&lt;='AT '!L6),"A+",AND(D59&lt;='AT '!M6,D59&gt;'AT '!L6),"A",AND(D59&lt;='AT '!N6,D59&gt;'AT '!M6),"B",AND(D59&lt;='AT '!O6,D59&gt;'AT '!N6),"C",AND(D59&lt;='AT '!P6,D59&gt;'AT '!O6),"D",AND(D59&lt;='AT '!Q6,D59&gt;'AT '!P6),"E",AND(D59&lt;='AT '!R6,D59&gt;'AT '!Q6),"F",AND(D59&gt;'AT '!R6),"G")</f>
        <v>#DIV/0!</v>
      </c>
    </row>
    <row r="60" spans="1:14" ht="16" x14ac:dyDescent="0.2">
      <c r="A60" s="262"/>
      <c r="B60" s="264"/>
      <c r="C60" s="21" t="s">
        <v>89</v>
      </c>
      <c r="D60" s="99" t="e">
        <f>I51</f>
        <v>#DIV/0!</v>
      </c>
      <c r="E60" s="277"/>
      <c r="G60" s="264"/>
      <c r="H60" t="s">
        <v>89</v>
      </c>
      <c r="I60" s="56" t="e" cm="1">
        <f t="array" ref="I60">_xlfn.IFS(AND(D60&lt;='AT '!L7),"A+",AND(D60&lt;='AT '!M7,D60&gt;'AT '!L7),"A",AND(D60&lt;='AT '!N7,D60&gt;'AT '!M7),"B",AND(D60&lt;='AT '!O7,D60&gt;'AT '!N7),"C",AND(D60&lt;='AT '!P7,D60&gt;'AT '!O7),"D",AND(D60&lt;='AT '!Q7,D60&gt;'AT '!P7),"E",AND(D60&lt;='AT '!R7,D60&gt;'AT '!Q7),"F",AND(D60&gt;'AT '!R7),"G")</f>
        <v>#DIV/0!</v>
      </c>
    </row>
    <row r="61" spans="1:14" ht="16" thickBot="1" x14ac:dyDescent="0.25">
      <c r="A61" s="262"/>
      <c r="B61" s="265"/>
      <c r="C61" s="16" t="s">
        <v>57</v>
      </c>
      <c r="D61" s="58" t="e">
        <f>SUM(D59:D60)</f>
        <v>#DIV/0!</v>
      </c>
      <c r="E61" s="261"/>
      <c r="G61" s="265"/>
      <c r="H61" s="16" t="s">
        <v>57</v>
      </c>
      <c r="I61" s="1" t="e" cm="1">
        <f t="array" ref="I61">_xlfn.IFS(AND(D61&lt;='AT '!L8),"A+",AND(D61&lt;='AT '!M8,D61&gt;'AT '!L8),"A",AND(D61&lt;='AT '!N8,D61&gt;'AT '!M8),"B",AND(D61&lt;='AT '!O8,D61&gt;'AT '!N8),"C",AND(D61&lt;='AT '!P8,D61&gt;'AT '!O8),"D",AND(D61&lt;='AT '!Q8,D61&gt;'AT '!P8),"E",AND(D61&lt;='AT '!R8,D61&gt;'AT '!Q8),"F",AND(D61&gt;'AT '!R8),"G")</f>
        <v>#DIV/0!</v>
      </c>
    </row>
    <row r="62" spans="1:14" ht="32" x14ac:dyDescent="0.2">
      <c r="A62" s="262"/>
      <c r="B62" s="263" t="s">
        <v>90</v>
      </c>
      <c r="C62" s="57" t="s">
        <v>85</v>
      </c>
      <c r="D62" s="100" t="e">
        <f>I16</f>
        <v>#DIV/0!</v>
      </c>
      <c r="E62" s="266" t="s">
        <v>91</v>
      </c>
      <c r="G62" s="263" t="s">
        <v>90</v>
      </c>
      <c r="H62" s="46" t="s">
        <v>85</v>
      </c>
      <c r="I62" s="55" t="e" cm="1">
        <f t="array" ref="I62">_xlfn.IFS(AND(D62&lt;='AT '!L9),"A+",AND(D62&lt;='AT '!M9,D62&gt;'AT '!L9),"A",AND(D62&lt;='AT '!N9,D62&gt;'AT '!M9),"B",AND(D62&lt;='AT '!O9,D62&gt;'AT '!N9),"C",AND(D62&lt;='AT '!P9,D62&gt;'AT '!O9),"D",AND(D62&lt;='AT '!Q9,D62&gt;'AT '!P9),"E",AND(D62&lt;='AT '!R9,D62&gt;'AT '!Q9),"F",AND(D62&gt;'AT '!R9),"G")</f>
        <v>#DIV/0!</v>
      </c>
    </row>
    <row r="63" spans="1:14" ht="32" x14ac:dyDescent="0.2">
      <c r="A63" s="262"/>
      <c r="B63" s="264"/>
      <c r="C63" s="21" t="s">
        <v>87</v>
      </c>
      <c r="D63" s="99" t="str">
        <f>IF(AND(ISNUMBER(J16),ISNUMBER(J24)),J16+J24,IF(ISNUMBER(J16),J16,IF(ISNUMBER(J24),J24,"#")))</f>
        <v>#</v>
      </c>
      <c r="E63" s="202"/>
      <c r="G63" s="264"/>
      <c r="H63" t="s">
        <v>87</v>
      </c>
      <c r="I63" s="56" t="str" cm="1">
        <f t="array" ref="I63">_xlfn.IFS(D63="#","#",AND(D63&lt;='AT '!L10),"A+",AND(D63&lt;='AT '!M10,D63&gt;'AT '!L10),"A",AND(D63&lt;='AT '!N10,D63&gt;'AT '!M10),"B",AND(D63&lt;='AT '!O10,D63&gt;'AT '!N10),"C",AND(D63&lt;='AT '!P10,D63&gt;'AT '!O10),"D",AND(D63&lt;='AT '!Q10,D63&gt;'AT '!P10),"E",AND(D63&lt;='AT '!R10,D63&gt;'AT '!Q10),"F",AND(D63&gt;'AT '!R10),"G")</f>
        <v>#</v>
      </c>
    </row>
    <row r="64" spans="1:14" ht="32" x14ac:dyDescent="0.2">
      <c r="A64" s="262"/>
      <c r="B64" s="264"/>
      <c r="C64" s="21" t="s">
        <v>92</v>
      </c>
      <c r="D64" s="47" t="e">
        <f>IF(ISNUMBER(D63), D62 + D63, D62)</f>
        <v>#DIV/0!</v>
      </c>
      <c r="E64" s="202"/>
      <c r="G64" s="264"/>
      <c r="H64" t="s">
        <v>92</v>
      </c>
      <c r="I64" s="56" t="e" cm="1">
        <f t="array" ref="I64">_xlfn.IFS(AND(D64&lt;='AT '!L11),"A+",AND(D64&lt;='AT '!M11,D64&gt;'AT '!L11),"A",AND(D64&lt;='AT '!N11,D64&gt;'AT '!M11),"B",AND(D64&lt;='AT '!O11,D64&gt;'AT '!N11),"C",AND(D64&lt;='AT '!P11,D64&gt;'AT '!O11),"D",AND(D64&lt;='AT '!Q11,D64&gt;'AT '!P11),"E",AND(D64&lt;='AT '!R11,D64&gt;'AT '!Q11),"F",AND(D64&gt;'AT '!R11),"G")</f>
        <v>#DIV/0!</v>
      </c>
    </row>
    <row r="65" spans="1:9" x14ac:dyDescent="0.2">
      <c r="A65" s="262"/>
      <c r="B65" s="264"/>
      <c r="C65" t="s">
        <v>89</v>
      </c>
      <c r="D65" s="99" t="e">
        <f>I52</f>
        <v>#DIV/0!</v>
      </c>
      <c r="E65" s="202"/>
      <c r="G65" s="264"/>
      <c r="H65" t="s">
        <v>89</v>
      </c>
      <c r="I65" s="56" t="e" cm="1">
        <f t="array" ref="I65">_xlfn.IFS(AND(D65&lt;='AT '!L12),"A+",AND(D65&lt;='AT '!M12,D65&gt;'AT '!L12),"A",AND(D65&lt;='AT '!N12,D65&gt;'AT '!M12),"B",AND(D65&lt;='AT '!O12,D65&gt;'AT '!N12),"C",AND(D65&lt;='AT '!P12,D65&gt;'AT '!O12),"D",AND(D65&lt;='AT '!Q12,D65&gt;'AT '!P12),"E",AND(D65&lt;='AT '!R12,D65&gt;'AT '!Q12),"F",AND(D65&gt;'AT '!R12),"G")</f>
        <v>#DIV/0!</v>
      </c>
    </row>
    <row r="66" spans="1:9" ht="16" thickBot="1" x14ac:dyDescent="0.25">
      <c r="A66" s="262"/>
      <c r="B66" s="265"/>
      <c r="C66" s="16" t="s">
        <v>57</v>
      </c>
      <c r="D66" s="16" t="e">
        <f>SUM(D64:D65)</f>
        <v>#DIV/0!</v>
      </c>
      <c r="E66" s="267"/>
      <c r="G66" s="265"/>
      <c r="H66" s="16" t="s">
        <v>57</v>
      </c>
      <c r="I66" s="1" t="e" cm="1">
        <f t="array" ref="I66">_xlfn.IFS(AND(D66&lt;='AT '!L13),"A+",AND(D66&lt;='AT '!M13,D66&gt;'AT '!L13),"A",AND(D66&lt;='AT '!N13,D66&gt;'AT '!M13),"B",AND(D66&lt;='AT '!O13,D66&gt;'AT '!N13),"C",AND(D66&lt;='AT '!P13,D66&gt;'AT '!O13),"D",AND(D66&lt;='AT '!Q13,D66&gt;'AT '!P13),"E",AND(D66&lt;='AT '!R13,D66&gt;'AT '!Q13),"F",AND(D66&gt;'AT '!R13),"G")</f>
        <v>#DIV/0!</v>
      </c>
    </row>
  </sheetData>
  <mergeCells count="56">
    <mergeCell ref="N10:P12"/>
    <mergeCell ref="N13:P13"/>
    <mergeCell ref="N14:P16"/>
    <mergeCell ref="K3:K4"/>
    <mergeCell ref="L3:L4"/>
    <mergeCell ref="N3:P4"/>
    <mergeCell ref="N5:P8"/>
    <mergeCell ref="N9:P9"/>
    <mergeCell ref="L26:N26"/>
    <mergeCell ref="B56:E56"/>
    <mergeCell ref="G56:I56"/>
    <mergeCell ref="B57:B61"/>
    <mergeCell ref="E57:E61"/>
    <mergeCell ref="G57:G61"/>
    <mergeCell ref="B27:B28"/>
    <mergeCell ref="C27:C28"/>
    <mergeCell ref="A56:A66"/>
    <mergeCell ref="B62:B66"/>
    <mergeCell ref="E62:E66"/>
    <mergeCell ref="G62:G66"/>
    <mergeCell ref="B18:F18"/>
    <mergeCell ref="A2:A16"/>
    <mergeCell ref="A26:A52"/>
    <mergeCell ref="L33:N36"/>
    <mergeCell ref="L37:N38"/>
    <mergeCell ref="L39:N40"/>
    <mergeCell ref="L41:N42"/>
    <mergeCell ref="L43:N44"/>
    <mergeCell ref="L47:N47"/>
    <mergeCell ref="B52:E52"/>
    <mergeCell ref="H49:H50"/>
    <mergeCell ref="I27:I28"/>
    <mergeCell ref="L27:N29"/>
    <mergeCell ref="B26:G26"/>
    <mergeCell ref="L45:N46"/>
    <mergeCell ref="L48:N52"/>
    <mergeCell ref="L30:N32"/>
    <mergeCell ref="B3:C3"/>
    <mergeCell ref="J3:J4"/>
    <mergeCell ref="B16:C16"/>
    <mergeCell ref="D3:D4"/>
    <mergeCell ref="E3:E4"/>
    <mergeCell ref="F3:F4"/>
    <mergeCell ref="G3:G4"/>
    <mergeCell ref="H3:H4"/>
    <mergeCell ref="I3:I4"/>
    <mergeCell ref="N2:P2"/>
    <mergeCell ref="H48:I48"/>
    <mergeCell ref="H26:J26"/>
    <mergeCell ref="H27:H28"/>
    <mergeCell ref="J27:J28"/>
    <mergeCell ref="B2:D2"/>
    <mergeCell ref="D27:D28"/>
    <mergeCell ref="E27:E28"/>
    <mergeCell ref="F27:F28"/>
    <mergeCell ref="G27:G28"/>
  </mergeCells>
  <conditionalFormatting sqref="I57:I66">
    <cfRule type="cellIs" dxfId="413" priority="7" operator="equal">
      <formula>"A+"</formula>
    </cfRule>
    <cfRule type="containsText" dxfId="412" priority="9" operator="containsText" text="A">
      <formula>NOT(ISERROR(SEARCH("A",I57)))</formula>
    </cfRule>
    <cfRule type="containsText" dxfId="411" priority="10" operator="containsText" text="B">
      <formula>NOT(ISERROR(SEARCH("B",I57)))</formula>
    </cfRule>
    <cfRule type="containsText" dxfId="410" priority="11" operator="containsText" text="C">
      <formula>NOT(ISERROR(SEARCH("C",I57)))</formula>
    </cfRule>
    <cfRule type="containsText" dxfId="409" priority="12" operator="containsText" text="D">
      <formula>NOT(ISERROR(SEARCH("D",I57)))</formula>
    </cfRule>
    <cfRule type="containsText" dxfId="408" priority="13" operator="containsText" text="E">
      <formula>NOT(ISERROR(SEARCH("E",I57)))</formula>
    </cfRule>
    <cfRule type="containsText" dxfId="407" priority="14" operator="containsText" text="F">
      <formula>NOT(ISERROR(SEARCH("F",I57)))</formula>
    </cfRule>
    <cfRule type="containsText" dxfId="406" priority="15" operator="containsText" text="G">
      <formula>NOT(ISERROR(SEARCH("G",I57)))</formula>
    </cfRule>
  </conditionalFormatting>
  <conditionalFormatting sqref="K5:K15">
    <cfRule type="expression" dxfId="1" priority="2" stopIfTrue="1">
      <formula>$O$19="No"</formula>
    </cfRule>
  </conditionalFormatting>
  <conditionalFormatting sqref="L5:L15">
    <cfRule type="expression" dxfId="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B06FC387-76C8-E64F-A417-607671705323}">
      <formula1>AND(Q19="Yes", ISNUMBER(L5))</formula1>
    </dataValidation>
    <dataValidation type="custom" operator="lessThan" allowBlank="1" showErrorMessage="1" errorTitle="Error" error="You can only enter values if you have selected HOME PV. The value must be a number." sqref="K5:K15" xr:uid="{1637C19E-D835-694B-ADF5-579699B23965}">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5FB7B12-6C12-954D-A6A5-65FE9C8DB061}">
          <x14:formula1>
            <xm:f>DATA!$B$3:$B$13</xm:f>
          </x14:formula1>
          <xm:sqref>H2</xm:sqref>
        </x14:dataValidation>
        <x14:dataValidation type="list" allowBlank="1" showInputMessage="1" showErrorMessage="1" xr:uid="{AF61F3F6-D506-0946-BFD2-693EC135FE20}">
          <x14:formula1>
            <xm:f>DATA!$B$15:$B$23</xm:f>
          </x14:formula1>
          <xm:sqref>J2</xm:sqref>
        </x14:dataValidation>
        <x14:dataValidation type="list" allowBlank="1" showInputMessage="1" showErrorMessage="1" xr:uid="{6B087D53-CA96-42E7-BFBE-710436C899AC}">
          <x14:formula1>
            <xm:f>DATA!$J$3:$J$10</xm:f>
          </x14:formula1>
          <xm:sqref>D29:D51</xm:sqref>
        </x14:dataValidation>
        <x14:dataValidation type="list" allowBlank="1" showInputMessage="1" showErrorMessage="1" xr:uid="{48C69802-8140-4B99-9A08-29F8B24DD5D2}">
          <x14:formula1>
            <xm:f>DATA!$H$3:$H$23</xm:f>
          </x14:formula1>
          <xm:sqref>C29:C51</xm:sqref>
        </x14:dataValidation>
        <x14:dataValidation type="list" allowBlank="1" showInputMessage="1" showErrorMessage="1" xr:uid="{E641214C-6DE5-5444-8EEB-41C2D24FF6EE}">
          <x14:formula1>
            <xm:f>DATA!$L$4:$L$5</xm:f>
          </x14:formula1>
          <xm:sqref>O18:O19 Q19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35B7-3704-43D7-9B05-3A31D2B2A2A9}">
  <dimension ref="A1:Q66"/>
  <sheetViews>
    <sheetView zoomScale="80" zoomScaleNormal="80" workbookViewId="0">
      <selection activeCell="I5" sqref="I5"/>
    </sheetView>
  </sheetViews>
  <sheetFormatPr baseColWidth="10" defaultColWidth="11.5" defaultRowHeight="15" x14ac:dyDescent="0.2"/>
  <cols>
    <col min="1" max="1" width="6.5" customWidth="1"/>
    <col min="4" max="4" width="16.5" customWidth="1"/>
    <col min="5" max="5" width="15.5" customWidth="1"/>
    <col min="6" max="6" width="16.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93</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IF($O$18="Yes",(E5/$F$2)*DATA!$C$9,(E5/$F$2)*DATA!$F$4)+IF(ISBLANK(K5),0,K5/$F$2)*DATA!$C$9-IF(ISBLANK(L5),0,L5/$F$2)*DATA!F$4</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IF($O$18="Yes",(E6/$F$2)*DATA!$C$9,(E6/$F$2)*DATA!$F$4)+IF(ISBLANK(K6),0,K6/$F$2)*DATA!$C$9-IF(ISBLANK(L6),0,L6/$F$2)*DATA!F$4</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IF($O$18="Yes",(E7/$F$2)*DATA!$C$9,(E7/$F$2)*DATA!$F$4)+IF(ISBLANK(K7),0,K7/$F$2)*DATA!$C$9-IF(ISBLANK(L7),0,L7/$F$2)*DATA!F$4</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IF($O$18="Yes",(E8/$F$2)*DATA!$C$9,(E8/$F$2)*DATA!$F$4)+IF(ISBLANK(K8),0,K8/$F$2)*DATA!$C$9-IF(ISBLANK(L8),0,L8/$F$2)*DATA!F$4</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IF($O$18="Yes",(E9/$F$2)*DATA!$C$9,(E9/$F$2)*DATA!$F$4)+IF(ISBLANK(K9),0,K9/$F$2)*DATA!$C$9-IF(ISBLANK(L9),0,L9/$F$2)*DATA!F$4</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IF($O$18="Yes",(E10/$F$2)*DATA!$C$9,(E10/$F$2)*DATA!$F$4)+IF(ISBLANK(K10),0,K10/$F$2)*DATA!$C$9-IF(ISBLANK(L10),0,L10/$F$2)*DATA!F$4</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198" t="s">
        <v>295</v>
      </c>
      <c r="O10" s="199"/>
      <c r="P10" s="200"/>
    </row>
    <row r="11" spans="1:16" ht="16" x14ac:dyDescent="0.2">
      <c r="A11" s="221"/>
      <c r="B11" s="24"/>
      <c r="C11" s="13"/>
      <c r="D11" s="14">
        <f t="shared" si="0"/>
        <v>0</v>
      </c>
      <c r="E11" s="15"/>
      <c r="F11" s="15"/>
      <c r="G11" s="25" t="e">
        <f t="shared" si="1"/>
        <v>#DIV/0!</v>
      </c>
      <c r="H11" s="25" t="e">
        <f t="shared" si="2"/>
        <v>#DIV/0!</v>
      </c>
      <c r="I11" s="25" t="e">
        <f>IF($O$18="Yes",(E11/$F$2)*DATA!$C$9,(E11/$F$2)*DATA!$F$4)+IF(ISBLANK(K11),0,K11/$F$2)*DATA!$C$9-IF(ISBLANK(L11),0,L11/$F$2)*DATA!F$4</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15"/>
      <c r="O11" s="316"/>
      <c r="P11" s="317"/>
    </row>
    <row r="12" spans="1:16" ht="17" thickBot="1" x14ac:dyDescent="0.25">
      <c r="A12" s="221"/>
      <c r="B12" s="24"/>
      <c r="C12" s="13"/>
      <c r="D12" s="14">
        <f t="shared" si="0"/>
        <v>0</v>
      </c>
      <c r="E12" s="15"/>
      <c r="F12" s="15"/>
      <c r="G12" s="25" t="e">
        <f t="shared" si="1"/>
        <v>#DIV/0!</v>
      </c>
      <c r="H12" s="25" t="e">
        <f t="shared" si="2"/>
        <v>#DIV/0!</v>
      </c>
      <c r="I12" s="25" t="e">
        <f>IF($O$18="Yes",(E12/$F$2)*DATA!$C$9,(E12/$F$2)*DATA!$F$4)+IF(ISBLANK(K12),0,K12/$F$2)*DATA!$C$9-IF(ISBLANK(L12),0,L12/$F$2)*DATA!F$4</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246"/>
      <c r="O12" s="247"/>
      <c r="P12" s="248"/>
    </row>
    <row r="13" spans="1:16" ht="20" customHeight="1" thickBot="1" x14ac:dyDescent="0.25">
      <c r="A13" s="221"/>
      <c r="B13" s="24"/>
      <c r="C13" s="13"/>
      <c r="D13" s="14">
        <f t="shared" si="0"/>
        <v>0</v>
      </c>
      <c r="E13" s="15"/>
      <c r="F13" s="15"/>
      <c r="G13" s="25" t="e">
        <f t="shared" si="1"/>
        <v>#DIV/0!</v>
      </c>
      <c r="H13" s="25" t="e">
        <f t="shared" si="2"/>
        <v>#DIV/0!</v>
      </c>
      <c r="I13" s="25" t="e">
        <f>IF($O$18="Yes",(E13/$F$2)*DATA!$C$9,(E13/$F$2)*DATA!$F$4)+IF(ISBLANK(K13),0,K13/$F$2)*DATA!$C$9-IF(ISBLANK(L13),0,L13/$F$2)*DATA!F$4</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IF($O$18="Yes",(E14/$F$2)*DATA!$C$9,(E14/$F$2)*DATA!$F$4)+IF(ISBLANK(K14),0,K14/$F$2)*DATA!$C$9-IF(ISBLANK(L14),0,L14/$F$2)*DATA!F$4</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IF($O$18="Yes",(E15/$F$2)*DATA!$C$9,(E15/$F$2)*DATA!$F$4)+IF(ISBLANK(K15),0,K15/$F$2)*DATA!$C$9-IF(ISBLANK(L15),0,L15/$F$2)*DATA!F$4</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29"/>
      <c r="F29" s="123" t="e" cm="1">
        <f t="array" ref="F29">_xlfn.IFS(AND($C29="Fuel car",$D29=1),$E29*'BE '!C$7,AND($C29="Fuel car",$D29=2),$E29*'BE '!C$8,AND($C29="Fuel car",$D29=3),$E29*'BE '!C$9,AND($C29="Fuel car",$D29=4),$E29*'BE '!C$10,AND($C29="Fuel car",$D29=5),$E29*'BE '!C$11,AND($C29="Motorcycle",$D29=1),$E29*'BE '!C$13,AND($C29="Motorcycle",$D29=2),$E29*'BE '!C$14,AND($C29="Electric car",$D29=1),$E29*'BE '!C$16,AND($C29="Electric car",$D29=2),$E29*'BE '!C$17,AND($C29="Electric car",$D29=3),$E29*'BE '!C$18,AND($C29="Electric car",$D29=4),$E29*'BE '!C$19,AND($C29="Electric car",$D29=5),$E29*'BE '!C$20,AND($C29="Hybrid car",$D29=1),$E29*'BE '!C$22,AND($C29="Hybrid car",$D29=2),$E29*'BE '!C$23,AND($C29="Hybrid car",$D29=3),$E29*'BE '!C$24,AND($C29="Hybrid car",$D29=4),$E29*'BE '!C$25,AND($C29="Hybrid car",$D29=5),$E29*'BE '!C$26,AND($C29="Electric motorcycle",$D29=1),$E29*'BE '!C$28,AND($C29="Electric motorcycle",$D29=2),$E29*'BE '!C$29,AND($C29="Electric bike",$D29=1),$E29*'BE '!C$31,AND($C29="Electric scooter",$D29=1),$E29*'BE '!C$33,AND($C29="Bus",$D29="Almost empty"),$E29*'BE '!H$23,AND($C29="Bus",$D29="Average"),$E29*'BE '!H$24,AND($C29="Bus",$D29="Nearly full"),$E29*'BE '!H$25,AND($C29="Electric bus",$D29="Almost empty"),$E29*'BE '!H$7,AND($C29="Electric bus",$D29="Average"),$E29*'BE '!H$8,AND($C29="Electric bus",$D29="Nearly full"),$E29*'BE '!H$9,AND($C29="Diesel bus",$D29="Almost empty"),$E29*'BE '!H$19,AND($C29="Diesel bus",$D29="Average"),$E29*'BE '!H$20,AND($C29="Diesel bus",$D29="Nearly full"),$E29*'BE '!H$21,AND($C29="Hybrid-electric bus",$D29="Almost empty"),$E29*'BE '!H$11,AND($C29="Hybrid-electric bus",$D29="Average"),$E29*'BE '!H$12,AND($C29="Hybrid-electric bus",$D29="Nearly full"),$E29*'BE '!H$13,AND($C29="Alternative fuel bus",$D29="Almost empty"),$E29*'BE '!H$15,AND($C29="Alternative fuel bus",$D29="Average"),$E29*'BE '!H$16,AND($C29="Alternative fuel bus",$D29="Nearly full"),$E29*'BE '!H$17,AND($C29="Metro, tram, urban light train",$D29="Almost empty"),$E29*'BE '!C$35,AND($C29="Metro, tram, urban light train",$D29="Average"),$E29*'BE '!C$36,AND($C29="Metro, tram, urban light train",$D29="Nearly full"),$E29*'BE '!C$37,AND($C29="Electric passenger train",$D29="Almost empty"),$E29*'BE '!C$39,AND($C29="Electric passenger train",$D29="Average"),$E29*'BE '!C$40,AND($C29="Electric passenger train",$D29="Nearly full"),$E29*'BE '!C$41,AND($C29="Diesel passenger train",$D29="Almost empty"),$E29*'BE '!C$47,AND($C29="Diesel passenger train",$D29="Average"),$E29*'BE '!C$48,AND($C29="Diesel passenger train",$D29="Nearly full"),$E29*'BE '!C$49,AND($C29="Walking"),$E29*0,AND($C29="Bike"),$E29*0,AND($C29="Plane - domestic flight"),$E29*'BE '!$C53,AND($C29="Plane - international - intra EU"),$E29*'BE '!$C55,AND($C29="Plane - international (extra EU)"),$E29*'BE '!$C57)</f>
        <v>#N/A</v>
      </c>
      <c r="G29" s="31" t="e" cm="1">
        <f t="array" ref="G29">_xlfn.IFS(AND($C29="Fuel car",$D29=1),$E29*'BE '!D$7,AND($C29="Fuel car",$D29=2),$E29*'BE '!D$8,AND($C29="Fuel car",$D29=3),$E29*'BE '!D$9,AND($C29="Fuel car",$D29=4),$E29*'BE '!D$10,AND($C29="Fuel car",$D29=5),$E29*'BE '!D$11,AND($C29="Motorcycle",$D29=1),$E29*'BE '!D$13,AND($C29="Motorcycle",$D29=2),$E29*'BE '!D$14,AND($C29="Electric car",$D29=1),$E29*'BE '!D$16,AND($C29="Electric car",$D29=2),$E29*'BE '!D$17,AND($C29="Electric car",$D29=3),$E29*'BE '!D$18,AND($C29="Electric car",$D29=4),$E29*'BE '!D$19,AND($C29="Electric car",$D29=5),$E29*'BE '!D$20,AND($C29="Hybrid car",$D29=1),$E29*'BE '!D$22,AND($C29="Hybrid car",$D29=2),$E29*'BE '!D$23,AND($C29="Hybrid car",$D29=3),$E29*'BE '!D$24,AND($C29="Hybrid car",$D29=4),$E29*'BE '!D$25,AND($C29="Hybrid car",$D29=5),$E29*'BE '!D$26,AND($C29="Electric motorcycle",$D29=1),$E29*'BE '!D$28,AND($C29="Electric motorcycle",$D29=2),$E29*'BE '!D$29,AND($C29="Electric bike",$D29=1),$E29*'BE '!D$31,AND($C29="Electric scooter",$D29=1),$E29*'BE '!D$33,AND($C29="Bus",$D29="Almost empty"),$E29*'BE '!I$23,AND($C29="Bus",$D29="Average"),$E29*'BE '!I$24,AND($C29="Bus",$D29="Nearly full"),$E29*'BE '!I$25,AND($C29="Electric bus",$D29="Almost empty"),$E29*'BE '!I$7,AND($C29="Electric bus",$D29="Average"),$E29*'BE '!I$8,AND($C29="Electric bus",$D29="Nearly full"),$E29*'BE '!I$9,AND($C29="Diesel bus",$D29="Almost empty"),$E29*'BE '!I$19,AND($C29="Diesel bus",$D29="Average"),$E29*'BE '!I$20,AND($C29="Diesel bus",$D29="Nearly full"),$E29*'BE '!I$21,AND($C29="Hybrid-electric bus",$D29="Almost empty"),$E29*'BE '!I$11,AND($C29="Hybrid-electric bus",$D29="Average"),$E29*'BE '!I$12,AND($C29="Hybrid-electric bus",$D29="Nearly full"),$E29*'BE '!I$13,AND($C29="Alternative fuel bus",$D29="Almost empty"),$E29*'BE '!I$15,AND($C29="Alternative fuel bus",$D29="Average"),$E29*'BE '!I$16,AND($C29="Alternative fuel bus",$D29="Nearly full"),$E29*'BE '!I$17,AND($C29="Metro, tram, urban light train",$D29="Almost empty"),$E29*'BE '!D$35,AND($C29="Metro, tram, urban light train",$D29="Average"),$E29*'BE '!D$36,AND($C29="Metro, tram, urban light train",$D29="Nearly full"),$E29*'BE '!D$37,AND($C29="Electric passenger train",$D29="Almost empty"),$E29*'BE '!D$39,AND($C29="Electric passenger train",$D29="Average"),$E29*'BE '!D$40,AND($C29="Electric passenger train",$D29="Nearly full"),$E29*'BE '!D$41,AND($C29="Diesel passenger train",$D29="Almost empty"),$E29*'BE '!D$47,AND($C29="Diesel passenger train",$D29="Average"),$E29*'BE '!D$48,AND($C29="Diesel passenger train",$D29="Nearly full"),$E29*'BE '!D$49,AND($C29="Walking"),$E29*0,AND($C29="Bike"),$E29*0,AND($C29="Plane - domestic flight"),$E29*'BE '!$C53,AND($C29="Plane - international - intra EU"),$E29*'BE '!$C55,AND($C29="Plane - international (extra EU)"),$E29*'BE '!$C57)</f>
        <v>#N/A</v>
      </c>
      <c r="H29" s="151"/>
      <c r="I29" s="152">
        <f>H29/10*E29</f>
        <v>0</v>
      </c>
      <c r="J29" s="153" t="e" cm="1">
        <f t="array" ref="J29">_xlfn.IFS(Belgium!C29="Fuel car",Belgium!I29*DATA!$C$17,C29="Electric car",Belgium!I29*DATA!$F$4,Belgium!C29="Hybrid car",Belgium!I29*(0.5*DATA!$C$17+0.5*DATA!$F$4))</f>
        <v>#N/A</v>
      </c>
      <c r="L29" s="218"/>
      <c r="M29" s="219"/>
      <c r="N29" s="220"/>
    </row>
    <row r="30" spans="1:17" ht="42.5" customHeight="1" x14ac:dyDescent="0.2">
      <c r="A30" s="222"/>
      <c r="B30" s="30"/>
      <c r="C30" s="15"/>
      <c r="D30" s="15"/>
      <c r="E30" s="15"/>
      <c r="F30" s="123" t="e" cm="1">
        <f t="array" ref="F30">_xlfn.IFS(AND($C30="Fuel car",$D30=1),$E30*'BE '!C$7,AND($C30="Fuel car",$D30=2),$E30*'BE '!C$8,AND($C30="Fuel car",$D30=3),$E30*'BE '!C$9,AND($C30="Fuel car",$D30=4),$E30*'BE '!C$10,AND($C30="Fuel car",$D30=5),$E30*'BE '!C$11,AND($C30="Motorcycle",$D30=1),$E30*'BE '!C$13,AND($C30="Motorcycle",$D30=2),$E30*'BE '!C$14,AND($C30="Electric car",$D30=1),$E30*'BE '!C$16,AND($C30="Electric car",$D30=2),$E30*'BE '!C$17,AND($C30="Electric car",$D30=3),$E30*'BE '!C$18,AND($C30="Electric car",$D30=4),$E30*'BE '!C$19,AND($C30="Electric car",$D30=5),$E30*'BE '!C$20,AND($C30="Hybrid car",$D30=1),$E30*'BE '!C$22,AND($C30="Hybrid car",$D30=2),$E30*'BE '!C$23,AND($C30="Hybrid car",$D30=3),$E30*'BE '!C$24,AND($C30="Hybrid car",$D30=4),$E30*'BE '!C$25,AND($C30="Hybrid car",$D30=5),$E30*'BE '!C$26,AND($C30="Electric motorcycle",$D30=1),$E30*'BE '!C$28,AND($C30="Electric motorcycle",$D30=2),$E30*'BE '!C$29,AND($C30="Electric bike",$D30=1),$E30*'BE '!C$31,AND($C30="Electric scooter",$D30=1),$E30*'BE '!C$33,AND($C30="Bus",$D30="Almost empty"),$E30*'BE '!H$23,AND($C30="Bus",$D30="Average"),$E30*'BE '!H$24,AND($C30="Bus",$D30="Nearly full"),$E30*'BE '!H$25,AND($C30="Electric bus",$D30="Almost empty"),$E30*'BE '!H$7,AND($C30="Electric bus",$D30="Average"),$E30*'BE '!H$8,AND($C30="Electric bus",$D30="Nearly full"),$E30*'BE '!H$9,AND($C30="Diesel bus",$D30="Almost empty"),$E30*'BE '!H$19,AND($C30="Diesel bus",$D30="Average"),$E30*'BE '!H$20,AND($C30="Diesel bus",$D30="Nearly full"),$E30*'BE '!H$21,AND($C30="Hybrid-electric bus",$D30="Almost empty"),$E30*'BE '!H$11,AND($C30="Hybrid-electric bus",$D30="Average"),$E30*'BE '!H$12,AND($C30="Hybrid-electric bus",$D30="Nearly full"),$E30*'BE '!H$13,AND($C30="Alternative fuel bus",$D30="Almost empty"),$E30*'BE '!H$15,AND($C30="Alternative fuel bus",$D30="Average"),$E30*'BE '!H$16,AND($C30="Alternative fuel bus",$D30="Nearly full"),$E30*'BE '!H$17,AND($C30="Metro, tram, urban light train",$D30="Almost empty"),$E30*'BE '!C$35,AND($C30="Metro, tram, urban light train",$D30="Average"),$E30*'BE '!C$36,AND($C30="Metro, tram, urban light train",$D30="Nearly full"),$E30*'BE '!C$37,AND($C30="Electric passenger train",$D30="Almost empty"),$E30*'BE '!C$39,AND($C30="Electric passenger train",$D30="Average"),$E30*'BE '!C$40,AND($C30="Electric passenger train",$D30="Nearly full"),$E30*'BE '!C$41,AND($C30="Diesel passenger train",$D30="Almost empty"),$E30*'BE '!C$47,AND($C30="Diesel passenger train",$D30="Average"),$E30*'BE '!C$48,AND($C30="Diesel passenger train",$D30="Nearly full"),$E30*'BE '!C$49,AND($C30="Walking"),$E30*0,AND($C30="Bike"),$E30*0,AND($C30="Plane - domestic flight"),$E30*'BE '!$C54,AND($C30="Plane - international - intra EU"),$E30*'BE '!$C56,AND($C30="Plane - international (extra EU)"),$E30*'BE '!$C58)</f>
        <v>#N/A</v>
      </c>
      <c r="G30" s="31" t="e" cm="1">
        <f t="array" ref="G30">_xlfn.IFS(AND($C30="Fuel car",$D30=1),$E30*'BE '!D$7,AND($C30="Fuel car",$D30=2),$E30*'BE '!D$8,AND($C30="Fuel car",$D30=3),$E30*'BE '!D$9,AND($C30="Fuel car",$D30=4),$E30*'BE '!D$10,AND($C30="Fuel car",$D30=5),$E30*'BE '!D$11,AND($C30="Motorcycle",$D30=1),$E30*'BE '!D$13,AND($C30="Motorcycle",$D30=2),$E30*'BE '!D$14,AND($C30="Electric car",$D30=1),$E30*'BE '!D$16,AND($C30="Electric car",$D30=2),$E30*'BE '!D$17,AND($C30="Electric car",$D30=3),$E30*'BE '!D$18,AND($C30="Electric car",$D30=4),$E30*'BE '!D$19,AND($C30="Electric car",$D30=5),$E30*'BE '!D$20,AND($C30="Hybrid car",$D30=1),$E30*'BE '!D$22,AND($C30="Hybrid car",$D30=2),$E30*'BE '!D$23,AND($C30="Hybrid car",$D30=3),$E30*'BE '!D$24,AND($C30="Hybrid car",$D30=4),$E30*'BE '!D$25,AND($C30="Hybrid car",$D30=5),$E30*'BE '!D$26,AND($C30="Electric motorcycle",$D30=1),$E30*'BE '!D$28,AND($C30="Electric motorcycle",$D30=2),$E30*'BE '!D$29,AND($C30="Electric bike",$D30=1),$E30*'BE '!D$31,AND($C30="Electric scooter",$D30=1),$E30*'BE '!D$33,AND($C30="Bus",$D30="Almost empty"),$E30*'BE '!I$23,AND($C30="Bus",$D30="Average"),$E30*'BE '!I$24,AND($C30="Bus",$D30="Nearly full"),$E30*'BE '!I$25,AND($C30="Electric bus",$D30="Almost empty"),$E30*'BE '!I$7,AND($C30="Electric bus",$D30="Average"),$E30*'BE '!I$8,AND($C30="Electric bus",$D30="Nearly full"),$E30*'BE '!I$9,AND($C30="Diesel bus",$D30="Almost empty"),$E30*'BE '!I$19,AND($C30="Diesel bus",$D30="Average"),$E30*'BE '!I$20,AND($C30="Diesel bus",$D30="Nearly full"),$E30*'BE '!I$21,AND($C30="Hybrid-electric bus",$D30="Almost empty"),$E30*'BE '!I$11,AND($C30="Hybrid-electric bus",$D30="Average"),$E30*'BE '!I$12,AND($C30="Hybrid-electric bus",$D30="Nearly full"),$E30*'BE '!I$13,AND($C30="Alternative fuel bus",$D30="Almost empty"),$E30*'BE '!I$15,AND($C30="Alternative fuel bus",$D30="Average"),$E30*'BE '!I$16,AND($C30="Alternative fuel bus",$D30="Nearly full"),$E30*'BE '!I$17,AND($C30="Metro, tram, urban light train",$D30="Almost empty"),$E30*'BE '!D$35,AND($C30="Metro, tram, urban light train",$D30="Average"),$E30*'BE '!D$36,AND($C30="Metro, tram, urban light train",$D30="Nearly full"),$E30*'BE '!D$37,AND($C30="Electric passenger train",$D30="Almost empty"),$E30*'BE '!D$39,AND($C30="Electric passenger train",$D30="Average"),$E30*'BE '!D$40,AND($C30="Electric passenger train",$D30="Nearly full"),$E30*'BE '!D$41,AND($C30="Diesel passenger train",$D30="Almost empty"),$E30*'BE '!D$47,AND($C30="Diesel passenger train",$D30="Average"),$E30*'BE '!D$48,AND($C30="Diesel passenger train",$D30="Nearly full"),$E30*'BE '!D$49,AND($C30="Walking"),$E30*0,AND($C30="Bike"),$E30*0,AND($C30="Plane - domestic flight"),$E30*'BE '!$C54,AND($C30="Plane - international - intra EU"),$E30*'BE '!$C56,AND($C30="Plane - international (extra EU)"),$E30*'BE '!$C58)</f>
        <v>#N/A</v>
      </c>
      <c r="H30" s="145"/>
      <c r="I30" s="148">
        <f t="shared" ref="I30:I43" si="6">H30/10*E30</f>
        <v>0</v>
      </c>
      <c r="J30" s="146" t="e" cm="1">
        <f t="array" ref="J30">_xlfn.IFS(Belgium!C30="Fuel car",Belgium!I30*DATA!$C$17,C30="Electric car",Belgium!I30*DATA!$F$4,Belgium!C30="Hybrid car",Belgium!I30*(0.5*DATA!$C$17+0.5*DATA!$F$4))</f>
        <v>#N/A</v>
      </c>
      <c r="L30" s="215" t="s">
        <v>76</v>
      </c>
      <c r="M30" s="216"/>
      <c r="N30" s="217"/>
    </row>
    <row r="31" spans="1:17" ht="32.5" customHeight="1" x14ac:dyDescent="0.2">
      <c r="A31" s="222"/>
      <c r="B31" s="30"/>
      <c r="C31" s="15"/>
      <c r="D31" s="15"/>
      <c r="E31" s="15"/>
      <c r="F31" s="123" t="e" cm="1">
        <f t="array" ref="F31">_xlfn.IFS(AND($C31="Fuel car",$D31=1),$E31*'BE '!C$7,AND($C31="Fuel car",$D31=2),$E31*'BE '!C$8,AND($C31="Fuel car",$D31=3),$E31*'BE '!C$9,AND($C31="Fuel car",$D31=4),$E31*'BE '!C$10,AND($C31="Fuel car",$D31=5),$E31*'BE '!C$11,AND($C31="Motorcycle",$D31=1),$E31*'BE '!C$13,AND($C31="Motorcycle",$D31=2),$E31*'BE '!C$14,AND($C31="Electric car",$D31=1),$E31*'BE '!C$16,AND($C31="Electric car",$D31=2),$E31*'BE '!C$17,AND($C31="Electric car",$D31=3),$E31*'BE '!C$18,AND($C31="Electric car",$D31=4),$E31*'BE '!C$19,AND($C31="Electric car",$D31=5),$E31*'BE '!C$20,AND($C31="Hybrid car",$D31=1),$E31*'BE '!C$22,AND($C31="Hybrid car",$D31=2),$E31*'BE '!C$23,AND($C31="Hybrid car",$D31=3),$E31*'BE '!C$24,AND($C31="Hybrid car",$D31=4),$E31*'BE '!C$25,AND($C31="Hybrid car",$D31=5),$E31*'BE '!C$26,AND($C31="Electric motorcycle",$D31=1),$E31*'BE '!C$28,AND($C31="Electric motorcycle",$D31=2),$E31*'BE '!C$29,AND($C31="Electric bike",$D31=1),$E31*'BE '!C$31,AND($C31="Electric scooter",$D31=1),$E31*'BE '!C$33,AND($C31="Bus",$D31="Almost empty"),$E31*'BE '!H$23,AND($C31="Bus",$D31="Average"),$E31*'BE '!H$24,AND($C31="Bus",$D31="Nearly full"),$E31*'BE '!H$25,AND($C31="Electric bus",$D31="Almost empty"),$E31*'BE '!H$7,AND($C31="Electric bus",$D31="Average"),$E31*'BE '!H$8,AND($C31="Electric bus",$D31="Nearly full"),$E31*'BE '!H$9,AND($C31="Diesel bus",$D31="Almost empty"),$E31*'BE '!H$19,AND($C31="Diesel bus",$D31="Average"),$E31*'BE '!H$20,AND($C31="Diesel bus",$D31="Nearly full"),$E31*'BE '!H$21,AND($C31="Hybrid-electric bus",$D31="Almost empty"),$E31*'BE '!H$11,AND($C31="Hybrid-electric bus",$D31="Average"),$E31*'BE '!H$12,AND($C31="Hybrid-electric bus",$D31="Nearly full"),$E31*'BE '!H$13,AND($C31="Alternative fuel bus",$D31="Almost empty"),$E31*'BE '!H$15,AND($C31="Alternative fuel bus",$D31="Average"),$E31*'BE '!H$16,AND($C31="Alternative fuel bus",$D31="Nearly full"),$E31*'BE '!H$17,AND($C31="Metro, tram, urban light train",$D31="Almost empty"),$E31*'BE '!C$35,AND($C31="Metro, tram, urban light train",$D31="Average"),$E31*'BE '!C$36,AND($C31="Metro, tram, urban light train",$D31="Nearly full"),$E31*'BE '!C$37,AND($C31="Electric passenger train",$D31="Almost empty"),$E31*'BE '!C$39,AND($C31="Electric passenger train",$D31="Average"),$E31*'BE '!C$40,AND($C31="Electric passenger train",$D31="Nearly full"),$E31*'BE '!C$41,AND($C31="Diesel passenger train",$D31="Almost empty"),$E31*'BE '!C$47,AND($C31="Diesel passenger train",$D31="Average"),$E31*'BE '!C$48,AND($C31="Diesel passenger train",$D31="Nearly full"),$E31*'BE '!C$49,AND($C31="Walking"),$E31*0,AND($C31="Bike"),$E31*0,AND($C31="Plane - domestic flight"),$E31*'BE '!$C55,AND($C31="Plane - international - intra EU"),$E31*'BE '!$C57,AND($C31="Plane - international (extra EU)"),$E31*'BE '!$C59)</f>
        <v>#N/A</v>
      </c>
      <c r="G31" s="31" t="e" cm="1">
        <f t="array" ref="G31">_xlfn.IFS(AND($C31="Fuel car",$D31=1),$E31*'BE '!D$7,AND($C31="Fuel car",$D31=2),$E31*'BE '!D$8,AND($C31="Fuel car",$D31=3),$E31*'BE '!D$9,AND($C31="Fuel car",$D31=4),$E31*'BE '!D$10,AND($C31="Fuel car",$D31=5),$E31*'BE '!D$11,AND($C31="Motorcycle",$D31=1),$E31*'BE '!D$13,AND($C31="Motorcycle",$D31=2),$E31*'BE '!D$14,AND($C31="Electric car",$D31=1),$E31*'BE '!D$16,AND($C31="Electric car",$D31=2),$E31*'BE '!D$17,AND($C31="Electric car",$D31=3),$E31*'BE '!D$18,AND($C31="Electric car",$D31=4),$E31*'BE '!D$19,AND($C31="Electric car",$D31=5),$E31*'BE '!D$20,AND($C31="Hybrid car",$D31=1),$E31*'BE '!D$22,AND($C31="Hybrid car",$D31=2),$E31*'BE '!D$23,AND($C31="Hybrid car",$D31=3),$E31*'BE '!D$24,AND($C31="Hybrid car",$D31=4),$E31*'BE '!D$25,AND($C31="Hybrid car",$D31=5),$E31*'BE '!D$26,AND($C31="Electric motorcycle",$D31=1),$E31*'BE '!D$28,AND($C31="Electric motorcycle",$D31=2),$E31*'BE '!D$29,AND($C31="Electric bike",$D31=1),$E31*'BE '!D$31,AND($C31="Electric scooter",$D31=1),$E31*'BE '!D$33,AND($C31="Bus",$D31="Almost empty"),$E31*'BE '!I$23,AND($C31="Bus",$D31="Average"),$E31*'BE '!I$24,AND($C31="Bus",$D31="Nearly full"),$E31*'BE '!I$25,AND($C31="Electric bus",$D31="Almost empty"),$E31*'BE '!I$7,AND($C31="Electric bus",$D31="Average"),$E31*'BE '!I$8,AND($C31="Electric bus",$D31="Nearly full"),$E31*'BE '!I$9,AND($C31="Diesel bus",$D31="Almost empty"),$E31*'BE '!I$19,AND($C31="Diesel bus",$D31="Average"),$E31*'BE '!I$20,AND($C31="Diesel bus",$D31="Nearly full"),$E31*'BE '!I$21,AND($C31="Hybrid-electric bus",$D31="Almost empty"),$E31*'BE '!I$11,AND($C31="Hybrid-electric bus",$D31="Average"),$E31*'BE '!I$12,AND($C31="Hybrid-electric bus",$D31="Nearly full"),$E31*'BE '!I$13,AND($C31="Alternative fuel bus",$D31="Almost empty"),$E31*'BE '!I$15,AND($C31="Alternative fuel bus",$D31="Average"),$E31*'BE '!I$16,AND($C31="Alternative fuel bus",$D31="Nearly full"),$E31*'BE '!I$17,AND($C31="Metro, tram, urban light train",$D31="Almost empty"),$E31*'BE '!D$35,AND($C31="Metro, tram, urban light train",$D31="Average"),$E31*'BE '!D$36,AND($C31="Metro, tram, urban light train",$D31="Nearly full"),$E31*'BE '!D$37,AND($C31="Electric passenger train",$D31="Almost empty"),$E31*'BE '!D$39,AND($C31="Electric passenger train",$D31="Average"),$E31*'BE '!D$40,AND($C31="Electric passenger train",$D31="Nearly full"),$E31*'BE '!D$41,AND($C31="Diesel passenger train",$D31="Almost empty"),$E31*'BE '!D$47,AND($C31="Diesel passenger train",$D31="Average"),$E31*'BE '!D$48,AND($C31="Diesel passenger train",$D31="Nearly full"),$E31*'BE '!D$49,AND($C31="Walking"),$E31*0,AND($C31="Bike"),$E31*0,AND($C31="Plane - domestic flight"),$E31*'BE '!$C55,AND($C31="Plane - international - intra EU"),$E31*'BE '!$C57,AND($C31="Plane - international (extra EU)"),$E31*'BE '!$C59)</f>
        <v>#N/A</v>
      </c>
      <c r="H31" s="145"/>
      <c r="I31" s="148">
        <f t="shared" si="6"/>
        <v>0</v>
      </c>
      <c r="J31" s="146" t="e" cm="1">
        <f t="array" ref="J31">_xlfn.IFS(Belgium!C31="Fuel car",Belgium!I31*DATA!$C$17,C31="Electric car",Belgium!I31*DATA!$F$4,Belgium!C31="Hybrid car",Belgium!I31*(0.5*DATA!$C$17+0.5*DATA!$F$4))</f>
        <v>#N/A</v>
      </c>
      <c r="L31" s="223"/>
      <c r="M31" s="224"/>
      <c r="N31" s="225"/>
    </row>
    <row r="32" spans="1:17" ht="16" thickBot="1" x14ac:dyDescent="0.25">
      <c r="A32" s="222"/>
      <c r="B32" s="30"/>
      <c r="C32" s="15"/>
      <c r="D32" s="15"/>
      <c r="E32" s="15"/>
      <c r="F32" s="123" t="e" cm="1">
        <f t="array" ref="F32">_xlfn.IFS(AND($C32="Fuel car",$D32=1),$E32*'BE '!C$7,AND($C32="Fuel car",$D32=2),$E32*'BE '!C$8,AND($C32="Fuel car",$D32=3),$E32*'BE '!C$9,AND($C32="Fuel car",$D32=4),$E32*'BE '!C$10,AND($C32="Fuel car",$D32=5),$E32*'BE '!C$11,AND($C32="Motorcycle",$D32=1),$E32*'BE '!C$13,AND($C32="Motorcycle",$D32=2),$E32*'BE '!C$14,AND($C32="Electric car",$D32=1),$E32*'BE '!C$16,AND($C32="Electric car",$D32=2),$E32*'BE '!C$17,AND($C32="Electric car",$D32=3),$E32*'BE '!C$18,AND($C32="Electric car",$D32=4),$E32*'BE '!C$19,AND($C32="Electric car",$D32=5),$E32*'BE '!C$20,AND($C32="Hybrid car",$D32=1),$E32*'BE '!C$22,AND($C32="Hybrid car",$D32=2),$E32*'BE '!C$23,AND($C32="Hybrid car",$D32=3),$E32*'BE '!C$24,AND($C32="Hybrid car",$D32=4),$E32*'BE '!C$25,AND($C32="Hybrid car",$D32=5),$E32*'BE '!C$26,AND($C32="Electric motorcycle",$D32=1),$E32*'BE '!C$28,AND($C32="Electric motorcycle",$D32=2),$E32*'BE '!C$29,AND($C32="Electric bike",$D32=1),$E32*'BE '!C$31,AND($C32="Electric scooter",$D32=1),$E32*'BE '!C$33,AND($C32="Bus",$D32="Almost empty"),$E32*'BE '!H$23,AND($C32="Bus",$D32="Average"),$E32*'BE '!H$24,AND($C32="Bus",$D32="Nearly full"),$E32*'BE '!H$25,AND($C32="Electric bus",$D32="Almost empty"),$E32*'BE '!H$7,AND($C32="Electric bus",$D32="Average"),$E32*'BE '!H$8,AND($C32="Electric bus",$D32="Nearly full"),$E32*'BE '!H$9,AND($C32="Diesel bus",$D32="Almost empty"),$E32*'BE '!H$19,AND($C32="Diesel bus",$D32="Average"),$E32*'BE '!H$20,AND($C32="Diesel bus",$D32="Nearly full"),$E32*'BE '!H$21,AND($C32="Hybrid-electric bus",$D32="Almost empty"),$E32*'BE '!H$11,AND($C32="Hybrid-electric bus",$D32="Average"),$E32*'BE '!H$12,AND($C32="Hybrid-electric bus",$D32="Nearly full"),$E32*'BE '!H$13,AND($C32="Alternative fuel bus",$D32="Almost empty"),$E32*'BE '!H$15,AND($C32="Alternative fuel bus",$D32="Average"),$E32*'BE '!H$16,AND($C32="Alternative fuel bus",$D32="Nearly full"),$E32*'BE '!H$17,AND($C32="Metro, tram, urban light train",$D32="Almost empty"),$E32*'BE '!C$35,AND($C32="Metro, tram, urban light train",$D32="Average"),$E32*'BE '!C$36,AND($C32="Metro, tram, urban light train",$D32="Nearly full"),$E32*'BE '!C$37,AND($C32="Electric passenger train",$D32="Almost empty"),$E32*'BE '!C$39,AND($C32="Electric passenger train",$D32="Average"),$E32*'BE '!C$40,AND($C32="Electric passenger train",$D32="Nearly full"),$E32*'BE '!C$41,AND($C32="Diesel passenger train",$D32="Almost empty"),$E32*'BE '!C$47,AND($C32="Diesel passenger train",$D32="Average"),$E32*'BE '!C$48,AND($C32="Diesel passenger train",$D32="Nearly full"),$E32*'BE '!C$49,AND($C32="Walking"),$E32*0,AND($C32="Bike"),$E32*0,AND($C32="Plane - domestic flight"),$E32*'BE '!$C56,AND($C32="Plane - international - intra EU"),$E32*'BE '!$C58,AND($C32="Plane - international (extra EU)"),$E32*'BE '!$C60)</f>
        <v>#N/A</v>
      </c>
      <c r="G32" s="31" t="e" cm="1">
        <f t="array" ref="G32">_xlfn.IFS(AND($C32="Fuel car",$D32=1),$E32*'BE '!D$7,AND($C32="Fuel car",$D32=2),$E32*'BE '!D$8,AND($C32="Fuel car",$D32=3),$E32*'BE '!D$9,AND($C32="Fuel car",$D32=4),$E32*'BE '!D$10,AND($C32="Fuel car",$D32=5),$E32*'BE '!D$11,AND($C32="Motorcycle",$D32=1),$E32*'BE '!D$13,AND($C32="Motorcycle",$D32=2),$E32*'BE '!D$14,AND($C32="Electric car",$D32=1),$E32*'BE '!D$16,AND($C32="Electric car",$D32=2),$E32*'BE '!D$17,AND($C32="Electric car",$D32=3),$E32*'BE '!D$18,AND($C32="Electric car",$D32=4),$E32*'BE '!D$19,AND($C32="Electric car",$D32=5),$E32*'BE '!D$20,AND($C32="Hybrid car",$D32=1),$E32*'BE '!D$22,AND($C32="Hybrid car",$D32=2),$E32*'BE '!D$23,AND($C32="Hybrid car",$D32=3),$E32*'BE '!D$24,AND($C32="Hybrid car",$D32=4),$E32*'BE '!D$25,AND($C32="Hybrid car",$D32=5),$E32*'BE '!D$26,AND($C32="Electric motorcycle",$D32=1),$E32*'BE '!D$28,AND($C32="Electric motorcycle",$D32=2),$E32*'BE '!D$29,AND($C32="Electric bike",$D32=1),$E32*'BE '!D$31,AND($C32="Electric scooter",$D32=1),$E32*'BE '!D$33,AND($C32="Bus",$D32="Almost empty"),$E32*'BE '!I$23,AND($C32="Bus",$D32="Average"),$E32*'BE '!I$24,AND($C32="Bus",$D32="Nearly full"),$E32*'BE '!I$25,AND($C32="Electric bus",$D32="Almost empty"),$E32*'BE '!I$7,AND($C32="Electric bus",$D32="Average"),$E32*'BE '!I$8,AND($C32="Electric bus",$D32="Nearly full"),$E32*'BE '!I$9,AND($C32="Diesel bus",$D32="Almost empty"),$E32*'BE '!I$19,AND($C32="Diesel bus",$D32="Average"),$E32*'BE '!I$20,AND($C32="Diesel bus",$D32="Nearly full"),$E32*'BE '!I$21,AND($C32="Hybrid-electric bus",$D32="Almost empty"),$E32*'BE '!I$11,AND($C32="Hybrid-electric bus",$D32="Average"),$E32*'BE '!I$12,AND($C32="Hybrid-electric bus",$D32="Nearly full"),$E32*'BE '!I$13,AND($C32="Alternative fuel bus",$D32="Almost empty"),$E32*'BE '!I$15,AND($C32="Alternative fuel bus",$D32="Average"),$E32*'BE '!I$16,AND($C32="Alternative fuel bus",$D32="Nearly full"),$E32*'BE '!I$17,AND($C32="Metro, tram, urban light train",$D32="Almost empty"),$E32*'BE '!D$35,AND($C32="Metro, tram, urban light train",$D32="Average"),$E32*'BE '!D$36,AND($C32="Metro, tram, urban light train",$D32="Nearly full"),$E32*'BE '!D$37,AND($C32="Electric passenger train",$D32="Almost empty"),$E32*'BE '!D$39,AND($C32="Electric passenger train",$D32="Average"),$E32*'BE '!D$40,AND($C32="Electric passenger train",$D32="Nearly full"),$E32*'BE '!D$41,AND($C32="Diesel passenger train",$D32="Almost empty"),$E32*'BE '!D$47,AND($C32="Diesel passenger train",$D32="Average"),$E32*'BE '!D$48,AND($C32="Diesel passenger train",$D32="Nearly full"),$E32*'BE '!D$49,AND($C32="Walking"),$E32*0,AND($C32="Bike"),$E32*0,AND($C32="Plane - domestic flight"),$E32*'BE '!$C56,AND($C32="Plane - international - intra EU"),$E32*'BE '!$C58,AND($C32="Plane - international (extra EU)"),$E32*'BE '!$C60)</f>
        <v>#N/A</v>
      </c>
      <c r="H32" s="145"/>
      <c r="I32" s="148">
        <f t="shared" si="6"/>
        <v>0</v>
      </c>
      <c r="J32" s="146" t="e" cm="1">
        <f t="array" ref="J32">_xlfn.IFS(Belgium!C32="Fuel car",Belgium!I32*DATA!$C$17,C32="Electric car",Belgium!I32*DATA!$F$4,Belgium!C32="Hybrid car",Belgium!I32*(0.5*DATA!$C$17+0.5*DATA!$F$4))</f>
        <v>#N/A</v>
      </c>
      <c r="L32" s="218"/>
      <c r="M32" s="219"/>
      <c r="N32" s="220"/>
    </row>
    <row r="33" spans="1:14" ht="14.5" customHeight="1" x14ac:dyDescent="0.2">
      <c r="A33" s="222"/>
      <c r="B33" s="30"/>
      <c r="C33" s="15"/>
      <c r="D33" s="15"/>
      <c r="E33" s="15"/>
      <c r="F33" s="123" t="e" cm="1">
        <f t="array" ref="F33">_xlfn.IFS(AND($C33="Fuel car",$D33=1),$E33*'BE '!C$7,AND($C33="Fuel car",$D33=2),$E33*'BE '!C$8,AND($C33="Fuel car",$D33=3),$E33*'BE '!C$9,AND($C33="Fuel car",$D33=4),$E33*'BE '!C$10,AND($C33="Fuel car",$D33=5),$E33*'BE '!C$11,AND($C33="Motorcycle",$D33=1),$E33*'BE '!C$13,AND($C33="Motorcycle",$D33=2),$E33*'BE '!C$14,AND($C33="Electric car",$D33=1),$E33*'BE '!C$16,AND($C33="Electric car",$D33=2),$E33*'BE '!C$17,AND($C33="Electric car",$D33=3),$E33*'BE '!C$18,AND($C33="Electric car",$D33=4),$E33*'BE '!C$19,AND($C33="Electric car",$D33=5),$E33*'BE '!C$20,AND($C33="Hybrid car",$D33=1),$E33*'BE '!C$22,AND($C33="Hybrid car",$D33=2),$E33*'BE '!C$23,AND($C33="Hybrid car",$D33=3),$E33*'BE '!C$24,AND($C33="Hybrid car",$D33=4),$E33*'BE '!C$25,AND($C33="Hybrid car",$D33=5),$E33*'BE '!C$26,AND($C33="Electric motorcycle",$D33=1),$E33*'BE '!C$28,AND($C33="Electric motorcycle",$D33=2),$E33*'BE '!C$29,AND($C33="Electric bike",$D33=1),$E33*'BE '!C$31,AND($C33="Electric scooter",$D33=1),$E33*'BE '!C$33,AND($C33="Bus",$D33="Almost empty"),$E33*'BE '!H$23,AND($C33="Bus",$D33="Average"),$E33*'BE '!H$24,AND($C33="Bus",$D33="Nearly full"),$E33*'BE '!H$25,AND($C33="Electric bus",$D33="Almost empty"),$E33*'BE '!H$7,AND($C33="Electric bus",$D33="Average"),$E33*'BE '!H$8,AND($C33="Electric bus",$D33="Nearly full"),$E33*'BE '!H$9,AND($C33="Diesel bus",$D33="Almost empty"),$E33*'BE '!H$19,AND($C33="Diesel bus",$D33="Average"),$E33*'BE '!H$20,AND($C33="Diesel bus",$D33="Nearly full"),$E33*'BE '!H$21,AND($C33="Hybrid-electric bus",$D33="Almost empty"),$E33*'BE '!H$11,AND($C33="Hybrid-electric bus",$D33="Average"),$E33*'BE '!H$12,AND($C33="Hybrid-electric bus",$D33="Nearly full"),$E33*'BE '!H$13,AND($C33="Alternative fuel bus",$D33="Almost empty"),$E33*'BE '!H$15,AND($C33="Alternative fuel bus",$D33="Average"),$E33*'BE '!H$16,AND($C33="Alternative fuel bus",$D33="Nearly full"),$E33*'BE '!H$17,AND($C33="Metro, tram, urban light train",$D33="Almost empty"),$E33*'BE '!C$35,AND($C33="Metro, tram, urban light train",$D33="Average"),$E33*'BE '!C$36,AND($C33="Metro, tram, urban light train",$D33="Nearly full"),$E33*'BE '!C$37,AND($C33="Electric passenger train",$D33="Almost empty"),$E33*'BE '!C$39,AND($C33="Electric passenger train",$D33="Average"),$E33*'BE '!C$40,AND($C33="Electric passenger train",$D33="Nearly full"),$E33*'BE '!C$41,AND($C33="Diesel passenger train",$D33="Almost empty"),$E33*'BE '!C$47,AND($C33="Diesel passenger train",$D33="Average"),$E33*'BE '!C$48,AND($C33="Diesel passenger train",$D33="Nearly full"),$E33*'BE '!C$49,AND($C33="Walking"),$E33*0,AND($C33="Bike"),$E33*0,AND($C33="Plane - domestic flight"),$E33*'BE '!$C57,AND($C33="Plane - international - intra EU"),$E33*'BE '!$C59,AND($C33="Plane - international (extra EU)"),$E33*'BE '!$C61)</f>
        <v>#N/A</v>
      </c>
      <c r="G33" s="31" t="e" cm="1">
        <f t="array" ref="G33">_xlfn.IFS(AND($C33="Fuel car",$D33=1),$E33*'BE '!D$7,AND($C33="Fuel car",$D33=2),$E33*'BE '!D$8,AND($C33="Fuel car",$D33=3),$E33*'BE '!D$9,AND($C33="Fuel car",$D33=4),$E33*'BE '!D$10,AND($C33="Fuel car",$D33=5),$E33*'BE '!D$11,AND($C33="Motorcycle",$D33=1),$E33*'BE '!D$13,AND($C33="Motorcycle",$D33=2),$E33*'BE '!D$14,AND($C33="Electric car",$D33=1),$E33*'BE '!D$16,AND($C33="Electric car",$D33=2),$E33*'BE '!D$17,AND($C33="Electric car",$D33=3),$E33*'BE '!D$18,AND($C33="Electric car",$D33=4),$E33*'BE '!D$19,AND($C33="Electric car",$D33=5),$E33*'BE '!D$20,AND($C33="Hybrid car",$D33=1),$E33*'BE '!D$22,AND($C33="Hybrid car",$D33=2),$E33*'BE '!D$23,AND($C33="Hybrid car",$D33=3),$E33*'BE '!D$24,AND($C33="Hybrid car",$D33=4),$E33*'BE '!D$25,AND($C33="Hybrid car",$D33=5),$E33*'BE '!D$26,AND($C33="Electric motorcycle",$D33=1),$E33*'BE '!D$28,AND($C33="Electric motorcycle",$D33=2),$E33*'BE '!D$29,AND($C33="Electric bike",$D33=1),$E33*'BE '!D$31,AND($C33="Electric scooter",$D33=1),$E33*'BE '!D$33,AND($C33="Bus",$D33="Almost empty"),$E33*'BE '!I$23,AND($C33="Bus",$D33="Average"),$E33*'BE '!I$24,AND($C33="Bus",$D33="Nearly full"),$E33*'BE '!I$25,AND($C33="Electric bus",$D33="Almost empty"),$E33*'BE '!I$7,AND($C33="Electric bus",$D33="Average"),$E33*'BE '!I$8,AND($C33="Electric bus",$D33="Nearly full"),$E33*'BE '!I$9,AND($C33="Diesel bus",$D33="Almost empty"),$E33*'BE '!I$19,AND($C33="Diesel bus",$D33="Average"),$E33*'BE '!I$20,AND($C33="Diesel bus",$D33="Nearly full"),$E33*'BE '!I$21,AND($C33="Hybrid-electric bus",$D33="Almost empty"),$E33*'BE '!I$11,AND($C33="Hybrid-electric bus",$D33="Average"),$E33*'BE '!I$12,AND($C33="Hybrid-electric bus",$D33="Nearly full"),$E33*'BE '!I$13,AND($C33="Alternative fuel bus",$D33="Almost empty"),$E33*'BE '!I$15,AND($C33="Alternative fuel bus",$D33="Average"),$E33*'BE '!I$16,AND($C33="Alternative fuel bus",$D33="Nearly full"),$E33*'BE '!I$17,AND($C33="Metro, tram, urban light train",$D33="Almost empty"),$E33*'BE '!D$35,AND($C33="Metro, tram, urban light train",$D33="Average"),$E33*'BE '!D$36,AND($C33="Metro, tram, urban light train",$D33="Nearly full"),$E33*'BE '!D$37,AND($C33="Electric passenger train",$D33="Almost empty"),$E33*'BE '!D$39,AND($C33="Electric passenger train",$D33="Average"),$E33*'BE '!D$40,AND($C33="Electric passenger train",$D33="Nearly full"),$E33*'BE '!D$41,AND($C33="Diesel passenger train",$D33="Almost empty"),$E33*'BE '!D$47,AND($C33="Diesel passenger train",$D33="Average"),$E33*'BE '!D$48,AND($C33="Diesel passenger train",$D33="Nearly full"),$E33*'BE '!D$49,AND($C33="Walking"),$E33*0,AND($C33="Bike"),$E33*0,AND($C33="Plane - domestic flight"),$E33*'BE '!$C57,AND($C33="Plane - international - intra EU"),$E33*'BE '!$C59,AND($C33="Plane - international (extra EU)"),$E33*'BE '!$C61)</f>
        <v>#N/A</v>
      </c>
      <c r="H33" s="145"/>
      <c r="I33" s="148">
        <f t="shared" si="6"/>
        <v>0</v>
      </c>
      <c r="J33" s="146" t="e" cm="1">
        <f t="array" ref="J33">_xlfn.IFS(Belgium!C33="Fuel car",Belgium!I33*DATA!$C$17,C33="Electric car",Belgium!I33*DATA!$F$4,Belgium!C33="Hybrid car",Belgium!I33*(0.5*DATA!$C$17+0.5*DATA!$F$4))</f>
        <v>#N/A</v>
      </c>
      <c r="L33" s="223" t="s">
        <v>78</v>
      </c>
      <c r="M33" s="224"/>
      <c r="N33" s="225"/>
    </row>
    <row r="34" spans="1:14" x14ac:dyDescent="0.2">
      <c r="A34" s="222"/>
      <c r="B34" s="30"/>
      <c r="C34" s="15"/>
      <c r="D34" s="15"/>
      <c r="E34" s="15"/>
      <c r="F34" s="123" t="e" cm="1">
        <f t="array" ref="F34">_xlfn.IFS(AND($C34="Fuel car",$D34=1),$E34*'BE '!C$7,AND($C34="Fuel car",$D34=2),$E34*'BE '!C$8,AND($C34="Fuel car",$D34=3),$E34*'BE '!C$9,AND($C34="Fuel car",$D34=4),$E34*'BE '!C$10,AND($C34="Fuel car",$D34=5),$E34*'BE '!C$11,AND($C34="Motorcycle",$D34=1),$E34*'BE '!C$13,AND($C34="Motorcycle",$D34=2),$E34*'BE '!C$14,AND($C34="Electric car",$D34=1),$E34*'BE '!C$16,AND($C34="Electric car",$D34=2),$E34*'BE '!C$17,AND($C34="Electric car",$D34=3),$E34*'BE '!C$18,AND($C34="Electric car",$D34=4),$E34*'BE '!C$19,AND($C34="Electric car",$D34=5),$E34*'BE '!C$20,AND($C34="Hybrid car",$D34=1),$E34*'BE '!C$22,AND($C34="Hybrid car",$D34=2),$E34*'BE '!C$23,AND($C34="Hybrid car",$D34=3),$E34*'BE '!C$24,AND($C34="Hybrid car",$D34=4),$E34*'BE '!C$25,AND($C34="Hybrid car",$D34=5),$E34*'BE '!C$26,AND($C34="Electric motorcycle",$D34=1),$E34*'BE '!C$28,AND($C34="Electric motorcycle",$D34=2),$E34*'BE '!C$29,AND($C34="Electric bike",$D34=1),$E34*'BE '!C$31,AND($C34="Electric scooter",$D34=1),$E34*'BE '!C$33,AND($C34="Bus",$D34="Almost empty"),$E34*'BE '!H$23,AND($C34="Bus",$D34="Average"),$E34*'BE '!H$24,AND($C34="Bus",$D34="Nearly full"),$E34*'BE '!H$25,AND($C34="Electric bus",$D34="Almost empty"),$E34*'BE '!H$7,AND($C34="Electric bus",$D34="Average"),$E34*'BE '!H$8,AND($C34="Electric bus",$D34="Nearly full"),$E34*'BE '!H$9,AND($C34="Diesel bus",$D34="Almost empty"),$E34*'BE '!H$19,AND($C34="Diesel bus",$D34="Average"),$E34*'BE '!H$20,AND($C34="Diesel bus",$D34="Nearly full"),$E34*'BE '!H$21,AND($C34="Hybrid-electric bus",$D34="Almost empty"),$E34*'BE '!H$11,AND($C34="Hybrid-electric bus",$D34="Average"),$E34*'BE '!H$12,AND($C34="Hybrid-electric bus",$D34="Nearly full"),$E34*'BE '!H$13,AND($C34="Alternative fuel bus",$D34="Almost empty"),$E34*'BE '!H$15,AND($C34="Alternative fuel bus",$D34="Average"),$E34*'BE '!H$16,AND($C34="Alternative fuel bus",$D34="Nearly full"),$E34*'BE '!H$17,AND($C34="Metro, tram, urban light train",$D34="Almost empty"),$E34*'BE '!C$35,AND($C34="Metro, tram, urban light train",$D34="Average"),$E34*'BE '!C$36,AND($C34="Metro, tram, urban light train",$D34="Nearly full"),$E34*'BE '!C$37,AND($C34="Electric passenger train",$D34="Almost empty"),$E34*'BE '!C$39,AND($C34="Electric passenger train",$D34="Average"),$E34*'BE '!C$40,AND($C34="Electric passenger train",$D34="Nearly full"),$E34*'BE '!C$41,AND($C34="Diesel passenger train",$D34="Almost empty"),$E34*'BE '!C$47,AND($C34="Diesel passenger train",$D34="Average"),$E34*'BE '!C$48,AND($C34="Diesel passenger train",$D34="Nearly full"),$E34*'BE '!C$49,AND($C34="Walking"),$E34*0,AND($C34="Bike"),$E34*0,AND($C34="Plane - domestic flight"),$E34*'BE '!$C58,AND($C34="Plane - international - intra EU"),$E34*'BE '!$C60,AND($C34="Plane - international (extra EU)"),$E34*'BE '!$C62)</f>
        <v>#N/A</v>
      </c>
      <c r="G34" s="31" t="e" cm="1">
        <f t="array" ref="G34">_xlfn.IFS(AND($C34="Fuel car",$D34=1),$E34*'BE '!D$7,AND($C34="Fuel car",$D34=2),$E34*'BE '!D$8,AND($C34="Fuel car",$D34=3),$E34*'BE '!D$9,AND($C34="Fuel car",$D34=4),$E34*'BE '!D$10,AND($C34="Fuel car",$D34=5),$E34*'BE '!D$11,AND($C34="Motorcycle",$D34=1),$E34*'BE '!D$13,AND($C34="Motorcycle",$D34=2),$E34*'BE '!D$14,AND($C34="Electric car",$D34=1),$E34*'BE '!D$16,AND($C34="Electric car",$D34=2),$E34*'BE '!D$17,AND($C34="Electric car",$D34=3),$E34*'BE '!D$18,AND($C34="Electric car",$D34=4),$E34*'BE '!D$19,AND($C34="Electric car",$D34=5),$E34*'BE '!D$20,AND($C34="Hybrid car",$D34=1),$E34*'BE '!D$22,AND($C34="Hybrid car",$D34=2),$E34*'BE '!D$23,AND($C34="Hybrid car",$D34=3),$E34*'BE '!D$24,AND($C34="Hybrid car",$D34=4),$E34*'BE '!D$25,AND($C34="Hybrid car",$D34=5),$E34*'BE '!D$26,AND($C34="Electric motorcycle",$D34=1),$E34*'BE '!D$28,AND($C34="Electric motorcycle",$D34=2),$E34*'BE '!D$29,AND($C34="Electric bike",$D34=1),$E34*'BE '!D$31,AND($C34="Electric scooter",$D34=1),$E34*'BE '!D$33,AND($C34="Bus",$D34="Almost empty"),$E34*'BE '!I$23,AND($C34="Bus",$D34="Average"),$E34*'BE '!I$24,AND($C34="Bus",$D34="Nearly full"),$E34*'BE '!I$25,AND($C34="Electric bus",$D34="Almost empty"),$E34*'BE '!I$7,AND($C34="Electric bus",$D34="Average"),$E34*'BE '!I$8,AND($C34="Electric bus",$D34="Nearly full"),$E34*'BE '!I$9,AND($C34="Diesel bus",$D34="Almost empty"),$E34*'BE '!I$19,AND($C34="Diesel bus",$D34="Average"),$E34*'BE '!I$20,AND($C34="Diesel bus",$D34="Nearly full"),$E34*'BE '!I$21,AND($C34="Hybrid-electric bus",$D34="Almost empty"),$E34*'BE '!I$11,AND($C34="Hybrid-electric bus",$D34="Average"),$E34*'BE '!I$12,AND($C34="Hybrid-electric bus",$D34="Nearly full"),$E34*'BE '!I$13,AND($C34="Alternative fuel bus",$D34="Almost empty"),$E34*'BE '!I$15,AND($C34="Alternative fuel bus",$D34="Average"),$E34*'BE '!I$16,AND($C34="Alternative fuel bus",$D34="Nearly full"),$E34*'BE '!I$17,AND($C34="Metro, tram, urban light train",$D34="Almost empty"),$E34*'BE '!D$35,AND($C34="Metro, tram, urban light train",$D34="Average"),$E34*'BE '!D$36,AND($C34="Metro, tram, urban light train",$D34="Nearly full"),$E34*'BE '!D$37,AND($C34="Electric passenger train",$D34="Almost empty"),$E34*'BE '!D$39,AND($C34="Electric passenger train",$D34="Average"),$E34*'BE '!D$40,AND($C34="Electric passenger train",$D34="Nearly full"),$E34*'BE '!D$41,AND($C34="Diesel passenger train",$D34="Almost empty"),$E34*'BE '!D$47,AND($C34="Diesel passenger train",$D34="Average"),$E34*'BE '!D$48,AND($C34="Diesel passenger train",$D34="Nearly full"),$E34*'BE '!D$49,AND($C34="Walking"),$E34*0,AND($C34="Bike"),$E34*0,AND($C34="Plane - domestic flight"),$E34*'BE '!$C58,AND($C34="Plane - international - intra EU"),$E34*'BE '!$C60,AND($C34="Plane - international (extra EU)"),$E34*'BE '!$C62)</f>
        <v>#N/A</v>
      </c>
      <c r="H34" s="145"/>
      <c r="I34" s="148">
        <f t="shared" si="6"/>
        <v>0</v>
      </c>
      <c r="J34" s="146" t="e" cm="1">
        <f t="array" ref="J34">_xlfn.IFS(Belgium!C34="Fuel car",Belgium!I34*DATA!$C$17,C34="Electric car",Belgium!I34*DATA!$F$4,Belgium!C34="Hybrid car",Belgium!I34*(0.5*DATA!$C$17+0.5*DATA!$F$4))</f>
        <v>#N/A</v>
      </c>
      <c r="L34" s="223"/>
      <c r="M34" s="224"/>
      <c r="N34" s="225"/>
    </row>
    <row r="35" spans="1:14" ht="33" customHeight="1" x14ac:dyDescent="0.2">
      <c r="A35" s="222"/>
      <c r="B35" s="30"/>
      <c r="C35" s="15"/>
      <c r="D35" s="15"/>
      <c r="E35" s="15"/>
      <c r="F35" s="123" t="e" cm="1">
        <f t="array" ref="F35">_xlfn.IFS(AND($C35="Fuel car",$D35=1),$E35*'BE '!C$7,AND($C35="Fuel car",$D35=2),$E35*'BE '!C$8,AND($C35="Fuel car",$D35=3),$E35*'BE '!C$9,AND($C35="Fuel car",$D35=4),$E35*'BE '!C$10,AND($C35="Fuel car",$D35=5),$E35*'BE '!C$11,AND($C35="Motorcycle",$D35=1),$E35*'BE '!C$13,AND($C35="Motorcycle",$D35=2),$E35*'BE '!C$14,AND($C35="Electric car",$D35=1),$E35*'BE '!C$16,AND($C35="Electric car",$D35=2),$E35*'BE '!C$17,AND($C35="Electric car",$D35=3),$E35*'BE '!C$18,AND($C35="Electric car",$D35=4),$E35*'BE '!C$19,AND($C35="Electric car",$D35=5),$E35*'BE '!C$20,AND($C35="Hybrid car",$D35=1),$E35*'BE '!C$22,AND($C35="Hybrid car",$D35=2),$E35*'BE '!C$23,AND($C35="Hybrid car",$D35=3),$E35*'BE '!C$24,AND($C35="Hybrid car",$D35=4),$E35*'BE '!C$25,AND($C35="Hybrid car",$D35=5),$E35*'BE '!C$26,AND($C35="Electric motorcycle",$D35=1),$E35*'BE '!C$28,AND($C35="Electric motorcycle",$D35=2),$E35*'BE '!C$29,AND($C35="Electric bike",$D35=1),$E35*'BE '!C$31,AND($C35="Electric scooter",$D35=1),$E35*'BE '!C$33,AND($C35="Bus",$D35="Almost empty"),$E35*'BE '!H$23,AND($C35="Bus",$D35="Average"),$E35*'BE '!H$24,AND($C35="Bus",$D35="Nearly full"),$E35*'BE '!H$25,AND($C35="Electric bus",$D35="Almost empty"),$E35*'BE '!H$7,AND($C35="Electric bus",$D35="Average"),$E35*'BE '!H$8,AND($C35="Electric bus",$D35="Nearly full"),$E35*'BE '!H$9,AND($C35="Diesel bus",$D35="Almost empty"),$E35*'BE '!H$19,AND($C35="Diesel bus",$D35="Average"),$E35*'BE '!H$20,AND($C35="Diesel bus",$D35="Nearly full"),$E35*'BE '!H$21,AND($C35="Hybrid-electric bus",$D35="Almost empty"),$E35*'BE '!H$11,AND($C35="Hybrid-electric bus",$D35="Average"),$E35*'BE '!H$12,AND($C35="Hybrid-electric bus",$D35="Nearly full"),$E35*'BE '!H$13,AND($C35="Alternative fuel bus",$D35="Almost empty"),$E35*'BE '!H$15,AND($C35="Alternative fuel bus",$D35="Average"),$E35*'BE '!H$16,AND($C35="Alternative fuel bus",$D35="Nearly full"),$E35*'BE '!H$17,AND($C35="Metro, tram, urban light train",$D35="Almost empty"),$E35*'BE '!C$35,AND($C35="Metro, tram, urban light train",$D35="Average"),$E35*'BE '!C$36,AND($C35="Metro, tram, urban light train",$D35="Nearly full"),$E35*'BE '!C$37,AND($C35="Electric passenger train",$D35="Almost empty"),$E35*'BE '!C$39,AND($C35="Electric passenger train",$D35="Average"),$E35*'BE '!C$40,AND($C35="Electric passenger train",$D35="Nearly full"),$E35*'BE '!C$41,AND($C35="Diesel passenger train",$D35="Almost empty"),$E35*'BE '!C$47,AND($C35="Diesel passenger train",$D35="Average"),$E35*'BE '!C$48,AND($C35="Diesel passenger train",$D35="Nearly full"),$E35*'BE '!C$49,AND($C35="Walking"),$E35*0,AND($C35="Bike"),$E35*0,AND($C35="Plane - domestic flight"),$E35*'BE '!$C59,AND($C35="Plane - international - intra EU"),$E35*'BE '!$C61,AND($C35="Plane - international (extra EU)"),$E35*'BE '!$C63)</f>
        <v>#N/A</v>
      </c>
      <c r="G35" s="31" t="e" cm="1">
        <f t="array" ref="G35">_xlfn.IFS(AND($C35="Fuel car",$D35=1),$E35*'BE '!D$7,AND($C35="Fuel car",$D35=2),$E35*'BE '!D$8,AND($C35="Fuel car",$D35=3),$E35*'BE '!D$9,AND($C35="Fuel car",$D35=4),$E35*'BE '!D$10,AND($C35="Fuel car",$D35=5),$E35*'BE '!D$11,AND($C35="Motorcycle",$D35=1),$E35*'BE '!D$13,AND($C35="Motorcycle",$D35=2),$E35*'BE '!D$14,AND($C35="Electric car",$D35=1),$E35*'BE '!D$16,AND($C35="Electric car",$D35=2),$E35*'BE '!D$17,AND($C35="Electric car",$D35=3),$E35*'BE '!D$18,AND($C35="Electric car",$D35=4),$E35*'BE '!D$19,AND($C35="Electric car",$D35=5),$E35*'BE '!D$20,AND($C35="Hybrid car",$D35=1),$E35*'BE '!D$22,AND($C35="Hybrid car",$D35=2),$E35*'BE '!D$23,AND($C35="Hybrid car",$D35=3),$E35*'BE '!D$24,AND($C35="Hybrid car",$D35=4),$E35*'BE '!D$25,AND($C35="Hybrid car",$D35=5),$E35*'BE '!D$26,AND($C35="Electric motorcycle",$D35=1),$E35*'BE '!D$28,AND($C35="Electric motorcycle",$D35=2),$E35*'BE '!D$29,AND($C35="Electric bike",$D35=1),$E35*'BE '!D$31,AND($C35="Electric scooter",$D35=1),$E35*'BE '!D$33,AND($C35="Bus",$D35="Almost empty"),$E35*'BE '!I$23,AND($C35="Bus",$D35="Average"),$E35*'BE '!I$24,AND($C35="Bus",$D35="Nearly full"),$E35*'BE '!I$25,AND($C35="Electric bus",$D35="Almost empty"),$E35*'BE '!I$7,AND($C35="Electric bus",$D35="Average"),$E35*'BE '!I$8,AND($C35="Electric bus",$D35="Nearly full"),$E35*'BE '!I$9,AND($C35="Diesel bus",$D35="Almost empty"),$E35*'BE '!I$19,AND($C35="Diesel bus",$D35="Average"),$E35*'BE '!I$20,AND($C35="Diesel bus",$D35="Nearly full"),$E35*'BE '!I$21,AND($C35="Hybrid-electric bus",$D35="Almost empty"),$E35*'BE '!I$11,AND($C35="Hybrid-electric bus",$D35="Average"),$E35*'BE '!I$12,AND($C35="Hybrid-electric bus",$D35="Nearly full"),$E35*'BE '!I$13,AND($C35="Alternative fuel bus",$D35="Almost empty"),$E35*'BE '!I$15,AND($C35="Alternative fuel bus",$D35="Average"),$E35*'BE '!I$16,AND($C35="Alternative fuel bus",$D35="Nearly full"),$E35*'BE '!I$17,AND($C35="Metro, tram, urban light train",$D35="Almost empty"),$E35*'BE '!D$35,AND($C35="Metro, tram, urban light train",$D35="Average"),$E35*'BE '!D$36,AND($C35="Metro, tram, urban light train",$D35="Nearly full"),$E35*'BE '!D$37,AND($C35="Electric passenger train",$D35="Almost empty"),$E35*'BE '!D$39,AND($C35="Electric passenger train",$D35="Average"),$E35*'BE '!D$40,AND($C35="Electric passenger train",$D35="Nearly full"),$E35*'BE '!D$41,AND($C35="Diesel passenger train",$D35="Almost empty"),$E35*'BE '!D$47,AND($C35="Diesel passenger train",$D35="Average"),$E35*'BE '!D$48,AND($C35="Diesel passenger train",$D35="Nearly full"),$E35*'BE '!D$49,AND($C35="Walking"),$E35*0,AND($C35="Bike"),$E35*0,AND($C35="Plane - domestic flight"),$E35*'BE '!$C59,AND($C35="Plane - international - intra EU"),$E35*'BE '!$C61,AND($C35="Plane - international (extra EU)"),$E35*'BE '!$C63)</f>
        <v>#N/A</v>
      </c>
      <c r="H35" s="145"/>
      <c r="I35" s="148">
        <f t="shared" si="6"/>
        <v>0</v>
      </c>
      <c r="J35" s="146" t="e" cm="1">
        <f t="array" ref="J35">_xlfn.IFS(Belgium!C35="Fuel car",Belgium!I35*DATA!$C$17,C35="Electric car",Belgium!I35*DATA!$F$4,Belgium!C35="Hybrid car",Belgium!I35*(0.5*DATA!$C$17+0.5*DATA!$F$4))</f>
        <v>#N/A</v>
      </c>
      <c r="L35" s="223"/>
      <c r="M35" s="224"/>
      <c r="N35" s="225"/>
    </row>
    <row r="36" spans="1:14" ht="16" thickBot="1" x14ac:dyDescent="0.25">
      <c r="A36" s="222"/>
      <c r="B36" s="30"/>
      <c r="C36" s="15"/>
      <c r="D36" s="15"/>
      <c r="E36" s="15"/>
      <c r="F36" s="123" t="e" cm="1">
        <f t="array" ref="F36">_xlfn.IFS(AND($C36="Fuel car",$D36=1),$E36*'BE '!C$7,AND($C36="Fuel car",$D36=2),$E36*'BE '!C$8,AND($C36="Fuel car",$D36=3),$E36*'BE '!C$9,AND($C36="Fuel car",$D36=4),$E36*'BE '!C$10,AND($C36="Fuel car",$D36=5),$E36*'BE '!C$11,AND($C36="Motorcycle",$D36=1),$E36*'BE '!C$13,AND($C36="Motorcycle",$D36=2),$E36*'BE '!C$14,AND($C36="Electric car",$D36=1),$E36*'BE '!C$16,AND($C36="Electric car",$D36=2),$E36*'BE '!C$17,AND($C36="Electric car",$D36=3),$E36*'BE '!C$18,AND($C36="Electric car",$D36=4),$E36*'BE '!C$19,AND($C36="Electric car",$D36=5),$E36*'BE '!C$20,AND($C36="Hybrid car",$D36=1),$E36*'BE '!C$22,AND($C36="Hybrid car",$D36=2),$E36*'BE '!C$23,AND($C36="Hybrid car",$D36=3),$E36*'BE '!C$24,AND($C36="Hybrid car",$D36=4),$E36*'BE '!C$25,AND($C36="Hybrid car",$D36=5),$E36*'BE '!C$26,AND($C36="Electric motorcycle",$D36=1),$E36*'BE '!C$28,AND($C36="Electric motorcycle",$D36=2),$E36*'BE '!C$29,AND($C36="Electric bike",$D36=1),$E36*'BE '!C$31,AND($C36="Electric scooter",$D36=1),$E36*'BE '!C$33,AND($C36="Bus",$D36="Almost empty"),$E36*'BE '!H$23,AND($C36="Bus",$D36="Average"),$E36*'BE '!H$24,AND($C36="Bus",$D36="Nearly full"),$E36*'BE '!H$25,AND($C36="Electric bus",$D36="Almost empty"),$E36*'BE '!H$7,AND($C36="Electric bus",$D36="Average"),$E36*'BE '!H$8,AND($C36="Electric bus",$D36="Nearly full"),$E36*'BE '!H$9,AND($C36="Diesel bus",$D36="Almost empty"),$E36*'BE '!H$19,AND($C36="Diesel bus",$D36="Average"),$E36*'BE '!H$20,AND($C36="Diesel bus",$D36="Nearly full"),$E36*'BE '!H$21,AND($C36="Hybrid-electric bus",$D36="Almost empty"),$E36*'BE '!H$11,AND($C36="Hybrid-electric bus",$D36="Average"),$E36*'BE '!H$12,AND($C36="Hybrid-electric bus",$D36="Nearly full"),$E36*'BE '!H$13,AND($C36="Alternative fuel bus",$D36="Almost empty"),$E36*'BE '!H$15,AND($C36="Alternative fuel bus",$D36="Average"),$E36*'BE '!H$16,AND($C36="Alternative fuel bus",$D36="Nearly full"),$E36*'BE '!H$17,AND($C36="Metro, tram, urban light train",$D36="Almost empty"),$E36*'BE '!C$35,AND($C36="Metro, tram, urban light train",$D36="Average"),$E36*'BE '!C$36,AND($C36="Metro, tram, urban light train",$D36="Nearly full"),$E36*'BE '!C$37,AND($C36="Electric passenger train",$D36="Almost empty"),$E36*'BE '!C$39,AND($C36="Electric passenger train",$D36="Average"),$E36*'BE '!C$40,AND($C36="Electric passenger train",$D36="Nearly full"),$E36*'BE '!C$41,AND($C36="Diesel passenger train",$D36="Almost empty"),$E36*'BE '!C$47,AND($C36="Diesel passenger train",$D36="Average"),$E36*'BE '!C$48,AND($C36="Diesel passenger train",$D36="Nearly full"),$E36*'BE '!C$49,AND($C36="Walking"),$E36*0,AND($C36="Bike"),$E36*0,AND($C36="Plane - domestic flight"),$E36*'BE '!$C60,AND($C36="Plane - international - intra EU"),$E36*'BE '!$C62,AND($C36="Plane - international (extra EU)"),$E36*'BE '!$C64)</f>
        <v>#N/A</v>
      </c>
      <c r="G36" s="31" t="e" cm="1">
        <f t="array" ref="G36">_xlfn.IFS(AND($C36="Fuel car",$D36=1),$E36*'BE '!D$7,AND($C36="Fuel car",$D36=2),$E36*'BE '!D$8,AND($C36="Fuel car",$D36=3),$E36*'BE '!D$9,AND($C36="Fuel car",$D36=4),$E36*'BE '!D$10,AND($C36="Fuel car",$D36=5),$E36*'BE '!D$11,AND($C36="Motorcycle",$D36=1),$E36*'BE '!D$13,AND($C36="Motorcycle",$D36=2),$E36*'BE '!D$14,AND($C36="Electric car",$D36=1),$E36*'BE '!D$16,AND($C36="Electric car",$D36=2),$E36*'BE '!D$17,AND($C36="Electric car",$D36=3),$E36*'BE '!D$18,AND($C36="Electric car",$D36=4),$E36*'BE '!D$19,AND($C36="Electric car",$D36=5),$E36*'BE '!D$20,AND($C36="Hybrid car",$D36=1),$E36*'BE '!D$22,AND($C36="Hybrid car",$D36=2),$E36*'BE '!D$23,AND($C36="Hybrid car",$D36=3),$E36*'BE '!D$24,AND($C36="Hybrid car",$D36=4),$E36*'BE '!D$25,AND($C36="Hybrid car",$D36=5),$E36*'BE '!D$26,AND($C36="Electric motorcycle",$D36=1),$E36*'BE '!D$28,AND($C36="Electric motorcycle",$D36=2),$E36*'BE '!D$29,AND($C36="Electric bike",$D36=1),$E36*'BE '!D$31,AND($C36="Electric scooter",$D36=1),$E36*'BE '!D$33,AND($C36="Bus",$D36="Almost empty"),$E36*'BE '!I$23,AND($C36="Bus",$D36="Average"),$E36*'BE '!I$24,AND($C36="Bus",$D36="Nearly full"),$E36*'BE '!I$25,AND($C36="Electric bus",$D36="Almost empty"),$E36*'BE '!I$7,AND($C36="Electric bus",$D36="Average"),$E36*'BE '!I$8,AND($C36="Electric bus",$D36="Nearly full"),$E36*'BE '!I$9,AND($C36="Diesel bus",$D36="Almost empty"),$E36*'BE '!I$19,AND($C36="Diesel bus",$D36="Average"),$E36*'BE '!I$20,AND($C36="Diesel bus",$D36="Nearly full"),$E36*'BE '!I$21,AND($C36="Hybrid-electric bus",$D36="Almost empty"),$E36*'BE '!I$11,AND($C36="Hybrid-electric bus",$D36="Average"),$E36*'BE '!I$12,AND($C36="Hybrid-electric bus",$D36="Nearly full"),$E36*'BE '!I$13,AND($C36="Alternative fuel bus",$D36="Almost empty"),$E36*'BE '!I$15,AND($C36="Alternative fuel bus",$D36="Average"),$E36*'BE '!I$16,AND($C36="Alternative fuel bus",$D36="Nearly full"),$E36*'BE '!I$17,AND($C36="Metro, tram, urban light train",$D36="Almost empty"),$E36*'BE '!D$35,AND($C36="Metro, tram, urban light train",$D36="Average"),$E36*'BE '!D$36,AND($C36="Metro, tram, urban light train",$D36="Nearly full"),$E36*'BE '!D$37,AND($C36="Electric passenger train",$D36="Almost empty"),$E36*'BE '!D$39,AND($C36="Electric passenger train",$D36="Average"),$E36*'BE '!D$40,AND($C36="Electric passenger train",$D36="Nearly full"),$E36*'BE '!D$41,AND($C36="Diesel passenger train",$D36="Almost empty"),$E36*'BE '!D$47,AND($C36="Diesel passenger train",$D36="Average"),$E36*'BE '!D$48,AND($C36="Diesel passenger train",$D36="Nearly full"),$E36*'BE '!D$49,AND($C36="Walking"),$E36*0,AND($C36="Bike"),$E36*0,AND($C36="Plane - domestic flight"),$E36*'BE '!$C60,AND($C36="Plane - international - intra EU"),$E36*'BE '!$C62,AND($C36="Plane - international (extra EU)"),$E36*'BE '!$C64)</f>
        <v>#N/A</v>
      </c>
      <c r="H36" s="145"/>
      <c r="I36" s="148">
        <f t="shared" si="6"/>
        <v>0</v>
      </c>
      <c r="J36" s="146" t="e" cm="1">
        <f t="array" ref="J36">_xlfn.IFS(Belgium!C36="Fuel car",Belgium!I36*DATA!$C$17,C36="Electric car",Belgium!I36*DATA!$F$4,Belgium!C36="Hybrid car",Belgium!I36*(0.5*DATA!$C$17+0.5*DATA!$F$4))</f>
        <v>#N/A</v>
      </c>
      <c r="L36" s="218"/>
      <c r="M36" s="219"/>
      <c r="N36" s="220"/>
    </row>
    <row r="37" spans="1:14" ht="14.5" customHeight="1" x14ac:dyDescent="0.2">
      <c r="A37" s="222"/>
      <c r="B37" s="30"/>
      <c r="C37" s="15"/>
      <c r="D37" s="15"/>
      <c r="E37" s="15"/>
      <c r="F37" s="123" t="e" cm="1">
        <f t="array" ref="F37">_xlfn.IFS(AND($C37="Fuel car",$D37=1),$E37*'BE '!C$7,AND($C37="Fuel car",$D37=2),$E37*'BE '!C$8,AND($C37="Fuel car",$D37=3),$E37*'BE '!C$9,AND($C37="Fuel car",$D37=4),$E37*'BE '!C$10,AND($C37="Fuel car",$D37=5),$E37*'BE '!C$11,AND($C37="Motorcycle",$D37=1),$E37*'BE '!C$13,AND($C37="Motorcycle",$D37=2),$E37*'BE '!C$14,AND($C37="Electric car",$D37=1),$E37*'BE '!C$16,AND($C37="Electric car",$D37=2),$E37*'BE '!C$17,AND($C37="Electric car",$D37=3),$E37*'BE '!C$18,AND($C37="Electric car",$D37=4),$E37*'BE '!C$19,AND($C37="Electric car",$D37=5),$E37*'BE '!C$20,AND($C37="Hybrid car",$D37=1),$E37*'BE '!C$22,AND($C37="Hybrid car",$D37=2),$E37*'BE '!C$23,AND($C37="Hybrid car",$D37=3),$E37*'BE '!C$24,AND($C37="Hybrid car",$D37=4),$E37*'BE '!C$25,AND($C37="Hybrid car",$D37=5),$E37*'BE '!C$26,AND($C37="Electric motorcycle",$D37=1),$E37*'BE '!C$28,AND($C37="Electric motorcycle",$D37=2),$E37*'BE '!C$29,AND($C37="Electric bike",$D37=1),$E37*'BE '!C$31,AND($C37="Electric scooter",$D37=1),$E37*'BE '!C$33,AND($C37="Bus",$D37="Almost empty"),$E37*'BE '!H$23,AND($C37="Bus",$D37="Average"),$E37*'BE '!H$24,AND($C37="Bus",$D37="Nearly full"),$E37*'BE '!H$25,AND($C37="Electric bus",$D37="Almost empty"),$E37*'BE '!H$7,AND($C37="Electric bus",$D37="Average"),$E37*'BE '!H$8,AND($C37="Electric bus",$D37="Nearly full"),$E37*'BE '!H$9,AND($C37="Diesel bus",$D37="Almost empty"),$E37*'BE '!H$19,AND($C37="Diesel bus",$D37="Average"),$E37*'BE '!H$20,AND($C37="Diesel bus",$D37="Nearly full"),$E37*'BE '!H$21,AND($C37="Hybrid-electric bus",$D37="Almost empty"),$E37*'BE '!H$11,AND($C37="Hybrid-electric bus",$D37="Average"),$E37*'BE '!H$12,AND($C37="Hybrid-electric bus",$D37="Nearly full"),$E37*'BE '!H$13,AND($C37="Alternative fuel bus",$D37="Almost empty"),$E37*'BE '!H$15,AND($C37="Alternative fuel bus",$D37="Average"),$E37*'BE '!H$16,AND($C37="Alternative fuel bus",$D37="Nearly full"),$E37*'BE '!H$17,AND($C37="Metro, tram, urban light train",$D37="Almost empty"),$E37*'BE '!C$35,AND($C37="Metro, tram, urban light train",$D37="Average"),$E37*'BE '!C$36,AND($C37="Metro, tram, urban light train",$D37="Nearly full"),$E37*'BE '!C$37,AND($C37="Electric passenger train",$D37="Almost empty"),$E37*'BE '!C$39,AND($C37="Electric passenger train",$D37="Average"),$E37*'BE '!C$40,AND($C37="Electric passenger train",$D37="Nearly full"),$E37*'BE '!C$41,AND($C37="Diesel passenger train",$D37="Almost empty"),$E37*'BE '!C$47,AND($C37="Diesel passenger train",$D37="Average"),$E37*'BE '!C$48,AND($C37="Diesel passenger train",$D37="Nearly full"),$E37*'BE '!C$49,AND($C37="Walking"),$E37*0,AND($C37="Bike"),$E37*0,AND($C37="Plane - domestic flight"),$E37*'BE '!$C61,AND($C37="Plane - international - intra EU"),$E37*'BE '!$C63,AND($C37="Plane - international (extra EU)"),$E37*'BE '!$C65)</f>
        <v>#N/A</v>
      </c>
      <c r="G37" s="31" t="e" cm="1">
        <f t="array" ref="G37">_xlfn.IFS(AND($C37="Fuel car",$D37=1),$E37*'BE '!D$7,AND($C37="Fuel car",$D37=2),$E37*'BE '!D$8,AND($C37="Fuel car",$D37=3),$E37*'BE '!D$9,AND($C37="Fuel car",$D37=4),$E37*'BE '!D$10,AND($C37="Fuel car",$D37=5),$E37*'BE '!D$11,AND($C37="Motorcycle",$D37=1),$E37*'BE '!D$13,AND($C37="Motorcycle",$D37=2),$E37*'BE '!D$14,AND($C37="Electric car",$D37=1),$E37*'BE '!D$16,AND($C37="Electric car",$D37=2),$E37*'BE '!D$17,AND($C37="Electric car",$D37=3),$E37*'BE '!D$18,AND($C37="Electric car",$D37=4),$E37*'BE '!D$19,AND($C37="Electric car",$D37=5),$E37*'BE '!D$20,AND($C37="Hybrid car",$D37=1),$E37*'BE '!D$22,AND($C37="Hybrid car",$D37=2),$E37*'BE '!D$23,AND($C37="Hybrid car",$D37=3),$E37*'BE '!D$24,AND($C37="Hybrid car",$D37=4),$E37*'BE '!D$25,AND($C37="Hybrid car",$D37=5),$E37*'BE '!D$26,AND($C37="Electric motorcycle",$D37=1),$E37*'BE '!D$28,AND($C37="Electric motorcycle",$D37=2),$E37*'BE '!D$29,AND($C37="Electric bike",$D37=1),$E37*'BE '!D$31,AND($C37="Electric scooter",$D37=1),$E37*'BE '!D$33,AND($C37="Bus",$D37="Almost empty"),$E37*'BE '!I$23,AND($C37="Bus",$D37="Average"),$E37*'BE '!I$24,AND($C37="Bus",$D37="Nearly full"),$E37*'BE '!I$25,AND($C37="Electric bus",$D37="Almost empty"),$E37*'BE '!I$7,AND($C37="Electric bus",$D37="Average"),$E37*'BE '!I$8,AND($C37="Electric bus",$D37="Nearly full"),$E37*'BE '!I$9,AND($C37="Diesel bus",$D37="Almost empty"),$E37*'BE '!I$19,AND($C37="Diesel bus",$D37="Average"),$E37*'BE '!I$20,AND($C37="Diesel bus",$D37="Nearly full"),$E37*'BE '!I$21,AND($C37="Hybrid-electric bus",$D37="Almost empty"),$E37*'BE '!I$11,AND($C37="Hybrid-electric bus",$D37="Average"),$E37*'BE '!I$12,AND($C37="Hybrid-electric bus",$D37="Nearly full"),$E37*'BE '!I$13,AND($C37="Alternative fuel bus",$D37="Almost empty"),$E37*'BE '!I$15,AND($C37="Alternative fuel bus",$D37="Average"),$E37*'BE '!I$16,AND($C37="Alternative fuel bus",$D37="Nearly full"),$E37*'BE '!I$17,AND($C37="Metro, tram, urban light train",$D37="Almost empty"),$E37*'BE '!D$35,AND($C37="Metro, tram, urban light train",$D37="Average"),$E37*'BE '!D$36,AND($C37="Metro, tram, urban light train",$D37="Nearly full"),$E37*'BE '!D$37,AND($C37="Electric passenger train",$D37="Almost empty"),$E37*'BE '!D$39,AND($C37="Electric passenger train",$D37="Average"),$E37*'BE '!D$40,AND($C37="Electric passenger train",$D37="Nearly full"),$E37*'BE '!D$41,AND($C37="Diesel passenger train",$D37="Almost empty"),$E37*'BE '!D$47,AND($C37="Diesel passenger train",$D37="Average"),$E37*'BE '!D$48,AND($C37="Diesel passenger train",$D37="Nearly full"),$E37*'BE '!D$49,AND($C37="Walking"),$E37*0,AND($C37="Bike"),$E37*0,AND($C37="Plane - domestic flight"),$E37*'BE '!$C61,AND($C37="Plane - international - intra EU"),$E37*'BE '!$C63,AND($C37="Plane - international (extra EU)"),$E37*'BE '!$C65)</f>
        <v>#N/A</v>
      </c>
      <c r="H37" s="145"/>
      <c r="I37" s="148">
        <f t="shared" si="6"/>
        <v>0</v>
      </c>
      <c r="J37" s="146" t="e" cm="1">
        <f t="array" ref="J37">_xlfn.IFS(Belgium!C37="Fuel car",Belgium!I37*DATA!$C$17,C37="Electric car",Belgium!I37*DATA!$F$4,Belgium!C37="Hybrid car",Belgium!I37*(0.5*DATA!$C$17+0.5*DATA!$F$4))</f>
        <v>#N/A</v>
      </c>
      <c r="L37" s="215" t="s">
        <v>79</v>
      </c>
      <c r="M37" s="216"/>
      <c r="N37" s="217"/>
    </row>
    <row r="38" spans="1:14" ht="16" thickBot="1" x14ac:dyDescent="0.25">
      <c r="A38" s="222"/>
      <c r="B38" s="30"/>
      <c r="C38" s="15"/>
      <c r="D38" s="15"/>
      <c r="E38" s="15"/>
      <c r="F38" s="123" t="e" cm="1">
        <f t="array" ref="F38">_xlfn.IFS(AND($C38="Fuel car",$D38=1),$E38*'BE '!C$7,AND($C38="Fuel car",$D38=2),$E38*'BE '!C$8,AND($C38="Fuel car",$D38=3),$E38*'BE '!C$9,AND($C38="Fuel car",$D38=4),$E38*'BE '!C$10,AND($C38="Fuel car",$D38=5),$E38*'BE '!C$11,AND($C38="Motorcycle",$D38=1),$E38*'BE '!C$13,AND($C38="Motorcycle",$D38=2),$E38*'BE '!C$14,AND($C38="Electric car",$D38=1),$E38*'BE '!C$16,AND($C38="Electric car",$D38=2),$E38*'BE '!C$17,AND($C38="Electric car",$D38=3),$E38*'BE '!C$18,AND($C38="Electric car",$D38=4),$E38*'BE '!C$19,AND($C38="Electric car",$D38=5),$E38*'BE '!C$20,AND($C38="Hybrid car",$D38=1),$E38*'BE '!C$22,AND($C38="Hybrid car",$D38=2),$E38*'BE '!C$23,AND($C38="Hybrid car",$D38=3),$E38*'BE '!C$24,AND($C38="Hybrid car",$D38=4),$E38*'BE '!C$25,AND($C38="Hybrid car",$D38=5),$E38*'BE '!C$26,AND($C38="Electric motorcycle",$D38=1),$E38*'BE '!C$28,AND($C38="Electric motorcycle",$D38=2),$E38*'BE '!C$29,AND($C38="Electric bike",$D38=1),$E38*'BE '!C$31,AND($C38="Electric scooter",$D38=1),$E38*'BE '!C$33,AND($C38="Bus",$D38="Almost empty"),$E38*'BE '!H$23,AND($C38="Bus",$D38="Average"),$E38*'BE '!H$24,AND($C38="Bus",$D38="Nearly full"),$E38*'BE '!H$25,AND($C38="Electric bus",$D38="Almost empty"),$E38*'BE '!H$7,AND($C38="Electric bus",$D38="Average"),$E38*'BE '!H$8,AND($C38="Electric bus",$D38="Nearly full"),$E38*'BE '!H$9,AND($C38="Diesel bus",$D38="Almost empty"),$E38*'BE '!H$19,AND($C38="Diesel bus",$D38="Average"),$E38*'BE '!H$20,AND($C38="Diesel bus",$D38="Nearly full"),$E38*'BE '!H$21,AND($C38="Hybrid-electric bus",$D38="Almost empty"),$E38*'BE '!H$11,AND($C38="Hybrid-electric bus",$D38="Average"),$E38*'BE '!H$12,AND($C38="Hybrid-electric bus",$D38="Nearly full"),$E38*'BE '!H$13,AND($C38="Alternative fuel bus",$D38="Almost empty"),$E38*'BE '!H$15,AND($C38="Alternative fuel bus",$D38="Average"),$E38*'BE '!H$16,AND($C38="Alternative fuel bus",$D38="Nearly full"),$E38*'BE '!H$17,AND($C38="Metro, tram, urban light train",$D38="Almost empty"),$E38*'BE '!C$35,AND($C38="Metro, tram, urban light train",$D38="Average"),$E38*'BE '!C$36,AND($C38="Metro, tram, urban light train",$D38="Nearly full"),$E38*'BE '!C$37,AND($C38="Electric passenger train",$D38="Almost empty"),$E38*'BE '!C$39,AND($C38="Electric passenger train",$D38="Average"),$E38*'BE '!C$40,AND($C38="Electric passenger train",$D38="Nearly full"),$E38*'BE '!C$41,AND($C38="Diesel passenger train",$D38="Almost empty"),$E38*'BE '!C$47,AND($C38="Diesel passenger train",$D38="Average"),$E38*'BE '!C$48,AND($C38="Diesel passenger train",$D38="Nearly full"),$E38*'BE '!C$49,AND($C38="Walking"),$E38*0,AND($C38="Bike"),$E38*0,AND($C38="Plane - domestic flight"),$E38*'BE '!$C62,AND($C38="Plane - international - intra EU"),$E38*'BE '!$C64,AND($C38="Plane - international (extra EU)"),$E38*'BE '!$C66)</f>
        <v>#N/A</v>
      </c>
      <c r="G38" s="31" t="e" cm="1">
        <f t="array" ref="G38">_xlfn.IFS(AND($C38="Fuel car",$D38=1),$E38*'BE '!D$7,AND($C38="Fuel car",$D38=2),$E38*'BE '!D$8,AND($C38="Fuel car",$D38=3),$E38*'BE '!D$9,AND($C38="Fuel car",$D38=4),$E38*'BE '!D$10,AND($C38="Fuel car",$D38=5),$E38*'BE '!D$11,AND($C38="Motorcycle",$D38=1),$E38*'BE '!D$13,AND($C38="Motorcycle",$D38=2),$E38*'BE '!D$14,AND($C38="Electric car",$D38=1),$E38*'BE '!D$16,AND($C38="Electric car",$D38=2),$E38*'BE '!D$17,AND($C38="Electric car",$D38=3),$E38*'BE '!D$18,AND($C38="Electric car",$D38=4),$E38*'BE '!D$19,AND($C38="Electric car",$D38=5),$E38*'BE '!D$20,AND($C38="Hybrid car",$D38=1),$E38*'BE '!D$22,AND($C38="Hybrid car",$D38=2),$E38*'BE '!D$23,AND($C38="Hybrid car",$D38=3),$E38*'BE '!D$24,AND($C38="Hybrid car",$D38=4),$E38*'BE '!D$25,AND($C38="Hybrid car",$D38=5),$E38*'BE '!D$26,AND($C38="Electric motorcycle",$D38=1),$E38*'BE '!D$28,AND($C38="Electric motorcycle",$D38=2),$E38*'BE '!D$29,AND($C38="Electric bike",$D38=1),$E38*'BE '!D$31,AND($C38="Electric scooter",$D38=1),$E38*'BE '!D$33,AND($C38="Bus",$D38="Almost empty"),$E38*'BE '!I$23,AND($C38="Bus",$D38="Average"),$E38*'BE '!I$24,AND($C38="Bus",$D38="Nearly full"),$E38*'BE '!I$25,AND($C38="Electric bus",$D38="Almost empty"),$E38*'BE '!I$7,AND($C38="Electric bus",$D38="Average"),$E38*'BE '!I$8,AND($C38="Electric bus",$D38="Nearly full"),$E38*'BE '!I$9,AND($C38="Diesel bus",$D38="Almost empty"),$E38*'BE '!I$19,AND($C38="Diesel bus",$D38="Average"),$E38*'BE '!I$20,AND($C38="Diesel bus",$D38="Nearly full"),$E38*'BE '!I$21,AND($C38="Hybrid-electric bus",$D38="Almost empty"),$E38*'BE '!I$11,AND($C38="Hybrid-electric bus",$D38="Average"),$E38*'BE '!I$12,AND($C38="Hybrid-electric bus",$D38="Nearly full"),$E38*'BE '!I$13,AND($C38="Alternative fuel bus",$D38="Almost empty"),$E38*'BE '!I$15,AND($C38="Alternative fuel bus",$D38="Average"),$E38*'BE '!I$16,AND($C38="Alternative fuel bus",$D38="Nearly full"),$E38*'BE '!I$17,AND($C38="Metro, tram, urban light train",$D38="Almost empty"),$E38*'BE '!D$35,AND($C38="Metro, tram, urban light train",$D38="Average"),$E38*'BE '!D$36,AND($C38="Metro, tram, urban light train",$D38="Nearly full"),$E38*'BE '!D$37,AND($C38="Electric passenger train",$D38="Almost empty"),$E38*'BE '!D$39,AND($C38="Electric passenger train",$D38="Average"),$E38*'BE '!D$40,AND($C38="Electric passenger train",$D38="Nearly full"),$E38*'BE '!D$41,AND($C38="Diesel passenger train",$D38="Almost empty"),$E38*'BE '!D$47,AND($C38="Diesel passenger train",$D38="Average"),$E38*'BE '!D$48,AND($C38="Diesel passenger train",$D38="Nearly full"),$E38*'BE '!D$49,AND($C38="Walking"),$E38*0,AND($C38="Bike"),$E38*0,AND($C38="Plane - domestic flight"),$E38*'BE '!$C62,AND($C38="Plane - international - intra EU"),$E38*'BE '!$C64,AND($C38="Plane - international (extra EU)"),$E38*'BE '!$C66)</f>
        <v>#N/A</v>
      </c>
      <c r="H38" s="145"/>
      <c r="I38" s="148">
        <f t="shared" si="6"/>
        <v>0</v>
      </c>
      <c r="J38" s="146" t="e" cm="1">
        <f t="array" ref="J38">_xlfn.IFS(Belgium!C38="Fuel car",Belgium!I38*DATA!$C$17,C38="Electric car",Belgium!I38*DATA!$F$4,Belgium!C38="Hybrid car",Belgium!I38*(0.5*DATA!$C$17+0.5*DATA!$F$4))</f>
        <v>#N/A</v>
      </c>
      <c r="L38" s="218"/>
      <c r="M38" s="219"/>
      <c r="N38" s="220"/>
    </row>
    <row r="39" spans="1:14" ht="14.5" customHeight="1" x14ac:dyDescent="0.2">
      <c r="A39" s="222"/>
      <c r="B39" s="30"/>
      <c r="C39" s="15"/>
      <c r="D39" s="15"/>
      <c r="E39" s="15"/>
      <c r="F39" s="123" t="e" cm="1">
        <f t="array" ref="F39">_xlfn.IFS(AND($C39="Fuel car",$D39=1),$E39*'BE '!C$7,AND($C39="Fuel car",$D39=2),$E39*'BE '!C$8,AND($C39="Fuel car",$D39=3),$E39*'BE '!C$9,AND($C39="Fuel car",$D39=4),$E39*'BE '!C$10,AND($C39="Fuel car",$D39=5),$E39*'BE '!C$11,AND($C39="Motorcycle",$D39=1),$E39*'BE '!C$13,AND($C39="Motorcycle",$D39=2),$E39*'BE '!C$14,AND($C39="Electric car",$D39=1),$E39*'BE '!C$16,AND($C39="Electric car",$D39=2),$E39*'BE '!C$17,AND($C39="Electric car",$D39=3),$E39*'BE '!C$18,AND($C39="Electric car",$D39=4),$E39*'BE '!C$19,AND($C39="Electric car",$D39=5),$E39*'BE '!C$20,AND($C39="Hybrid car",$D39=1),$E39*'BE '!C$22,AND($C39="Hybrid car",$D39=2),$E39*'BE '!C$23,AND($C39="Hybrid car",$D39=3),$E39*'BE '!C$24,AND($C39="Hybrid car",$D39=4),$E39*'BE '!C$25,AND($C39="Hybrid car",$D39=5),$E39*'BE '!C$26,AND($C39="Electric motorcycle",$D39=1),$E39*'BE '!C$28,AND($C39="Electric motorcycle",$D39=2),$E39*'BE '!C$29,AND($C39="Electric bike",$D39=1),$E39*'BE '!C$31,AND($C39="Electric scooter",$D39=1),$E39*'BE '!C$33,AND($C39="Bus",$D39="Almost empty"),$E39*'BE '!H$23,AND($C39="Bus",$D39="Average"),$E39*'BE '!H$24,AND($C39="Bus",$D39="Nearly full"),$E39*'BE '!H$25,AND($C39="Electric bus",$D39="Almost empty"),$E39*'BE '!H$7,AND($C39="Electric bus",$D39="Average"),$E39*'BE '!H$8,AND($C39="Electric bus",$D39="Nearly full"),$E39*'BE '!H$9,AND($C39="Diesel bus",$D39="Almost empty"),$E39*'BE '!H$19,AND($C39="Diesel bus",$D39="Average"),$E39*'BE '!H$20,AND($C39="Diesel bus",$D39="Nearly full"),$E39*'BE '!H$21,AND($C39="Hybrid-electric bus",$D39="Almost empty"),$E39*'BE '!H$11,AND($C39="Hybrid-electric bus",$D39="Average"),$E39*'BE '!H$12,AND($C39="Hybrid-electric bus",$D39="Nearly full"),$E39*'BE '!H$13,AND($C39="Alternative fuel bus",$D39="Almost empty"),$E39*'BE '!H$15,AND($C39="Alternative fuel bus",$D39="Average"),$E39*'BE '!H$16,AND($C39="Alternative fuel bus",$D39="Nearly full"),$E39*'BE '!H$17,AND($C39="Metro, tram, urban light train",$D39="Almost empty"),$E39*'BE '!C$35,AND($C39="Metro, tram, urban light train",$D39="Average"),$E39*'BE '!C$36,AND($C39="Metro, tram, urban light train",$D39="Nearly full"),$E39*'BE '!C$37,AND($C39="Electric passenger train",$D39="Almost empty"),$E39*'BE '!C$39,AND($C39="Electric passenger train",$D39="Average"),$E39*'BE '!C$40,AND($C39="Electric passenger train",$D39="Nearly full"),$E39*'BE '!C$41,AND($C39="Diesel passenger train",$D39="Almost empty"),$E39*'BE '!C$47,AND($C39="Diesel passenger train",$D39="Average"),$E39*'BE '!C$48,AND($C39="Diesel passenger train",$D39="Nearly full"),$E39*'BE '!C$49,AND($C39="Walking"),$E39*0,AND($C39="Bike"),$E39*0,AND($C39="Plane - domestic flight"),$E39*'BE '!$C63,AND($C39="Plane - international - intra EU"),$E39*'BE '!$C65,AND($C39="Plane - international (extra EU)"),$E39*'BE '!$C67)</f>
        <v>#N/A</v>
      </c>
      <c r="G39" s="31" t="e" cm="1">
        <f t="array" ref="G39">_xlfn.IFS(AND($C39="Fuel car",$D39=1),$E39*'BE '!D$7,AND($C39="Fuel car",$D39=2),$E39*'BE '!D$8,AND($C39="Fuel car",$D39=3),$E39*'BE '!D$9,AND($C39="Fuel car",$D39=4),$E39*'BE '!D$10,AND($C39="Fuel car",$D39=5),$E39*'BE '!D$11,AND($C39="Motorcycle",$D39=1),$E39*'BE '!D$13,AND($C39="Motorcycle",$D39=2),$E39*'BE '!D$14,AND($C39="Electric car",$D39=1),$E39*'BE '!D$16,AND($C39="Electric car",$D39=2),$E39*'BE '!D$17,AND($C39="Electric car",$D39=3),$E39*'BE '!D$18,AND($C39="Electric car",$D39=4),$E39*'BE '!D$19,AND($C39="Electric car",$D39=5),$E39*'BE '!D$20,AND($C39="Hybrid car",$D39=1),$E39*'BE '!D$22,AND($C39="Hybrid car",$D39=2),$E39*'BE '!D$23,AND($C39="Hybrid car",$D39=3),$E39*'BE '!D$24,AND($C39="Hybrid car",$D39=4),$E39*'BE '!D$25,AND($C39="Hybrid car",$D39=5),$E39*'BE '!D$26,AND($C39="Electric motorcycle",$D39=1),$E39*'BE '!D$28,AND($C39="Electric motorcycle",$D39=2),$E39*'BE '!D$29,AND($C39="Electric bike",$D39=1),$E39*'BE '!D$31,AND($C39="Electric scooter",$D39=1),$E39*'BE '!D$33,AND($C39="Bus",$D39="Almost empty"),$E39*'BE '!I$23,AND($C39="Bus",$D39="Average"),$E39*'BE '!I$24,AND($C39="Bus",$D39="Nearly full"),$E39*'BE '!I$25,AND($C39="Electric bus",$D39="Almost empty"),$E39*'BE '!I$7,AND($C39="Electric bus",$D39="Average"),$E39*'BE '!I$8,AND($C39="Electric bus",$D39="Nearly full"),$E39*'BE '!I$9,AND($C39="Diesel bus",$D39="Almost empty"),$E39*'BE '!I$19,AND($C39="Diesel bus",$D39="Average"),$E39*'BE '!I$20,AND($C39="Diesel bus",$D39="Nearly full"),$E39*'BE '!I$21,AND($C39="Hybrid-electric bus",$D39="Almost empty"),$E39*'BE '!I$11,AND($C39="Hybrid-electric bus",$D39="Average"),$E39*'BE '!I$12,AND($C39="Hybrid-electric bus",$D39="Nearly full"),$E39*'BE '!I$13,AND($C39="Alternative fuel bus",$D39="Almost empty"),$E39*'BE '!I$15,AND($C39="Alternative fuel bus",$D39="Average"),$E39*'BE '!I$16,AND($C39="Alternative fuel bus",$D39="Nearly full"),$E39*'BE '!I$17,AND($C39="Metro, tram, urban light train",$D39="Almost empty"),$E39*'BE '!D$35,AND($C39="Metro, tram, urban light train",$D39="Average"),$E39*'BE '!D$36,AND($C39="Metro, tram, urban light train",$D39="Nearly full"),$E39*'BE '!D$37,AND($C39="Electric passenger train",$D39="Almost empty"),$E39*'BE '!D$39,AND($C39="Electric passenger train",$D39="Average"),$E39*'BE '!D$40,AND($C39="Electric passenger train",$D39="Nearly full"),$E39*'BE '!D$41,AND($C39="Diesel passenger train",$D39="Almost empty"),$E39*'BE '!D$47,AND($C39="Diesel passenger train",$D39="Average"),$E39*'BE '!D$48,AND($C39="Diesel passenger train",$D39="Nearly full"),$E39*'BE '!D$49,AND($C39="Walking"),$E39*0,AND($C39="Bike"),$E39*0,AND($C39="Plane - domestic flight"),$E39*'BE '!$C63,AND($C39="Plane - international - intra EU"),$E39*'BE '!$C65,AND($C39="Plane - international (extra EU)"),$E39*'BE '!$C67)</f>
        <v>#N/A</v>
      </c>
      <c r="H39" s="145"/>
      <c r="I39" s="148">
        <f t="shared" si="6"/>
        <v>0</v>
      </c>
      <c r="J39" s="146" t="e" cm="1">
        <f t="array" ref="J39">_xlfn.IFS(Belgium!C39="Fuel car",Belgium!I39*DATA!$C$17,C39="Electric car",Belgium!I39*DATA!$F$4,Belgium!C39="Hybrid car",Belgium!I39*(0.5*DATA!$C$17+0.5*DATA!$F$4))</f>
        <v>#N/A</v>
      </c>
      <c r="L39" s="226" t="s">
        <v>80</v>
      </c>
      <c r="M39" s="227"/>
      <c r="N39" s="228"/>
    </row>
    <row r="40" spans="1:14" x14ac:dyDescent="0.2">
      <c r="A40" s="222"/>
      <c r="B40" s="30"/>
      <c r="C40" s="15"/>
      <c r="D40" s="15"/>
      <c r="E40" s="15"/>
      <c r="F40" s="123" t="e" cm="1">
        <f t="array" ref="F40">_xlfn.IFS(AND($C40="Fuel car",$D40=1),$E40*'BE '!C$7,AND($C40="Fuel car",$D40=2),$E40*'BE '!C$8,AND($C40="Fuel car",$D40=3),$E40*'BE '!C$9,AND($C40="Fuel car",$D40=4),$E40*'BE '!C$10,AND($C40="Fuel car",$D40=5),$E40*'BE '!C$11,AND($C40="Motorcycle",$D40=1),$E40*'BE '!C$13,AND($C40="Motorcycle",$D40=2),$E40*'BE '!C$14,AND($C40="Electric car",$D40=1),$E40*'BE '!C$16,AND($C40="Electric car",$D40=2),$E40*'BE '!C$17,AND($C40="Electric car",$D40=3),$E40*'BE '!C$18,AND($C40="Electric car",$D40=4),$E40*'BE '!C$19,AND($C40="Electric car",$D40=5),$E40*'BE '!C$20,AND($C40="Hybrid car",$D40=1),$E40*'BE '!C$22,AND($C40="Hybrid car",$D40=2),$E40*'BE '!C$23,AND($C40="Hybrid car",$D40=3),$E40*'BE '!C$24,AND($C40="Hybrid car",$D40=4),$E40*'BE '!C$25,AND($C40="Hybrid car",$D40=5),$E40*'BE '!C$26,AND($C40="Electric motorcycle",$D40=1),$E40*'BE '!C$28,AND($C40="Electric motorcycle",$D40=2),$E40*'BE '!C$29,AND($C40="Electric bike",$D40=1),$E40*'BE '!C$31,AND($C40="Electric scooter",$D40=1),$E40*'BE '!C$33,AND($C40="Bus",$D40="Almost empty"),$E40*'BE '!H$23,AND($C40="Bus",$D40="Average"),$E40*'BE '!H$24,AND($C40="Bus",$D40="Nearly full"),$E40*'BE '!H$25,AND($C40="Electric bus",$D40="Almost empty"),$E40*'BE '!H$7,AND($C40="Electric bus",$D40="Average"),$E40*'BE '!H$8,AND($C40="Electric bus",$D40="Nearly full"),$E40*'BE '!H$9,AND($C40="Diesel bus",$D40="Almost empty"),$E40*'BE '!H$19,AND($C40="Diesel bus",$D40="Average"),$E40*'BE '!H$20,AND($C40="Diesel bus",$D40="Nearly full"),$E40*'BE '!H$21,AND($C40="Hybrid-electric bus",$D40="Almost empty"),$E40*'BE '!H$11,AND($C40="Hybrid-electric bus",$D40="Average"),$E40*'BE '!H$12,AND($C40="Hybrid-electric bus",$D40="Nearly full"),$E40*'BE '!H$13,AND($C40="Alternative fuel bus",$D40="Almost empty"),$E40*'BE '!H$15,AND($C40="Alternative fuel bus",$D40="Average"),$E40*'BE '!H$16,AND($C40="Alternative fuel bus",$D40="Nearly full"),$E40*'BE '!H$17,AND($C40="Metro, tram, urban light train",$D40="Almost empty"),$E40*'BE '!C$35,AND($C40="Metro, tram, urban light train",$D40="Average"),$E40*'BE '!C$36,AND($C40="Metro, tram, urban light train",$D40="Nearly full"),$E40*'BE '!C$37,AND($C40="Electric passenger train",$D40="Almost empty"),$E40*'BE '!C$39,AND($C40="Electric passenger train",$D40="Average"),$E40*'BE '!C$40,AND($C40="Electric passenger train",$D40="Nearly full"),$E40*'BE '!C$41,AND($C40="Diesel passenger train",$D40="Almost empty"),$E40*'BE '!C$47,AND($C40="Diesel passenger train",$D40="Average"),$E40*'BE '!C$48,AND($C40="Diesel passenger train",$D40="Nearly full"),$E40*'BE '!C$49,AND($C40="Walking"),$E40*0,AND($C40="Bike"),$E40*0,AND($C40="Plane - domestic flight"),$E40*'BE '!$C64,AND($C40="Plane - international - intra EU"),$E40*'BE '!$C66,AND($C40="Plane - international (extra EU)"),$E40*'BE '!$C68)</f>
        <v>#N/A</v>
      </c>
      <c r="G40" s="31" t="e" cm="1">
        <f t="array" ref="G40">_xlfn.IFS(AND($C40="Fuel car",$D40=1),$E40*'BE '!D$7,AND($C40="Fuel car",$D40=2),$E40*'BE '!D$8,AND($C40="Fuel car",$D40=3),$E40*'BE '!D$9,AND($C40="Fuel car",$D40=4),$E40*'BE '!D$10,AND($C40="Fuel car",$D40=5),$E40*'BE '!D$11,AND($C40="Motorcycle",$D40=1),$E40*'BE '!D$13,AND($C40="Motorcycle",$D40=2),$E40*'BE '!D$14,AND($C40="Electric car",$D40=1),$E40*'BE '!D$16,AND($C40="Electric car",$D40=2),$E40*'BE '!D$17,AND($C40="Electric car",$D40=3),$E40*'BE '!D$18,AND($C40="Electric car",$D40=4),$E40*'BE '!D$19,AND($C40="Electric car",$D40=5),$E40*'BE '!D$20,AND($C40="Hybrid car",$D40=1),$E40*'BE '!D$22,AND($C40="Hybrid car",$D40=2),$E40*'BE '!D$23,AND($C40="Hybrid car",$D40=3),$E40*'BE '!D$24,AND($C40="Hybrid car",$D40=4),$E40*'BE '!D$25,AND($C40="Hybrid car",$D40=5),$E40*'BE '!D$26,AND($C40="Electric motorcycle",$D40=1),$E40*'BE '!D$28,AND($C40="Electric motorcycle",$D40=2),$E40*'BE '!D$29,AND($C40="Electric bike",$D40=1),$E40*'BE '!D$31,AND($C40="Electric scooter",$D40=1),$E40*'BE '!D$33,AND($C40="Bus",$D40="Almost empty"),$E40*'BE '!I$23,AND($C40="Bus",$D40="Average"),$E40*'BE '!I$24,AND($C40="Bus",$D40="Nearly full"),$E40*'BE '!I$25,AND($C40="Electric bus",$D40="Almost empty"),$E40*'BE '!I$7,AND($C40="Electric bus",$D40="Average"),$E40*'BE '!I$8,AND($C40="Electric bus",$D40="Nearly full"),$E40*'BE '!I$9,AND($C40="Diesel bus",$D40="Almost empty"),$E40*'BE '!I$19,AND($C40="Diesel bus",$D40="Average"),$E40*'BE '!I$20,AND($C40="Diesel bus",$D40="Nearly full"),$E40*'BE '!I$21,AND($C40="Hybrid-electric bus",$D40="Almost empty"),$E40*'BE '!I$11,AND($C40="Hybrid-electric bus",$D40="Average"),$E40*'BE '!I$12,AND($C40="Hybrid-electric bus",$D40="Nearly full"),$E40*'BE '!I$13,AND($C40="Alternative fuel bus",$D40="Almost empty"),$E40*'BE '!I$15,AND($C40="Alternative fuel bus",$D40="Average"),$E40*'BE '!I$16,AND($C40="Alternative fuel bus",$D40="Nearly full"),$E40*'BE '!I$17,AND($C40="Metro, tram, urban light train",$D40="Almost empty"),$E40*'BE '!D$35,AND($C40="Metro, tram, urban light train",$D40="Average"),$E40*'BE '!D$36,AND($C40="Metro, tram, urban light train",$D40="Nearly full"),$E40*'BE '!D$37,AND($C40="Electric passenger train",$D40="Almost empty"),$E40*'BE '!D$39,AND($C40="Electric passenger train",$D40="Average"),$E40*'BE '!D$40,AND($C40="Electric passenger train",$D40="Nearly full"),$E40*'BE '!D$41,AND($C40="Diesel passenger train",$D40="Almost empty"),$E40*'BE '!D$47,AND($C40="Diesel passenger train",$D40="Average"),$E40*'BE '!D$48,AND($C40="Diesel passenger train",$D40="Nearly full"),$E40*'BE '!D$49,AND($C40="Walking"),$E40*0,AND($C40="Bike"),$E40*0,AND($C40="Plane - domestic flight"),$E40*'BE '!$C64,AND($C40="Plane - international - intra EU"),$E40*'BE '!$C66,AND($C40="Plane - international (extra EU)"),$E40*'BE '!$C68)</f>
        <v>#N/A</v>
      </c>
      <c r="H40" s="145"/>
      <c r="I40" s="148">
        <f t="shared" si="6"/>
        <v>0</v>
      </c>
      <c r="J40" s="146" t="e" cm="1">
        <f t="array" ref="J40">_xlfn.IFS(Belgium!C40="Fuel car",Belgium!I40*DATA!$C$17,C40="Electric car",Belgium!I40*DATA!$F$4,Belgium!C40="Hybrid car",Belgium!I40*(0.5*DATA!$C$17+0.5*DATA!$F$4))</f>
        <v>#N/A</v>
      </c>
      <c r="L40" s="229"/>
      <c r="M40" s="230"/>
      <c r="N40" s="231"/>
    </row>
    <row r="41" spans="1:14" ht="14.5" customHeight="1" x14ac:dyDescent="0.2">
      <c r="A41" s="222"/>
      <c r="B41" s="30"/>
      <c r="C41" s="15"/>
      <c r="D41" s="15"/>
      <c r="E41" s="15"/>
      <c r="F41" s="123" t="e" cm="1">
        <f t="array" ref="F41">_xlfn.IFS(AND($C41="Fuel car",$D41=1),$E41*'BE '!C$7,AND($C41="Fuel car",$D41=2),$E41*'BE '!C$8,AND($C41="Fuel car",$D41=3),$E41*'BE '!C$9,AND($C41="Fuel car",$D41=4),$E41*'BE '!C$10,AND($C41="Fuel car",$D41=5),$E41*'BE '!C$11,AND($C41="Motorcycle",$D41=1),$E41*'BE '!C$13,AND($C41="Motorcycle",$D41=2),$E41*'BE '!C$14,AND($C41="Electric car",$D41=1),$E41*'BE '!C$16,AND($C41="Electric car",$D41=2),$E41*'BE '!C$17,AND($C41="Electric car",$D41=3),$E41*'BE '!C$18,AND($C41="Electric car",$D41=4),$E41*'BE '!C$19,AND($C41="Electric car",$D41=5),$E41*'BE '!C$20,AND($C41="Hybrid car",$D41=1),$E41*'BE '!C$22,AND($C41="Hybrid car",$D41=2),$E41*'BE '!C$23,AND($C41="Hybrid car",$D41=3),$E41*'BE '!C$24,AND($C41="Hybrid car",$D41=4),$E41*'BE '!C$25,AND($C41="Hybrid car",$D41=5),$E41*'BE '!C$26,AND($C41="Electric motorcycle",$D41=1),$E41*'BE '!C$28,AND($C41="Electric motorcycle",$D41=2),$E41*'BE '!C$29,AND($C41="Electric bike",$D41=1),$E41*'BE '!C$31,AND($C41="Electric scooter",$D41=1),$E41*'BE '!C$33,AND($C41="Bus",$D41="Almost empty"),$E41*'BE '!H$23,AND($C41="Bus",$D41="Average"),$E41*'BE '!H$24,AND($C41="Bus",$D41="Nearly full"),$E41*'BE '!H$25,AND($C41="Electric bus",$D41="Almost empty"),$E41*'BE '!H$7,AND($C41="Electric bus",$D41="Average"),$E41*'BE '!H$8,AND($C41="Electric bus",$D41="Nearly full"),$E41*'BE '!H$9,AND($C41="Diesel bus",$D41="Almost empty"),$E41*'BE '!H$19,AND($C41="Diesel bus",$D41="Average"),$E41*'BE '!H$20,AND($C41="Diesel bus",$D41="Nearly full"),$E41*'BE '!H$21,AND($C41="Hybrid-electric bus",$D41="Almost empty"),$E41*'BE '!H$11,AND($C41="Hybrid-electric bus",$D41="Average"),$E41*'BE '!H$12,AND($C41="Hybrid-electric bus",$D41="Nearly full"),$E41*'BE '!H$13,AND($C41="Alternative fuel bus",$D41="Almost empty"),$E41*'BE '!H$15,AND($C41="Alternative fuel bus",$D41="Average"),$E41*'BE '!H$16,AND($C41="Alternative fuel bus",$D41="Nearly full"),$E41*'BE '!H$17,AND($C41="Metro, tram, urban light train",$D41="Almost empty"),$E41*'BE '!C$35,AND($C41="Metro, tram, urban light train",$D41="Average"),$E41*'BE '!C$36,AND($C41="Metro, tram, urban light train",$D41="Nearly full"),$E41*'BE '!C$37,AND($C41="Electric passenger train",$D41="Almost empty"),$E41*'BE '!C$39,AND($C41="Electric passenger train",$D41="Average"),$E41*'BE '!C$40,AND($C41="Electric passenger train",$D41="Nearly full"),$E41*'BE '!C$41,AND($C41="Diesel passenger train",$D41="Almost empty"),$E41*'BE '!C$47,AND($C41="Diesel passenger train",$D41="Average"),$E41*'BE '!C$48,AND($C41="Diesel passenger train",$D41="Nearly full"),$E41*'BE '!C$49,AND($C41="Walking"),$E41*0,AND($C41="Bike"),$E41*0,AND($C41="Plane - domestic flight"),$E41*'BE '!$C65,AND($C41="Plane - international - intra EU"),$E41*'BE '!$C67,AND($C41="Plane - international (extra EU)"),$E41*'BE '!$C69)</f>
        <v>#N/A</v>
      </c>
      <c r="G41" s="31" t="e" cm="1">
        <f t="array" ref="G41">_xlfn.IFS(AND($C41="Fuel car",$D41=1),$E41*'BE '!D$7,AND($C41="Fuel car",$D41=2),$E41*'BE '!D$8,AND($C41="Fuel car",$D41=3),$E41*'BE '!D$9,AND($C41="Fuel car",$D41=4),$E41*'BE '!D$10,AND($C41="Fuel car",$D41=5),$E41*'BE '!D$11,AND($C41="Motorcycle",$D41=1),$E41*'BE '!D$13,AND($C41="Motorcycle",$D41=2),$E41*'BE '!D$14,AND($C41="Electric car",$D41=1),$E41*'BE '!D$16,AND($C41="Electric car",$D41=2),$E41*'BE '!D$17,AND($C41="Electric car",$D41=3),$E41*'BE '!D$18,AND($C41="Electric car",$D41=4),$E41*'BE '!D$19,AND($C41="Electric car",$D41=5),$E41*'BE '!D$20,AND($C41="Hybrid car",$D41=1),$E41*'BE '!D$22,AND($C41="Hybrid car",$D41=2),$E41*'BE '!D$23,AND($C41="Hybrid car",$D41=3),$E41*'BE '!D$24,AND($C41="Hybrid car",$D41=4),$E41*'BE '!D$25,AND($C41="Hybrid car",$D41=5),$E41*'BE '!D$26,AND($C41="Electric motorcycle",$D41=1),$E41*'BE '!D$28,AND($C41="Electric motorcycle",$D41=2),$E41*'BE '!D$29,AND($C41="Electric bike",$D41=1),$E41*'BE '!D$31,AND($C41="Electric scooter",$D41=1),$E41*'BE '!D$33,AND($C41="Bus",$D41="Almost empty"),$E41*'BE '!I$23,AND($C41="Bus",$D41="Average"),$E41*'BE '!I$24,AND($C41="Bus",$D41="Nearly full"),$E41*'BE '!I$25,AND($C41="Electric bus",$D41="Almost empty"),$E41*'BE '!I$7,AND($C41="Electric bus",$D41="Average"),$E41*'BE '!I$8,AND($C41="Electric bus",$D41="Nearly full"),$E41*'BE '!I$9,AND($C41="Diesel bus",$D41="Almost empty"),$E41*'BE '!I$19,AND($C41="Diesel bus",$D41="Average"),$E41*'BE '!I$20,AND($C41="Diesel bus",$D41="Nearly full"),$E41*'BE '!I$21,AND($C41="Hybrid-electric bus",$D41="Almost empty"),$E41*'BE '!I$11,AND($C41="Hybrid-electric bus",$D41="Average"),$E41*'BE '!I$12,AND($C41="Hybrid-electric bus",$D41="Nearly full"),$E41*'BE '!I$13,AND($C41="Alternative fuel bus",$D41="Almost empty"),$E41*'BE '!I$15,AND($C41="Alternative fuel bus",$D41="Average"),$E41*'BE '!I$16,AND($C41="Alternative fuel bus",$D41="Nearly full"),$E41*'BE '!I$17,AND($C41="Metro, tram, urban light train",$D41="Almost empty"),$E41*'BE '!D$35,AND($C41="Metro, tram, urban light train",$D41="Average"),$E41*'BE '!D$36,AND($C41="Metro, tram, urban light train",$D41="Nearly full"),$E41*'BE '!D$37,AND($C41="Electric passenger train",$D41="Almost empty"),$E41*'BE '!D$39,AND($C41="Electric passenger train",$D41="Average"),$E41*'BE '!D$40,AND($C41="Electric passenger train",$D41="Nearly full"),$E41*'BE '!D$41,AND($C41="Diesel passenger train",$D41="Almost empty"),$E41*'BE '!D$47,AND($C41="Diesel passenger train",$D41="Average"),$E41*'BE '!D$48,AND($C41="Diesel passenger train",$D41="Nearly full"),$E41*'BE '!D$49,AND($C41="Walking"),$E41*0,AND($C41="Bike"),$E41*0,AND($C41="Plane - domestic flight"),$E41*'BE '!$C65,AND($C41="Plane - international - intra EU"),$E41*'BE '!$C67,AND($C41="Plane - international (extra EU)"),$E41*'BE '!$C69)</f>
        <v>#N/A</v>
      </c>
      <c r="H41" s="145"/>
      <c r="I41" s="148">
        <f t="shared" si="6"/>
        <v>0</v>
      </c>
      <c r="J41" s="146" t="e" cm="1">
        <f t="array" ref="J41">_xlfn.IFS(Belgium!C41="Fuel car",Belgium!I41*DATA!$C$17,C41="Electric car",Belgium!I41*DATA!$F$4,Belgium!C41="Hybrid car",Belgium!I41*(0.5*DATA!$C$17+0.5*DATA!$F$4))</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ht="30.5" customHeight="1" x14ac:dyDescent="0.2">
      <c r="A42" s="222"/>
      <c r="B42" s="30"/>
      <c r="C42" s="15"/>
      <c r="D42" s="15"/>
      <c r="E42" s="15"/>
      <c r="F42" s="123" t="e" cm="1">
        <f t="array" ref="F42">_xlfn.IFS(AND($C42="Fuel car",$D42=1),$E42*'BE '!C$7,AND($C42="Fuel car",$D42=2),$E42*'BE '!C$8,AND($C42="Fuel car",$D42=3),$E42*'BE '!C$9,AND($C42="Fuel car",$D42=4),$E42*'BE '!C$10,AND($C42="Fuel car",$D42=5),$E42*'BE '!C$11,AND($C42="Motorcycle",$D42=1),$E42*'BE '!C$13,AND($C42="Motorcycle",$D42=2),$E42*'BE '!C$14,AND($C42="Electric car",$D42=1),$E42*'BE '!C$16,AND($C42="Electric car",$D42=2),$E42*'BE '!C$17,AND($C42="Electric car",$D42=3),$E42*'BE '!C$18,AND($C42="Electric car",$D42=4),$E42*'BE '!C$19,AND($C42="Electric car",$D42=5),$E42*'BE '!C$20,AND($C42="Hybrid car",$D42=1),$E42*'BE '!C$22,AND($C42="Hybrid car",$D42=2),$E42*'BE '!C$23,AND($C42="Hybrid car",$D42=3),$E42*'BE '!C$24,AND($C42="Hybrid car",$D42=4),$E42*'BE '!C$25,AND($C42="Hybrid car",$D42=5),$E42*'BE '!C$26,AND($C42="Electric motorcycle",$D42=1),$E42*'BE '!C$28,AND($C42="Electric motorcycle",$D42=2),$E42*'BE '!C$29,AND($C42="Electric bike",$D42=1),$E42*'BE '!C$31,AND($C42="Electric scooter",$D42=1),$E42*'BE '!C$33,AND($C42="Bus",$D42="Almost empty"),$E42*'BE '!H$23,AND($C42="Bus",$D42="Average"),$E42*'BE '!H$24,AND($C42="Bus",$D42="Nearly full"),$E42*'BE '!H$25,AND($C42="Electric bus",$D42="Almost empty"),$E42*'BE '!H$7,AND($C42="Electric bus",$D42="Average"),$E42*'BE '!H$8,AND($C42="Electric bus",$D42="Nearly full"),$E42*'BE '!H$9,AND($C42="Diesel bus",$D42="Almost empty"),$E42*'BE '!H$19,AND($C42="Diesel bus",$D42="Average"),$E42*'BE '!H$20,AND($C42="Diesel bus",$D42="Nearly full"),$E42*'BE '!H$21,AND($C42="Hybrid-electric bus",$D42="Almost empty"),$E42*'BE '!H$11,AND($C42="Hybrid-electric bus",$D42="Average"),$E42*'BE '!H$12,AND($C42="Hybrid-electric bus",$D42="Nearly full"),$E42*'BE '!H$13,AND($C42="Alternative fuel bus",$D42="Almost empty"),$E42*'BE '!H$15,AND($C42="Alternative fuel bus",$D42="Average"),$E42*'BE '!H$16,AND($C42="Alternative fuel bus",$D42="Nearly full"),$E42*'BE '!H$17,AND($C42="Metro, tram, urban light train",$D42="Almost empty"),$E42*'BE '!C$35,AND($C42="Metro, tram, urban light train",$D42="Average"),$E42*'BE '!C$36,AND($C42="Metro, tram, urban light train",$D42="Nearly full"),$E42*'BE '!C$37,AND($C42="Electric passenger train",$D42="Almost empty"),$E42*'BE '!C$39,AND($C42="Electric passenger train",$D42="Average"),$E42*'BE '!C$40,AND($C42="Electric passenger train",$D42="Nearly full"),$E42*'BE '!C$41,AND($C42="Diesel passenger train",$D42="Almost empty"),$E42*'BE '!C$47,AND($C42="Diesel passenger train",$D42="Average"),$E42*'BE '!C$48,AND($C42="Diesel passenger train",$D42="Nearly full"),$E42*'BE '!C$49,AND($C42="Walking"),$E42*0,AND($C42="Bike"),$E42*0,AND($C42="Plane - domestic flight"),$E42*'BE '!$C66,AND($C42="Plane - international - intra EU"),$E42*'BE '!$C68,AND($C42="Plane - international (extra EU)"),$E42*'BE '!$C70)</f>
        <v>#N/A</v>
      </c>
      <c r="G42" s="31" t="e" cm="1">
        <f t="array" ref="G42">_xlfn.IFS(AND($C42="Fuel car",$D42=1),$E42*'BE '!D$7,AND($C42="Fuel car",$D42=2),$E42*'BE '!D$8,AND($C42="Fuel car",$D42=3),$E42*'BE '!D$9,AND($C42="Fuel car",$D42=4),$E42*'BE '!D$10,AND($C42="Fuel car",$D42=5),$E42*'BE '!D$11,AND($C42="Motorcycle",$D42=1),$E42*'BE '!D$13,AND($C42="Motorcycle",$D42=2),$E42*'BE '!D$14,AND($C42="Electric car",$D42=1),$E42*'BE '!D$16,AND($C42="Electric car",$D42=2),$E42*'BE '!D$17,AND($C42="Electric car",$D42=3),$E42*'BE '!D$18,AND($C42="Electric car",$D42=4),$E42*'BE '!D$19,AND($C42="Electric car",$D42=5),$E42*'BE '!D$20,AND($C42="Hybrid car",$D42=1),$E42*'BE '!D$22,AND($C42="Hybrid car",$D42=2),$E42*'BE '!D$23,AND($C42="Hybrid car",$D42=3),$E42*'BE '!D$24,AND($C42="Hybrid car",$D42=4),$E42*'BE '!D$25,AND($C42="Hybrid car",$D42=5),$E42*'BE '!D$26,AND($C42="Electric motorcycle",$D42=1),$E42*'BE '!D$28,AND($C42="Electric motorcycle",$D42=2),$E42*'BE '!D$29,AND($C42="Electric bike",$D42=1),$E42*'BE '!D$31,AND($C42="Electric scooter",$D42=1),$E42*'BE '!D$33,AND($C42="Bus",$D42="Almost empty"),$E42*'BE '!I$23,AND($C42="Bus",$D42="Average"),$E42*'BE '!I$24,AND($C42="Bus",$D42="Nearly full"),$E42*'BE '!I$25,AND($C42="Electric bus",$D42="Almost empty"),$E42*'BE '!I$7,AND($C42="Electric bus",$D42="Average"),$E42*'BE '!I$8,AND($C42="Electric bus",$D42="Nearly full"),$E42*'BE '!I$9,AND($C42="Diesel bus",$D42="Almost empty"),$E42*'BE '!I$19,AND($C42="Diesel bus",$D42="Average"),$E42*'BE '!I$20,AND($C42="Diesel bus",$D42="Nearly full"),$E42*'BE '!I$21,AND($C42="Hybrid-electric bus",$D42="Almost empty"),$E42*'BE '!I$11,AND($C42="Hybrid-electric bus",$D42="Average"),$E42*'BE '!I$12,AND($C42="Hybrid-electric bus",$D42="Nearly full"),$E42*'BE '!I$13,AND($C42="Alternative fuel bus",$D42="Almost empty"),$E42*'BE '!I$15,AND($C42="Alternative fuel bus",$D42="Average"),$E42*'BE '!I$16,AND($C42="Alternative fuel bus",$D42="Nearly full"),$E42*'BE '!I$17,AND($C42="Metro, tram, urban light train",$D42="Almost empty"),$E42*'BE '!D$35,AND($C42="Metro, tram, urban light train",$D42="Average"),$E42*'BE '!D$36,AND($C42="Metro, tram, urban light train",$D42="Nearly full"),$E42*'BE '!D$37,AND($C42="Electric passenger train",$D42="Almost empty"),$E42*'BE '!D$39,AND($C42="Electric passenger train",$D42="Average"),$E42*'BE '!D$40,AND($C42="Electric passenger train",$D42="Nearly full"),$E42*'BE '!D$41,AND($C42="Diesel passenger train",$D42="Almost empty"),$E42*'BE '!D$47,AND($C42="Diesel passenger train",$D42="Average"),$E42*'BE '!D$48,AND($C42="Diesel passenger train",$D42="Nearly full"),$E42*'BE '!D$49,AND($C42="Walking"),$E42*0,AND($C42="Bike"),$E42*0,AND($C42="Plane - domestic flight"),$E42*'BE '!$C66,AND($C42="Plane - international - intra EU"),$E42*'BE '!$C68,AND($C42="Plane - international (extra EU)"),$E42*'BE '!$C70)</f>
        <v>#N/A</v>
      </c>
      <c r="H42" s="145"/>
      <c r="I42" s="148">
        <f t="shared" si="6"/>
        <v>0</v>
      </c>
      <c r="J42" s="146" t="e" cm="1">
        <f t="array" ref="J42">_xlfn.IFS(Belgium!C42="Fuel car",Belgium!I42*DATA!$C$17,C42="Electric car",Belgium!I42*DATA!$F$4,Belgium!C42="Hybrid car",Belgium!I42*(0.5*DATA!$C$17+0.5*DATA!$F$4))</f>
        <v>#N/A</v>
      </c>
      <c r="L42" s="235"/>
      <c r="M42" s="236"/>
      <c r="N42" s="237"/>
    </row>
    <row r="43" spans="1:14" ht="25.25" customHeight="1" thickBot="1" x14ac:dyDescent="0.25">
      <c r="A43" s="222"/>
      <c r="B43" s="30"/>
      <c r="C43" s="15"/>
      <c r="D43" s="15"/>
      <c r="E43" s="15"/>
      <c r="F43" s="123" t="e" cm="1">
        <f t="array" ref="F43">_xlfn.IFS(AND($C43="Fuel car",$D43=1),$E43*'BE '!C$7,AND($C43="Fuel car",$D43=2),$E43*'BE '!C$8,AND($C43="Fuel car",$D43=3),$E43*'BE '!C$9,AND($C43="Fuel car",$D43=4),$E43*'BE '!C$10,AND($C43="Fuel car",$D43=5),$E43*'BE '!C$11,AND($C43="Motorcycle",$D43=1),$E43*'BE '!C$13,AND($C43="Motorcycle",$D43=2),$E43*'BE '!C$14,AND($C43="Electric car",$D43=1),$E43*'BE '!C$16,AND($C43="Electric car",$D43=2),$E43*'BE '!C$17,AND($C43="Electric car",$D43=3),$E43*'BE '!C$18,AND($C43="Electric car",$D43=4),$E43*'BE '!C$19,AND($C43="Electric car",$D43=5),$E43*'BE '!C$20,AND($C43="Hybrid car",$D43=1),$E43*'BE '!C$22,AND($C43="Hybrid car",$D43=2),$E43*'BE '!C$23,AND($C43="Hybrid car",$D43=3),$E43*'BE '!C$24,AND($C43="Hybrid car",$D43=4),$E43*'BE '!C$25,AND($C43="Hybrid car",$D43=5),$E43*'BE '!C$26,AND($C43="Electric motorcycle",$D43=1),$E43*'BE '!C$28,AND($C43="Electric motorcycle",$D43=2),$E43*'BE '!C$29,AND($C43="Electric bike",$D43=1),$E43*'BE '!C$31,AND($C43="Electric scooter",$D43=1),$E43*'BE '!C$33,AND($C43="Bus",$D43="Almost empty"),$E43*'BE '!H$23,AND($C43="Bus",$D43="Average"),$E43*'BE '!H$24,AND($C43="Bus",$D43="Nearly full"),$E43*'BE '!H$25,AND($C43="Electric bus",$D43="Almost empty"),$E43*'BE '!H$7,AND($C43="Electric bus",$D43="Average"),$E43*'BE '!H$8,AND($C43="Electric bus",$D43="Nearly full"),$E43*'BE '!H$9,AND($C43="Diesel bus",$D43="Almost empty"),$E43*'BE '!H$19,AND($C43="Diesel bus",$D43="Average"),$E43*'BE '!H$20,AND($C43="Diesel bus",$D43="Nearly full"),$E43*'BE '!H$21,AND($C43="Hybrid-electric bus",$D43="Almost empty"),$E43*'BE '!H$11,AND($C43="Hybrid-electric bus",$D43="Average"),$E43*'BE '!H$12,AND($C43="Hybrid-electric bus",$D43="Nearly full"),$E43*'BE '!H$13,AND($C43="Alternative fuel bus",$D43="Almost empty"),$E43*'BE '!H$15,AND($C43="Alternative fuel bus",$D43="Average"),$E43*'BE '!H$16,AND($C43="Alternative fuel bus",$D43="Nearly full"),$E43*'BE '!H$17,AND($C43="Metro, tram, urban light train",$D43="Almost empty"),$E43*'BE '!C$35,AND($C43="Metro, tram, urban light train",$D43="Average"),$E43*'BE '!C$36,AND($C43="Metro, tram, urban light train",$D43="Nearly full"),$E43*'BE '!C$37,AND($C43="Electric passenger train",$D43="Almost empty"),$E43*'BE '!C$39,AND($C43="Electric passenger train",$D43="Average"),$E43*'BE '!C$40,AND($C43="Electric passenger train",$D43="Nearly full"),$E43*'BE '!C$41,AND($C43="Diesel passenger train",$D43="Almost empty"),$E43*'BE '!C$47,AND($C43="Diesel passenger train",$D43="Average"),$E43*'BE '!C$48,AND($C43="Diesel passenger train",$D43="Nearly full"),$E43*'BE '!C$49,AND($C43="Walking"),$E43*0,AND($C43="Bike"),$E43*0,AND($C43="Plane - domestic flight"),$E43*'BE '!$C67,AND($C43="Plane - international - intra EU"),$E43*'BE '!$C69,AND($C43="Plane - international (extra EU)"),$E43*'BE '!$C71)</f>
        <v>#N/A</v>
      </c>
      <c r="G43" s="31" t="e" cm="1">
        <f t="array" ref="G43">_xlfn.IFS(AND($C43="Fuel car",$D43=1),$E43*'BE '!D$7,AND($C43="Fuel car",$D43=2),$E43*'BE '!D$8,AND($C43="Fuel car",$D43=3),$E43*'BE '!D$9,AND($C43="Fuel car",$D43=4),$E43*'BE '!D$10,AND($C43="Fuel car",$D43=5),$E43*'BE '!D$11,AND($C43="Motorcycle",$D43=1),$E43*'BE '!D$13,AND($C43="Motorcycle",$D43=2),$E43*'BE '!D$14,AND($C43="Electric car",$D43=1),$E43*'BE '!D$16,AND($C43="Electric car",$D43=2),$E43*'BE '!D$17,AND($C43="Electric car",$D43=3),$E43*'BE '!D$18,AND($C43="Electric car",$D43=4),$E43*'BE '!D$19,AND($C43="Electric car",$D43=5),$E43*'BE '!D$20,AND($C43="Hybrid car",$D43=1),$E43*'BE '!D$22,AND($C43="Hybrid car",$D43=2),$E43*'BE '!D$23,AND($C43="Hybrid car",$D43=3),$E43*'BE '!D$24,AND($C43="Hybrid car",$D43=4),$E43*'BE '!D$25,AND($C43="Hybrid car",$D43=5),$E43*'BE '!D$26,AND($C43="Electric motorcycle",$D43=1),$E43*'BE '!D$28,AND($C43="Electric motorcycle",$D43=2),$E43*'BE '!D$29,AND($C43="Electric bike",$D43=1),$E43*'BE '!D$31,AND($C43="Electric scooter",$D43=1),$E43*'BE '!D$33,AND($C43="Bus",$D43="Almost empty"),$E43*'BE '!I$23,AND($C43="Bus",$D43="Average"),$E43*'BE '!I$24,AND($C43="Bus",$D43="Nearly full"),$E43*'BE '!I$25,AND($C43="Electric bus",$D43="Almost empty"),$E43*'BE '!I$7,AND($C43="Electric bus",$D43="Average"),$E43*'BE '!I$8,AND($C43="Electric bus",$D43="Nearly full"),$E43*'BE '!I$9,AND($C43="Diesel bus",$D43="Almost empty"),$E43*'BE '!I$19,AND($C43="Diesel bus",$D43="Average"),$E43*'BE '!I$20,AND($C43="Diesel bus",$D43="Nearly full"),$E43*'BE '!I$21,AND($C43="Hybrid-electric bus",$D43="Almost empty"),$E43*'BE '!I$11,AND($C43="Hybrid-electric bus",$D43="Average"),$E43*'BE '!I$12,AND($C43="Hybrid-electric bus",$D43="Nearly full"),$E43*'BE '!I$13,AND($C43="Alternative fuel bus",$D43="Almost empty"),$E43*'BE '!I$15,AND($C43="Alternative fuel bus",$D43="Average"),$E43*'BE '!I$16,AND($C43="Alternative fuel bus",$D43="Nearly full"),$E43*'BE '!I$17,AND($C43="Metro, tram, urban light train",$D43="Almost empty"),$E43*'BE '!D$35,AND($C43="Metro, tram, urban light train",$D43="Average"),$E43*'BE '!D$36,AND($C43="Metro, tram, urban light train",$D43="Nearly full"),$E43*'BE '!D$37,AND($C43="Electric passenger train",$D43="Almost empty"),$E43*'BE '!D$39,AND($C43="Electric passenger train",$D43="Average"),$E43*'BE '!D$40,AND($C43="Electric passenger train",$D43="Nearly full"),$E43*'BE '!D$41,AND($C43="Diesel passenger train",$D43="Almost empty"),$E43*'BE '!D$47,AND($C43="Diesel passenger train",$D43="Average"),$E43*'BE '!D$48,AND($C43="Diesel passenger train",$D43="Nearly full"),$E43*'BE '!D$49,AND($C43="Walking"),$E43*0,AND($C43="Bike"),$E43*0,AND($C43="Plane - domestic flight"),$E43*'BE '!$C67,AND($C43="Plane - international - intra EU"),$E43*'BE '!$C69,AND($C43="Plane - international (extra EU)"),$E43*'BE '!$C71)</f>
        <v>#N/A</v>
      </c>
      <c r="H43" s="109"/>
      <c r="I43" s="154">
        <f t="shared" si="6"/>
        <v>0</v>
      </c>
      <c r="J43" s="147" t="e" cm="1">
        <f t="array" ref="J43">_xlfn.IFS(Belgium!C43="Fuel car",Belgium!I43*DATA!$C$17,C43="Electric car",Belgium!I43*DATA!$F$4,Belgium!C43="Hybrid car",Belgium!I43*(0.5*DATA!$C$17+0.5*DATA!$F$4))</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car",$D44=1),$E44*'BE '!C$7,AND($C44="Fuel car",$D44=2),$E44*'BE '!C$8,AND($C44="Fuel car",$D44=3),$E44*'BE '!C$9,AND($C44="Fuel car",$D44=4),$E44*'BE '!C$10,AND($C44="Fuel car",$D44=5),$E44*'BE '!C$11,AND($C44="Motorcycle",$D44=1),$E44*'BE '!C$13,AND($C44="Motorcycle",$D44=2),$E44*'BE '!C$14,AND($C44="Electric car",$D44=1),$E44*'BE '!C$16,AND($C44="Electric car",$D44=2),$E44*'BE '!C$17,AND($C44="Electric car",$D44=3),$E44*'BE '!C$18,AND($C44="Electric car",$D44=4),$E44*'BE '!C$19,AND($C44="Electric car",$D44=5),$E44*'BE '!C$20,AND($C44="Hybrid car",$D44=1),$E44*'BE '!C$22,AND($C44="Hybrid car",$D44=2),$E44*'BE '!C$23,AND($C44="Hybrid car",$D44=3),$E44*'BE '!C$24,AND($C44="Hybrid car",$D44=4),$E44*'BE '!C$25,AND($C44="Hybrid car",$D44=5),$E44*'BE '!C$26,AND($C44="Electric motorcycle",$D44=1),$E44*'BE '!C$28,AND($C44="Electric motorcycle",$D44=2),$E44*'BE '!C$29,AND($C44="Electric bike",$D44=1),$E44*'BE '!C$31,AND($C44="Electric scooter",$D44=1),$E44*'BE '!C$33,AND($C44="Bus",$D44="Almost empty"),$E44*'BE '!H$23,AND($C44="Bus",$D44="Average"),$E44*'BE '!H$24,AND($C44="Bus",$D44="Nearly full"),$E44*'BE '!H$25,AND($C44="Electric bus",$D44="Almost empty"),$E44*'BE '!H$7,AND($C44="Electric bus",$D44="Average"),$E44*'BE '!H$8,AND($C44="Electric bus",$D44="Nearly full"),$E44*'BE '!H$9,AND($C44="Diesel bus",$D44="Almost empty"),$E44*'BE '!H$19,AND($C44="Diesel bus",$D44="Average"),$E44*'BE '!H$20,AND($C44="Diesel bus",$D44="Nearly full"),$E44*'BE '!H$21,AND($C44="Hybrid-electric bus",$D44="Almost empty"),$E44*'BE '!H$11,AND($C44="Hybrid-electric bus",$D44="Average"),$E44*'BE '!H$12,AND($C44="Hybrid-electric bus",$D44="Nearly full"),$E44*'BE '!H$13,AND($C44="Alternative fuel bus",$D44="Almost empty"),$E44*'BE '!H$15,AND($C44="Alternative fuel bus",$D44="Average"),$E44*'BE '!H$16,AND($C44="Alternative fuel bus",$D44="Nearly full"),$E44*'BE '!H$17,AND($C44="Metro, tram, urban light train",$D44="Almost empty"),$E44*'BE '!C$35,AND($C44="Metro, tram, urban light train",$D44="Average"),$E44*'BE '!C$36,AND($C44="Metro, tram, urban light train",$D44="Nearly full"),$E44*'BE '!C$37,AND($C44="Electric passenger train",$D44="Almost empty"),$E44*'BE '!C$39,AND($C44="Electric passenger train",$D44="Average"),$E44*'BE '!C$40,AND($C44="Electric passenger train",$D44="Nearly full"),$E44*'BE '!C$41,AND($C44="Diesel passenger train",$D44="Almost empty"),$E44*'BE '!C$47,AND($C44="Diesel passenger train",$D44="Average"),$E44*'BE '!C$48,AND($C44="Diesel passenger train",$D44="Nearly full"),$E44*'BE '!C$49,AND($C44="Walking"),$E44*0,AND($C44="Bike"),$E44*0,AND($C44="Plane - domestic flight"),$E44*'BE '!$C68,AND($C44="Plane - international - intra EU"),$E44*'BE '!$C70,AND($C44="Plane - international (extra EU)"),$E44*'BE '!$C72)</f>
        <v>#N/A</v>
      </c>
      <c r="G44" s="31" t="e" cm="1">
        <f t="array" ref="G44">_xlfn.IFS(AND($C44="Fuel car",$D44=1),$E44*'BE '!D$7,AND($C44="Fuel car",$D44=2),$E44*'BE '!D$8,AND($C44="Fuel car",$D44=3),$E44*'BE '!D$9,AND($C44="Fuel car",$D44=4),$E44*'BE '!D$10,AND($C44="Fuel car",$D44=5),$E44*'BE '!D$11,AND($C44="Motorcycle",$D44=1),$E44*'BE '!D$13,AND($C44="Motorcycle",$D44=2),$E44*'BE '!D$14,AND($C44="Electric car",$D44=1),$E44*'BE '!D$16,AND($C44="Electric car",$D44=2),$E44*'BE '!D$17,AND($C44="Electric car",$D44=3),$E44*'BE '!D$18,AND($C44="Electric car",$D44=4),$E44*'BE '!D$19,AND($C44="Electric car",$D44=5),$E44*'BE '!D$20,AND($C44="Hybrid car",$D44=1),$E44*'BE '!D$22,AND($C44="Hybrid car",$D44=2),$E44*'BE '!D$23,AND($C44="Hybrid car",$D44=3),$E44*'BE '!D$24,AND($C44="Hybrid car",$D44=4),$E44*'BE '!D$25,AND($C44="Hybrid car",$D44=5),$E44*'BE '!D$26,AND($C44="Electric motorcycle",$D44=1),$E44*'BE '!D$28,AND($C44="Electric motorcycle",$D44=2),$E44*'BE '!D$29,AND($C44="Electric bike",$D44=1),$E44*'BE '!D$31,AND($C44="Electric scooter",$D44=1),$E44*'BE '!D$33,AND($C44="Bus",$D44="Almost empty"),$E44*'BE '!I$23,AND($C44="Bus",$D44="Average"),$E44*'BE '!I$24,AND($C44="Bus",$D44="Nearly full"),$E44*'BE '!I$25,AND($C44="Electric bus",$D44="Almost empty"),$E44*'BE '!I$7,AND($C44="Electric bus",$D44="Average"),$E44*'BE '!I$8,AND($C44="Electric bus",$D44="Nearly full"),$E44*'BE '!I$9,AND($C44="Diesel bus",$D44="Almost empty"),$E44*'BE '!I$19,AND($C44="Diesel bus",$D44="Average"),$E44*'BE '!I$20,AND($C44="Diesel bus",$D44="Nearly full"),$E44*'BE '!I$21,AND($C44="Hybrid-electric bus",$D44="Almost empty"),$E44*'BE '!I$11,AND($C44="Hybrid-electric bus",$D44="Average"),$E44*'BE '!I$12,AND($C44="Hybrid-electric bus",$D44="Nearly full"),$E44*'BE '!I$13,AND($C44="Alternative fuel bus",$D44="Almost empty"),$E44*'BE '!I$15,AND($C44="Alternative fuel bus",$D44="Average"),$E44*'BE '!I$16,AND($C44="Alternative fuel bus",$D44="Nearly full"),$E44*'BE '!I$17,AND($C44="Metro, tram, urban light train",$D44="Almost empty"),$E44*'BE '!D$35,AND($C44="Metro, tram, urban light train",$D44="Average"),$E44*'BE '!D$36,AND($C44="Metro, tram, urban light train",$D44="Nearly full"),$E44*'BE '!D$37,AND($C44="Electric passenger train",$D44="Almost empty"),$E44*'BE '!D$39,AND($C44="Electric passenger train",$D44="Average"),$E44*'BE '!D$40,AND($C44="Electric passenger train",$D44="Nearly full"),$E44*'BE '!D$41,AND($C44="Diesel passenger train",$D44="Almost empty"),$E44*'BE '!D$47,AND($C44="Diesel passenger train",$D44="Average"),$E44*'BE '!D$48,AND($C44="Diesel passenger train",$D44="Nearly full"),$E44*'BE '!D$49,AND($C44="Walking"),$E44*0,AND($C44="Bike"),$E44*0,AND($C44="Plane - domestic flight"),$E44*'BE '!$C68,AND($C44="Plane - international - intra EU"),$E44*'BE '!$C70,AND($C44="Plane - international (extra EU)"),$E44*'BE '!$C72)</f>
        <v>#N/A</v>
      </c>
      <c r="L44" s="218"/>
      <c r="M44" s="219"/>
      <c r="N44" s="220"/>
    </row>
    <row r="45" spans="1:14" ht="18.5" customHeight="1" x14ac:dyDescent="0.2">
      <c r="A45" s="222"/>
      <c r="B45" s="30"/>
      <c r="C45" s="15"/>
      <c r="D45" s="15"/>
      <c r="E45" s="15"/>
      <c r="F45" s="123" t="e" cm="1">
        <f t="array" ref="F45">_xlfn.IFS(AND($C45="Fuel car",$D45=1),$E45*'BE '!C$7,AND($C45="Fuel car",$D45=2),$E45*'BE '!C$8,AND($C45="Fuel car",$D45=3),$E45*'BE '!C$9,AND($C45="Fuel car",$D45=4),$E45*'BE '!C$10,AND($C45="Fuel car",$D45=5),$E45*'BE '!C$11,AND($C45="Motorcycle",$D45=1),$E45*'BE '!C$13,AND($C45="Motorcycle",$D45=2),$E45*'BE '!C$14,AND($C45="Electric car",$D45=1),$E45*'BE '!C$16,AND($C45="Electric car",$D45=2),$E45*'BE '!C$17,AND($C45="Electric car",$D45=3),$E45*'BE '!C$18,AND($C45="Electric car",$D45=4),$E45*'BE '!C$19,AND($C45="Electric car",$D45=5),$E45*'BE '!C$20,AND($C45="Hybrid car",$D45=1),$E45*'BE '!C$22,AND($C45="Hybrid car",$D45=2),$E45*'BE '!C$23,AND($C45="Hybrid car",$D45=3),$E45*'BE '!C$24,AND($C45="Hybrid car",$D45=4),$E45*'BE '!C$25,AND($C45="Hybrid car",$D45=5),$E45*'BE '!C$26,AND($C45="Electric motorcycle",$D45=1),$E45*'BE '!C$28,AND($C45="Electric motorcycle",$D45=2),$E45*'BE '!C$29,AND($C45="Electric bike",$D45=1),$E45*'BE '!C$31,AND($C45="Electric scooter",$D45=1),$E45*'BE '!C$33,AND($C45="Bus",$D45="Almost empty"),$E45*'BE '!H$23,AND($C45="Bus",$D45="Average"),$E45*'BE '!H$24,AND($C45="Bus",$D45="Nearly full"),$E45*'BE '!H$25,AND($C45="Electric bus",$D45="Almost empty"),$E45*'BE '!H$7,AND($C45="Electric bus",$D45="Average"),$E45*'BE '!H$8,AND($C45="Electric bus",$D45="Nearly full"),$E45*'BE '!H$9,AND($C45="Diesel bus",$D45="Almost empty"),$E45*'BE '!H$19,AND($C45="Diesel bus",$D45="Average"),$E45*'BE '!H$20,AND($C45="Diesel bus",$D45="Nearly full"),$E45*'BE '!H$21,AND($C45="Hybrid-electric bus",$D45="Almost empty"),$E45*'BE '!H$11,AND($C45="Hybrid-electric bus",$D45="Average"),$E45*'BE '!H$12,AND($C45="Hybrid-electric bus",$D45="Nearly full"),$E45*'BE '!H$13,AND($C45="Alternative fuel bus",$D45="Almost empty"),$E45*'BE '!H$15,AND($C45="Alternative fuel bus",$D45="Average"),$E45*'BE '!H$16,AND($C45="Alternative fuel bus",$D45="Nearly full"),$E45*'BE '!H$17,AND($C45="Metro, tram, urban light train",$D45="Almost empty"),$E45*'BE '!C$35,AND($C45="Metro, tram, urban light train",$D45="Average"),$E45*'BE '!C$36,AND($C45="Metro, tram, urban light train",$D45="Nearly full"),$E45*'BE '!C$37,AND($C45="Electric passenger train",$D45="Almost empty"),$E45*'BE '!C$39,AND($C45="Electric passenger train",$D45="Average"),$E45*'BE '!C$40,AND($C45="Electric passenger train",$D45="Nearly full"),$E45*'BE '!C$41,AND($C45="Diesel passenger train",$D45="Almost empty"),$E45*'BE '!C$47,AND($C45="Diesel passenger train",$D45="Average"),$E45*'BE '!C$48,AND($C45="Diesel passenger train",$D45="Nearly full"),$E45*'BE '!C$49,AND($C45="Walking"),$E45*0,AND($C45="Bike"),$E45*0,AND($C45="Plane - domestic flight"),$E45*'BE '!$C69,AND($C45="Plane - international - intra EU"),$E45*'BE '!$C71,AND($C45="Plane - international (extra EU)"),$E45*'BE '!$C73)</f>
        <v>#N/A</v>
      </c>
      <c r="G45" s="31" t="e" cm="1">
        <f t="array" ref="G45">_xlfn.IFS(AND($C45="Fuel car",$D45=1),$E45*'BE '!D$7,AND($C45="Fuel car",$D45=2),$E45*'BE '!D$8,AND($C45="Fuel car",$D45=3),$E45*'BE '!D$9,AND($C45="Fuel car",$D45=4),$E45*'BE '!D$10,AND($C45="Fuel car",$D45=5),$E45*'BE '!D$11,AND($C45="Motorcycle",$D45=1),$E45*'BE '!D$13,AND($C45="Motorcycle",$D45=2),$E45*'BE '!D$14,AND($C45="Electric car",$D45=1),$E45*'BE '!D$16,AND($C45="Electric car",$D45=2),$E45*'BE '!D$17,AND($C45="Electric car",$D45=3),$E45*'BE '!D$18,AND($C45="Electric car",$D45=4),$E45*'BE '!D$19,AND($C45="Electric car",$D45=5),$E45*'BE '!D$20,AND($C45="Hybrid car",$D45=1),$E45*'BE '!D$22,AND($C45="Hybrid car",$D45=2),$E45*'BE '!D$23,AND($C45="Hybrid car",$D45=3),$E45*'BE '!D$24,AND($C45="Hybrid car",$D45=4),$E45*'BE '!D$25,AND($C45="Hybrid car",$D45=5),$E45*'BE '!D$26,AND($C45="Electric motorcycle",$D45=1),$E45*'BE '!D$28,AND($C45="Electric motorcycle",$D45=2),$E45*'BE '!D$29,AND($C45="Electric bike",$D45=1),$E45*'BE '!D$31,AND($C45="Electric scooter",$D45=1),$E45*'BE '!D$33,AND($C45="Bus",$D45="Almost empty"),$E45*'BE '!I$23,AND($C45="Bus",$D45="Average"),$E45*'BE '!I$24,AND($C45="Bus",$D45="Nearly full"),$E45*'BE '!I$25,AND($C45="Electric bus",$D45="Almost empty"),$E45*'BE '!I$7,AND($C45="Electric bus",$D45="Average"),$E45*'BE '!I$8,AND($C45="Electric bus",$D45="Nearly full"),$E45*'BE '!I$9,AND($C45="Diesel bus",$D45="Almost empty"),$E45*'BE '!I$19,AND($C45="Diesel bus",$D45="Average"),$E45*'BE '!I$20,AND($C45="Diesel bus",$D45="Nearly full"),$E45*'BE '!I$21,AND($C45="Hybrid-electric bus",$D45="Almost empty"),$E45*'BE '!I$11,AND($C45="Hybrid-electric bus",$D45="Average"),$E45*'BE '!I$12,AND($C45="Hybrid-electric bus",$D45="Nearly full"),$E45*'BE '!I$13,AND($C45="Alternative fuel bus",$D45="Almost empty"),$E45*'BE '!I$15,AND($C45="Alternative fuel bus",$D45="Average"),$E45*'BE '!I$16,AND($C45="Alternative fuel bus",$D45="Nearly full"),$E45*'BE '!I$17,AND($C45="Metro, tram, urban light train",$D45="Almost empty"),$E45*'BE '!D$35,AND($C45="Metro, tram, urban light train",$D45="Average"),$E45*'BE '!D$36,AND($C45="Metro, tram, urban light train",$D45="Nearly full"),$E45*'BE '!D$37,AND($C45="Electric passenger train",$D45="Almost empty"),$E45*'BE '!D$39,AND($C45="Electric passenger train",$D45="Average"),$E45*'BE '!D$40,AND($C45="Electric passenger train",$D45="Nearly full"),$E45*'BE '!D$41,AND($C45="Diesel passenger train",$D45="Almost empty"),$E45*'BE '!D$47,AND($C45="Diesel passenger train",$D45="Average"),$E45*'BE '!D$48,AND($C45="Diesel passenger train",$D45="Nearly full"),$E45*'BE '!D$49,AND($C45="Walking"),$E45*0,AND($C45="Bike"),$E45*0,AND($C45="Plane - domestic flight"),$E45*'BE '!$C69,AND($C45="Plane - international - intra EU"),$E45*'BE '!$C71,AND($C45="Plane - international (extra EU)"),$E45*'BE '!$C73)</f>
        <v>#N/A</v>
      </c>
      <c r="L45" s="198" t="s">
        <v>256</v>
      </c>
      <c r="M45" s="199"/>
      <c r="N45" s="200"/>
    </row>
    <row r="46" spans="1:14" ht="16" thickBot="1" x14ac:dyDescent="0.25">
      <c r="A46" s="222"/>
      <c r="B46" s="30"/>
      <c r="C46" s="15"/>
      <c r="D46" s="15"/>
      <c r="E46" s="15"/>
      <c r="F46" s="123" t="e" cm="1">
        <f t="array" ref="F46">_xlfn.IFS(AND($C46="Fuel car",$D46=1),$E46*'BE '!C$7,AND($C46="Fuel car",$D46=2),$E46*'BE '!C$8,AND($C46="Fuel car",$D46=3),$E46*'BE '!C$9,AND($C46="Fuel car",$D46=4),$E46*'BE '!C$10,AND($C46="Fuel car",$D46=5),$E46*'BE '!C$11,AND($C46="Motorcycle",$D46=1),$E46*'BE '!C$13,AND($C46="Motorcycle",$D46=2),$E46*'BE '!C$14,AND($C46="Electric car",$D46=1),$E46*'BE '!C$16,AND($C46="Electric car",$D46=2),$E46*'BE '!C$17,AND($C46="Electric car",$D46=3),$E46*'BE '!C$18,AND($C46="Electric car",$D46=4),$E46*'BE '!C$19,AND($C46="Electric car",$D46=5),$E46*'BE '!C$20,AND($C46="Hybrid car",$D46=1),$E46*'BE '!C$22,AND($C46="Hybrid car",$D46=2),$E46*'BE '!C$23,AND($C46="Hybrid car",$D46=3),$E46*'BE '!C$24,AND($C46="Hybrid car",$D46=4),$E46*'BE '!C$25,AND($C46="Hybrid car",$D46=5),$E46*'BE '!C$26,AND($C46="Electric motorcycle",$D46=1),$E46*'BE '!C$28,AND($C46="Electric motorcycle",$D46=2),$E46*'BE '!C$29,AND($C46="Electric bike",$D46=1),$E46*'BE '!C$31,AND($C46="Electric scooter",$D46=1),$E46*'BE '!C$33,AND($C46="Bus",$D46="Almost empty"),$E46*'BE '!H$23,AND($C46="Bus",$D46="Average"),$E46*'BE '!H$24,AND($C46="Bus",$D46="Nearly full"),$E46*'BE '!H$25,AND($C46="Electric bus",$D46="Almost empty"),$E46*'BE '!H$7,AND($C46="Electric bus",$D46="Average"),$E46*'BE '!H$8,AND($C46="Electric bus",$D46="Nearly full"),$E46*'BE '!H$9,AND($C46="Diesel bus",$D46="Almost empty"),$E46*'BE '!H$19,AND($C46="Diesel bus",$D46="Average"),$E46*'BE '!H$20,AND($C46="Diesel bus",$D46="Nearly full"),$E46*'BE '!H$21,AND($C46="Hybrid-electric bus",$D46="Almost empty"),$E46*'BE '!H$11,AND($C46="Hybrid-electric bus",$D46="Average"),$E46*'BE '!H$12,AND($C46="Hybrid-electric bus",$D46="Nearly full"),$E46*'BE '!H$13,AND($C46="Alternative fuel bus",$D46="Almost empty"),$E46*'BE '!H$15,AND($C46="Alternative fuel bus",$D46="Average"),$E46*'BE '!H$16,AND($C46="Alternative fuel bus",$D46="Nearly full"),$E46*'BE '!H$17,AND($C46="Metro, tram, urban light train",$D46="Almost empty"),$E46*'BE '!C$35,AND($C46="Metro, tram, urban light train",$D46="Average"),$E46*'BE '!C$36,AND($C46="Metro, tram, urban light train",$D46="Nearly full"),$E46*'BE '!C$37,AND($C46="Electric passenger train",$D46="Almost empty"),$E46*'BE '!C$39,AND($C46="Electric passenger train",$D46="Average"),$E46*'BE '!C$40,AND($C46="Electric passenger train",$D46="Nearly full"),$E46*'BE '!C$41,AND($C46="Diesel passenger train",$D46="Almost empty"),$E46*'BE '!C$47,AND($C46="Diesel passenger train",$D46="Average"),$E46*'BE '!C$48,AND($C46="Diesel passenger train",$D46="Nearly full"),$E46*'BE '!C$49,AND($C46="Walking"),$E46*0,AND($C46="Bike"),$E46*0,AND($C46="Plane - domestic flight"),$E46*'BE '!$C70,AND($C46="Plane - international - intra EU"),$E46*'BE '!$C72,AND($C46="Plane - international (extra EU)"),$E46*'BE '!$C74)</f>
        <v>#N/A</v>
      </c>
      <c r="G46" s="31" t="e" cm="1">
        <f t="array" ref="G46">_xlfn.IFS(AND($C46="Fuel car",$D46=1),$E46*'BE '!D$7,AND($C46="Fuel car",$D46=2),$E46*'BE '!D$8,AND($C46="Fuel car",$D46=3),$E46*'BE '!D$9,AND($C46="Fuel car",$D46=4),$E46*'BE '!D$10,AND($C46="Fuel car",$D46=5),$E46*'BE '!D$11,AND($C46="Motorcycle",$D46=1),$E46*'BE '!D$13,AND($C46="Motorcycle",$D46=2),$E46*'BE '!D$14,AND($C46="Electric car",$D46=1),$E46*'BE '!D$16,AND($C46="Electric car",$D46=2),$E46*'BE '!D$17,AND($C46="Electric car",$D46=3),$E46*'BE '!D$18,AND($C46="Electric car",$D46=4),$E46*'BE '!D$19,AND($C46="Electric car",$D46=5),$E46*'BE '!D$20,AND($C46="Hybrid car",$D46=1),$E46*'BE '!D$22,AND($C46="Hybrid car",$D46=2),$E46*'BE '!D$23,AND($C46="Hybrid car",$D46=3),$E46*'BE '!D$24,AND($C46="Hybrid car",$D46=4),$E46*'BE '!D$25,AND($C46="Hybrid car",$D46=5),$E46*'BE '!D$26,AND($C46="Electric motorcycle",$D46=1),$E46*'BE '!D$28,AND($C46="Electric motorcycle",$D46=2),$E46*'BE '!D$29,AND($C46="Electric bike",$D46=1),$E46*'BE '!D$31,AND($C46="Electric scooter",$D46=1),$E46*'BE '!D$33,AND($C46="Bus",$D46="Almost empty"),$E46*'BE '!I$23,AND($C46="Bus",$D46="Average"),$E46*'BE '!I$24,AND($C46="Bus",$D46="Nearly full"),$E46*'BE '!I$25,AND($C46="Electric bus",$D46="Almost empty"),$E46*'BE '!I$7,AND($C46="Electric bus",$D46="Average"),$E46*'BE '!I$8,AND($C46="Electric bus",$D46="Nearly full"),$E46*'BE '!I$9,AND($C46="Diesel bus",$D46="Almost empty"),$E46*'BE '!I$19,AND($C46="Diesel bus",$D46="Average"),$E46*'BE '!I$20,AND($C46="Diesel bus",$D46="Nearly full"),$E46*'BE '!I$21,AND($C46="Hybrid-electric bus",$D46="Almost empty"),$E46*'BE '!I$11,AND($C46="Hybrid-electric bus",$D46="Average"),$E46*'BE '!I$12,AND($C46="Hybrid-electric bus",$D46="Nearly full"),$E46*'BE '!I$13,AND($C46="Alternative fuel bus",$D46="Almost empty"),$E46*'BE '!I$15,AND($C46="Alternative fuel bus",$D46="Average"),$E46*'BE '!I$16,AND($C46="Alternative fuel bus",$D46="Nearly full"),$E46*'BE '!I$17,AND($C46="Metro, tram, urban light train",$D46="Almost empty"),$E46*'BE '!D$35,AND($C46="Metro, tram, urban light train",$D46="Average"),$E46*'BE '!D$36,AND($C46="Metro, tram, urban light train",$D46="Nearly full"),$E46*'BE '!D$37,AND($C46="Electric passenger train",$D46="Almost empty"),$E46*'BE '!D$39,AND($C46="Electric passenger train",$D46="Average"),$E46*'BE '!D$40,AND($C46="Electric passenger train",$D46="Nearly full"),$E46*'BE '!D$41,AND($C46="Diesel passenger train",$D46="Almost empty"),$E46*'BE '!D$47,AND($C46="Diesel passenger train",$D46="Average"),$E46*'BE '!D$48,AND($C46="Diesel passenger train",$D46="Nearly full"),$E46*'BE '!D$49,AND($C46="Walking"),$E46*0,AND($C46="Bike"),$E46*0,AND($C46="Plane - domestic flight"),$E46*'BE '!$C70,AND($C46="Plane - international - intra EU"),$E46*'BE '!$C72,AND($C46="Plane - international (extra EU)"),$E46*'BE '!$C74)</f>
        <v>#N/A</v>
      </c>
      <c r="L46" s="246"/>
      <c r="M46" s="247"/>
      <c r="N46" s="248"/>
    </row>
    <row r="47" spans="1:14" ht="20" thickBot="1" x14ac:dyDescent="0.25">
      <c r="A47" s="222"/>
      <c r="B47" s="30"/>
      <c r="C47" s="15"/>
      <c r="D47" s="15"/>
      <c r="E47" s="15"/>
      <c r="F47" s="123" t="e" cm="1">
        <f t="array" ref="F47">_xlfn.IFS(AND($C47="Fuel car",$D47=1),$E47*'BE '!C$7,AND($C47="Fuel car",$D47=2),$E47*'BE '!C$8,AND($C47="Fuel car",$D47=3),$E47*'BE '!C$9,AND($C47="Fuel car",$D47=4),$E47*'BE '!C$10,AND($C47="Fuel car",$D47=5),$E47*'BE '!C$11,AND($C47="Motorcycle",$D47=1),$E47*'BE '!C$13,AND($C47="Motorcycle",$D47=2),$E47*'BE '!C$14,AND($C47="Electric car",$D47=1),$E47*'BE '!C$16,AND($C47="Electric car",$D47=2),$E47*'BE '!C$17,AND($C47="Electric car",$D47=3),$E47*'BE '!C$18,AND($C47="Electric car",$D47=4),$E47*'BE '!C$19,AND($C47="Electric car",$D47=5),$E47*'BE '!C$20,AND($C47="Hybrid car",$D47=1),$E47*'BE '!C$22,AND($C47="Hybrid car",$D47=2),$E47*'BE '!C$23,AND($C47="Hybrid car",$D47=3),$E47*'BE '!C$24,AND($C47="Hybrid car",$D47=4),$E47*'BE '!C$25,AND($C47="Hybrid car",$D47=5),$E47*'BE '!C$26,AND($C47="Electric motorcycle",$D47=1),$E47*'BE '!C$28,AND($C47="Electric motorcycle",$D47=2),$E47*'BE '!C$29,AND($C47="Electric bike",$D47=1),$E47*'BE '!C$31,AND($C47="Electric scooter",$D47=1),$E47*'BE '!C$33,AND($C47="Bus",$D47="Almost empty"),$E47*'BE '!H$23,AND($C47="Bus",$D47="Average"),$E47*'BE '!H$24,AND($C47="Bus",$D47="Nearly full"),$E47*'BE '!H$25,AND($C47="Electric bus",$D47="Almost empty"),$E47*'BE '!H$7,AND($C47="Electric bus",$D47="Average"),$E47*'BE '!H$8,AND($C47="Electric bus",$D47="Nearly full"),$E47*'BE '!H$9,AND($C47="Diesel bus",$D47="Almost empty"),$E47*'BE '!H$19,AND($C47="Diesel bus",$D47="Average"),$E47*'BE '!H$20,AND($C47="Diesel bus",$D47="Nearly full"),$E47*'BE '!H$21,AND($C47="Hybrid-electric bus",$D47="Almost empty"),$E47*'BE '!H$11,AND($C47="Hybrid-electric bus",$D47="Average"),$E47*'BE '!H$12,AND($C47="Hybrid-electric bus",$D47="Nearly full"),$E47*'BE '!H$13,AND($C47="Alternative fuel bus",$D47="Almost empty"),$E47*'BE '!H$15,AND($C47="Alternative fuel bus",$D47="Average"),$E47*'BE '!H$16,AND($C47="Alternative fuel bus",$D47="Nearly full"),$E47*'BE '!H$17,AND($C47="Metro, tram, urban light train",$D47="Almost empty"),$E47*'BE '!C$35,AND($C47="Metro, tram, urban light train",$D47="Average"),$E47*'BE '!C$36,AND($C47="Metro, tram, urban light train",$D47="Nearly full"),$E47*'BE '!C$37,AND($C47="Electric passenger train",$D47="Almost empty"),$E47*'BE '!C$39,AND($C47="Electric passenger train",$D47="Average"),$E47*'BE '!C$40,AND($C47="Electric passenger train",$D47="Nearly full"),$E47*'BE '!C$41,AND($C47="Diesel passenger train",$D47="Almost empty"),$E47*'BE '!C$47,AND($C47="Diesel passenger train",$D47="Average"),$E47*'BE '!C$48,AND($C47="Diesel passenger train",$D47="Nearly full"),$E47*'BE '!C$49,AND($C47="Walking"),$E47*0,AND($C47="Bike"),$E47*0,AND($C47="Plane - domestic flight"),$E47*'BE '!$C71,AND($C47="Plane - international - intra EU"),$E47*'BE '!$C73,AND($C47="Plane - international (extra EU)"),$E47*'BE '!$C75)</f>
        <v>#N/A</v>
      </c>
      <c r="G47" s="31" t="e" cm="1">
        <f t="array" ref="G47">_xlfn.IFS(AND($C47="Fuel car",$D47=1),$E47*'BE '!D$7,AND($C47="Fuel car",$D47=2),$E47*'BE '!D$8,AND($C47="Fuel car",$D47=3),$E47*'BE '!D$9,AND($C47="Fuel car",$D47=4),$E47*'BE '!D$10,AND($C47="Fuel car",$D47=5),$E47*'BE '!D$11,AND($C47="Motorcycle",$D47=1),$E47*'BE '!D$13,AND($C47="Motorcycle",$D47=2),$E47*'BE '!D$14,AND($C47="Electric car",$D47=1),$E47*'BE '!D$16,AND($C47="Electric car",$D47=2),$E47*'BE '!D$17,AND($C47="Electric car",$D47=3),$E47*'BE '!D$18,AND($C47="Electric car",$D47=4),$E47*'BE '!D$19,AND($C47="Electric car",$D47=5),$E47*'BE '!D$20,AND($C47="Hybrid car",$D47=1),$E47*'BE '!D$22,AND($C47="Hybrid car",$D47=2),$E47*'BE '!D$23,AND($C47="Hybrid car",$D47=3),$E47*'BE '!D$24,AND($C47="Hybrid car",$D47=4),$E47*'BE '!D$25,AND($C47="Hybrid car",$D47=5),$E47*'BE '!D$26,AND($C47="Electric motorcycle",$D47=1),$E47*'BE '!D$28,AND($C47="Electric motorcycle",$D47=2),$E47*'BE '!D$29,AND($C47="Electric bike",$D47=1),$E47*'BE '!D$31,AND($C47="Electric scooter",$D47=1),$E47*'BE '!D$33,AND($C47="Bus",$D47="Almost empty"),$E47*'BE '!I$23,AND($C47="Bus",$D47="Average"),$E47*'BE '!I$24,AND($C47="Bus",$D47="Nearly full"),$E47*'BE '!I$25,AND($C47="Electric bus",$D47="Almost empty"),$E47*'BE '!I$7,AND($C47="Electric bus",$D47="Average"),$E47*'BE '!I$8,AND($C47="Electric bus",$D47="Nearly full"),$E47*'BE '!I$9,AND($C47="Diesel bus",$D47="Almost empty"),$E47*'BE '!I$19,AND($C47="Diesel bus",$D47="Average"),$E47*'BE '!I$20,AND($C47="Diesel bus",$D47="Nearly full"),$E47*'BE '!I$21,AND($C47="Hybrid-electric bus",$D47="Almost empty"),$E47*'BE '!I$11,AND($C47="Hybrid-electric bus",$D47="Average"),$E47*'BE '!I$12,AND($C47="Hybrid-electric bus",$D47="Nearly full"),$E47*'BE '!I$13,AND($C47="Alternative fuel bus",$D47="Almost empty"),$E47*'BE '!I$15,AND($C47="Alternative fuel bus",$D47="Average"),$E47*'BE '!I$16,AND($C47="Alternative fuel bus",$D47="Nearly full"),$E47*'BE '!I$17,AND($C47="Metro, tram, urban light train",$D47="Almost empty"),$E47*'BE '!D$35,AND($C47="Metro, tram, urban light train",$D47="Average"),$E47*'BE '!D$36,AND($C47="Metro, tram, urban light train",$D47="Nearly full"),$E47*'BE '!D$37,AND($C47="Electric passenger train",$D47="Almost empty"),$E47*'BE '!D$39,AND($C47="Electric passenger train",$D47="Average"),$E47*'BE '!D$40,AND($C47="Electric passenger train",$D47="Nearly full"),$E47*'BE '!D$41,AND($C47="Diesel passenger train",$D47="Almost empty"),$E47*'BE '!D$47,AND($C47="Diesel passenger train",$D47="Average"),$E47*'BE '!D$48,AND($C47="Diesel passenger train",$D47="Nearly full"),$E47*'BE '!D$49,AND($C47="Walking"),$E47*0,AND($C47="Bike"),$E47*0,AND($C47="Plane - domestic flight"),$E47*'BE '!$C71,AND($C47="Plane - international - intra EU"),$E47*'BE '!$C73,AND($C47="Plane - international (extra EU)"),$E47*'BE '!$C75)</f>
        <v>#N/A</v>
      </c>
      <c r="L47" s="238" t="s">
        <v>56</v>
      </c>
      <c r="M47" s="239"/>
      <c r="N47" s="240"/>
    </row>
    <row r="48" spans="1:14" ht="16" thickBot="1" x14ac:dyDescent="0.25">
      <c r="A48" s="222"/>
      <c r="B48" s="30"/>
      <c r="C48" s="15"/>
      <c r="D48" s="15"/>
      <c r="E48" s="15"/>
      <c r="F48" s="123" t="e" cm="1">
        <f t="array" ref="F48">_xlfn.IFS(AND($C48="Fuel car",$D48=1),$E48*'BE '!C$7,AND($C48="Fuel car",$D48=2),$E48*'BE '!C$8,AND($C48="Fuel car",$D48=3),$E48*'BE '!C$9,AND($C48="Fuel car",$D48=4),$E48*'BE '!C$10,AND($C48="Fuel car",$D48=5),$E48*'BE '!C$11,AND($C48="Motorcycle",$D48=1),$E48*'BE '!C$13,AND($C48="Motorcycle",$D48=2),$E48*'BE '!C$14,AND($C48="Electric car",$D48=1),$E48*'BE '!C$16,AND($C48="Electric car",$D48=2),$E48*'BE '!C$17,AND($C48="Electric car",$D48=3),$E48*'BE '!C$18,AND($C48="Electric car",$D48=4),$E48*'BE '!C$19,AND($C48="Electric car",$D48=5),$E48*'BE '!C$20,AND($C48="Hybrid car",$D48=1),$E48*'BE '!C$22,AND($C48="Hybrid car",$D48=2),$E48*'BE '!C$23,AND($C48="Hybrid car",$D48=3),$E48*'BE '!C$24,AND($C48="Hybrid car",$D48=4),$E48*'BE '!C$25,AND($C48="Hybrid car",$D48=5),$E48*'BE '!C$26,AND($C48="Electric motorcycle",$D48=1),$E48*'BE '!C$28,AND($C48="Electric motorcycle",$D48=2),$E48*'BE '!C$29,AND($C48="Electric bike",$D48=1),$E48*'BE '!C$31,AND($C48="Electric scooter",$D48=1),$E48*'BE '!C$33,AND($C48="Bus",$D48="Almost empty"),$E48*'BE '!H$23,AND($C48="Bus",$D48="Average"),$E48*'BE '!H$24,AND($C48="Bus",$D48="Nearly full"),$E48*'BE '!H$25,AND($C48="Electric bus",$D48="Almost empty"),$E48*'BE '!H$7,AND($C48="Electric bus",$D48="Average"),$E48*'BE '!H$8,AND($C48="Electric bus",$D48="Nearly full"),$E48*'BE '!H$9,AND($C48="Diesel bus",$D48="Almost empty"),$E48*'BE '!H$19,AND($C48="Diesel bus",$D48="Average"),$E48*'BE '!H$20,AND($C48="Diesel bus",$D48="Nearly full"),$E48*'BE '!H$21,AND($C48="Hybrid-electric bus",$D48="Almost empty"),$E48*'BE '!H$11,AND($C48="Hybrid-electric bus",$D48="Average"),$E48*'BE '!H$12,AND($C48="Hybrid-electric bus",$D48="Nearly full"),$E48*'BE '!H$13,AND($C48="Alternative fuel bus",$D48="Almost empty"),$E48*'BE '!H$15,AND($C48="Alternative fuel bus",$D48="Average"),$E48*'BE '!H$16,AND($C48="Alternative fuel bus",$D48="Nearly full"),$E48*'BE '!H$17,AND($C48="Metro, tram, urban light train",$D48="Almost empty"),$E48*'BE '!C$35,AND($C48="Metro, tram, urban light train",$D48="Average"),$E48*'BE '!C$36,AND($C48="Metro, tram, urban light train",$D48="Nearly full"),$E48*'BE '!C$37,AND($C48="Electric passenger train",$D48="Almost empty"),$E48*'BE '!C$39,AND($C48="Electric passenger train",$D48="Average"),$E48*'BE '!C$40,AND($C48="Electric passenger train",$D48="Nearly full"),$E48*'BE '!C$41,AND($C48="Diesel passenger train",$D48="Almost empty"),$E48*'BE '!C$47,AND($C48="Diesel passenger train",$D48="Average"),$E48*'BE '!C$48,AND($C48="Diesel passenger train",$D48="Nearly full"),$E48*'BE '!C$49,AND($C48="Walking"),$E48*0,AND($C48="Bike"),$E48*0,AND($C48="Plane - domestic flight"),$E48*'BE '!$C72,AND($C48="Plane - international - intra EU"),$E48*'BE '!$C74,AND($C48="Plane - international (extra EU)"),$E48*'BE '!$C76)</f>
        <v>#N/A</v>
      </c>
      <c r="G48" s="31" t="e" cm="1">
        <f t="array" ref="G48">_xlfn.IFS(AND($C48="Fuel car",$D48=1),$E48*'BE '!D$7,AND($C48="Fuel car",$D48=2),$E48*'BE '!D$8,AND($C48="Fuel car",$D48=3),$E48*'BE '!D$9,AND($C48="Fuel car",$D48=4),$E48*'BE '!D$10,AND($C48="Fuel car",$D48=5),$E48*'BE '!D$11,AND($C48="Motorcycle",$D48=1),$E48*'BE '!D$13,AND($C48="Motorcycle",$D48=2),$E48*'BE '!D$14,AND($C48="Electric car",$D48=1),$E48*'BE '!D$16,AND($C48="Electric car",$D48=2),$E48*'BE '!D$17,AND($C48="Electric car",$D48=3),$E48*'BE '!D$18,AND($C48="Electric car",$D48=4),$E48*'BE '!D$19,AND($C48="Electric car",$D48=5),$E48*'BE '!D$20,AND($C48="Hybrid car",$D48=1),$E48*'BE '!D$22,AND($C48="Hybrid car",$D48=2),$E48*'BE '!D$23,AND($C48="Hybrid car",$D48=3),$E48*'BE '!D$24,AND($C48="Hybrid car",$D48=4),$E48*'BE '!D$25,AND($C48="Hybrid car",$D48=5),$E48*'BE '!D$26,AND($C48="Electric motorcycle",$D48=1),$E48*'BE '!D$28,AND($C48="Electric motorcycle",$D48=2),$E48*'BE '!D$29,AND($C48="Electric bike",$D48=1),$E48*'BE '!D$31,AND($C48="Electric scooter",$D48=1),$E48*'BE '!D$33,AND($C48="Bus",$D48="Almost empty"),$E48*'BE '!I$23,AND($C48="Bus",$D48="Average"),$E48*'BE '!I$24,AND($C48="Bus",$D48="Nearly full"),$E48*'BE '!I$25,AND($C48="Electric bus",$D48="Almost empty"),$E48*'BE '!I$7,AND($C48="Electric bus",$D48="Average"),$E48*'BE '!I$8,AND($C48="Electric bus",$D48="Nearly full"),$E48*'BE '!I$9,AND($C48="Diesel bus",$D48="Almost empty"),$E48*'BE '!I$19,AND($C48="Diesel bus",$D48="Average"),$E48*'BE '!I$20,AND($C48="Diesel bus",$D48="Nearly full"),$E48*'BE '!I$21,AND($C48="Hybrid-electric bus",$D48="Almost empty"),$E48*'BE '!I$11,AND($C48="Hybrid-electric bus",$D48="Average"),$E48*'BE '!I$12,AND($C48="Hybrid-electric bus",$D48="Nearly full"),$E48*'BE '!I$13,AND($C48="Alternative fuel bus",$D48="Almost empty"),$E48*'BE '!I$15,AND($C48="Alternative fuel bus",$D48="Average"),$E48*'BE '!I$16,AND($C48="Alternative fuel bus",$D48="Nearly full"),$E48*'BE '!I$17,AND($C48="Metro, tram, urban light train",$D48="Almost empty"),$E48*'BE '!D$35,AND($C48="Metro, tram, urban light train",$D48="Average"),$E48*'BE '!D$36,AND($C48="Metro, tram, urban light train",$D48="Nearly full"),$E48*'BE '!D$37,AND($C48="Electric passenger train",$D48="Almost empty"),$E48*'BE '!D$39,AND($C48="Electric passenger train",$D48="Average"),$E48*'BE '!D$40,AND($C48="Electric passenger train",$D48="Nearly full"),$E48*'BE '!D$41,AND($C48="Diesel passenger train",$D48="Almost empty"),$E48*'BE '!D$47,AND($C48="Diesel passenger train",$D48="Average"),$E48*'BE '!D$48,AND($C48="Diesel passenger train",$D48="Nearly full"),$E48*'BE '!D$49,AND($C48="Walking"),$E48*0,AND($C48="Bike"),$E48*0,AND($C48="Plane - domestic flight"),$E48*'BE '!$C72,AND($C48="Plane - international - intra EU"),$E48*'BE '!$C74,AND($C48="Plane - international (extra EU)"),$E48*'BE '!$C76)</f>
        <v>#N/A</v>
      </c>
      <c r="H48" s="196" t="s">
        <v>67</v>
      </c>
      <c r="I48" s="197"/>
      <c r="L48" s="249"/>
      <c r="M48" s="250"/>
      <c r="N48" s="251"/>
    </row>
    <row r="49" spans="1:14" x14ac:dyDescent="0.2">
      <c r="A49" s="222"/>
      <c r="B49" s="30"/>
      <c r="C49" s="15"/>
      <c r="D49" s="15"/>
      <c r="E49" s="15"/>
      <c r="F49" s="123" t="e" cm="1">
        <f t="array" ref="F49">_xlfn.IFS(AND($C49="Fuel car",$D49=1),$E49*'BE '!C$7,AND($C49="Fuel car",$D49=2),$E49*'BE '!C$8,AND($C49="Fuel car",$D49=3),$E49*'BE '!C$9,AND($C49="Fuel car",$D49=4),$E49*'BE '!C$10,AND($C49="Fuel car",$D49=5),$E49*'BE '!C$11,AND($C49="Motorcycle",$D49=1),$E49*'BE '!C$13,AND($C49="Motorcycle",$D49=2),$E49*'BE '!C$14,AND($C49="Electric car",$D49=1),$E49*'BE '!C$16,AND($C49="Electric car",$D49=2),$E49*'BE '!C$17,AND($C49="Electric car",$D49=3),$E49*'BE '!C$18,AND($C49="Electric car",$D49=4),$E49*'BE '!C$19,AND($C49="Electric car",$D49=5),$E49*'BE '!C$20,AND($C49="Hybrid car",$D49=1),$E49*'BE '!C$22,AND($C49="Hybrid car",$D49=2),$E49*'BE '!C$23,AND($C49="Hybrid car",$D49=3),$E49*'BE '!C$24,AND($C49="Hybrid car",$D49=4),$E49*'BE '!C$25,AND($C49="Hybrid car",$D49=5),$E49*'BE '!C$26,AND($C49="Electric motorcycle",$D49=1),$E49*'BE '!C$28,AND($C49="Electric motorcycle",$D49=2),$E49*'BE '!C$29,AND($C49="Electric bike",$D49=1),$E49*'BE '!C$31,AND($C49="Electric scooter",$D49=1),$E49*'BE '!C$33,AND($C49="Bus",$D49="Almost empty"),$E49*'BE '!H$23,AND($C49="Bus",$D49="Average"),$E49*'BE '!H$24,AND($C49="Bus",$D49="Nearly full"),$E49*'BE '!H$25,AND($C49="Electric bus",$D49="Almost empty"),$E49*'BE '!H$7,AND($C49="Electric bus",$D49="Average"),$E49*'BE '!H$8,AND($C49="Electric bus",$D49="Nearly full"),$E49*'BE '!H$9,AND($C49="Diesel bus",$D49="Almost empty"),$E49*'BE '!H$19,AND($C49="Diesel bus",$D49="Average"),$E49*'BE '!H$20,AND($C49="Diesel bus",$D49="Nearly full"),$E49*'BE '!H$21,AND($C49="Hybrid-electric bus",$D49="Almost empty"),$E49*'BE '!H$11,AND($C49="Hybrid-electric bus",$D49="Average"),$E49*'BE '!H$12,AND($C49="Hybrid-electric bus",$D49="Nearly full"),$E49*'BE '!H$13,AND($C49="Alternative fuel bus",$D49="Almost empty"),$E49*'BE '!H$15,AND($C49="Alternative fuel bus",$D49="Average"),$E49*'BE '!H$16,AND($C49="Alternative fuel bus",$D49="Nearly full"),$E49*'BE '!H$17,AND($C49="Metro, tram, urban light train",$D49="Almost empty"),$E49*'BE '!C$35,AND($C49="Metro, tram, urban light train",$D49="Average"),$E49*'BE '!C$36,AND($C49="Metro, tram, urban light train",$D49="Nearly full"),$E49*'BE '!C$37,AND($C49="Electric passenger train",$D49="Almost empty"),$E49*'BE '!C$39,AND($C49="Electric passenger train",$D49="Average"),$E49*'BE '!C$40,AND($C49="Electric passenger train",$D49="Nearly full"),$E49*'BE '!C$41,AND($C49="Diesel passenger train",$D49="Almost empty"),$E49*'BE '!C$47,AND($C49="Diesel passenger train",$D49="Average"),$E49*'BE '!C$48,AND($C49="Diesel passenger train",$D49="Nearly full"),$E49*'BE '!C$49,AND($C49="Walking"),$E49*0,AND($C49="Bike"),$E49*0,AND($C49="Plane - domestic flight"),$E49*'BE '!$C73,AND($C49="Plane - international - intra EU"),$E49*'BE '!$C75,AND($C49="Plane - international (extra EU)"),$E49*'BE '!$C77)</f>
        <v>#N/A</v>
      </c>
      <c r="G49" s="31" t="e" cm="1">
        <f t="array" ref="G49">_xlfn.IFS(AND($C49="Fuel car",$D49=1),$E49*'BE '!D$7,AND($C49="Fuel car",$D49=2),$E49*'BE '!D$8,AND($C49="Fuel car",$D49=3),$E49*'BE '!D$9,AND($C49="Fuel car",$D49=4),$E49*'BE '!D$10,AND($C49="Fuel car",$D49=5),$E49*'BE '!D$11,AND($C49="Motorcycle",$D49=1),$E49*'BE '!D$13,AND($C49="Motorcycle",$D49=2),$E49*'BE '!D$14,AND($C49="Electric car",$D49=1),$E49*'BE '!D$16,AND($C49="Electric car",$D49=2),$E49*'BE '!D$17,AND($C49="Electric car",$D49=3),$E49*'BE '!D$18,AND($C49="Electric car",$D49=4),$E49*'BE '!D$19,AND($C49="Electric car",$D49=5),$E49*'BE '!D$20,AND($C49="Hybrid car",$D49=1),$E49*'BE '!D$22,AND($C49="Hybrid car",$D49=2),$E49*'BE '!D$23,AND($C49="Hybrid car",$D49=3),$E49*'BE '!D$24,AND($C49="Hybrid car",$D49=4),$E49*'BE '!D$25,AND($C49="Hybrid car",$D49=5),$E49*'BE '!D$26,AND($C49="Electric motorcycle",$D49=1),$E49*'BE '!D$28,AND($C49="Electric motorcycle",$D49=2),$E49*'BE '!D$29,AND($C49="Electric bike",$D49=1),$E49*'BE '!D$31,AND($C49="Electric scooter",$D49=1),$E49*'BE '!D$33,AND($C49="Bus",$D49="Almost empty"),$E49*'BE '!I$23,AND($C49="Bus",$D49="Average"),$E49*'BE '!I$24,AND($C49="Bus",$D49="Nearly full"),$E49*'BE '!I$25,AND($C49="Electric bus",$D49="Almost empty"),$E49*'BE '!I$7,AND($C49="Electric bus",$D49="Average"),$E49*'BE '!I$8,AND($C49="Electric bus",$D49="Nearly full"),$E49*'BE '!I$9,AND($C49="Diesel bus",$D49="Almost empty"),$E49*'BE '!I$19,AND($C49="Diesel bus",$D49="Average"),$E49*'BE '!I$20,AND($C49="Diesel bus",$D49="Nearly full"),$E49*'BE '!I$21,AND($C49="Hybrid-electric bus",$D49="Almost empty"),$E49*'BE '!I$11,AND($C49="Hybrid-electric bus",$D49="Average"),$E49*'BE '!I$12,AND($C49="Hybrid-electric bus",$D49="Nearly full"),$E49*'BE '!I$13,AND($C49="Alternative fuel bus",$D49="Almost empty"),$E49*'BE '!I$15,AND($C49="Alternative fuel bus",$D49="Average"),$E49*'BE '!I$16,AND($C49="Alternative fuel bus",$D49="Nearly full"),$E49*'BE '!I$17,AND($C49="Metro, tram, urban light train",$D49="Almost empty"),$E49*'BE '!D$35,AND($C49="Metro, tram, urban light train",$D49="Average"),$E49*'BE '!D$36,AND($C49="Metro, tram, urban light train",$D49="Nearly full"),$E49*'BE '!D$37,AND($C49="Electric passenger train",$D49="Almost empty"),$E49*'BE '!D$39,AND($C49="Electric passenger train",$D49="Average"),$E49*'BE '!D$40,AND($C49="Electric passenger train",$D49="Nearly full"),$E49*'BE '!D$41,AND($C49="Diesel passenger train",$D49="Almost empty"),$E49*'BE '!D$47,AND($C49="Diesel passenger train",$D49="Average"),$E49*'BE '!D$48,AND($C49="Diesel passenger train",$D49="Nearly full"),$E49*'BE '!D$49,AND($C49="Walking"),$E49*0,AND($C49="Bike"),$E49*0,AND($C49="Plane - domestic flight"),$E49*'BE '!$C73,AND($C49="Plane - international - intra EU"),$E49*'BE '!$C75,AND($C49="Plane - international (extra EU)"),$E49*'BE '!$C77)</f>
        <v>#N/A</v>
      </c>
      <c r="H49" s="244" t="s">
        <v>74</v>
      </c>
      <c r="I49" s="141"/>
      <c r="L49" s="252"/>
      <c r="M49" s="253"/>
      <c r="N49" s="254"/>
    </row>
    <row r="50" spans="1:14" ht="16" thickBot="1" x14ac:dyDescent="0.25">
      <c r="A50" s="222"/>
      <c r="B50" s="51"/>
      <c r="C50" s="15"/>
      <c r="D50" s="15"/>
      <c r="E50" s="32"/>
      <c r="F50" s="123" t="e" cm="1">
        <f t="array" ref="F50">_xlfn.IFS(AND($C50="Fuel car",$D50=1),$E50*'BE '!C$7,AND($C50="Fuel car",$D50=2),$E50*'BE '!C$8,AND($C50="Fuel car",$D50=3),$E50*'BE '!C$9,AND($C50="Fuel car",$D50=4),$E50*'BE '!C$10,AND($C50="Fuel car",$D50=5),$E50*'BE '!C$11,AND($C50="Motorcycle",$D50=1),$E50*'BE '!C$13,AND($C50="Motorcycle",$D50=2),$E50*'BE '!C$14,AND($C50="Electric car",$D50=1),$E50*'BE '!C$16,AND($C50="Electric car",$D50=2),$E50*'BE '!C$17,AND($C50="Electric car",$D50=3),$E50*'BE '!C$18,AND($C50="Electric car",$D50=4),$E50*'BE '!C$19,AND($C50="Electric car",$D50=5),$E50*'BE '!C$20,AND($C50="Hybrid car",$D50=1),$E50*'BE '!C$22,AND($C50="Hybrid car",$D50=2),$E50*'BE '!C$23,AND($C50="Hybrid car",$D50=3),$E50*'BE '!C$24,AND($C50="Hybrid car",$D50=4),$E50*'BE '!C$25,AND($C50="Hybrid car",$D50=5),$E50*'BE '!C$26,AND($C50="Electric motorcycle",$D50=1),$E50*'BE '!C$28,AND($C50="Electric motorcycle",$D50=2),$E50*'BE '!C$29,AND($C50="Electric bike",$D50=1),$E50*'BE '!C$31,AND($C50="Electric scooter",$D50=1),$E50*'BE '!C$33,AND($C50="Bus",$D50="Almost empty"),$E50*'BE '!H$23,AND($C50="Bus",$D50="Average"),$E50*'BE '!H$24,AND($C50="Bus",$D50="Nearly full"),$E50*'BE '!H$25,AND($C50="Electric bus",$D50="Almost empty"),$E50*'BE '!H$7,AND($C50="Electric bus",$D50="Average"),$E50*'BE '!H$8,AND($C50="Electric bus",$D50="Nearly full"),$E50*'BE '!H$9,AND($C50="Diesel bus",$D50="Almost empty"),$E50*'BE '!H$19,AND($C50="Diesel bus",$D50="Average"),$E50*'BE '!H$20,AND($C50="Diesel bus",$D50="Nearly full"),$E50*'BE '!H$21,AND($C50="Hybrid-electric bus",$D50="Almost empty"),$E50*'BE '!H$11,AND($C50="Hybrid-electric bus",$D50="Average"),$E50*'BE '!H$12,AND($C50="Hybrid-electric bus",$D50="Nearly full"),$E50*'BE '!H$13,AND($C50="Alternative fuel bus",$D50="Almost empty"),$E50*'BE '!H$15,AND($C50="Alternative fuel bus",$D50="Average"),$E50*'BE '!H$16,AND($C50="Alternative fuel bus",$D50="Nearly full"),$E50*'BE '!H$17,AND($C50="Metro, tram, urban light train",$D50="Almost empty"),$E50*'BE '!C$35,AND($C50="Metro, tram, urban light train",$D50="Average"),$E50*'BE '!C$36,AND($C50="Metro, tram, urban light train",$D50="Nearly full"),$E50*'BE '!C$37,AND($C50="Electric passenger train",$D50="Almost empty"),$E50*'BE '!C$39,AND($C50="Electric passenger train",$D50="Average"),$E50*'BE '!C$40,AND($C50="Electric passenger train",$D50="Nearly full"),$E50*'BE '!C$41,AND($C50="Diesel passenger train",$D50="Almost empty"),$E50*'BE '!C$47,AND($C50="Diesel passenger train",$D50="Average"),$E50*'BE '!C$48,AND($C50="Diesel passenger train",$D50="Nearly full"),$E50*'BE '!C$49,AND($C50="Walking"),$E50*0,AND($C50="Bike"),$E50*0,AND($C50="Plane - domestic flight"),$E50*'BE '!$C74,AND($C50="Plane - international - intra EU"),$E50*'BE '!$C76,AND($C50="Plane - international (extra EU)"),$E50*'BE '!$C78)</f>
        <v>#N/A</v>
      </c>
      <c r="G50" s="31" t="e" cm="1">
        <f t="array" ref="G50">_xlfn.IFS(AND($C50="Fuel car",$D50=1),$E50*'BE '!D$7,AND($C50="Fuel car",$D50=2),$E50*'BE '!D$8,AND($C50="Fuel car",$D50=3),$E50*'BE '!D$9,AND($C50="Fuel car",$D50=4),$E50*'BE '!D$10,AND($C50="Fuel car",$D50=5),$E50*'BE '!D$11,AND($C50="Motorcycle",$D50=1),$E50*'BE '!D$13,AND($C50="Motorcycle",$D50=2),$E50*'BE '!D$14,AND($C50="Electric car",$D50=1),$E50*'BE '!D$16,AND($C50="Electric car",$D50=2),$E50*'BE '!D$17,AND($C50="Electric car",$D50=3),$E50*'BE '!D$18,AND($C50="Electric car",$D50=4),$E50*'BE '!D$19,AND($C50="Electric car",$D50=5),$E50*'BE '!D$20,AND($C50="Hybrid car",$D50=1),$E50*'BE '!D$22,AND($C50="Hybrid car",$D50=2),$E50*'BE '!D$23,AND($C50="Hybrid car",$D50=3),$E50*'BE '!D$24,AND($C50="Hybrid car",$D50=4),$E50*'BE '!D$25,AND($C50="Hybrid car",$D50=5),$E50*'BE '!D$26,AND($C50="Electric motorcycle",$D50=1),$E50*'BE '!D$28,AND($C50="Electric motorcycle",$D50=2),$E50*'BE '!D$29,AND($C50="Electric bike",$D50=1),$E50*'BE '!D$31,AND($C50="Electric scooter",$D50=1),$E50*'BE '!D$33,AND($C50="Bus",$D50="Almost empty"),$E50*'BE '!I$23,AND($C50="Bus",$D50="Average"),$E50*'BE '!I$24,AND($C50="Bus",$D50="Nearly full"),$E50*'BE '!I$25,AND($C50="Electric bus",$D50="Almost empty"),$E50*'BE '!I$7,AND($C50="Electric bus",$D50="Average"),$E50*'BE '!I$8,AND($C50="Electric bus",$D50="Nearly full"),$E50*'BE '!I$9,AND($C50="Diesel bus",$D50="Almost empty"),$E50*'BE '!I$19,AND($C50="Diesel bus",$D50="Average"),$E50*'BE '!I$20,AND($C50="Diesel bus",$D50="Nearly full"),$E50*'BE '!I$21,AND($C50="Hybrid-electric bus",$D50="Almost empty"),$E50*'BE '!I$11,AND($C50="Hybrid-electric bus",$D50="Average"),$E50*'BE '!I$12,AND($C50="Hybrid-electric bus",$D50="Nearly full"),$E50*'BE '!I$13,AND($C50="Alternative fuel bus",$D50="Almost empty"),$E50*'BE '!I$15,AND($C50="Alternative fuel bus",$D50="Average"),$E50*'BE '!I$16,AND($C50="Alternative fuel bus",$D50="Nearly full"),$E50*'BE '!I$17,AND($C50="Metro, tram, urban light train",$D50="Almost empty"),$E50*'BE '!D$35,AND($C50="Metro, tram, urban light train",$D50="Average"),$E50*'BE '!D$36,AND($C50="Metro, tram, urban light train",$D50="Nearly full"),$E50*'BE '!D$37,AND($C50="Electric passenger train",$D50="Almost empty"),$E50*'BE '!D$39,AND($C50="Electric passenger train",$D50="Average"),$E50*'BE '!D$40,AND($C50="Electric passenger train",$D50="Nearly full"),$E50*'BE '!D$41,AND($C50="Diesel passenger train",$D50="Almost empty"),$E50*'BE '!D$47,AND($C50="Diesel passenger train",$D50="Average"),$E50*'BE '!D$48,AND($C50="Diesel passenger train",$D50="Nearly full"),$E50*'BE '!D$49,AND($C50="Walking"),$E50*0,AND($C50="Bike"),$E50*0,AND($C50="Plane - domestic flight"),$E50*'BE '!$C74,AND($C50="Plane - international - intra EU"),$E50*'BE '!$C76,AND($C50="Plane - international (extra EU)"),$E50*'BE '!$C78)</f>
        <v>#N/A</v>
      </c>
      <c r="H50" s="245"/>
      <c r="I50" s="142"/>
      <c r="L50" s="252"/>
      <c r="M50" s="253"/>
      <c r="N50" s="254"/>
    </row>
    <row r="51" spans="1:14" ht="33" thickBot="1" x14ac:dyDescent="0.25">
      <c r="A51" s="222"/>
      <c r="B51" s="53"/>
      <c r="C51" s="32"/>
      <c r="D51" s="34"/>
      <c r="E51" s="34"/>
      <c r="F51" s="54" t="e" cm="1">
        <f t="array" ref="F51">_xlfn.IFS(AND($C51="Fuel car",$D51=1),$E51*'BE '!C$7,AND($C51="Fuel car",$D51=2),$E51*'BE '!C$8,AND($C51="Fuel car",$D51=3),$E51*'BE '!C$9,AND($C51="Fuel car",$D51=4),$E51*'BE '!C$10,AND($C51="Fuel car",$D51=5),$E51*'BE '!C$11,AND($C51="Motorcycle",$D51=1),$E51*'BE '!C$13,AND($C51="Motorcycle",$D51=2),$E51*'BE '!C$14,AND($C51="Electric car",$D51=1),$E51*'BE '!C$16,AND($C51="Electric car",$D51=2),$E51*'BE '!C$17,AND($C51="Electric car",$D51=3),$E51*'BE '!C$18,AND($C51="Electric car",$D51=4),$E51*'BE '!C$19,AND($C51="Electric car",$D51=5),$E51*'BE '!C$20,AND($C51="Hybrid car",$D51=1),$E51*'BE '!C$22,AND($C51="Hybrid car",$D51=2),$E51*'BE '!C$23,AND($C51="Hybrid car",$D51=3),$E51*'BE '!C$24,AND($C51="Hybrid car",$D51=4),$E51*'BE '!C$25,AND($C51="Hybrid car",$D51=5),$E51*'BE '!C$26,AND($C51="Electric motorcycle",$D51=1),$E51*'BE '!C$28,AND($C51="Electric motorcycle",$D51=2),$E51*'BE '!C$29,AND($C51="Electric bike",$D51=1),$E51*'BE '!C$31,AND($C51="Electric scooter",$D51=1),$E51*'BE '!C$33,AND($C51="Bus",$D51="Almost empty"),$E51*'BE '!H$23,AND($C51="Bus",$D51="Average"),$E51*'BE '!H$24,AND($C51="Bus",$D51="Nearly full"),$E51*'BE '!H$25,AND($C51="Electric bus",$D51="Almost empty"),$E51*'BE '!H$7,AND($C51="Electric bus",$D51="Average"),$E51*'BE '!H$8,AND($C51="Electric bus",$D51="Nearly full"),$E51*'BE '!H$9,AND($C51="Diesel bus",$D51="Almost empty"),$E51*'BE '!H$19,AND($C51="Diesel bus",$D51="Average"),$E51*'BE '!H$20,AND($C51="Diesel bus",$D51="Nearly full"),$E51*'BE '!H$21,AND($C51="Hybrid-electric bus",$D51="Almost empty"),$E51*'BE '!H$11,AND($C51="Hybrid-electric bus",$D51="Average"),$E51*'BE '!H$12,AND($C51="Hybrid-electric bus",$D51="Nearly full"),$E51*'BE '!H$13,AND($C51="Alternative fuel bus",$D51="Almost empty"),$E51*'BE '!H$15,AND($C51="Alternative fuel bus",$D51="Average"),$E51*'BE '!H$16,AND($C51="Alternative fuel bus",$D51="Nearly full"),$E51*'BE '!H$17,AND($C51="Metro, tram, urban light train",$D51="Almost empty"),$E51*'BE '!C$35,AND($C51="Metro, tram, urban light train",$D51="Average"),$E51*'BE '!C$36,AND($C51="Metro, tram, urban light train",$D51="Nearly full"),$E51*'BE '!C$37,AND($C51="Electric passenger train",$D51="Almost empty"),$E51*'BE '!C$39,AND($C51="Electric passenger train",$D51="Average"),$E51*'BE '!C$40,AND($C51="Electric passenger train",$D51="Nearly full"),$E51*'BE '!C$41,AND($C51="Diesel passenger train",$D51="Almost empty"),$E51*'BE '!C$47,AND($C51="Diesel passenger train",$D51="Average"),$E51*'BE '!C$48,AND($C51="Diesel passenger train",$D51="Nearly full"),$E51*'BE '!C$49,AND($C51="Walking"),$E51*0,AND($C51="Bike"),$E51*0,AND($C51="Plane - domestic flight"),$E51*'BE '!$C75,AND($C51="Plane - international - intra EU"),$E51*'BE '!$C77,AND($C51="Plane - international (extra EU)"),$E51*'BE '!$C79)</f>
        <v>#N/A</v>
      </c>
      <c r="G51" s="35" t="e" cm="1">
        <f t="array" ref="G51">_xlfn.IFS(AND($C51="Fuel car",$D51=1),$E51*'BE '!D$7,AND($C51="Fuel car",$D51=2),$E51*'BE '!D$8,AND($C51="Fuel car",$D51=3),$E51*'BE '!D$9,AND($C51="Fuel car",$D51=4),$E51*'BE '!D$10,AND($C51="Fuel car",$D51=5),$E51*'BE '!D$11,AND($C51="Motorcycle",$D51=1),$E51*'BE '!D$13,AND($C51="Motorcycle",$D51=2),$E51*'BE '!D$14,AND($C51="Electric car",$D51=1),$E51*'BE '!D$16,AND($C51="Electric car",$D51=2),$E51*'BE '!D$17,AND($C51="Electric car",$D51=3),$E51*'BE '!D$18,AND($C51="Electric car",$D51=4),$E51*'BE '!D$19,AND($C51="Electric car",$D51=5),$E51*'BE '!D$20,AND($C51="Hybrid car",$D51=1),$E51*'BE '!D$22,AND($C51="Hybrid car",$D51=2),$E51*'BE '!D$23,AND($C51="Hybrid car",$D51=3),$E51*'BE '!D$24,AND($C51="Hybrid car",$D51=4),$E51*'BE '!D$25,AND($C51="Hybrid car",$D51=5),$E51*'BE '!D$26,AND($C51="Electric motorcycle",$D51=1),$E51*'BE '!D$28,AND($C51="Electric motorcycle",$D51=2),$E51*'BE '!D$29,AND($C51="Electric bike",$D51=1),$E51*'BE '!D$31,AND($C51="Electric scooter",$D51=1),$E51*'BE '!D$33,AND($C51="Bus",$D51="Almost empty"),$E51*'BE '!I$23,AND($C51="Bus",$D51="Average"),$E51*'BE '!I$24,AND($C51="Bus",$D51="Nearly full"),$E51*'BE '!I$25,AND($C51="Electric bus",$D51="Almost empty"),$E51*'BE '!I$7,AND($C51="Electric bus",$D51="Average"),$E51*'BE '!I$8,AND($C51="Electric bus",$D51="Nearly full"),$E51*'BE '!I$9,AND($C51="Diesel bus",$D51="Almost empty"),$E51*'BE '!I$19,AND($C51="Diesel bus",$D51="Average"),$E51*'BE '!I$20,AND($C51="Diesel bus",$D51="Nearly full"),$E51*'BE '!I$21,AND($C51="Hybrid-electric bus",$D51="Almost empty"),$E51*'BE '!I$11,AND($C51="Hybrid-electric bus",$D51="Average"),$E51*'BE '!I$12,AND($C51="Hybrid-electric bus",$D51="Nearly full"),$E51*'BE '!I$13,AND($C51="Alternative fuel bus",$D51="Almost empty"),$E51*'BE '!I$15,AND($C51="Alternative fuel bus",$D51="Average"),$E51*'BE '!I$16,AND($C51="Alternative fuel bus",$D51="Nearly full"),$E51*'BE '!I$17,AND($C51="Metro, tram, urban light train",$D51="Almost empty"),$E51*'BE '!D$35,AND($C51="Metro, tram, urban light train",$D51="Average"),$E51*'BE '!D$36,AND($C51="Metro, tram, urban light train",$D51="Nearly full"),$E51*'BE '!D$37,AND($C51="Electric passenger train",$D51="Almost empty"),$E51*'BE '!D$39,AND($C51="Electric passenger train",$D51="Average"),$E51*'BE '!D$40,AND($C51="Electric passenger train",$D51="Nearly full"),$E51*'BE '!D$41,AND($C51="Diesel passenger train",$D51="Almost empty"),$E51*'BE '!D$47,AND($C51="Diesel passenger train",$D51="Average"),$E51*'BE '!D$48,AND($C51="Diesel passenger train",$D51="Nearly full"),$E51*'BE '!D$49,AND($C51="Walking"),$E51*0,AND($C51="Bike"),$E51*0,AND($C51="Plane - domestic flight"),$E51*'BE '!$C75,AND($C51="Plane - international - intra EU"),$E51*'BE '!$C77,AND($C51="Plane - international (extra EU)"),$E51*'BE '!$C79)</f>
        <v>#N/A</v>
      </c>
      <c r="H51" s="144" t="s">
        <v>75</v>
      </c>
      <c r="I51" s="49" t="e">
        <f>F52/I49</f>
        <v>#DIV/0!</v>
      </c>
      <c r="L51" s="252"/>
      <c r="M51" s="253"/>
      <c r="N51" s="254"/>
    </row>
    <row r="52" spans="1:14" ht="17" thickBot="1" x14ac:dyDescent="0.25">
      <c r="A52" s="222"/>
      <c r="B52" s="241" t="s">
        <v>57</v>
      </c>
      <c r="C52" s="242"/>
      <c r="D52" s="242"/>
      <c r="E52" s="243"/>
      <c r="F52" s="36">
        <f>SUMIF(F29:F51,"&gt;=0")</f>
        <v>0</v>
      </c>
      <c r="G52" s="10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274" t="s">
        <v>83</v>
      </c>
      <c r="H56" s="275"/>
      <c r="I56" s="276"/>
    </row>
    <row r="57" spans="1:14" ht="32" x14ac:dyDescent="0.2">
      <c r="A57" s="262"/>
      <c r="B57" s="263" t="s">
        <v>84</v>
      </c>
      <c r="C57" s="57" t="s">
        <v>85</v>
      </c>
      <c r="D57" s="100" t="e">
        <f>G16</f>
        <v>#DIV/0!</v>
      </c>
      <c r="E57" s="260" t="s">
        <v>86</v>
      </c>
      <c r="G57" s="263" t="s">
        <v>84</v>
      </c>
      <c r="H57" s="46" t="s">
        <v>85</v>
      </c>
      <c r="I57" s="55" t="e" cm="1">
        <f t="array" ref="I57">_xlfn.IFS(AND(D57&lt;='BE '!L4),"A+",AND(D57&lt;='BE '!M4,D57&gt;'BE '!L4),"A",AND(D57&lt;='BE '!N4,D57&gt;'BE '!M4),"B",AND(D57&lt;='BE '!O4,D57&gt;'BE '!N4),"C",AND(D57&lt;='BE '!P4,D57&gt;'BE '!O4),"D",AND(D57&lt;='BE '!Q4,D57&gt;'BE '!P4),"E",AND(D57&lt;='BE '!R4,D57&gt;'BE '!Q4),"F",AND(D57&gt;'BE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_xlfn.IFS(D58="#","#",AND(D58&lt;='BE '!L5),"A+",AND(D58&lt;='BE '!M5,D58&gt;'BE '!L5),"A",AND(D58&lt;='BE '!N5,D58&gt;'BE '!M5),"B",AND(D58&lt;='BE '!O5,D58&gt;'BE '!N5),"C",AND(D58&lt;='BE '!P5,D58&gt;'BE '!O5),"D",AND(D58&lt;='BE '!Q5,D58&gt;'BE '!P5),"E",AND(D58&lt;='BE '!R5,D58&gt;'BE '!Q5),"F",AND(D58&gt;'BE '!R5),"G")</f>
        <v>#</v>
      </c>
    </row>
    <row r="59" spans="1:14" ht="32" x14ac:dyDescent="0.2">
      <c r="A59" s="262"/>
      <c r="B59" s="264"/>
      <c r="C59" s="21" t="s">
        <v>88</v>
      </c>
      <c r="D59" s="47" t="e">
        <f>IF(ISNUMBER(D58), D57 + D58, D57)</f>
        <v>#DIV/0!</v>
      </c>
      <c r="E59" s="277"/>
      <c r="G59" s="264"/>
      <c r="H59" t="s">
        <v>88</v>
      </c>
      <c r="I59" s="56" t="e" cm="1">
        <f t="array" ref="I59">_xlfn.IFS(AND(D59&lt;='BE '!L6),"A+",AND(D59&lt;='BE '!M6,D59&gt;'BE '!L6),"A",AND(D59&lt;='BE '!N6,D59&gt;'BE '!M6),"B",AND(D59&lt;='BE '!O6,D59&gt;'BE '!N6),"C",AND(D59&lt;='BE '!P6,D59&gt;'BE '!O6),"D",AND(D59&lt;='BE '!Q6,D59&gt;'BE '!P6),"E",AND(D59&lt;='BE '!R6,D59&gt;'BE '!Q6),"F",AND(D59&gt;'BE '!R6),"G")</f>
        <v>#DIV/0!</v>
      </c>
    </row>
    <row r="60" spans="1:14" ht="16" x14ac:dyDescent="0.2">
      <c r="A60" s="262"/>
      <c r="B60" s="264"/>
      <c r="C60" s="21" t="s">
        <v>89</v>
      </c>
      <c r="D60" s="99">
        <f>I30</f>
        <v>0</v>
      </c>
      <c r="E60" s="277"/>
      <c r="G60" s="264"/>
      <c r="H60" t="s">
        <v>89</v>
      </c>
      <c r="I60" s="56" t="str" cm="1">
        <f t="array" ref="I60">_xlfn.IFS(AND(D60&lt;='BE '!L7),"A+",AND(D60&lt;='BE '!M7,D60&gt;'BE '!L7),"A",AND(D60&lt;='BE '!N7,D60&gt;'BE '!M7),"B",AND(D60&lt;='BE '!O7,D60&gt;'BE '!N7),"C",AND(D60&lt;='BE '!P7,D60&gt;'BE '!O7),"D",AND(D60&lt;='BE '!Q7,D60&gt;'BE '!P7),"E",AND(D60&lt;='BE '!R7,D60&gt;'BE '!Q7),"F",AND(D60&gt;'BE '!R7),"G")</f>
        <v>A+</v>
      </c>
    </row>
    <row r="61" spans="1:14" ht="16" thickBot="1" x14ac:dyDescent="0.25">
      <c r="A61" s="262"/>
      <c r="B61" s="265"/>
      <c r="C61" s="16" t="s">
        <v>57</v>
      </c>
      <c r="D61" s="58" t="e">
        <f>SUM(D59:D60)</f>
        <v>#DIV/0!</v>
      </c>
      <c r="E61" s="261"/>
      <c r="G61" s="265"/>
      <c r="H61" s="16" t="s">
        <v>57</v>
      </c>
      <c r="I61" s="1" t="e" cm="1">
        <f t="array" ref="I61">_xlfn.IFS(AND(D61&lt;='BE '!L8),"A+",AND(D61&lt;='BE '!M8,D61&gt;'BE '!L8),"A",AND(D61&lt;='BE '!N8,D61&gt;'BE '!M8),"B",AND(D61&lt;='BE '!O8,D61&gt;'BE '!N8),"C",AND(D61&lt;='BE '!P8,D61&gt;'BE '!O8),"D",AND(D61&lt;='BE '!Q8,D61&gt;'BE '!P8),"E",AND(D61&lt;='BE '!R8,D61&gt;'BE '!Q8),"F",AND(D61&gt;'BE '!R8),"G")</f>
        <v>#DIV/0!</v>
      </c>
    </row>
    <row r="62" spans="1:14" ht="32" x14ac:dyDescent="0.2">
      <c r="A62" s="262"/>
      <c r="B62" s="263" t="s">
        <v>90</v>
      </c>
      <c r="C62" s="57" t="s">
        <v>85</v>
      </c>
      <c r="D62" s="100" t="e">
        <f>I16</f>
        <v>#DIV/0!</v>
      </c>
      <c r="E62" s="266" t="s">
        <v>91</v>
      </c>
      <c r="G62" s="263" t="s">
        <v>90</v>
      </c>
      <c r="H62" s="46" t="s">
        <v>85</v>
      </c>
      <c r="I62" s="55" t="e" cm="1">
        <f t="array" ref="I62">_xlfn.IFS(AND(D62&lt;='BE '!L9),"A+",AND(D62&lt;='BE '!M9,D62&gt;'BE '!L9),"A",AND(D62&lt;='BE '!N9,D62&gt;'BE '!M9),"B",AND(D62&lt;='BE '!O9,D62&gt;'BE '!N9),"C",AND(D62&lt;='BE '!P9,D62&gt;'BE '!O9),"D",AND(D62&lt;='BE '!Q9,D62&gt;'BE '!P9),"E",AND(D62&lt;='BE '!R9,D62&gt;'BE '!Q9),"F",AND(D62&gt;'BE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_xlfn.IFS(D63="#","#",AND(D63&lt;='BE '!L10),"A+",AND(D63&lt;='BE '!M10,D63&gt;'BE '!L10),"A",AND(D63&lt;='BE '!N10,D63&gt;'BE '!M10),"B",AND(D63&lt;='BE '!O10,D63&gt;'BE '!N10),"C",AND(D63&lt;='BE '!P10,D63&gt;'BE '!O10),"D",AND(D63&lt;='BE '!Q10,D63&gt;'BE '!P10),"E",AND(D63&lt;='BE '!R10,D63&gt;'BE '!Q10),"F",AND(D63&gt;'BE '!R10),"G")</f>
        <v>#</v>
      </c>
    </row>
    <row r="64" spans="1:14" ht="32" x14ac:dyDescent="0.2">
      <c r="A64" s="262"/>
      <c r="B64" s="264"/>
      <c r="C64" s="21" t="s">
        <v>92</v>
      </c>
      <c r="D64" s="47" t="e">
        <f>IF(ISNUMBER(D63), D62 + D63, D62)</f>
        <v>#DIV/0!</v>
      </c>
      <c r="E64" s="202"/>
      <c r="G64" s="264"/>
      <c r="H64" t="s">
        <v>92</v>
      </c>
      <c r="I64" s="56" t="e" cm="1">
        <f t="array" ref="I64">_xlfn.IFS(AND(D64&lt;='BE '!L11),"A+",AND(D64&lt;='BE '!M11,D64&gt;'BE '!L11),"A",AND(D64&lt;='BE '!N11,D64&gt;'BE '!M11),"B",AND(D64&lt;='BE '!O11,D64&gt;'BE '!N11),"C",AND(D64&lt;='BE '!P11,D64&gt;'BE '!O11),"D",AND(D64&lt;='BE '!Q11,D64&gt;'BE '!P11),"E",AND(D64&lt;='BE '!R11,D64&gt;'BE '!Q11),"F",AND(D64&gt;'BE '!R11),"G")</f>
        <v>#DIV/0!</v>
      </c>
    </row>
    <row r="65" spans="1:9" x14ac:dyDescent="0.2">
      <c r="A65" s="262"/>
      <c r="B65" s="264"/>
      <c r="C65" t="s">
        <v>89</v>
      </c>
      <c r="D65" s="99">
        <f>I31</f>
        <v>0</v>
      </c>
      <c r="E65" s="202"/>
      <c r="G65" s="264"/>
      <c r="H65" t="s">
        <v>89</v>
      </c>
      <c r="I65" s="56" t="str" cm="1">
        <f t="array" ref="I65">_xlfn.IFS(AND(D65&lt;='BE '!L12),"A+",AND(D65&lt;='BE '!M12,D65&gt;'BE '!L12),"A",AND(D65&lt;='BE '!N12,D65&gt;'BE '!M12),"B",AND(D65&lt;='BE '!O12,D65&gt;'BE '!N12),"C",AND(D65&lt;='BE '!P12,D65&gt;'BE '!O12),"D",AND(D65&lt;='BE '!Q12,D65&gt;'BE '!P12),"E",AND(D65&lt;='BE '!R12,D65&gt;'BE '!Q12),"F",AND(D65&gt;'BE '!R12),"G")</f>
        <v>A+</v>
      </c>
    </row>
    <row r="66" spans="1:9" ht="16" thickBot="1" x14ac:dyDescent="0.25">
      <c r="A66" s="262"/>
      <c r="B66" s="265"/>
      <c r="C66" s="16" t="s">
        <v>57</v>
      </c>
      <c r="D66" s="16" t="e">
        <f>SUM(D64:D65)</f>
        <v>#DIV/0!</v>
      </c>
      <c r="E66" s="267"/>
      <c r="G66" s="265"/>
      <c r="H66" s="16" t="s">
        <v>57</v>
      </c>
      <c r="I66" s="1" t="e" cm="1">
        <f t="array" ref="I66">_xlfn.IFS(AND(D66&lt;='BE '!L13),"A+",AND(D66&lt;='BE '!M13,D66&gt;'BE '!L13),"A",AND(D66&lt;='BE '!N13,D66&gt;'BE '!M13),"B",AND(D66&lt;='BE '!O13,D66&gt;'BE '!N13),"C",AND(D66&lt;='BE '!P13,D66&gt;'BE '!O13),"D",AND(D66&lt;='BE '!Q13,D66&gt;'BE '!P13),"E",AND(D66&lt;='BE '!R13,D66&gt;'BE '!Q13),"F",AND(D66&gt;'BE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403" priority="7" operator="equal">
      <formula>"A+"</formula>
    </cfRule>
    <cfRule type="containsText" dxfId="402" priority="8" operator="containsText" text="A">
      <formula>NOT(ISERROR(SEARCH("A",I57)))</formula>
    </cfRule>
    <cfRule type="containsText" dxfId="401" priority="9" operator="containsText" text="B">
      <formula>NOT(ISERROR(SEARCH("B",I57)))</formula>
    </cfRule>
    <cfRule type="containsText" dxfId="400" priority="10" operator="containsText" text="C">
      <formula>NOT(ISERROR(SEARCH("C",I57)))</formula>
    </cfRule>
    <cfRule type="containsText" dxfId="399" priority="11" operator="containsText" text="D">
      <formula>NOT(ISERROR(SEARCH("D",I57)))</formula>
    </cfRule>
    <cfRule type="containsText" dxfId="398" priority="12" operator="containsText" text="E">
      <formula>NOT(ISERROR(SEARCH("E",I57)))</formula>
    </cfRule>
    <cfRule type="containsText" dxfId="397" priority="13" operator="containsText" text="F">
      <formula>NOT(ISERROR(SEARCH("F",I57)))</formula>
    </cfRule>
    <cfRule type="containsText" dxfId="396" priority="14" operator="containsText" text="G">
      <formula>NOT(ISERROR(SEARCH("G",I57)))</formula>
    </cfRule>
  </conditionalFormatting>
  <conditionalFormatting sqref="K5:K15">
    <cfRule type="expression" dxfId="3" priority="2" stopIfTrue="1">
      <formula>$O$19="No"</formula>
    </cfRule>
  </conditionalFormatting>
  <conditionalFormatting sqref="L5:L15">
    <cfRule type="expression" dxfId="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DB386209-3BAD-1641-BE61-4DF62BE4705E}">
      <formula1>AND(Q19="Yes", ISNUMBER(L5))</formula1>
    </dataValidation>
    <dataValidation type="custom" operator="lessThan" allowBlank="1" showErrorMessage="1" errorTitle="Error" error="You can only enter values if you have selected HOME PV. The value must be a number." sqref="K5:K15" xr:uid="{BF333A71-D167-D44A-A37B-E4FCBCFACEA2}">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D3A5371E-EF50-4926-B854-EC26D8D9A662}">
          <x14:formula1>
            <xm:f>DATA!$J$3:$J$10</xm:f>
          </x14:formula1>
          <xm:sqref>D29:D51</xm:sqref>
        </x14:dataValidation>
        <x14:dataValidation type="list" allowBlank="1" showInputMessage="1" showErrorMessage="1" xr:uid="{3DD5096B-823F-C643-8634-08F9FC42296D}">
          <x14:formula1>
            <xm:f>DATA!$B$15:$B$23</xm:f>
          </x14:formula1>
          <xm:sqref>J2</xm:sqref>
        </x14:dataValidation>
        <x14:dataValidation type="list" allowBlank="1" showInputMessage="1" showErrorMessage="1" xr:uid="{B34C096F-5D6E-4375-816C-B2A7A94CC3C7}">
          <x14:formula1>
            <xm:f>DATA!$H$3:$H$23</xm:f>
          </x14:formula1>
          <xm:sqref>C29:C51</xm:sqref>
        </x14:dataValidation>
        <x14:dataValidation type="list" allowBlank="1" showInputMessage="1" showErrorMessage="1" xr:uid="{8651C7B0-A401-5745-AA78-BCE67AC3BE07}">
          <x14:formula1>
            <xm:f>DATA!$B$3:$B$13</xm:f>
          </x14:formula1>
          <xm:sqref>H2</xm:sqref>
        </x14:dataValidation>
        <x14:dataValidation type="list" allowBlank="1" showInputMessage="1" showErrorMessage="1" xr:uid="{54D4ED0A-27E5-B349-9F7A-D2EF059C96B9}">
          <x14:formula1>
            <xm:f>DATA!$L$4:$L$5</xm:f>
          </x14:formula1>
          <xm:sqref>O18:O19 Q19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BD07-B42F-43E6-BD5F-4418511610CD}">
  <dimension ref="A1:Q66"/>
  <sheetViews>
    <sheetView zoomScale="80" zoomScaleNormal="80" workbookViewId="0">
      <selection activeCell="I5" sqref="I5"/>
    </sheetView>
  </sheetViews>
  <sheetFormatPr baseColWidth="10" defaultColWidth="11.5" defaultRowHeight="15" x14ac:dyDescent="0.2"/>
  <cols>
    <col min="1" max="1" width="6.5" customWidth="1"/>
    <col min="4" max="4" width="17.33203125" customWidth="1"/>
    <col min="5" max="6" width="14.6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94</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IF($O$18="Yes",(E5/$F$2)*DATA!$C$9,(E5/$F$2)*DATA!$F$5)+IF(ISBLANK(K5),0,K5/$F$2)*DATA!$C$9-IF(ISBLANK(L5),0,L5/$F$2)*DATA!F$5</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IF($O$18="Yes",(E6/$F$2)*DATA!$C$9,(E6/$F$2)*DATA!$F$5)+IF(ISBLANK(K6),0,K6/$F$2)*DATA!$C$9-IF(ISBLANK(L6),0,L6/$F$2)*DATA!F$5</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IF($O$18="Yes",(E7/$F$2)*DATA!$C$9,(E7/$F$2)*DATA!$F$5)+IF(ISBLANK(K7),0,K7/$F$2)*DATA!$C$9-IF(ISBLANK(L7),0,L7/$F$2)*DATA!F$5</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IF($O$18="Yes",(E8/$F$2)*DATA!$C$9,(E8/$F$2)*DATA!$F$5)+IF(ISBLANK(K8),0,K8/$F$2)*DATA!$C$9-IF(ISBLANK(L8),0,L8/$F$2)*DATA!F$5</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IF($O$18="Yes",(E9/$F$2)*DATA!$C$9,(E9/$F$2)*DATA!$F$5)+IF(ISBLANK(K9),0,K9/$F$2)*DATA!$C$9-IF(ISBLANK(L9),0,L9/$F$2)*DATA!F$5</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IF($O$18="Yes",(E10/$F$2)*DATA!$C$9,(E10/$F$2)*DATA!$F$5)+IF(ISBLANK(K10),0,K10/$F$2)*DATA!$C$9-IF(ISBLANK(L10),0,L10/$F$2)*DATA!F$5</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198" t="s">
        <v>295</v>
      </c>
      <c r="O10" s="199"/>
      <c r="P10" s="200"/>
    </row>
    <row r="11" spans="1:16" ht="16" x14ac:dyDescent="0.2">
      <c r="A11" s="221"/>
      <c r="B11" s="24"/>
      <c r="C11" s="13"/>
      <c r="D11" s="14">
        <f t="shared" si="0"/>
        <v>0</v>
      </c>
      <c r="E11" s="15"/>
      <c r="F11" s="15"/>
      <c r="G11" s="25" t="e">
        <f t="shared" si="1"/>
        <v>#DIV/0!</v>
      </c>
      <c r="H11" s="25" t="e">
        <f t="shared" si="2"/>
        <v>#DIV/0!</v>
      </c>
      <c r="I11" s="25" t="e">
        <f>IF($O$18="Yes",(E11/$F$2)*DATA!$C$9,(E11/$F$2)*DATA!$F$5)+IF(ISBLANK(K11),0,K11/$F$2)*DATA!$C$9-IF(ISBLANK(L11),0,L11/$F$2)*DATA!F$5</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15"/>
      <c r="O11" s="316"/>
      <c r="P11" s="317"/>
    </row>
    <row r="12" spans="1:16" ht="17" thickBot="1" x14ac:dyDescent="0.25">
      <c r="A12" s="221"/>
      <c r="B12" s="24"/>
      <c r="C12" s="13"/>
      <c r="D12" s="14">
        <f t="shared" si="0"/>
        <v>0</v>
      </c>
      <c r="E12" s="15"/>
      <c r="F12" s="15"/>
      <c r="G12" s="25" t="e">
        <f t="shared" si="1"/>
        <v>#DIV/0!</v>
      </c>
      <c r="H12" s="25" t="e">
        <f t="shared" si="2"/>
        <v>#DIV/0!</v>
      </c>
      <c r="I12" s="25" t="e">
        <f>IF($O$18="Yes",(E12/$F$2)*DATA!$C$9,(E12/$F$2)*DATA!$F$5)+IF(ISBLANK(K12),0,K12/$F$2)*DATA!$C$9-IF(ISBLANK(L12),0,L12/$F$2)*DATA!F$5</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246"/>
      <c r="O12" s="247"/>
      <c r="P12" s="248"/>
    </row>
    <row r="13" spans="1:16" ht="20" customHeight="1" thickBot="1" x14ac:dyDescent="0.25">
      <c r="A13" s="221"/>
      <c r="B13" s="24"/>
      <c r="C13" s="13"/>
      <c r="D13" s="14">
        <f t="shared" si="0"/>
        <v>0</v>
      </c>
      <c r="E13" s="15"/>
      <c r="F13" s="15"/>
      <c r="G13" s="25" t="e">
        <f t="shared" si="1"/>
        <v>#DIV/0!</v>
      </c>
      <c r="H13" s="25" t="e">
        <f t="shared" si="2"/>
        <v>#DIV/0!</v>
      </c>
      <c r="I13" s="25" t="e">
        <f>IF($O$18="Yes",(E13/$F$2)*DATA!$C$9,(E13/$F$2)*DATA!$F$5)+IF(ISBLANK(K13),0,K13/$F$2)*DATA!$C$9-IF(ISBLANK(L13),0,L13/$F$2)*DATA!F$5</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IF($O$18="Yes",(E14/$F$2)*DATA!$C$9,(E14/$F$2)*DATA!$F$5)+IF(ISBLANK(K14),0,K14/$F$2)*DATA!$C$9-IF(ISBLANK(L14),0,L14/$F$2)*DATA!F$5</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IF($O$18="Yes",(E15/$F$2)*DATA!$C$9,(E15/$F$2)*DATA!$F$5)+IF(ISBLANK(K15),0,K15/$F$2)*DATA!$C$9-IF(ISBLANK(L15),0,L15/$F$2)*DATA!F$5</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102"/>
      <c r="C29" s="15"/>
      <c r="D29" s="29"/>
      <c r="E29" s="29"/>
      <c r="F29" s="103" t="e" cm="1">
        <f t="array" ref="F29">_xlfn.IFS(AND($C29="Fuel car",$D29=1),$E29*'BG '!C$7,AND($C29="Fuel car",$D29=2),$E29*'BG '!C$8,AND($C29="Fuel car",$D29=3),$E29*'BG '!C$9,AND($C29="Fuel car",$D29=4),$E29*'BG '!C$10,AND($C29="Fuel car",$D29=5),$E29*'BG '!C$11,AND($C29="Motorcycle",$D29=1),$E29*'BG '!C$13,AND($C29="Motorcycle",$D29=2),$E29*'BG '!C$14,AND($C29="Electric car",$D29=1),$E29*'BG '!C$16,AND($C29="Electric car",$D29=2),$E29*'BG '!C$17,AND($C29="Electric car",$D29=3),$E29*'BG '!C$18,AND($C29="Electric car",$D29=4),$E29*'BG '!C$19,AND($C29="Electric car",$D29=5),$E29*'BG '!C$20,AND($C29="Hybrid car",$D29=1),$E29*'BG '!C$22,AND($C29="Hybrid car",$D29=2),$E29*'BG '!C$23,AND($C29="Hybrid car",$D29=3),$E29*'BG '!C$24,AND($C29="Hybrid car",$D29=4),$E29*'BG '!C$25,AND($C29="Hybrid car",$D29=5),$E29*'BG '!C$26,AND($C29="Electric motorcycle",$D29=1),$E29*'BG '!C$28,AND($C29="Electric motorcycle",$D29=2),$E29*'BG '!C$29,AND($C29="Electric bike",$D29=1),$E29*'BG '!C$31,AND($C29="Electric scooter",$D29=1),$E29*'BG '!C$33,AND($C29="Bus",$D29="Almost empty"),$E29*'BG '!H$23,AND($C29="Bus",$D29="Average"),$E29*'BG '!H$24,AND($C29="Bus",$D29="Nearly full"),$E29*'BG '!H$25,AND($C29="Electric bus",$D29="Almost empty"),$E29*'BG '!H$7,AND($C29="Electric bus",$D29="Average"),$E29*'BG '!H$8,AND($C29="Electric bus",$D29="Nearly full"),$E29*'BG '!H$9,AND($C29="Diesel bus",$D29="Almost empty"),$E29*'BG '!H$19,AND($C29="Diesel bus",$D29="Average"),$E29*'BG '!H$20,AND($C29="Diesel bus",$D29="Nearly full"),$E29*'BG '!H$21,AND($C29="Hybrid-electric bus",$D29="Almost empty"),$E29*'BG '!H$11,AND($C29="Hybrid-electric bus",$D29="Average"),$E29*'BG '!H$12,AND($C29="Hybrid-electric bus",$D29="Nearly full"),$E29*'BG '!H$13,AND($C29="Alternative fuel bus",$D29="Almost empty"),$E29*'BG '!H$15,AND($C29="Alternative fuel bus",$D29="Average"),$E29*'BG '!H$16,AND($C29="Alternative fuel bus",$D29="Nearly full"),$E29*'BG '!H$17,AND($C29="Metro, tram, urban light train",$D29="Almost empty"),$E29*'BG '!C$35,AND($C29="Metro, tram, urban light train",$D29="Average"),$E29*'BG '!C$36,AND($C29="Metro, tram, urban light train",$D29="Nearly full"),$E29*'BG '!C$37,AND($C29="Electric passenger train",$D29="Almost empty"),$E29*'BG '!C$39,AND($C29="Electric passenger train",$D29="Average"),$E29*'BG '!C$40,AND($C29="Electric passenger train",$D29="Nearly full"),$E29*'BG '!C$41,AND($C29="Diesel passenger train",$D29="Almost empty"),$E29*'BG '!C$47,AND($C29="Diesel passenger train",$D29="Average"),$E29*'BG '!C$48,AND($C29="Diesel passenger train",$D29="Nearly full"),$E29*'BG '!C$49,AND($C29="Walking"),$E29*0,AND($C29="Bike"),$E29*0,AND($C29="Plane - domestic flight"),$E29*'BG '!$C53,AND($C29="Plane - international - intra EU"),$E29*'BG '!$C55,AND($C29="Plane - international (extra EU)"),$E29*'BG '!$C57)</f>
        <v>#N/A</v>
      </c>
      <c r="G29" s="104" t="e" cm="1">
        <f t="array" ref="G29">_xlfn.IFS(AND($C29="Fuel car",$D29=1),$E29*'BG '!D$7,AND($C29="Fuel car",$D29=2),$E29*'BG '!D$8,AND($C29="Fuel car",$D29=3),$E29*'BG '!D$9,AND($C29="Fuel car",$D29=4),$E29*'BG '!D$10,AND($C29="Fuel car",$D29=5),$E29*'BG '!D$11,AND($C29="Motorcycle",$D29=1),$E29*'BG '!D$13,AND($C29="Motorcycle",$D29=2),$E29*'BG '!D$14,AND($C29="Electric car",$D29=1),$E29*'BG '!D$16,AND($C29="Electric car",$D29=2),$E29*'BG '!D$17,AND($C29="Electric car",$D29=3),$E29*'BG '!D$18,AND($C29="Electric car",$D29=4),$E29*'BG '!D$19,AND($C29="Electric car",$D29=5),$E29*'BG '!D$20,AND($C29="Hybrid car",$D29=1),$E29*'BG '!D$22,AND($C29="Hybrid car",$D29=2),$E29*'BG '!D$23,AND($C29="Hybrid car",$D29=3),$E29*'BG '!D$24,AND($C29="Hybrid car",$D29=4),$E29*'BG '!D$25,AND($C29="Hybrid car",$D29=5),$E29*'BG '!D$26,AND($C29="Electric motorcycle",$D29=1),$E29*'BG '!D$28,AND($C29="Electric motorcycle",$D29=2),$E29*'BG '!D$29,AND($C29="Electric bike",$D29=1),$E29*'BG '!D$31,AND($C29="Electric scooter",$D29=1),$E29*'BG '!D$33,AND($C29="Bus",$D29="Almost empty"),$E29*'BG '!I$23,AND($C29="Bus",$D29="Average"),$E29*'BG '!I$24,AND($C29="Bus",$D29="Nearly full"),$E29*'BG '!I$25,AND($C29="Electric bus",$D29="Almost empty"),$E29*'BG '!I$7,AND($C29="Electric bus",$D29="Average"),$E29*'BG '!I$8,AND($C29="Electric bus",$D29="Nearly full"),$E29*'BG '!I$9,AND($C29="Diesel bus",$D29="Almost empty"),$E29*'BG '!I$19,AND($C29="Diesel bus",$D29="Average"),$E29*'BG '!I$20,AND($C29="Diesel bus",$D29="Nearly full"),$E29*'BG '!I$21,AND($C29="Hybrid-electric bus",$D29="Almost empty"),$E29*'BG '!I$11,AND($C29="Hybrid-electric bus",$D29="Average"),$E29*'BG '!I$12,AND($C29="Hybrid-electric bus",$D29="Nearly full"),$E29*'BG '!I$13,AND($C29="Alternative fuel bus",$D29="Almost empty"),$E29*'BG '!I$15,AND($C29="Alternative fuel bus",$D29="Average"),$E29*'BG '!I$16,AND($C29="Alternative fuel bus",$D29="Nearly full"),$E29*'BG '!I$17,AND($C29="Metro, tram, urban light train",$D29="Almost empty"),$E29*'BG '!D$35,AND($C29="Metro, tram, urban light train",$D29="Average"),$E29*'BG '!D$36,AND($C29="Metro, tram, urban light train",$D29="Nearly full"),$E29*'BG '!D$37,AND($C29="Electric passenger train",$D29="Almost empty"),$E29*'BG '!D$39,AND($C29="Electric passenger train",$D29="Average"),$E29*'BG '!D$40,AND($C29="Electric passenger train",$D29="Nearly full"),$E29*'BG '!D$41,AND($C29="Diesel passenger train",$D29="Almost empty"),$E29*'BG '!D$47,AND($C29="Diesel passenger train",$D29="Average"),$E29*'BG '!D$48,AND($C29="Diesel passenger train",$D29="Nearly full"),$E29*'BG '!D$49,AND($C29="Walking"),$E29*0,AND($C29="Bike"),$E29*0,AND($C29="Plane - domestic flight"),$E29*'BG '!$C53,AND($C29="Plane - international - intra EU"),$E29*'BG '!$C55,AND($C29="Plane - international (extra EU)"),$E29*'BG '!$C57)</f>
        <v>#N/A</v>
      </c>
      <c r="H29" s="151"/>
      <c r="I29" s="152">
        <f>H29/10*E29</f>
        <v>0</v>
      </c>
      <c r="J29" s="146" t="e" cm="1">
        <f t="array" ref="J29">_xlfn.IFS(Bulgaria!C29="Fuel car",Bulgaria!I29*DATA!$C$17,C29="Electric car",Bulgaria!I29*DATA!$F$5,Bulgaria!C29="Hybrid car",Bulgaria!I29*(0.5*DATA!$C$17+0.5*DATA!$F$5))</f>
        <v>#N/A</v>
      </c>
      <c r="L29" s="218"/>
      <c r="M29" s="219"/>
      <c r="N29" s="220"/>
    </row>
    <row r="30" spans="1:17" ht="32" customHeight="1" x14ac:dyDescent="0.2">
      <c r="A30" s="222"/>
      <c r="B30" s="30"/>
      <c r="C30" s="15"/>
      <c r="D30" s="15"/>
      <c r="E30" s="15"/>
      <c r="F30" s="123" t="e" cm="1">
        <f t="array" ref="F30">_xlfn.IFS(AND($C30="Fuel car",$D30=1),$E30*'BG '!C$7,AND($C30="Fuel car",$D30=2),$E30*'BG '!C$8,AND($C30="Fuel car",$D30=3),$E30*'BG '!C$9,AND($C30="Fuel car",$D30=4),$E30*'BG '!C$10,AND($C30="Fuel car",$D30=5),$E30*'BG '!C$11,AND($C30="Motorcycle",$D30=1),$E30*'BG '!C$13,AND($C30="Motorcycle",$D30=2),$E30*'BG '!C$14,AND($C30="Electric car",$D30=1),$E30*'BG '!C$16,AND($C30="Electric car",$D30=2),$E30*'BG '!C$17,AND($C30="Electric car",$D30=3),$E30*'BG '!C$18,AND($C30="Electric car",$D30=4),$E30*'BG '!C$19,AND($C30="Electric car",$D30=5),$E30*'BG '!C$20,AND($C30="Hybrid car",$D30=1),$E30*'BG '!C$22,AND($C30="Hybrid car",$D30=2),$E30*'BG '!C$23,AND($C30="Hybrid car",$D30=3),$E30*'BG '!C$24,AND($C30="Hybrid car",$D30=4),$E30*'BG '!C$25,AND($C30="Hybrid car",$D30=5),$E30*'BG '!C$26,AND($C30="Electric motorcycle",$D30=1),$E30*'BG '!C$28,AND($C30="Electric motorcycle",$D30=2),$E30*'BG '!C$29,AND($C30="Electric bike",$D30=1),$E30*'BG '!C$31,AND($C30="Electric scooter",$D30=1),$E30*'BG '!C$33,AND($C30="Bus",$D30="Almost empty"),$E30*'BG '!H$23,AND($C30="Bus",$D30="Average"),$E30*'BG '!H$24,AND($C30="Bus",$D30="Nearly full"),$E30*'BG '!H$25,AND($C30="Electric bus",$D30="Almost empty"),$E30*'BG '!H$7,AND($C30="Electric bus",$D30="Average"),$E30*'BG '!H$8,AND($C30="Electric bus",$D30="Nearly full"),$E30*'BG '!H$9,AND($C30="Diesel bus",$D30="Almost empty"),$E30*'BG '!H$19,AND($C30="Diesel bus",$D30="Average"),$E30*'BG '!H$20,AND($C30="Diesel bus",$D30="Nearly full"),$E30*'BG '!H$21,AND($C30="Hybrid-electric bus",$D30="Almost empty"),$E30*'BG '!H$11,AND($C30="Hybrid-electric bus",$D30="Average"),$E30*'BG '!H$12,AND($C30="Hybrid-electric bus",$D30="Nearly full"),$E30*'BG '!H$13,AND($C30="Alternative fuel bus",$D30="Almost empty"),$E30*'BG '!H$15,AND($C30="Alternative fuel bus",$D30="Average"),$E30*'BG '!H$16,AND($C30="Alternative fuel bus",$D30="Nearly full"),$E30*'BG '!H$17,AND($C30="Metro, tram, urban light train",$D30="Almost empty"),$E30*'BG '!C$35,AND($C30="Metro, tram, urban light train",$D30="Average"),$E30*'BG '!C$36,AND($C30="Metro, tram, urban light train",$D30="Nearly full"),$E30*'BG '!C$37,AND($C30="Electric passenger train",$D30="Almost empty"),$E30*'BG '!C$39,AND($C30="Electric passenger train",$D30="Average"),$E30*'BG '!C$40,AND($C30="Electric passenger train",$D30="Nearly full"),$E30*'BG '!C$41,AND($C30="Diesel passenger train",$D30="Almost empty"),$E30*'BG '!C$47,AND($C30="Diesel passenger train",$D30="Average"),$E30*'BG '!C$48,AND($C30="Diesel passenger train",$D30="Nearly full"),$E30*'BG '!C$49,AND($C30="Walking"),$E30*0,AND($C30="Bike"),$E30*0,AND($C30="Plane - domestic flight"),$E30*'BG '!$C54,AND($C30="Plane - international - intra EU"),$E30*'BG '!$C56,AND($C30="Plane - international (extra EU)"),$E30*'BG '!$C58)</f>
        <v>#N/A</v>
      </c>
      <c r="G30" s="31" t="e" cm="1">
        <f t="array" ref="G30">_xlfn.IFS(AND($C30="Fuel car",$D30=1),$E30*'BG '!D$7,AND($C30="Fuel car",$D30=2),$E30*'BG '!D$8,AND($C30="Fuel car",$D30=3),$E30*'BG '!D$9,AND($C30="Fuel car",$D30=4),$E30*'BG '!D$10,AND($C30="Fuel car",$D30=5),$E30*'BG '!D$11,AND($C30="Motorcycle",$D30=1),$E30*'BG '!D$13,AND($C30="Motorcycle",$D30=2),$E30*'BG '!D$14,AND($C30="Electric car",$D30=1),$E30*'BG '!D$16,AND($C30="Electric car",$D30=2),$E30*'BG '!D$17,AND($C30="Electric car",$D30=3),$E30*'BG '!D$18,AND($C30="Electric car",$D30=4),$E30*'BG '!D$19,AND($C30="Electric car",$D30=5),$E30*'BG '!D$20,AND($C30="Hybrid car",$D30=1),$E30*'BG '!D$22,AND($C30="Hybrid car",$D30=2),$E30*'BG '!D$23,AND($C30="Hybrid car",$D30=3),$E30*'BG '!D$24,AND($C30="Hybrid car",$D30=4),$E30*'BG '!D$25,AND($C30="Hybrid car",$D30=5),$E30*'BG '!D$26,AND($C30="Electric motorcycle",$D30=1),$E30*'BG '!D$28,AND($C30="Electric motorcycle",$D30=2),$E30*'BG '!D$29,AND($C30="Electric bike",$D30=1),$E30*'BG '!D$31,AND($C30="Electric scooter",$D30=1),$E30*'BG '!D$33,AND($C30="Bus",$D30="Almost empty"),$E30*'BG '!I$23,AND($C30="Bus",$D30="Average"),$E30*'BG '!I$24,AND($C30="Bus",$D30="Nearly full"),$E30*'BG '!I$25,AND($C30="Electric bus",$D30="Almost empty"),$E30*'BG '!I$7,AND($C30="Electric bus",$D30="Average"),$E30*'BG '!I$8,AND($C30="Electric bus",$D30="Nearly full"),$E30*'BG '!I$9,AND($C30="Diesel bus",$D30="Almost empty"),$E30*'BG '!I$19,AND($C30="Diesel bus",$D30="Average"),$E30*'BG '!I$20,AND($C30="Diesel bus",$D30="Nearly full"),$E30*'BG '!I$21,AND($C30="Hybrid-electric bus",$D30="Almost empty"),$E30*'BG '!I$11,AND($C30="Hybrid-electric bus",$D30="Average"),$E30*'BG '!I$12,AND($C30="Hybrid-electric bus",$D30="Nearly full"),$E30*'BG '!I$13,AND($C30="Alternative fuel bus",$D30="Almost empty"),$E30*'BG '!I$15,AND($C30="Alternative fuel bus",$D30="Average"),$E30*'BG '!I$16,AND($C30="Alternative fuel bus",$D30="Nearly full"),$E30*'BG '!I$17,AND($C30="Metro, tram, urban light train",$D30="Almost empty"),$E30*'BG '!D$35,AND($C30="Metro, tram, urban light train",$D30="Average"),$E30*'BG '!D$36,AND($C30="Metro, tram, urban light train",$D30="Nearly full"),$E30*'BG '!D$37,AND($C30="Electric passenger train",$D30="Almost empty"),$E30*'BG '!D$39,AND($C30="Electric passenger train",$D30="Average"),$E30*'BG '!D$40,AND($C30="Electric passenger train",$D30="Nearly full"),$E30*'BG '!D$41,AND($C30="Diesel passenger train",$D30="Almost empty"),$E30*'BG '!D$47,AND($C30="Diesel passenger train",$D30="Average"),$E30*'BG '!D$48,AND($C30="Diesel passenger train",$D30="Nearly full"),$E30*'BG '!D$49,AND($C30="Walking"),$E30*0,AND($C30="Bike"),$E30*0,AND($C30="Plane - domestic flight"),$E30*'BG '!$C54,AND($C30="Plane - international - intra EU"),$E30*'BG '!$C56,AND($C30="Plane - international (extra EU)"),$E30*'BG '!$C58)</f>
        <v>#N/A</v>
      </c>
      <c r="H30" s="145"/>
      <c r="I30" s="148">
        <f t="shared" ref="I30:I43" si="6">H30/10*E30</f>
        <v>0</v>
      </c>
      <c r="J30" s="146" t="e" cm="1">
        <f t="array" ref="J30">_xlfn.IFS(Bulgaria!C30="Fuel car",Bulgaria!I30*DATA!$C$17,C30="Electric car",Bulgaria!I30*DATA!$F$5,Bulgaria!C30="Hybrid car",Bulgaria!I30*(0.5*DATA!$C$17+0.5*DATA!$F$5))</f>
        <v>#N/A</v>
      </c>
      <c r="L30" s="215" t="s">
        <v>76</v>
      </c>
      <c r="M30" s="216"/>
      <c r="N30" s="217"/>
    </row>
    <row r="31" spans="1:17" x14ac:dyDescent="0.2">
      <c r="A31" s="222"/>
      <c r="B31" s="30"/>
      <c r="C31" s="15"/>
      <c r="D31" s="15"/>
      <c r="E31" s="15"/>
      <c r="F31" s="123" t="e" cm="1">
        <f t="array" ref="F31">_xlfn.IFS(AND($C31="Fuel car",$D31=1),$E31*'BG '!C$7,AND($C31="Fuel car",$D31=2),$E31*'BG '!C$8,AND($C31="Fuel car",$D31=3),$E31*'BG '!C$9,AND($C31="Fuel car",$D31=4),$E31*'BG '!C$10,AND($C31="Fuel car",$D31=5),$E31*'BG '!C$11,AND($C31="Motorcycle",$D31=1),$E31*'BG '!C$13,AND($C31="Motorcycle",$D31=2),$E31*'BG '!C$14,AND($C31="Electric car",$D31=1),$E31*'BG '!C$16,AND($C31="Electric car",$D31=2),$E31*'BG '!C$17,AND($C31="Electric car",$D31=3),$E31*'BG '!C$18,AND($C31="Electric car",$D31=4),$E31*'BG '!C$19,AND($C31="Electric car",$D31=5),$E31*'BG '!C$20,AND($C31="Hybrid car",$D31=1),$E31*'BG '!C$22,AND($C31="Hybrid car",$D31=2),$E31*'BG '!C$23,AND($C31="Hybrid car",$D31=3),$E31*'BG '!C$24,AND($C31="Hybrid car",$D31=4),$E31*'BG '!C$25,AND($C31="Hybrid car",$D31=5),$E31*'BG '!C$26,AND($C31="Electric motorcycle",$D31=1),$E31*'BG '!C$28,AND($C31="Electric motorcycle",$D31=2),$E31*'BG '!C$29,AND($C31="Electric bike",$D31=1),$E31*'BG '!C$31,AND($C31="Electric scooter",$D31=1),$E31*'BG '!C$33,AND($C31="Bus",$D31="Almost empty"),$E31*'BG '!H$23,AND($C31="Bus",$D31="Average"),$E31*'BG '!H$24,AND($C31="Bus",$D31="Nearly full"),$E31*'BG '!H$25,AND($C31="Electric bus",$D31="Almost empty"),$E31*'BG '!H$7,AND($C31="Electric bus",$D31="Average"),$E31*'BG '!H$8,AND($C31="Electric bus",$D31="Nearly full"),$E31*'BG '!H$9,AND($C31="Diesel bus",$D31="Almost empty"),$E31*'BG '!H$19,AND($C31="Diesel bus",$D31="Average"),$E31*'BG '!H$20,AND($C31="Diesel bus",$D31="Nearly full"),$E31*'BG '!H$21,AND($C31="Hybrid-electric bus",$D31="Almost empty"),$E31*'BG '!H$11,AND($C31="Hybrid-electric bus",$D31="Average"),$E31*'BG '!H$12,AND($C31="Hybrid-electric bus",$D31="Nearly full"),$E31*'BG '!H$13,AND($C31="Alternative fuel bus",$D31="Almost empty"),$E31*'BG '!H$15,AND($C31="Alternative fuel bus",$D31="Average"),$E31*'BG '!H$16,AND($C31="Alternative fuel bus",$D31="Nearly full"),$E31*'BG '!H$17,AND($C31="Metro, tram, urban light train",$D31="Almost empty"),$E31*'BG '!C$35,AND($C31="Metro, tram, urban light train",$D31="Average"),$E31*'BG '!C$36,AND($C31="Metro, tram, urban light train",$D31="Nearly full"),$E31*'BG '!C$37,AND($C31="Electric passenger train",$D31="Almost empty"),$E31*'BG '!C$39,AND($C31="Electric passenger train",$D31="Average"),$E31*'BG '!C$40,AND($C31="Electric passenger train",$D31="Nearly full"),$E31*'BG '!C$41,AND($C31="Diesel passenger train",$D31="Almost empty"),$E31*'BG '!C$47,AND($C31="Diesel passenger train",$D31="Average"),$E31*'BG '!C$48,AND($C31="Diesel passenger train",$D31="Nearly full"),$E31*'BG '!C$49,AND($C31="Walking"),$E31*0,AND($C31="Bike"),$E31*0,AND($C31="Plane - domestic flight"),$E31*'BG '!$C55,AND($C31="Plane - international - intra EU"),$E31*'BG '!$C57,AND($C31="Plane - international (extra EU)"),$E31*'BG '!$C59)</f>
        <v>#N/A</v>
      </c>
      <c r="G31" s="31" t="e" cm="1">
        <f t="array" ref="G31">_xlfn.IFS(AND($C31="Fuel car",$D31=1),$E31*'BG '!D$7,AND($C31="Fuel car",$D31=2),$E31*'BG '!D$8,AND($C31="Fuel car",$D31=3),$E31*'BG '!D$9,AND($C31="Fuel car",$D31=4),$E31*'BG '!D$10,AND($C31="Fuel car",$D31=5),$E31*'BG '!D$11,AND($C31="Motorcycle",$D31=1),$E31*'BG '!D$13,AND($C31="Motorcycle",$D31=2),$E31*'BG '!D$14,AND($C31="Electric car",$D31=1),$E31*'BG '!D$16,AND($C31="Electric car",$D31=2),$E31*'BG '!D$17,AND($C31="Electric car",$D31=3),$E31*'BG '!D$18,AND($C31="Electric car",$D31=4),$E31*'BG '!D$19,AND($C31="Electric car",$D31=5),$E31*'BG '!D$20,AND($C31="Hybrid car",$D31=1),$E31*'BG '!D$22,AND($C31="Hybrid car",$D31=2),$E31*'BG '!D$23,AND($C31="Hybrid car",$D31=3),$E31*'BG '!D$24,AND($C31="Hybrid car",$D31=4),$E31*'BG '!D$25,AND($C31="Hybrid car",$D31=5),$E31*'BG '!D$26,AND($C31="Electric motorcycle",$D31=1),$E31*'BG '!D$28,AND($C31="Electric motorcycle",$D31=2),$E31*'BG '!D$29,AND($C31="Electric bike",$D31=1),$E31*'BG '!D$31,AND($C31="Electric scooter",$D31=1),$E31*'BG '!D$33,AND($C31="Bus",$D31="Almost empty"),$E31*'BG '!I$23,AND($C31="Bus",$D31="Average"),$E31*'BG '!I$24,AND($C31="Bus",$D31="Nearly full"),$E31*'BG '!I$25,AND($C31="Electric bus",$D31="Almost empty"),$E31*'BG '!I$7,AND($C31="Electric bus",$D31="Average"),$E31*'BG '!I$8,AND($C31="Electric bus",$D31="Nearly full"),$E31*'BG '!I$9,AND($C31="Diesel bus",$D31="Almost empty"),$E31*'BG '!I$19,AND($C31="Diesel bus",$D31="Average"),$E31*'BG '!I$20,AND($C31="Diesel bus",$D31="Nearly full"),$E31*'BG '!I$21,AND($C31="Hybrid-electric bus",$D31="Almost empty"),$E31*'BG '!I$11,AND($C31="Hybrid-electric bus",$D31="Average"),$E31*'BG '!I$12,AND($C31="Hybrid-electric bus",$D31="Nearly full"),$E31*'BG '!I$13,AND($C31="Alternative fuel bus",$D31="Almost empty"),$E31*'BG '!I$15,AND($C31="Alternative fuel bus",$D31="Average"),$E31*'BG '!I$16,AND($C31="Alternative fuel bus",$D31="Nearly full"),$E31*'BG '!I$17,AND($C31="Metro, tram, urban light train",$D31="Almost empty"),$E31*'BG '!D$35,AND($C31="Metro, tram, urban light train",$D31="Average"),$E31*'BG '!D$36,AND($C31="Metro, tram, urban light train",$D31="Nearly full"),$E31*'BG '!D$37,AND($C31="Electric passenger train",$D31="Almost empty"),$E31*'BG '!D$39,AND($C31="Electric passenger train",$D31="Average"),$E31*'BG '!D$40,AND($C31="Electric passenger train",$D31="Nearly full"),$E31*'BG '!D$41,AND($C31="Diesel passenger train",$D31="Almost empty"),$E31*'BG '!D$47,AND($C31="Diesel passenger train",$D31="Average"),$E31*'BG '!D$48,AND($C31="Diesel passenger train",$D31="Nearly full"),$E31*'BG '!D$49,AND($C31="Walking"),$E31*0,AND($C31="Bike"),$E31*0,AND($C31="Plane - domestic flight"),$E31*'BG '!$C55,AND($C31="Plane - international - intra EU"),$E31*'BG '!$C57,AND($C31="Plane - international (extra EU)"),$E31*'BG '!$C59)</f>
        <v>#N/A</v>
      </c>
      <c r="H31" s="145"/>
      <c r="I31" s="148">
        <f t="shared" si="6"/>
        <v>0</v>
      </c>
      <c r="J31" s="146" t="e" cm="1">
        <f t="array" ref="J31">_xlfn.IFS(Bulgaria!C31="Fuel car",Bulgaria!I31*DATA!$C$17,C31="Electric car",Bulgaria!I31*DATA!$F$5,Bulgaria!C31="Hybrid car",Bulgaria!I31*(0.5*DATA!$C$17+0.5*DATA!$F$5))</f>
        <v>#N/A</v>
      </c>
      <c r="L31" s="223"/>
      <c r="M31" s="224"/>
      <c r="N31" s="225"/>
    </row>
    <row r="32" spans="1:17" ht="16" thickBot="1" x14ac:dyDescent="0.25">
      <c r="A32" s="222"/>
      <c r="B32" s="30"/>
      <c r="C32" s="15"/>
      <c r="D32" s="15"/>
      <c r="E32" s="15"/>
      <c r="F32" s="123" t="e" cm="1">
        <f t="array" ref="F32">_xlfn.IFS(AND($C32="Fuel car",$D32=1),$E32*'BG '!C$7,AND($C32="Fuel car",$D32=2),$E32*'BG '!C$8,AND($C32="Fuel car",$D32=3),$E32*'BG '!C$9,AND($C32="Fuel car",$D32=4),$E32*'BG '!C$10,AND($C32="Fuel car",$D32=5),$E32*'BG '!C$11,AND($C32="Motorcycle",$D32=1),$E32*'BG '!C$13,AND($C32="Motorcycle",$D32=2),$E32*'BG '!C$14,AND($C32="Electric car",$D32=1),$E32*'BG '!C$16,AND($C32="Electric car",$D32=2),$E32*'BG '!C$17,AND($C32="Electric car",$D32=3),$E32*'BG '!C$18,AND($C32="Electric car",$D32=4),$E32*'BG '!C$19,AND($C32="Electric car",$D32=5),$E32*'BG '!C$20,AND($C32="Hybrid car",$D32=1),$E32*'BG '!C$22,AND($C32="Hybrid car",$D32=2),$E32*'BG '!C$23,AND($C32="Hybrid car",$D32=3),$E32*'BG '!C$24,AND($C32="Hybrid car",$D32=4),$E32*'BG '!C$25,AND($C32="Hybrid car",$D32=5),$E32*'BG '!C$26,AND($C32="Electric motorcycle",$D32=1),$E32*'BG '!C$28,AND($C32="Electric motorcycle",$D32=2),$E32*'BG '!C$29,AND($C32="Electric bike",$D32=1),$E32*'BG '!C$31,AND($C32="Electric scooter",$D32=1),$E32*'BG '!C$33,AND($C32="Bus",$D32="Almost empty"),$E32*'BG '!H$23,AND($C32="Bus",$D32="Average"),$E32*'BG '!H$24,AND($C32="Bus",$D32="Nearly full"),$E32*'BG '!H$25,AND($C32="Electric bus",$D32="Almost empty"),$E32*'BG '!H$7,AND($C32="Electric bus",$D32="Average"),$E32*'BG '!H$8,AND($C32="Electric bus",$D32="Nearly full"),$E32*'BG '!H$9,AND($C32="Diesel bus",$D32="Almost empty"),$E32*'BG '!H$19,AND($C32="Diesel bus",$D32="Average"),$E32*'BG '!H$20,AND($C32="Diesel bus",$D32="Nearly full"),$E32*'BG '!H$21,AND($C32="Hybrid-electric bus",$D32="Almost empty"),$E32*'BG '!H$11,AND($C32="Hybrid-electric bus",$D32="Average"),$E32*'BG '!H$12,AND($C32="Hybrid-electric bus",$D32="Nearly full"),$E32*'BG '!H$13,AND($C32="Alternative fuel bus",$D32="Almost empty"),$E32*'BG '!H$15,AND($C32="Alternative fuel bus",$D32="Average"),$E32*'BG '!H$16,AND($C32="Alternative fuel bus",$D32="Nearly full"),$E32*'BG '!H$17,AND($C32="Metro, tram, urban light train",$D32="Almost empty"),$E32*'BG '!C$35,AND($C32="Metro, tram, urban light train",$D32="Average"),$E32*'BG '!C$36,AND($C32="Metro, tram, urban light train",$D32="Nearly full"),$E32*'BG '!C$37,AND($C32="Electric passenger train",$D32="Almost empty"),$E32*'BG '!C$39,AND($C32="Electric passenger train",$D32="Average"),$E32*'BG '!C$40,AND($C32="Electric passenger train",$D32="Nearly full"),$E32*'BG '!C$41,AND($C32="Diesel passenger train",$D32="Almost empty"),$E32*'BG '!C$47,AND($C32="Diesel passenger train",$D32="Average"),$E32*'BG '!C$48,AND($C32="Diesel passenger train",$D32="Nearly full"),$E32*'BG '!C$49,AND($C32="Walking"),$E32*0,AND($C32="Bike"),$E32*0,AND($C32="Plane - domestic flight"),$E32*'BG '!$C56,AND($C32="Plane - international - intra EU"),$E32*'BG '!$C58,AND($C32="Plane - international (extra EU)"),$E32*'BG '!$C60)</f>
        <v>#N/A</v>
      </c>
      <c r="G32" s="31" t="e" cm="1">
        <f t="array" ref="G32">_xlfn.IFS(AND($C32="Fuel car",$D32=1),$E32*'BG '!D$7,AND($C32="Fuel car",$D32=2),$E32*'BG '!D$8,AND($C32="Fuel car",$D32=3),$E32*'BG '!D$9,AND($C32="Fuel car",$D32=4),$E32*'BG '!D$10,AND($C32="Fuel car",$D32=5),$E32*'BG '!D$11,AND($C32="Motorcycle",$D32=1),$E32*'BG '!D$13,AND($C32="Motorcycle",$D32=2),$E32*'BG '!D$14,AND($C32="Electric car",$D32=1),$E32*'BG '!D$16,AND($C32="Electric car",$D32=2),$E32*'BG '!D$17,AND($C32="Electric car",$D32=3),$E32*'BG '!D$18,AND($C32="Electric car",$D32=4),$E32*'BG '!D$19,AND($C32="Electric car",$D32=5),$E32*'BG '!D$20,AND($C32="Hybrid car",$D32=1),$E32*'BG '!D$22,AND($C32="Hybrid car",$D32=2),$E32*'BG '!D$23,AND($C32="Hybrid car",$D32=3),$E32*'BG '!D$24,AND($C32="Hybrid car",$D32=4),$E32*'BG '!D$25,AND($C32="Hybrid car",$D32=5),$E32*'BG '!D$26,AND($C32="Electric motorcycle",$D32=1),$E32*'BG '!D$28,AND($C32="Electric motorcycle",$D32=2),$E32*'BG '!D$29,AND($C32="Electric bike",$D32=1),$E32*'BG '!D$31,AND($C32="Electric scooter",$D32=1),$E32*'BG '!D$33,AND($C32="Bus",$D32="Almost empty"),$E32*'BG '!I$23,AND($C32="Bus",$D32="Average"),$E32*'BG '!I$24,AND($C32="Bus",$D32="Nearly full"),$E32*'BG '!I$25,AND($C32="Electric bus",$D32="Almost empty"),$E32*'BG '!I$7,AND($C32="Electric bus",$D32="Average"),$E32*'BG '!I$8,AND($C32="Electric bus",$D32="Nearly full"),$E32*'BG '!I$9,AND($C32="Diesel bus",$D32="Almost empty"),$E32*'BG '!I$19,AND($C32="Diesel bus",$D32="Average"),$E32*'BG '!I$20,AND($C32="Diesel bus",$D32="Nearly full"),$E32*'BG '!I$21,AND($C32="Hybrid-electric bus",$D32="Almost empty"),$E32*'BG '!I$11,AND($C32="Hybrid-electric bus",$D32="Average"),$E32*'BG '!I$12,AND($C32="Hybrid-electric bus",$D32="Nearly full"),$E32*'BG '!I$13,AND($C32="Alternative fuel bus",$D32="Almost empty"),$E32*'BG '!I$15,AND($C32="Alternative fuel bus",$D32="Average"),$E32*'BG '!I$16,AND($C32="Alternative fuel bus",$D32="Nearly full"),$E32*'BG '!I$17,AND($C32="Metro, tram, urban light train",$D32="Almost empty"),$E32*'BG '!D$35,AND($C32="Metro, tram, urban light train",$D32="Average"),$E32*'BG '!D$36,AND($C32="Metro, tram, urban light train",$D32="Nearly full"),$E32*'BG '!D$37,AND($C32="Electric passenger train",$D32="Almost empty"),$E32*'BG '!D$39,AND($C32="Electric passenger train",$D32="Average"),$E32*'BG '!D$40,AND($C32="Electric passenger train",$D32="Nearly full"),$E32*'BG '!D$41,AND($C32="Diesel passenger train",$D32="Almost empty"),$E32*'BG '!D$47,AND($C32="Diesel passenger train",$D32="Average"),$E32*'BG '!D$48,AND($C32="Diesel passenger train",$D32="Nearly full"),$E32*'BG '!D$49,AND($C32="Walking"),$E32*0,AND($C32="Bike"),$E32*0,AND($C32="Plane - domestic flight"),$E32*'BG '!$C56,AND($C32="Plane - international - intra EU"),$E32*'BG '!$C58,AND($C32="Plane - international (extra EU)"),$E32*'BG '!$C60)</f>
        <v>#N/A</v>
      </c>
      <c r="H32" s="145"/>
      <c r="I32" s="148">
        <f t="shared" si="6"/>
        <v>0</v>
      </c>
      <c r="J32" s="146" t="e" cm="1">
        <f t="array" ref="J32">_xlfn.IFS(Bulgaria!C32="Fuel car",Bulgaria!I32*DATA!$C$17,C32="Electric car",Bulgaria!I32*DATA!$F$5,Bulgaria!C32="Hybrid car",Bulgaria!I32*(0.5*DATA!$C$17+0.5*DATA!$F$5))</f>
        <v>#N/A</v>
      </c>
      <c r="L32" s="218"/>
      <c r="M32" s="219"/>
      <c r="N32" s="220"/>
    </row>
    <row r="33" spans="1:14" ht="14.5" customHeight="1" x14ac:dyDescent="0.2">
      <c r="A33" s="222"/>
      <c r="B33" s="30"/>
      <c r="C33" s="15"/>
      <c r="D33" s="15"/>
      <c r="E33" s="15"/>
      <c r="F33" s="123" t="e" cm="1">
        <f t="array" ref="F33">_xlfn.IFS(AND($C33="Fuel car",$D33=1),$E33*'BG '!C$7,AND($C33="Fuel car",$D33=2),$E33*'BG '!C$8,AND($C33="Fuel car",$D33=3),$E33*'BG '!C$9,AND($C33="Fuel car",$D33=4),$E33*'BG '!C$10,AND($C33="Fuel car",$D33=5),$E33*'BG '!C$11,AND($C33="Motorcycle",$D33=1),$E33*'BG '!C$13,AND($C33="Motorcycle",$D33=2),$E33*'BG '!C$14,AND($C33="Electric car",$D33=1),$E33*'BG '!C$16,AND($C33="Electric car",$D33=2),$E33*'BG '!C$17,AND($C33="Electric car",$D33=3),$E33*'BG '!C$18,AND($C33="Electric car",$D33=4),$E33*'BG '!C$19,AND($C33="Electric car",$D33=5),$E33*'BG '!C$20,AND($C33="Hybrid car",$D33=1),$E33*'BG '!C$22,AND($C33="Hybrid car",$D33=2),$E33*'BG '!C$23,AND($C33="Hybrid car",$D33=3),$E33*'BG '!C$24,AND($C33="Hybrid car",$D33=4),$E33*'BG '!C$25,AND($C33="Hybrid car",$D33=5),$E33*'BG '!C$26,AND($C33="Electric motorcycle",$D33=1),$E33*'BG '!C$28,AND($C33="Electric motorcycle",$D33=2),$E33*'BG '!C$29,AND($C33="Electric bike",$D33=1),$E33*'BG '!C$31,AND($C33="Electric scooter",$D33=1),$E33*'BG '!C$33,AND($C33="Bus",$D33="Almost empty"),$E33*'BG '!H$23,AND($C33="Bus",$D33="Average"),$E33*'BG '!H$24,AND($C33="Bus",$D33="Nearly full"),$E33*'BG '!H$25,AND($C33="Electric bus",$D33="Almost empty"),$E33*'BG '!H$7,AND($C33="Electric bus",$D33="Average"),$E33*'BG '!H$8,AND($C33="Electric bus",$D33="Nearly full"),$E33*'BG '!H$9,AND($C33="Diesel bus",$D33="Almost empty"),$E33*'BG '!H$19,AND($C33="Diesel bus",$D33="Average"),$E33*'BG '!H$20,AND($C33="Diesel bus",$D33="Nearly full"),$E33*'BG '!H$21,AND($C33="Hybrid-electric bus",$D33="Almost empty"),$E33*'BG '!H$11,AND($C33="Hybrid-electric bus",$D33="Average"),$E33*'BG '!H$12,AND($C33="Hybrid-electric bus",$D33="Nearly full"),$E33*'BG '!H$13,AND($C33="Alternative fuel bus",$D33="Almost empty"),$E33*'BG '!H$15,AND($C33="Alternative fuel bus",$D33="Average"),$E33*'BG '!H$16,AND($C33="Alternative fuel bus",$D33="Nearly full"),$E33*'BG '!H$17,AND($C33="Metro, tram, urban light train",$D33="Almost empty"),$E33*'BG '!C$35,AND($C33="Metro, tram, urban light train",$D33="Average"),$E33*'BG '!C$36,AND($C33="Metro, tram, urban light train",$D33="Nearly full"),$E33*'BG '!C$37,AND($C33="Electric passenger train",$D33="Almost empty"),$E33*'BG '!C$39,AND($C33="Electric passenger train",$D33="Average"),$E33*'BG '!C$40,AND($C33="Electric passenger train",$D33="Nearly full"),$E33*'BG '!C$41,AND($C33="Diesel passenger train",$D33="Almost empty"),$E33*'BG '!C$47,AND($C33="Diesel passenger train",$D33="Average"),$E33*'BG '!C$48,AND($C33="Diesel passenger train",$D33="Nearly full"),$E33*'BG '!C$49,AND($C33="Walking"),$E33*0,AND($C33="Bike"),$E33*0,AND($C33="Plane - domestic flight"),$E33*'BG '!$C57,AND($C33="Plane - international - intra EU"),$E33*'BG '!$C59,AND($C33="Plane - international (extra EU)"),$E33*'BG '!$C61)</f>
        <v>#N/A</v>
      </c>
      <c r="G33" s="31" t="e" cm="1">
        <f t="array" ref="G33">_xlfn.IFS(AND($C33="Fuel car",$D33=1),$E33*'BG '!D$7,AND($C33="Fuel car",$D33=2),$E33*'BG '!D$8,AND($C33="Fuel car",$D33=3),$E33*'BG '!D$9,AND($C33="Fuel car",$D33=4),$E33*'BG '!D$10,AND($C33="Fuel car",$D33=5),$E33*'BG '!D$11,AND($C33="Motorcycle",$D33=1),$E33*'BG '!D$13,AND($C33="Motorcycle",$D33=2),$E33*'BG '!D$14,AND($C33="Electric car",$D33=1),$E33*'BG '!D$16,AND($C33="Electric car",$D33=2),$E33*'BG '!D$17,AND($C33="Electric car",$D33=3),$E33*'BG '!D$18,AND($C33="Electric car",$D33=4),$E33*'BG '!D$19,AND($C33="Electric car",$D33=5),$E33*'BG '!D$20,AND($C33="Hybrid car",$D33=1),$E33*'BG '!D$22,AND($C33="Hybrid car",$D33=2),$E33*'BG '!D$23,AND($C33="Hybrid car",$D33=3),$E33*'BG '!D$24,AND($C33="Hybrid car",$D33=4),$E33*'BG '!D$25,AND($C33="Hybrid car",$D33=5),$E33*'BG '!D$26,AND($C33="Electric motorcycle",$D33=1),$E33*'BG '!D$28,AND($C33="Electric motorcycle",$D33=2),$E33*'BG '!D$29,AND($C33="Electric bike",$D33=1),$E33*'BG '!D$31,AND($C33="Electric scooter",$D33=1),$E33*'BG '!D$33,AND($C33="Bus",$D33="Almost empty"),$E33*'BG '!I$23,AND($C33="Bus",$D33="Average"),$E33*'BG '!I$24,AND($C33="Bus",$D33="Nearly full"),$E33*'BG '!I$25,AND($C33="Electric bus",$D33="Almost empty"),$E33*'BG '!I$7,AND($C33="Electric bus",$D33="Average"),$E33*'BG '!I$8,AND($C33="Electric bus",$D33="Nearly full"),$E33*'BG '!I$9,AND($C33="Diesel bus",$D33="Almost empty"),$E33*'BG '!I$19,AND($C33="Diesel bus",$D33="Average"),$E33*'BG '!I$20,AND($C33="Diesel bus",$D33="Nearly full"),$E33*'BG '!I$21,AND($C33="Hybrid-electric bus",$D33="Almost empty"),$E33*'BG '!I$11,AND($C33="Hybrid-electric bus",$D33="Average"),$E33*'BG '!I$12,AND($C33="Hybrid-electric bus",$D33="Nearly full"),$E33*'BG '!I$13,AND($C33="Alternative fuel bus",$D33="Almost empty"),$E33*'BG '!I$15,AND($C33="Alternative fuel bus",$D33="Average"),$E33*'BG '!I$16,AND($C33="Alternative fuel bus",$D33="Nearly full"),$E33*'BG '!I$17,AND($C33="Metro, tram, urban light train",$D33="Almost empty"),$E33*'BG '!D$35,AND($C33="Metro, tram, urban light train",$D33="Average"),$E33*'BG '!D$36,AND($C33="Metro, tram, urban light train",$D33="Nearly full"),$E33*'BG '!D$37,AND($C33="Electric passenger train",$D33="Almost empty"),$E33*'BG '!D$39,AND($C33="Electric passenger train",$D33="Average"),$E33*'BG '!D$40,AND($C33="Electric passenger train",$D33="Nearly full"),$E33*'BG '!D$41,AND($C33="Diesel passenger train",$D33="Almost empty"),$E33*'BG '!D$47,AND($C33="Diesel passenger train",$D33="Average"),$E33*'BG '!D$48,AND($C33="Diesel passenger train",$D33="Nearly full"),$E33*'BG '!D$49,AND($C33="Walking"),$E33*0,AND($C33="Bike"),$E33*0,AND($C33="Plane - domestic flight"),$E33*'BG '!$C57,AND($C33="Plane - international - intra EU"),$E33*'BG '!$C59,AND($C33="Plane - international (extra EU)"),$E33*'BG '!$C61)</f>
        <v>#N/A</v>
      </c>
      <c r="H33" s="145"/>
      <c r="I33" s="148">
        <f t="shared" si="6"/>
        <v>0</v>
      </c>
      <c r="J33" s="146" t="e" cm="1">
        <f t="array" ref="J33">_xlfn.IFS(Bulgaria!C33="Fuel car",Bulgaria!I33*DATA!$C$17,C33="Electric car",Bulgaria!I33*DATA!$F$5,Bulgaria!C33="Hybrid car",Bulgaria!I33*(0.5*DATA!$C$17+0.5*DATA!$F$5))</f>
        <v>#N/A</v>
      </c>
      <c r="L33" s="223" t="s">
        <v>78</v>
      </c>
      <c r="M33" s="224"/>
      <c r="N33" s="225"/>
    </row>
    <row r="34" spans="1:14" x14ac:dyDescent="0.2">
      <c r="A34" s="222"/>
      <c r="B34" s="30"/>
      <c r="C34" s="15"/>
      <c r="D34" s="15"/>
      <c r="E34" s="15"/>
      <c r="F34" s="123" t="e" cm="1">
        <f t="array" ref="F34">_xlfn.IFS(AND($C34="Fuel car",$D34=1),$E34*'BG '!C$7,AND($C34="Fuel car",$D34=2),$E34*'BG '!C$8,AND($C34="Fuel car",$D34=3),$E34*'BG '!C$9,AND($C34="Fuel car",$D34=4),$E34*'BG '!C$10,AND($C34="Fuel car",$D34=5),$E34*'BG '!C$11,AND($C34="Motorcycle",$D34=1),$E34*'BG '!C$13,AND($C34="Motorcycle",$D34=2),$E34*'BG '!C$14,AND($C34="Electric car",$D34=1),$E34*'BG '!C$16,AND($C34="Electric car",$D34=2),$E34*'BG '!C$17,AND($C34="Electric car",$D34=3),$E34*'BG '!C$18,AND($C34="Electric car",$D34=4),$E34*'BG '!C$19,AND($C34="Electric car",$D34=5),$E34*'BG '!C$20,AND($C34="Hybrid car",$D34=1),$E34*'BG '!C$22,AND($C34="Hybrid car",$D34=2),$E34*'BG '!C$23,AND($C34="Hybrid car",$D34=3),$E34*'BG '!C$24,AND($C34="Hybrid car",$D34=4),$E34*'BG '!C$25,AND($C34="Hybrid car",$D34=5),$E34*'BG '!C$26,AND($C34="Electric motorcycle",$D34=1),$E34*'BG '!C$28,AND($C34="Electric motorcycle",$D34=2),$E34*'BG '!C$29,AND($C34="Electric bike",$D34=1),$E34*'BG '!C$31,AND($C34="Electric scooter",$D34=1),$E34*'BG '!C$33,AND($C34="Bus",$D34="Almost empty"),$E34*'BG '!H$23,AND($C34="Bus",$D34="Average"),$E34*'BG '!H$24,AND($C34="Bus",$D34="Nearly full"),$E34*'BG '!H$25,AND($C34="Electric bus",$D34="Almost empty"),$E34*'BG '!H$7,AND($C34="Electric bus",$D34="Average"),$E34*'BG '!H$8,AND($C34="Electric bus",$D34="Nearly full"),$E34*'BG '!H$9,AND($C34="Diesel bus",$D34="Almost empty"),$E34*'BG '!H$19,AND($C34="Diesel bus",$D34="Average"),$E34*'BG '!H$20,AND($C34="Diesel bus",$D34="Nearly full"),$E34*'BG '!H$21,AND($C34="Hybrid-electric bus",$D34="Almost empty"),$E34*'BG '!H$11,AND($C34="Hybrid-electric bus",$D34="Average"),$E34*'BG '!H$12,AND($C34="Hybrid-electric bus",$D34="Nearly full"),$E34*'BG '!H$13,AND($C34="Alternative fuel bus",$D34="Almost empty"),$E34*'BG '!H$15,AND($C34="Alternative fuel bus",$D34="Average"),$E34*'BG '!H$16,AND($C34="Alternative fuel bus",$D34="Nearly full"),$E34*'BG '!H$17,AND($C34="Metro, tram, urban light train",$D34="Almost empty"),$E34*'BG '!C$35,AND($C34="Metro, tram, urban light train",$D34="Average"),$E34*'BG '!C$36,AND($C34="Metro, tram, urban light train",$D34="Nearly full"),$E34*'BG '!C$37,AND($C34="Electric passenger train",$D34="Almost empty"),$E34*'BG '!C$39,AND($C34="Electric passenger train",$D34="Average"),$E34*'BG '!C$40,AND($C34="Electric passenger train",$D34="Nearly full"),$E34*'BG '!C$41,AND($C34="Diesel passenger train",$D34="Almost empty"),$E34*'BG '!C$47,AND($C34="Diesel passenger train",$D34="Average"),$E34*'BG '!C$48,AND($C34="Diesel passenger train",$D34="Nearly full"),$E34*'BG '!C$49,AND($C34="Walking"),$E34*0,AND($C34="Bike"),$E34*0,AND($C34="Plane - domestic flight"),$E34*'BG '!$C58,AND($C34="Plane - international - intra EU"),$E34*'BG '!$C60,AND($C34="Plane - international (extra EU)"),$E34*'BG '!$C62)</f>
        <v>#N/A</v>
      </c>
      <c r="G34" s="31" t="e" cm="1">
        <f t="array" ref="G34">_xlfn.IFS(AND($C34="Fuel car",$D34=1),$E34*'BG '!D$7,AND($C34="Fuel car",$D34=2),$E34*'BG '!D$8,AND($C34="Fuel car",$D34=3),$E34*'BG '!D$9,AND($C34="Fuel car",$D34=4),$E34*'BG '!D$10,AND($C34="Fuel car",$D34=5),$E34*'BG '!D$11,AND($C34="Motorcycle",$D34=1),$E34*'BG '!D$13,AND($C34="Motorcycle",$D34=2),$E34*'BG '!D$14,AND($C34="Electric car",$D34=1),$E34*'BG '!D$16,AND($C34="Electric car",$D34=2),$E34*'BG '!D$17,AND($C34="Electric car",$D34=3),$E34*'BG '!D$18,AND($C34="Electric car",$D34=4),$E34*'BG '!D$19,AND($C34="Electric car",$D34=5),$E34*'BG '!D$20,AND($C34="Hybrid car",$D34=1),$E34*'BG '!D$22,AND($C34="Hybrid car",$D34=2),$E34*'BG '!D$23,AND($C34="Hybrid car",$D34=3),$E34*'BG '!D$24,AND($C34="Hybrid car",$D34=4),$E34*'BG '!D$25,AND($C34="Hybrid car",$D34=5),$E34*'BG '!D$26,AND($C34="Electric motorcycle",$D34=1),$E34*'BG '!D$28,AND($C34="Electric motorcycle",$D34=2),$E34*'BG '!D$29,AND($C34="Electric bike",$D34=1),$E34*'BG '!D$31,AND($C34="Electric scooter",$D34=1),$E34*'BG '!D$33,AND($C34="Bus",$D34="Almost empty"),$E34*'BG '!I$23,AND($C34="Bus",$D34="Average"),$E34*'BG '!I$24,AND($C34="Bus",$D34="Nearly full"),$E34*'BG '!I$25,AND($C34="Electric bus",$D34="Almost empty"),$E34*'BG '!I$7,AND($C34="Electric bus",$D34="Average"),$E34*'BG '!I$8,AND($C34="Electric bus",$D34="Nearly full"),$E34*'BG '!I$9,AND($C34="Diesel bus",$D34="Almost empty"),$E34*'BG '!I$19,AND($C34="Diesel bus",$D34="Average"),$E34*'BG '!I$20,AND($C34="Diesel bus",$D34="Nearly full"),$E34*'BG '!I$21,AND($C34="Hybrid-electric bus",$D34="Almost empty"),$E34*'BG '!I$11,AND($C34="Hybrid-electric bus",$D34="Average"),$E34*'BG '!I$12,AND($C34="Hybrid-electric bus",$D34="Nearly full"),$E34*'BG '!I$13,AND($C34="Alternative fuel bus",$D34="Almost empty"),$E34*'BG '!I$15,AND($C34="Alternative fuel bus",$D34="Average"),$E34*'BG '!I$16,AND($C34="Alternative fuel bus",$D34="Nearly full"),$E34*'BG '!I$17,AND($C34="Metro, tram, urban light train",$D34="Almost empty"),$E34*'BG '!D$35,AND($C34="Metro, tram, urban light train",$D34="Average"),$E34*'BG '!D$36,AND($C34="Metro, tram, urban light train",$D34="Nearly full"),$E34*'BG '!D$37,AND($C34="Electric passenger train",$D34="Almost empty"),$E34*'BG '!D$39,AND($C34="Electric passenger train",$D34="Average"),$E34*'BG '!D$40,AND($C34="Electric passenger train",$D34="Nearly full"),$E34*'BG '!D$41,AND($C34="Diesel passenger train",$D34="Almost empty"),$E34*'BG '!D$47,AND($C34="Diesel passenger train",$D34="Average"),$E34*'BG '!D$48,AND($C34="Diesel passenger train",$D34="Nearly full"),$E34*'BG '!D$49,AND($C34="Walking"),$E34*0,AND($C34="Bike"),$E34*0,AND($C34="Plane - domestic flight"),$E34*'BG '!$C58,AND($C34="Plane - international - intra EU"),$E34*'BG '!$C60,AND($C34="Plane - international (extra EU)"),$E34*'BG '!$C62)</f>
        <v>#N/A</v>
      </c>
      <c r="H34" s="145"/>
      <c r="I34" s="148">
        <f t="shared" si="6"/>
        <v>0</v>
      </c>
      <c r="J34" s="146" t="e" cm="1">
        <f t="array" ref="J34">_xlfn.IFS(Bulgaria!C34="Fuel car",Bulgaria!I34*DATA!$C$17,C34="Electric car",Bulgaria!I34*DATA!$F$5,Bulgaria!C34="Hybrid car",Bulgaria!I34*(0.5*DATA!$C$17+0.5*DATA!$F$5))</f>
        <v>#N/A</v>
      </c>
      <c r="L34" s="223"/>
      <c r="M34" s="224"/>
      <c r="N34" s="225"/>
    </row>
    <row r="35" spans="1:14" ht="14.5" customHeight="1" x14ac:dyDescent="0.2">
      <c r="A35" s="222"/>
      <c r="B35" s="30"/>
      <c r="C35" s="15"/>
      <c r="D35" s="15"/>
      <c r="E35" s="15"/>
      <c r="F35" s="123" t="e" cm="1">
        <f t="array" ref="F35">_xlfn.IFS(AND($C35="Fuel car",$D35=1),$E35*'BG '!C$7,AND($C35="Fuel car",$D35=2),$E35*'BG '!C$8,AND($C35="Fuel car",$D35=3),$E35*'BG '!C$9,AND($C35="Fuel car",$D35=4),$E35*'BG '!C$10,AND($C35="Fuel car",$D35=5),$E35*'BG '!C$11,AND($C35="Motorcycle",$D35=1),$E35*'BG '!C$13,AND($C35="Motorcycle",$D35=2),$E35*'BG '!C$14,AND($C35="Electric car",$D35=1),$E35*'BG '!C$16,AND($C35="Electric car",$D35=2),$E35*'BG '!C$17,AND($C35="Electric car",$D35=3),$E35*'BG '!C$18,AND($C35="Electric car",$D35=4),$E35*'BG '!C$19,AND($C35="Electric car",$D35=5),$E35*'BG '!C$20,AND($C35="Hybrid car",$D35=1),$E35*'BG '!C$22,AND($C35="Hybrid car",$D35=2),$E35*'BG '!C$23,AND($C35="Hybrid car",$D35=3),$E35*'BG '!C$24,AND($C35="Hybrid car",$D35=4),$E35*'BG '!C$25,AND($C35="Hybrid car",$D35=5),$E35*'BG '!C$26,AND($C35="Electric motorcycle",$D35=1),$E35*'BG '!C$28,AND($C35="Electric motorcycle",$D35=2),$E35*'BG '!C$29,AND($C35="Electric bike",$D35=1),$E35*'BG '!C$31,AND($C35="Electric scooter",$D35=1),$E35*'BG '!C$33,AND($C35="Bus",$D35="Almost empty"),$E35*'BG '!H$23,AND($C35="Bus",$D35="Average"),$E35*'BG '!H$24,AND($C35="Bus",$D35="Nearly full"),$E35*'BG '!H$25,AND($C35="Electric bus",$D35="Almost empty"),$E35*'BG '!H$7,AND($C35="Electric bus",$D35="Average"),$E35*'BG '!H$8,AND($C35="Electric bus",$D35="Nearly full"),$E35*'BG '!H$9,AND($C35="Diesel bus",$D35="Almost empty"),$E35*'BG '!H$19,AND($C35="Diesel bus",$D35="Average"),$E35*'BG '!H$20,AND($C35="Diesel bus",$D35="Nearly full"),$E35*'BG '!H$21,AND($C35="Hybrid-electric bus",$D35="Almost empty"),$E35*'BG '!H$11,AND($C35="Hybrid-electric bus",$D35="Average"),$E35*'BG '!H$12,AND($C35="Hybrid-electric bus",$D35="Nearly full"),$E35*'BG '!H$13,AND($C35="Alternative fuel bus",$D35="Almost empty"),$E35*'BG '!H$15,AND($C35="Alternative fuel bus",$D35="Average"),$E35*'BG '!H$16,AND($C35="Alternative fuel bus",$D35="Nearly full"),$E35*'BG '!H$17,AND($C35="Metro, tram, urban light train",$D35="Almost empty"),$E35*'BG '!C$35,AND($C35="Metro, tram, urban light train",$D35="Average"),$E35*'BG '!C$36,AND($C35="Metro, tram, urban light train",$D35="Nearly full"),$E35*'BG '!C$37,AND($C35="Electric passenger train",$D35="Almost empty"),$E35*'BG '!C$39,AND($C35="Electric passenger train",$D35="Average"),$E35*'BG '!C$40,AND($C35="Electric passenger train",$D35="Nearly full"),$E35*'BG '!C$41,AND($C35="Diesel passenger train",$D35="Almost empty"),$E35*'BG '!C$47,AND($C35="Diesel passenger train",$D35="Average"),$E35*'BG '!C$48,AND($C35="Diesel passenger train",$D35="Nearly full"),$E35*'BG '!C$49,AND($C35="Walking"),$E35*0,AND($C35="Bike"),$E35*0,AND($C35="Plane - domestic flight"),$E35*'BG '!$C59,AND($C35="Plane - international - intra EU"),$E35*'BG '!$C61,AND($C35="Plane - international (extra EU)"),$E35*'BG '!$C63)</f>
        <v>#N/A</v>
      </c>
      <c r="G35" s="31" t="e" cm="1">
        <f t="array" ref="G35">_xlfn.IFS(AND($C35="Fuel car",$D35=1),$E35*'BG '!D$7,AND($C35="Fuel car",$D35=2),$E35*'BG '!D$8,AND($C35="Fuel car",$D35=3),$E35*'BG '!D$9,AND($C35="Fuel car",$D35=4),$E35*'BG '!D$10,AND($C35="Fuel car",$D35=5),$E35*'BG '!D$11,AND($C35="Motorcycle",$D35=1),$E35*'BG '!D$13,AND($C35="Motorcycle",$D35=2),$E35*'BG '!D$14,AND($C35="Electric car",$D35=1),$E35*'BG '!D$16,AND($C35="Electric car",$D35=2),$E35*'BG '!D$17,AND($C35="Electric car",$D35=3),$E35*'BG '!D$18,AND($C35="Electric car",$D35=4),$E35*'BG '!D$19,AND($C35="Electric car",$D35=5),$E35*'BG '!D$20,AND($C35="Hybrid car",$D35=1),$E35*'BG '!D$22,AND($C35="Hybrid car",$D35=2),$E35*'BG '!D$23,AND($C35="Hybrid car",$D35=3),$E35*'BG '!D$24,AND($C35="Hybrid car",$D35=4),$E35*'BG '!D$25,AND($C35="Hybrid car",$D35=5),$E35*'BG '!D$26,AND($C35="Electric motorcycle",$D35=1),$E35*'BG '!D$28,AND($C35="Electric motorcycle",$D35=2),$E35*'BG '!D$29,AND($C35="Electric bike",$D35=1),$E35*'BG '!D$31,AND($C35="Electric scooter",$D35=1),$E35*'BG '!D$33,AND($C35="Bus",$D35="Almost empty"),$E35*'BG '!I$23,AND($C35="Bus",$D35="Average"),$E35*'BG '!I$24,AND($C35="Bus",$D35="Nearly full"),$E35*'BG '!I$25,AND($C35="Electric bus",$D35="Almost empty"),$E35*'BG '!I$7,AND($C35="Electric bus",$D35="Average"),$E35*'BG '!I$8,AND($C35="Electric bus",$D35="Nearly full"),$E35*'BG '!I$9,AND($C35="Diesel bus",$D35="Almost empty"),$E35*'BG '!I$19,AND($C35="Diesel bus",$D35="Average"),$E35*'BG '!I$20,AND($C35="Diesel bus",$D35="Nearly full"),$E35*'BG '!I$21,AND($C35="Hybrid-electric bus",$D35="Almost empty"),$E35*'BG '!I$11,AND($C35="Hybrid-electric bus",$D35="Average"),$E35*'BG '!I$12,AND($C35="Hybrid-electric bus",$D35="Nearly full"),$E35*'BG '!I$13,AND($C35="Alternative fuel bus",$D35="Almost empty"),$E35*'BG '!I$15,AND($C35="Alternative fuel bus",$D35="Average"),$E35*'BG '!I$16,AND($C35="Alternative fuel bus",$D35="Nearly full"),$E35*'BG '!I$17,AND($C35="Metro, tram, urban light train",$D35="Almost empty"),$E35*'BG '!D$35,AND($C35="Metro, tram, urban light train",$D35="Average"),$E35*'BG '!D$36,AND($C35="Metro, tram, urban light train",$D35="Nearly full"),$E35*'BG '!D$37,AND($C35="Electric passenger train",$D35="Almost empty"),$E35*'BG '!D$39,AND($C35="Electric passenger train",$D35="Average"),$E35*'BG '!D$40,AND($C35="Electric passenger train",$D35="Nearly full"),$E35*'BG '!D$41,AND($C35="Diesel passenger train",$D35="Almost empty"),$E35*'BG '!D$47,AND($C35="Diesel passenger train",$D35="Average"),$E35*'BG '!D$48,AND($C35="Diesel passenger train",$D35="Nearly full"),$E35*'BG '!D$49,AND($C35="Walking"),$E35*0,AND($C35="Bike"),$E35*0,AND($C35="Plane - domestic flight"),$E35*'BG '!$C59,AND($C35="Plane - international - intra EU"),$E35*'BG '!$C61,AND($C35="Plane - international (extra EU)"),$E35*'BG '!$C63)</f>
        <v>#N/A</v>
      </c>
      <c r="H35" s="145"/>
      <c r="I35" s="148">
        <f t="shared" si="6"/>
        <v>0</v>
      </c>
      <c r="J35" s="146" t="e" cm="1">
        <f t="array" ref="J35">_xlfn.IFS(Bulgaria!C35="Fuel car",Bulgaria!I35*DATA!$C$17,C35="Electric car",Bulgaria!I35*DATA!$F$5,Bulgaria!C35="Hybrid car",Bulgaria!I35*(0.5*DATA!$C$17+0.5*DATA!$F$5))</f>
        <v>#N/A</v>
      </c>
      <c r="L35" s="223"/>
      <c r="M35" s="224"/>
      <c r="N35" s="225"/>
    </row>
    <row r="36" spans="1:14" ht="16" thickBot="1" x14ac:dyDescent="0.25">
      <c r="A36" s="222"/>
      <c r="B36" s="30"/>
      <c r="C36" s="15"/>
      <c r="D36" s="15"/>
      <c r="E36" s="15"/>
      <c r="F36" s="123" t="e" cm="1">
        <f t="array" ref="F36">_xlfn.IFS(AND($C36="Fuel car",$D36=1),$E36*'BG '!C$7,AND($C36="Fuel car",$D36=2),$E36*'BG '!C$8,AND($C36="Fuel car",$D36=3),$E36*'BG '!C$9,AND($C36="Fuel car",$D36=4),$E36*'BG '!C$10,AND($C36="Fuel car",$D36=5),$E36*'BG '!C$11,AND($C36="Motorcycle",$D36=1),$E36*'BG '!C$13,AND($C36="Motorcycle",$D36=2),$E36*'BG '!C$14,AND($C36="Electric car",$D36=1),$E36*'BG '!C$16,AND($C36="Electric car",$D36=2),$E36*'BG '!C$17,AND($C36="Electric car",$D36=3),$E36*'BG '!C$18,AND($C36="Electric car",$D36=4),$E36*'BG '!C$19,AND($C36="Electric car",$D36=5),$E36*'BG '!C$20,AND($C36="Hybrid car",$D36=1),$E36*'BG '!C$22,AND($C36="Hybrid car",$D36=2),$E36*'BG '!C$23,AND($C36="Hybrid car",$D36=3),$E36*'BG '!C$24,AND($C36="Hybrid car",$D36=4),$E36*'BG '!C$25,AND($C36="Hybrid car",$D36=5),$E36*'BG '!C$26,AND($C36="Electric motorcycle",$D36=1),$E36*'BG '!C$28,AND($C36="Electric motorcycle",$D36=2),$E36*'BG '!C$29,AND($C36="Electric bike",$D36=1),$E36*'BG '!C$31,AND($C36="Electric scooter",$D36=1),$E36*'BG '!C$33,AND($C36="Bus",$D36="Almost empty"),$E36*'BG '!H$23,AND($C36="Bus",$D36="Average"),$E36*'BG '!H$24,AND($C36="Bus",$D36="Nearly full"),$E36*'BG '!H$25,AND($C36="Electric bus",$D36="Almost empty"),$E36*'BG '!H$7,AND($C36="Electric bus",$D36="Average"),$E36*'BG '!H$8,AND($C36="Electric bus",$D36="Nearly full"),$E36*'BG '!H$9,AND($C36="Diesel bus",$D36="Almost empty"),$E36*'BG '!H$19,AND($C36="Diesel bus",$D36="Average"),$E36*'BG '!H$20,AND($C36="Diesel bus",$D36="Nearly full"),$E36*'BG '!H$21,AND($C36="Hybrid-electric bus",$D36="Almost empty"),$E36*'BG '!H$11,AND($C36="Hybrid-electric bus",$D36="Average"),$E36*'BG '!H$12,AND($C36="Hybrid-electric bus",$D36="Nearly full"),$E36*'BG '!H$13,AND($C36="Alternative fuel bus",$D36="Almost empty"),$E36*'BG '!H$15,AND($C36="Alternative fuel bus",$D36="Average"),$E36*'BG '!H$16,AND($C36="Alternative fuel bus",$D36="Nearly full"),$E36*'BG '!H$17,AND($C36="Metro, tram, urban light train",$D36="Almost empty"),$E36*'BG '!C$35,AND($C36="Metro, tram, urban light train",$D36="Average"),$E36*'BG '!C$36,AND($C36="Metro, tram, urban light train",$D36="Nearly full"),$E36*'BG '!C$37,AND($C36="Electric passenger train",$D36="Almost empty"),$E36*'BG '!C$39,AND($C36="Electric passenger train",$D36="Average"),$E36*'BG '!C$40,AND($C36="Electric passenger train",$D36="Nearly full"),$E36*'BG '!C$41,AND($C36="Diesel passenger train",$D36="Almost empty"),$E36*'BG '!C$47,AND($C36="Diesel passenger train",$D36="Average"),$E36*'BG '!C$48,AND($C36="Diesel passenger train",$D36="Nearly full"),$E36*'BG '!C$49,AND($C36="Walking"),$E36*0,AND($C36="Bike"),$E36*0,AND($C36="Plane - domestic flight"),$E36*'BG '!$C60,AND($C36="Plane - international - intra EU"),$E36*'BG '!$C62,AND($C36="Plane - international (extra EU)"),$E36*'BG '!$C64)</f>
        <v>#N/A</v>
      </c>
      <c r="G36" s="31" t="e" cm="1">
        <f t="array" ref="G36">_xlfn.IFS(AND($C36="Fuel car",$D36=1),$E36*'BG '!D$7,AND($C36="Fuel car",$D36=2),$E36*'BG '!D$8,AND($C36="Fuel car",$D36=3),$E36*'BG '!D$9,AND($C36="Fuel car",$D36=4),$E36*'BG '!D$10,AND($C36="Fuel car",$D36=5),$E36*'BG '!D$11,AND($C36="Motorcycle",$D36=1),$E36*'BG '!D$13,AND($C36="Motorcycle",$D36=2),$E36*'BG '!D$14,AND($C36="Electric car",$D36=1),$E36*'BG '!D$16,AND($C36="Electric car",$D36=2),$E36*'BG '!D$17,AND($C36="Electric car",$D36=3),$E36*'BG '!D$18,AND($C36="Electric car",$D36=4),$E36*'BG '!D$19,AND($C36="Electric car",$D36=5),$E36*'BG '!D$20,AND($C36="Hybrid car",$D36=1),$E36*'BG '!D$22,AND($C36="Hybrid car",$D36=2),$E36*'BG '!D$23,AND($C36="Hybrid car",$D36=3),$E36*'BG '!D$24,AND($C36="Hybrid car",$D36=4),$E36*'BG '!D$25,AND($C36="Hybrid car",$D36=5),$E36*'BG '!D$26,AND($C36="Electric motorcycle",$D36=1),$E36*'BG '!D$28,AND($C36="Electric motorcycle",$D36=2),$E36*'BG '!D$29,AND($C36="Electric bike",$D36=1),$E36*'BG '!D$31,AND($C36="Electric scooter",$D36=1),$E36*'BG '!D$33,AND($C36="Bus",$D36="Almost empty"),$E36*'BG '!I$23,AND($C36="Bus",$D36="Average"),$E36*'BG '!I$24,AND($C36="Bus",$D36="Nearly full"),$E36*'BG '!I$25,AND($C36="Electric bus",$D36="Almost empty"),$E36*'BG '!I$7,AND($C36="Electric bus",$D36="Average"),$E36*'BG '!I$8,AND($C36="Electric bus",$D36="Nearly full"),$E36*'BG '!I$9,AND($C36="Diesel bus",$D36="Almost empty"),$E36*'BG '!I$19,AND($C36="Diesel bus",$D36="Average"),$E36*'BG '!I$20,AND($C36="Diesel bus",$D36="Nearly full"),$E36*'BG '!I$21,AND($C36="Hybrid-electric bus",$D36="Almost empty"),$E36*'BG '!I$11,AND($C36="Hybrid-electric bus",$D36="Average"),$E36*'BG '!I$12,AND($C36="Hybrid-electric bus",$D36="Nearly full"),$E36*'BG '!I$13,AND($C36="Alternative fuel bus",$D36="Almost empty"),$E36*'BG '!I$15,AND($C36="Alternative fuel bus",$D36="Average"),$E36*'BG '!I$16,AND($C36="Alternative fuel bus",$D36="Nearly full"),$E36*'BG '!I$17,AND($C36="Metro, tram, urban light train",$D36="Almost empty"),$E36*'BG '!D$35,AND($C36="Metro, tram, urban light train",$D36="Average"),$E36*'BG '!D$36,AND($C36="Metro, tram, urban light train",$D36="Nearly full"),$E36*'BG '!D$37,AND($C36="Electric passenger train",$D36="Almost empty"),$E36*'BG '!D$39,AND($C36="Electric passenger train",$D36="Average"),$E36*'BG '!D$40,AND($C36="Electric passenger train",$D36="Nearly full"),$E36*'BG '!D$41,AND($C36="Diesel passenger train",$D36="Almost empty"),$E36*'BG '!D$47,AND($C36="Diesel passenger train",$D36="Average"),$E36*'BG '!D$48,AND($C36="Diesel passenger train",$D36="Nearly full"),$E36*'BG '!D$49,AND($C36="Walking"),$E36*0,AND($C36="Bike"),$E36*0,AND($C36="Plane - domestic flight"),$E36*'BG '!$C60,AND($C36="Plane - international - intra EU"),$E36*'BG '!$C62,AND($C36="Plane - international (extra EU)"),$E36*'BG '!$C64)</f>
        <v>#N/A</v>
      </c>
      <c r="H36" s="145"/>
      <c r="I36" s="148">
        <f t="shared" si="6"/>
        <v>0</v>
      </c>
      <c r="J36" s="146" t="e" cm="1">
        <f t="array" ref="J36">_xlfn.IFS(Bulgaria!C36="Fuel car",Bulgaria!I36*DATA!$C$17,C36="Electric car",Bulgaria!I36*DATA!$F$5,Bulgaria!C36="Hybrid car",Bulgaria!I36*(0.5*DATA!$C$17+0.5*DATA!$F$5))</f>
        <v>#N/A</v>
      </c>
      <c r="L36" s="218"/>
      <c r="M36" s="219"/>
      <c r="N36" s="220"/>
    </row>
    <row r="37" spans="1:14" ht="14.5" customHeight="1" x14ac:dyDescent="0.2">
      <c r="A37" s="222"/>
      <c r="B37" s="30"/>
      <c r="C37" s="15"/>
      <c r="D37" s="15"/>
      <c r="E37" s="15"/>
      <c r="F37" s="123" t="e" cm="1">
        <f t="array" ref="F37">_xlfn.IFS(AND($C37="Fuel car",$D37=1),$E37*'BG '!C$7,AND($C37="Fuel car",$D37=2),$E37*'BG '!C$8,AND($C37="Fuel car",$D37=3),$E37*'BG '!C$9,AND($C37="Fuel car",$D37=4),$E37*'BG '!C$10,AND($C37="Fuel car",$D37=5),$E37*'BG '!C$11,AND($C37="Motorcycle",$D37=1),$E37*'BG '!C$13,AND($C37="Motorcycle",$D37=2),$E37*'BG '!C$14,AND($C37="Electric car",$D37=1),$E37*'BG '!C$16,AND($C37="Electric car",$D37=2),$E37*'BG '!C$17,AND($C37="Electric car",$D37=3),$E37*'BG '!C$18,AND($C37="Electric car",$D37=4),$E37*'BG '!C$19,AND($C37="Electric car",$D37=5),$E37*'BG '!C$20,AND($C37="Hybrid car",$D37=1),$E37*'BG '!C$22,AND($C37="Hybrid car",$D37=2),$E37*'BG '!C$23,AND($C37="Hybrid car",$D37=3),$E37*'BG '!C$24,AND($C37="Hybrid car",$D37=4),$E37*'BG '!C$25,AND($C37="Hybrid car",$D37=5),$E37*'BG '!C$26,AND($C37="Electric motorcycle",$D37=1),$E37*'BG '!C$28,AND($C37="Electric motorcycle",$D37=2),$E37*'BG '!C$29,AND($C37="Electric bike",$D37=1),$E37*'BG '!C$31,AND($C37="Electric scooter",$D37=1),$E37*'BG '!C$33,AND($C37="Bus",$D37="Almost empty"),$E37*'BG '!H$23,AND($C37="Bus",$D37="Average"),$E37*'BG '!H$24,AND($C37="Bus",$D37="Nearly full"),$E37*'BG '!H$25,AND($C37="Electric bus",$D37="Almost empty"),$E37*'BG '!H$7,AND($C37="Electric bus",$D37="Average"),$E37*'BG '!H$8,AND($C37="Electric bus",$D37="Nearly full"),$E37*'BG '!H$9,AND($C37="Diesel bus",$D37="Almost empty"),$E37*'BG '!H$19,AND($C37="Diesel bus",$D37="Average"),$E37*'BG '!H$20,AND($C37="Diesel bus",$D37="Nearly full"),$E37*'BG '!H$21,AND($C37="Hybrid-electric bus",$D37="Almost empty"),$E37*'BG '!H$11,AND($C37="Hybrid-electric bus",$D37="Average"),$E37*'BG '!H$12,AND($C37="Hybrid-electric bus",$D37="Nearly full"),$E37*'BG '!H$13,AND($C37="Alternative fuel bus",$D37="Almost empty"),$E37*'BG '!H$15,AND($C37="Alternative fuel bus",$D37="Average"),$E37*'BG '!H$16,AND($C37="Alternative fuel bus",$D37="Nearly full"),$E37*'BG '!H$17,AND($C37="Metro, tram, urban light train",$D37="Almost empty"),$E37*'BG '!C$35,AND($C37="Metro, tram, urban light train",$D37="Average"),$E37*'BG '!C$36,AND($C37="Metro, tram, urban light train",$D37="Nearly full"),$E37*'BG '!C$37,AND($C37="Electric passenger train",$D37="Almost empty"),$E37*'BG '!C$39,AND($C37="Electric passenger train",$D37="Average"),$E37*'BG '!C$40,AND($C37="Electric passenger train",$D37="Nearly full"),$E37*'BG '!C$41,AND($C37="Diesel passenger train",$D37="Almost empty"),$E37*'BG '!C$47,AND($C37="Diesel passenger train",$D37="Average"),$E37*'BG '!C$48,AND($C37="Diesel passenger train",$D37="Nearly full"),$E37*'BG '!C$49,AND($C37="Walking"),$E37*0,AND($C37="Bike"),$E37*0,AND($C37="Plane - domestic flight"),$E37*'BG '!$C61,AND($C37="Plane - international - intra EU"),$E37*'BG '!$C63,AND($C37="Plane - international (extra EU)"),$E37*'BG '!$C65)</f>
        <v>#N/A</v>
      </c>
      <c r="G37" s="31" t="e" cm="1">
        <f t="array" ref="G37">_xlfn.IFS(AND($C37="Fuel car",$D37=1),$E37*'BG '!D$7,AND($C37="Fuel car",$D37=2),$E37*'BG '!D$8,AND($C37="Fuel car",$D37=3),$E37*'BG '!D$9,AND($C37="Fuel car",$D37=4),$E37*'BG '!D$10,AND($C37="Fuel car",$D37=5),$E37*'BG '!D$11,AND($C37="Motorcycle",$D37=1),$E37*'BG '!D$13,AND($C37="Motorcycle",$D37=2),$E37*'BG '!D$14,AND($C37="Electric car",$D37=1),$E37*'BG '!D$16,AND($C37="Electric car",$D37=2),$E37*'BG '!D$17,AND($C37="Electric car",$D37=3),$E37*'BG '!D$18,AND($C37="Electric car",$D37=4),$E37*'BG '!D$19,AND($C37="Electric car",$D37=5),$E37*'BG '!D$20,AND($C37="Hybrid car",$D37=1),$E37*'BG '!D$22,AND($C37="Hybrid car",$D37=2),$E37*'BG '!D$23,AND($C37="Hybrid car",$D37=3),$E37*'BG '!D$24,AND($C37="Hybrid car",$D37=4),$E37*'BG '!D$25,AND($C37="Hybrid car",$D37=5),$E37*'BG '!D$26,AND($C37="Electric motorcycle",$D37=1),$E37*'BG '!D$28,AND($C37="Electric motorcycle",$D37=2),$E37*'BG '!D$29,AND($C37="Electric bike",$D37=1),$E37*'BG '!D$31,AND($C37="Electric scooter",$D37=1),$E37*'BG '!D$33,AND($C37="Bus",$D37="Almost empty"),$E37*'BG '!I$23,AND($C37="Bus",$D37="Average"),$E37*'BG '!I$24,AND($C37="Bus",$D37="Nearly full"),$E37*'BG '!I$25,AND($C37="Electric bus",$D37="Almost empty"),$E37*'BG '!I$7,AND($C37="Electric bus",$D37="Average"),$E37*'BG '!I$8,AND($C37="Electric bus",$D37="Nearly full"),$E37*'BG '!I$9,AND($C37="Diesel bus",$D37="Almost empty"),$E37*'BG '!I$19,AND($C37="Diesel bus",$D37="Average"),$E37*'BG '!I$20,AND($C37="Diesel bus",$D37="Nearly full"),$E37*'BG '!I$21,AND($C37="Hybrid-electric bus",$D37="Almost empty"),$E37*'BG '!I$11,AND($C37="Hybrid-electric bus",$D37="Average"),$E37*'BG '!I$12,AND($C37="Hybrid-electric bus",$D37="Nearly full"),$E37*'BG '!I$13,AND($C37="Alternative fuel bus",$D37="Almost empty"),$E37*'BG '!I$15,AND($C37="Alternative fuel bus",$D37="Average"),$E37*'BG '!I$16,AND($C37="Alternative fuel bus",$D37="Nearly full"),$E37*'BG '!I$17,AND($C37="Metro, tram, urban light train",$D37="Almost empty"),$E37*'BG '!D$35,AND($C37="Metro, tram, urban light train",$D37="Average"),$E37*'BG '!D$36,AND($C37="Metro, tram, urban light train",$D37="Nearly full"),$E37*'BG '!D$37,AND($C37="Electric passenger train",$D37="Almost empty"),$E37*'BG '!D$39,AND($C37="Electric passenger train",$D37="Average"),$E37*'BG '!D$40,AND($C37="Electric passenger train",$D37="Nearly full"),$E37*'BG '!D$41,AND($C37="Diesel passenger train",$D37="Almost empty"),$E37*'BG '!D$47,AND($C37="Diesel passenger train",$D37="Average"),$E37*'BG '!D$48,AND($C37="Diesel passenger train",$D37="Nearly full"),$E37*'BG '!D$49,AND($C37="Walking"),$E37*0,AND($C37="Bike"),$E37*0,AND($C37="Plane - domestic flight"),$E37*'BG '!$C61,AND($C37="Plane - international - intra EU"),$E37*'BG '!$C63,AND($C37="Plane - international (extra EU)"),$E37*'BG '!$C65)</f>
        <v>#N/A</v>
      </c>
      <c r="H37" s="145"/>
      <c r="I37" s="148">
        <f t="shared" si="6"/>
        <v>0</v>
      </c>
      <c r="J37" s="146" t="e" cm="1">
        <f t="array" ref="J37">_xlfn.IFS(Bulgaria!C37="Fuel car",Bulgaria!I37*DATA!$C$17,C37="Electric car",Bulgaria!I37*DATA!$F$5,Bulgaria!C37="Hybrid car",Bulgaria!I37*(0.5*DATA!$C$17+0.5*DATA!$F$5))</f>
        <v>#N/A</v>
      </c>
      <c r="L37" s="215" t="s">
        <v>79</v>
      </c>
      <c r="M37" s="216"/>
      <c r="N37" s="217"/>
    </row>
    <row r="38" spans="1:14" ht="16" thickBot="1" x14ac:dyDescent="0.25">
      <c r="A38" s="222"/>
      <c r="B38" s="30"/>
      <c r="C38" s="15"/>
      <c r="D38" s="15"/>
      <c r="E38" s="15"/>
      <c r="F38" s="123" t="e" cm="1">
        <f t="array" ref="F38">_xlfn.IFS(AND($C38="Fuel car",$D38=1),$E38*'BG '!C$7,AND($C38="Fuel car",$D38=2),$E38*'BG '!C$8,AND($C38="Fuel car",$D38=3),$E38*'BG '!C$9,AND($C38="Fuel car",$D38=4),$E38*'BG '!C$10,AND($C38="Fuel car",$D38=5),$E38*'BG '!C$11,AND($C38="Motorcycle",$D38=1),$E38*'BG '!C$13,AND($C38="Motorcycle",$D38=2),$E38*'BG '!C$14,AND($C38="Electric car",$D38=1),$E38*'BG '!C$16,AND($C38="Electric car",$D38=2),$E38*'BG '!C$17,AND($C38="Electric car",$D38=3),$E38*'BG '!C$18,AND($C38="Electric car",$D38=4),$E38*'BG '!C$19,AND($C38="Electric car",$D38=5),$E38*'BG '!C$20,AND($C38="Hybrid car",$D38=1),$E38*'BG '!C$22,AND($C38="Hybrid car",$D38=2),$E38*'BG '!C$23,AND($C38="Hybrid car",$D38=3),$E38*'BG '!C$24,AND($C38="Hybrid car",$D38=4),$E38*'BG '!C$25,AND($C38="Hybrid car",$D38=5),$E38*'BG '!C$26,AND($C38="Electric motorcycle",$D38=1),$E38*'BG '!C$28,AND($C38="Electric motorcycle",$D38=2),$E38*'BG '!C$29,AND($C38="Electric bike",$D38=1),$E38*'BG '!C$31,AND($C38="Electric scooter",$D38=1),$E38*'BG '!C$33,AND($C38="Bus",$D38="Almost empty"),$E38*'BG '!H$23,AND($C38="Bus",$D38="Average"),$E38*'BG '!H$24,AND($C38="Bus",$D38="Nearly full"),$E38*'BG '!H$25,AND($C38="Electric bus",$D38="Almost empty"),$E38*'BG '!H$7,AND($C38="Electric bus",$D38="Average"),$E38*'BG '!H$8,AND($C38="Electric bus",$D38="Nearly full"),$E38*'BG '!H$9,AND($C38="Diesel bus",$D38="Almost empty"),$E38*'BG '!H$19,AND($C38="Diesel bus",$D38="Average"),$E38*'BG '!H$20,AND($C38="Diesel bus",$D38="Nearly full"),$E38*'BG '!H$21,AND($C38="Hybrid-electric bus",$D38="Almost empty"),$E38*'BG '!H$11,AND($C38="Hybrid-electric bus",$D38="Average"),$E38*'BG '!H$12,AND($C38="Hybrid-electric bus",$D38="Nearly full"),$E38*'BG '!H$13,AND($C38="Alternative fuel bus",$D38="Almost empty"),$E38*'BG '!H$15,AND($C38="Alternative fuel bus",$D38="Average"),$E38*'BG '!H$16,AND($C38="Alternative fuel bus",$D38="Nearly full"),$E38*'BG '!H$17,AND($C38="Metro, tram, urban light train",$D38="Almost empty"),$E38*'BG '!C$35,AND($C38="Metro, tram, urban light train",$D38="Average"),$E38*'BG '!C$36,AND($C38="Metro, tram, urban light train",$D38="Nearly full"),$E38*'BG '!C$37,AND($C38="Electric passenger train",$D38="Almost empty"),$E38*'BG '!C$39,AND($C38="Electric passenger train",$D38="Average"),$E38*'BG '!C$40,AND($C38="Electric passenger train",$D38="Nearly full"),$E38*'BG '!C$41,AND($C38="Diesel passenger train",$D38="Almost empty"),$E38*'BG '!C$47,AND($C38="Diesel passenger train",$D38="Average"),$E38*'BG '!C$48,AND($C38="Diesel passenger train",$D38="Nearly full"),$E38*'BG '!C$49,AND($C38="Walking"),$E38*0,AND($C38="Bike"),$E38*0,AND($C38="Plane - domestic flight"),$E38*'BG '!$C62,AND($C38="Plane - international - intra EU"),$E38*'BG '!$C64,AND($C38="Plane - international (extra EU)"),$E38*'BG '!$C66)</f>
        <v>#N/A</v>
      </c>
      <c r="G38" s="31" t="e" cm="1">
        <f t="array" ref="G38">_xlfn.IFS(AND($C38="Fuel car",$D38=1),$E38*'BG '!D$7,AND($C38="Fuel car",$D38=2),$E38*'BG '!D$8,AND($C38="Fuel car",$D38=3),$E38*'BG '!D$9,AND($C38="Fuel car",$D38=4),$E38*'BG '!D$10,AND($C38="Fuel car",$D38=5),$E38*'BG '!D$11,AND($C38="Motorcycle",$D38=1),$E38*'BG '!D$13,AND($C38="Motorcycle",$D38=2),$E38*'BG '!D$14,AND($C38="Electric car",$D38=1),$E38*'BG '!D$16,AND($C38="Electric car",$D38=2),$E38*'BG '!D$17,AND($C38="Electric car",$D38=3),$E38*'BG '!D$18,AND($C38="Electric car",$D38=4),$E38*'BG '!D$19,AND($C38="Electric car",$D38=5),$E38*'BG '!D$20,AND($C38="Hybrid car",$D38=1),$E38*'BG '!D$22,AND($C38="Hybrid car",$D38=2),$E38*'BG '!D$23,AND($C38="Hybrid car",$D38=3),$E38*'BG '!D$24,AND($C38="Hybrid car",$D38=4),$E38*'BG '!D$25,AND($C38="Hybrid car",$D38=5),$E38*'BG '!D$26,AND($C38="Electric motorcycle",$D38=1),$E38*'BG '!D$28,AND($C38="Electric motorcycle",$D38=2),$E38*'BG '!D$29,AND($C38="Electric bike",$D38=1),$E38*'BG '!D$31,AND($C38="Electric scooter",$D38=1),$E38*'BG '!D$33,AND($C38="Bus",$D38="Almost empty"),$E38*'BG '!I$23,AND($C38="Bus",$D38="Average"),$E38*'BG '!I$24,AND($C38="Bus",$D38="Nearly full"),$E38*'BG '!I$25,AND($C38="Electric bus",$D38="Almost empty"),$E38*'BG '!I$7,AND($C38="Electric bus",$D38="Average"),$E38*'BG '!I$8,AND($C38="Electric bus",$D38="Nearly full"),$E38*'BG '!I$9,AND($C38="Diesel bus",$D38="Almost empty"),$E38*'BG '!I$19,AND($C38="Diesel bus",$D38="Average"),$E38*'BG '!I$20,AND($C38="Diesel bus",$D38="Nearly full"),$E38*'BG '!I$21,AND($C38="Hybrid-electric bus",$D38="Almost empty"),$E38*'BG '!I$11,AND($C38="Hybrid-electric bus",$D38="Average"),$E38*'BG '!I$12,AND($C38="Hybrid-electric bus",$D38="Nearly full"),$E38*'BG '!I$13,AND($C38="Alternative fuel bus",$D38="Almost empty"),$E38*'BG '!I$15,AND($C38="Alternative fuel bus",$D38="Average"),$E38*'BG '!I$16,AND($C38="Alternative fuel bus",$D38="Nearly full"),$E38*'BG '!I$17,AND($C38="Metro, tram, urban light train",$D38="Almost empty"),$E38*'BG '!D$35,AND($C38="Metro, tram, urban light train",$D38="Average"),$E38*'BG '!D$36,AND($C38="Metro, tram, urban light train",$D38="Nearly full"),$E38*'BG '!D$37,AND($C38="Electric passenger train",$D38="Almost empty"),$E38*'BG '!D$39,AND($C38="Electric passenger train",$D38="Average"),$E38*'BG '!D$40,AND($C38="Electric passenger train",$D38="Nearly full"),$E38*'BG '!D$41,AND($C38="Diesel passenger train",$D38="Almost empty"),$E38*'BG '!D$47,AND($C38="Diesel passenger train",$D38="Average"),$E38*'BG '!D$48,AND($C38="Diesel passenger train",$D38="Nearly full"),$E38*'BG '!D$49,AND($C38="Walking"),$E38*0,AND($C38="Bike"),$E38*0,AND($C38="Plane - domestic flight"),$E38*'BG '!$C62,AND($C38="Plane - international - intra EU"),$E38*'BG '!$C64,AND($C38="Plane - international (extra EU)"),$E38*'BG '!$C66)</f>
        <v>#N/A</v>
      </c>
      <c r="H38" s="145"/>
      <c r="I38" s="148">
        <f t="shared" si="6"/>
        <v>0</v>
      </c>
      <c r="J38" s="146" t="e" cm="1">
        <f t="array" ref="J38">_xlfn.IFS(Bulgaria!C38="Fuel car",Bulgaria!I38*DATA!$C$17,C38="Electric car",Bulgaria!I38*DATA!$F$5,Bulgaria!C38="Hybrid car",Bulgaria!I38*(0.5*DATA!$C$17+0.5*DATA!$F$5))</f>
        <v>#N/A</v>
      </c>
      <c r="L38" s="218"/>
      <c r="M38" s="219"/>
      <c r="N38" s="220"/>
    </row>
    <row r="39" spans="1:14" ht="14.5" customHeight="1" x14ac:dyDescent="0.2">
      <c r="A39" s="222"/>
      <c r="B39" s="30"/>
      <c r="C39" s="15"/>
      <c r="D39" s="15"/>
      <c r="E39" s="15"/>
      <c r="F39" s="123" t="e" cm="1">
        <f t="array" ref="F39">_xlfn.IFS(AND($C39="Fuel car",$D39=1),$E39*'BG '!C$7,AND($C39="Fuel car",$D39=2),$E39*'BG '!C$8,AND($C39="Fuel car",$D39=3),$E39*'BG '!C$9,AND($C39="Fuel car",$D39=4),$E39*'BG '!C$10,AND($C39="Fuel car",$D39=5),$E39*'BG '!C$11,AND($C39="Motorcycle",$D39=1),$E39*'BG '!C$13,AND($C39="Motorcycle",$D39=2),$E39*'BG '!C$14,AND($C39="Electric car",$D39=1),$E39*'BG '!C$16,AND($C39="Electric car",$D39=2),$E39*'BG '!C$17,AND($C39="Electric car",$D39=3),$E39*'BG '!C$18,AND($C39="Electric car",$D39=4),$E39*'BG '!C$19,AND($C39="Electric car",$D39=5),$E39*'BG '!C$20,AND($C39="Hybrid car",$D39=1),$E39*'BG '!C$22,AND($C39="Hybrid car",$D39=2),$E39*'BG '!C$23,AND($C39="Hybrid car",$D39=3),$E39*'BG '!C$24,AND($C39="Hybrid car",$D39=4),$E39*'BG '!C$25,AND($C39="Hybrid car",$D39=5),$E39*'BG '!C$26,AND($C39="Electric motorcycle",$D39=1),$E39*'BG '!C$28,AND($C39="Electric motorcycle",$D39=2),$E39*'BG '!C$29,AND($C39="Electric bike",$D39=1),$E39*'BG '!C$31,AND($C39="Electric scooter",$D39=1),$E39*'BG '!C$33,AND($C39="Bus",$D39="Almost empty"),$E39*'BG '!H$23,AND($C39="Bus",$D39="Average"),$E39*'BG '!H$24,AND($C39="Bus",$D39="Nearly full"),$E39*'BG '!H$25,AND($C39="Electric bus",$D39="Almost empty"),$E39*'BG '!H$7,AND($C39="Electric bus",$D39="Average"),$E39*'BG '!H$8,AND($C39="Electric bus",$D39="Nearly full"),$E39*'BG '!H$9,AND($C39="Diesel bus",$D39="Almost empty"),$E39*'BG '!H$19,AND($C39="Diesel bus",$D39="Average"),$E39*'BG '!H$20,AND($C39="Diesel bus",$D39="Nearly full"),$E39*'BG '!H$21,AND($C39="Hybrid-electric bus",$D39="Almost empty"),$E39*'BG '!H$11,AND($C39="Hybrid-electric bus",$D39="Average"),$E39*'BG '!H$12,AND($C39="Hybrid-electric bus",$D39="Nearly full"),$E39*'BG '!H$13,AND($C39="Alternative fuel bus",$D39="Almost empty"),$E39*'BG '!H$15,AND($C39="Alternative fuel bus",$D39="Average"),$E39*'BG '!H$16,AND($C39="Alternative fuel bus",$D39="Nearly full"),$E39*'BG '!H$17,AND($C39="Metro, tram, urban light train",$D39="Almost empty"),$E39*'BG '!C$35,AND($C39="Metro, tram, urban light train",$D39="Average"),$E39*'BG '!C$36,AND($C39="Metro, tram, urban light train",$D39="Nearly full"),$E39*'BG '!C$37,AND($C39="Electric passenger train",$D39="Almost empty"),$E39*'BG '!C$39,AND($C39="Electric passenger train",$D39="Average"),$E39*'BG '!C$40,AND($C39="Electric passenger train",$D39="Nearly full"),$E39*'BG '!C$41,AND($C39="Diesel passenger train",$D39="Almost empty"),$E39*'BG '!C$47,AND($C39="Diesel passenger train",$D39="Average"),$E39*'BG '!C$48,AND($C39="Diesel passenger train",$D39="Nearly full"),$E39*'BG '!C$49,AND($C39="Walking"),$E39*0,AND($C39="Bike"),$E39*0,AND($C39="Plane - domestic flight"),$E39*'BG '!$C63,AND($C39="Plane - international - intra EU"),$E39*'BG '!$C65,AND($C39="Plane - international (extra EU)"),$E39*'BG '!$C67)</f>
        <v>#N/A</v>
      </c>
      <c r="G39" s="31" t="e" cm="1">
        <f t="array" ref="G39">_xlfn.IFS(AND($C39="Fuel car",$D39=1),$E39*'BG '!D$7,AND($C39="Fuel car",$D39=2),$E39*'BG '!D$8,AND($C39="Fuel car",$D39=3),$E39*'BG '!D$9,AND($C39="Fuel car",$D39=4),$E39*'BG '!D$10,AND($C39="Fuel car",$D39=5),$E39*'BG '!D$11,AND($C39="Motorcycle",$D39=1),$E39*'BG '!D$13,AND($C39="Motorcycle",$D39=2),$E39*'BG '!D$14,AND($C39="Electric car",$D39=1),$E39*'BG '!D$16,AND($C39="Electric car",$D39=2),$E39*'BG '!D$17,AND($C39="Electric car",$D39=3),$E39*'BG '!D$18,AND($C39="Electric car",$D39=4),$E39*'BG '!D$19,AND($C39="Electric car",$D39=5),$E39*'BG '!D$20,AND($C39="Hybrid car",$D39=1),$E39*'BG '!D$22,AND($C39="Hybrid car",$D39=2),$E39*'BG '!D$23,AND($C39="Hybrid car",$D39=3),$E39*'BG '!D$24,AND($C39="Hybrid car",$D39=4),$E39*'BG '!D$25,AND($C39="Hybrid car",$D39=5),$E39*'BG '!D$26,AND($C39="Electric motorcycle",$D39=1),$E39*'BG '!D$28,AND($C39="Electric motorcycle",$D39=2),$E39*'BG '!D$29,AND($C39="Electric bike",$D39=1),$E39*'BG '!D$31,AND($C39="Electric scooter",$D39=1),$E39*'BG '!D$33,AND($C39="Bus",$D39="Almost empty"),$E39*'BG '!I$23,AND($C39="Bus",$D39="Average"),$E39*'BG '!I$24,AND($C39="Bus",$D39="Nearly full"),$E39*'BG '!I$25,AND($C39="Electric bus",$D39="Almost empty"),$E39*'BG '!I$7,AND($C39="Electric bus",$D39="Average"),$E39*'BG '!I$8,AND($C39="Electric bus",$D39="Nearly full"),$E39*'BG '!I$9,AND($C39="Diesel bus",$D39="Almost empty"),$E39*'BG '!I$19,AND($C39="Diesel bus",$D39="Average"),$E39*'BG '!I$20,AND($C39="Diesel bus",$D39="Nearly full"),$E39*'BG '!I$21,AND($C39="Hybrid-electric bus",$D39="Almost empty"),$E39*'BG '!I$11,AND($C39="Hybrid-electric bus",$D39="Average"),$E39*'BG '!I$12,AND($C39="Hybrid-electric bus",$D39="Nearly full"),$E39*'BG '!I$13,AND($C39="Alternative fuel bus",$D39="Almost empty"),$E39*'BG '!I$15,AND($C39="Alternative fuel bus",$D39="Average"),$E39*'BG '!I$16,AND($C39="Alternative fuel bus",$D39="Nearly full"),$E39*'BG '!I$17,AND($C39="Metro, tram, urban light train",$D39="Almost empty"),$E39*'BG '!D$35,AND($C39="Metro, tram, urban light train",$D39="Average"),$E39*'BG '!D$36,AND($C39="Metro, tram, urban light train",$D39="Nearly full"),$E39*'BG '!D$37,AND($C39="Electric passenger train",$D39="Almost empty"),$E39*'BG '!D$39,AND($C39="Electric passenger train",$D39="Average"),$E39*'BG '!D$40,AND($C39="Electric passenger train",$D39="Nearly full"),$E39*'BG '!D$41,AND($C39="Diesel passenger train",$D39="Almost empty"),$E39*'BG '!D$47,AND($C39="Diesel passenger train",$D39="Average"),$E39*'BG '!D$48,AND($C39="Diesel passenger train",$D39="Nearly full"),$E39*'BG '!D$49,AND($C39="Walking"),$E39*0,AND($C39="Bike"),$E39*0,AND($C39="Plane - domestic flight"),$E39*'BG '!$C63,AND($C39="Plane - international - intra EU"),$E39*'BG '!$C65,AND($C39="Plane - international (extra EU)"),$E39*'BG '!$C67)</f>
        <v>#N/A</v>
      </c>
      <c r="H39" s="145"/>
      <c r="I39" s="148">
        <f t="shared" si="6"/>
        <v>0</v>
      </c>
      <c r="J39" s="146" t="e" cm="1">
        <f t="array" ref="J39">_xlfn.IFS(Bulgaria!C39="Fuel car",Bulgaria!I39*DATA!$C$17,C39="Electric car",Bulgaria!I39*DATA!$F$5,Bulgaria!C39="Hybrid car",Bulgaria!I39*(0.5*DATA!$C$17+0.5*DATA!$F$5))</f>
        <v>#N/A</v>
      </c>
      <c r="L39" s="226" t="s">
        <v>80</v>
      </c>
      <c r="M39" s="227"/>
      <c r="N39" s="228"/>
    </row>
    <row r="40" spans="1:14" x14ac:dyDescent="0.2">
      <c r="A40" s="222"/>
      <c r="B40" s="30"/>
      <c r="C40" s="15"/>
      <c r="D40" s="15"/>
      <c r="E40" s="15"/>
      <c r="F40" s="123" t="e" cm="1">
        <f t="array" ref="F40">_xlfn.IFS(AND($C40="Fuel car",$D40=1),$E40*'BG '!C$7,AND($C40="Fuel car",$D40=2),$E40*'BG '!C$8,AND($C40="Fuel car",$D40=3),$E40*'BG '!C$9,AND($C40="Fuel car",$D40=4),$E40*'BG '!C$10,AND($C40="Fuel car",$D40=5),$E40*'BG '!C$11,AND($C40="Motorcycle",$D40=1),$E40*'BG '!C$13,AND($C40="Motorcycle",$D40=2),$E40*'BG '!C$14,AND($C40="Electric car",$D40=1),$E40*'BG '!C$16,AND($C40="Electric car",$D40=2),$E40*'BG '!C$17,AND($C40="Electric car",$D40=3),$E40*'BG '!C$18,AND($C40="Electric car",$D40=4),$E40*'BG '!C$19,AND($C40="Electric car",$D40=5),$E40*'BG '!C$20,AND($C40="Hybrid car",$D40=1),$E40*'BG '!C$22,AND($C40="Hybrid car",$D40=2),$E40*'BG '!C$23,AND($C40="Hybrid car",$D40=3),$E40*'BG '!C$24,AND($C40="Hybrid car",$D40=4),$E40*'BG '!C$25,AND($C40="Hybrid car",$D40=5),$E40*'BG '!C$26,AND($C40="Electric motorcycle",$D40=1),$E40*'BG '!C$28,AND($C40="Electric motorcycle",$D40=2),$E40*'BG '!C$29,AND($C40="Electric bike",$D40=1),$E40*'BG '!C$31,AND($C40="Electric scooter",$D40=1),$E40*'BG '!C$33,AND($C40="Bus",$D40="Almost empty"),$E40*'BG '!H$23,AND($C40="Bus",$D40="Average"),$E40*'BG '!H$24,AND($C40="Bus",$D40="Nearly full"),$E40*'BG '!H$25,AND($C40="Electric bus",$D40="Almost empty"),$E40*'BG '!H$7,AND($C40="Electric bus",$D40="Average"),$E40*'BG '!H$8,AND($C40="Electric bus",$D40="Nearly full"),$E40*'BG '!H$9,AND($C40="Diesel bus",$D40="Almost empty"),$E40*'BG '!H$19,AND($C40="Diesel bus",$D40="Average"),$E40*'BG '!H$20,AND($C40="Diesel bus",$D40="Nearly full"),$E40*'BG '!H$21,AND($C40="Hybrid-electric bus",$D40="Almost empty"),$E40*'BG '!H$11,AND($C40="Hybrid-electric bus",$D40="Average"),$E40*'BG '!H$12,AND($C40="Hybrid-electric bus",$D40="Nearly full"),$E40*'BG '!H$13,AND($C40="Alternative fuel bus",$D40="Almost empty"),$E40*'BG '!H$15,AND($C40="Alternative fuel bus",$D40="Average"),$E40*'BG '!H$16,AND($C40="Alternative fuel bus",$D40="Nearly full"),$E40*'BG '!H$17,AND($C40="Metro, tram, urban light train",$D40="Almost empty"),$E40*'BG '!C$35,AND($C40="Metro, tram, urban light train",$D40="Average"),$E40*'BG '!C$36,AND($C40="Metro, tram, urban light train",$D40="Nearly full"),$E40*'BG '!C$37,AND($C40="Electric passenger train",$D40="Almost empty"),$E40*'BG '!C$39,AND($C40="Electric passenger train",$D40="Average"),$E40*'BG '!C$40,AND($C40="Electric passenger train",$D40="Nearly full"),$E40*'BG '!C$41,AND($C40="Diesel passenger train",$D40="Almost empty"),$E40*'BG '!C$47,AND($C40="Diesel passenger train",$D40="Average"),$E40*'BG '!C$48,AND($C40="Diesel passenger train",$D40="Nearly full"),$E40*'BG '!C$49,AND($C40="Walking"),$E40*0,AND($C40="Bike"),$E40*0,AND($C40="Plane - domestic flight"),$E40*'BG '!$C64,AND($C40="Plane - international - intra EU"),$E40*'BG '!$C66,AND($C40="Plane - international (extra EU)"),$E40*'BG '!$C68)</f>
        <v>#N/A</v>
      </c>
      <c r="G40" s="31" t="e" cm="1">
        <f t="array" ref="G40">_xlfn.IFS(AND($C40="Fuel car",$D40=1),$E40*'BG '!D$7,AND($C40="Fuel car",$D40=2),$E40*'BG '!D$8,AND($C40="Fuel car",$D40=3),$E40*'BG '!D$9,AND($C40="Fuel car",$D40=4),$E40*'BG '!D$10,AND($C40="Fuel car",$D40=5),$E40*'BG '!D$11,AND($C40="Motorcycle",$D40=1),$E40*'BG '!D$13,AND($C40="Motorcycle",$D40=2),$E40*'BG '!D$14,AND($C40="Electric car",$D40=1),$E40*'BG '!D$16,AND($C40="Electric car",$D40=2),$E40*'BG '!D$17,AND($C40="Electric car",$D40=3),$E40*'BG '!D$18,AND($C40="Electric car",$D40=4),$E40*'BG '!D$19,AND($C40="Electric car",$D40=5),$E40*'BG '!D$20,AND($C40="Hybrid car",$D40=1),$E40*'BG '!D$22,AND($C40="Hybrid car",$D40=2),$E40*'BG '!D$23,AND($C40="Hybrid car",$D40=3),$E40*'BG '!D$24,AND($C40="Hybrid car",$D40=4),$E40*'BG '!D$25,AND($C40="Hybrid car",$D40=5),$E40*'BG '!D$26,AND($C40="Electric motorcycle",$D40=1),$E40*'BG '!D$28,AND($C40="Electric motorcycle",$D40=2),$E40*'BG '!D$29,AND($C40="Electric bike",$D40=1),$E40*'BG '!D$31,AND($C40="Electric scooter",$D40=1),$E40*'BG '!D$33,AND($C40="Bus",$D40="Almost empty"),$E40*'BG '!I$23,AND($C40="Bus",$D40="Average"),$E40*'BG '!I$24,AND($C40="Bus",$D40="Nearly full"),$E40*'BG '!I$25,AND($C40="Electric bus",$D40="Almost empty"),$E40*'BG '!I$7,AND($C40="Electric bus",$D40="Average"),$E40*'BG '!I$8,AND($C40="Electric bus",$D40="Nearly full"),$E40*'BG '!I$9,AND($C40="Diesel bus",$D40="Almost empty"),$E40*'BG '!I$19,AND($C40="Diesel bus",$D40="Average"),$E40*'BG '!I$20,AND($C40="Diesel bus",$D40="Nearly full"),$E40*'BG '!I$21,AND($C40="Hybrid-electric bus",$D40="Almost empty"),$E40*'BG '!I$11,AND($C40="Hybrid-electric bus",$D40="Average"),$E40*'BG '!I$12,AND($C40="Hybrid-electric bus",$D40="Nearly full"),$E40*'BG '!I$13,AND($C40="Alternative fuel bus",$D40="Almost empty"),$E40*'BG '!I$15,AND($C40="Alternative fuel bus",$D40="Average"),$E40*'BG '!I$16,AND($C40="Alternative fuel bus",$D40="Nearly full"),$E40*'BG '!I$17,AND($C40="Metro, tram, urban light train",$D40="Almost empty"),$E40*'BG '!D$35,AND($C40="Metro, tram, urban light train",$D40="Average"),$E40*'BG '!D$36,AND($C40="Metro, tram, urban light train",$D40="Nearly full"),$E40*'BG '!D$37,AND($C40="Electric passenger train",$D40="Almost empty"),$E40*'BG '!D$39,AND($C40="Electric passenger train",$D40="Average"),$E40*'BG '!D$40,AND($C40="Electric passenger train",$D40="Nearly full"),$E40*'BG '!D$41,AND($C40="Diesel passenger train",$D40="Almost empty"),$E40*'BG '!D$47,AND($C40="Diesel passenger train",$D40="Average"),$E40*'BG '!D$48,AND($C40="Diesel passenger train",$D40="Nearly full"),$E40*'BG '!D$49,AND($C40="Walking"),$E40*0,AND($C40="Bike"),$E40*0,AND($C40="Plane - domestic flight"),$E40*'BG '!$C64,AND($C40="Plane - international - intra EU"),$E40*'BG '!$C66,AND($C40="Plane - international (extra EU)"),$E40*'BG '!$C68)</f>
        <v>#N/A</v>
      </c>
      <c r="H40" s="145"/>
      <c r="I40" s="148">
        <f t="shared" si="6"/>
        <v>0</v>
      </c>
      <c r="J40" s="146" t="e" cm="1">
        <f t="array" ref="J40">_xlfn.IFS(Bulgaria!C40="Fuel car",Bulgaria!I40*DATA!$C$17,C40="Electric car",Bulgaria!I40*DATA!$F$5,Bulgaria!C40="Hybrid car",Bulgaria!I40*(0.5*DATA!$C$17+0.5*DATA!$F$5))</f>
        <v>#N/A</v>
      </c>
      <c r="L40" s="229"/>
      <c r="M40" s="230"/>
      <c r="N40" s="231"/>
    </row>
    <row r="41" spans="1:14" ht="14.5" customHeight="1" x14ac:dyDescent="0.2">
      <c r="A41" s="222"/>
      <c r="B41" s="30"/>
      <c r="C41" s="15"/>
      <c r="D41" s="15"/>
      <c r="E41" s="15"/>
      <c r="F41" s="123" t="e" cm="1">
        <f t="array" ref="F41">_xlfn.IFS(AND($C41="Fuel car",$D41=1),$E41*'BG '!C$7,AND($C41="Fuel car",$D41=2),$E41*'BG '!C$8,AND($C41="Fuel car",$D41=3),$E41*'BG '!C$9,AND($C41="Fuel car",$D41=4),$E41*'BG '!C$10,AND($C41="Fuel car",$D41=5),$E41*'BG '!C$11,AND($C41="Motorcycle",$D41=1),$E41*'BG '!C$13,AND($C41="Motorcycle",$D41=2),$E41*'BG '!C$14,AND($C41="Electric car",$D41=1),$E41*'BG '!C$16,AND($C41="Electric car",$D41=2),$E41*'BG '!C$17,AND($C41="Electric car",$D41=3),$E41*'BG '!C$18,AND($C41="Electric car",$D41=4),$E41*'BG '!C$19,AND($C41="Electric car",$D41=5),$E41*'BG '!C$20,AND($C41="Hybrid car",$D41=1),$E41*'BG '!C$22,AND($C41="Hybrid car",$D41=2),$E41*'BG '!C$23,AND($C41="Hybrid car",$D41=3),$E41*'BG '!C$24,AND($C41="Hybrid car",$D41=4),$E41*'BG '!C$25,AND($C41="Hybrid car",$D41=5),$E41*'BG '!C$26,AND($C41="Electric motorcycle",$D41=1),$E41*'BG '!C$28,AND($C41="Electric motorcycle",$D41=2),$E41*'BG '!C$29,AND($C41="Electric bike",$D41=1),$E41*'BG '!C$31,AND($C41="Electric scooter",$D41=1),$E41*'BG '!C$33,AND($C41="Bus",$D41="Almost empty"),$E41*'BG '!H$23,AND($C41="Bus",$D41="Average"),$E41*'BG '!H$24,AND($C41="Bus",$D41="Nearly full"),$E41*'BG '!H$25,AND($C41="Electric bus",$D41="Almost empty"),$E41*'BG '!H$7,AND($C41="Electric bus",$D41="Average"),$E41*'BG '!H$8,AND($C41="Electric bus",$D41="Nearly full"),$E41*'BG '!H$9,AND($C41="Diesel bus",$D41="Almost empty"),$E41*'BG '!H$19,AND($C41="Diesel bus",$D41="Average"),$E41*'BG '!H$20,AND($C41="Diesel bus",$D41="Nearly full"),$E41*'BG '!H$21,AND($C41="Hybrid-electric bus",$D41="Almost empty"),$E41*'BG '!H$11,AND($C41="Hybrid-electric bus",$D41="Average"),$E41*'BG '!H$12,AND($C41="Hybrid-electric bus",$D41="Nearly full"),$E41*'BG '!H$13,AND($C41="Alternative fuel bus",$D41="Almost empty"),$E41*'BG '!H$15,AND($C41="Alternative fuel bus",$D41="Average"),$E41*'BG '!H$16,AND($C41="Alternative fuel bus",$D41="Nearly full"),$E41*'BG '!H$17,AND($C41="Metro, tram, urban light train",$D41="Almost empty"),$E41*'BG '!C$35,AND($C41="Metro, tram, urban light train",$D41="Average"),$E41*'BG '!C$36,AND($C41="Metro, tram, urban light train",$D41="Nearly full"),$E41*'BG '!C$37,AND($C41="Electric passenger train",$D41="Almost empty"),$E41*'BG '!C$39,AND($C41="Electric passenger train",$D41="Average"),$E41*'BG '!C$40,AND($C41="Electric passenger train",$D41="Nearly full"),$E41*'BG '!C$41,AND($C41="Diesel passenger train",$D41="Almost empty"),$E41*'BG '!C$47,AND($C41="Diesel passenger train",$D41="Average"),$E41*'BG '!C$48,AND($C41="Diesel passenger train",$D41="Nearly full"),$E41*'BG '!C$49,AND($C41="Walking"),$E41*0,AND($C41="Bike"),$E41*0,AND($C41="Plane - domestic flight"),$E41*'BG '!$C65,AND($C41="Plane - international - intra EU"),$E41*'BG '!$C67,AND($C41="Plane - international (extra EU)"),$E41*'BG '!$C69)</f>
        <v>#N/A</v>
      </c>
      <c r="G41" s="31" t="e" cm="1">
        <f t="array" ref="G41">_xlfn.IFS(AND($C41="Fuel car",$D41=1),$E41*'BG '!D$7,AND($C41="Fuel car",$D41=2),$E41*'BG '!D$8,AND($C41="Fuel car",$D41=3),$E41*'BG '!D$9,AND($C41="Fuel car",$D41=4),$E41*'BG '!D$10,AND($C41="Fuel car",$D41=5),$E41*'BG '!D$11,AND($C41="Motorcycle",$D41=1),$E41*'BG '!D$13,AND($C41="Motorcycle",$D41=2),$E41*'BG '!D$14,AND($C41="Electric car",$D41=1),$E41*'BG '!D$16,AND($C41="Electric car",$D41=2),$E41*'BG '!D$17,AND($C41="Electric car",$D41=3),$E41*'BG '!D$18,AND($C41="Electric car",$D41=4),$E41*'BG '!D$19,AND($C41="Electric car",$D41=5),$E41*'BG '!D$20,AND($C41="Hybrid car",$D41=1),$E41*'BG '!D$22,AND($C41="Hybrid car",$D41=2),$E41*'BG '!D$23,AND($C41="Hybrid car",$D41=3),$E41*'BG '!D$24,AND($C41="Hybrid car",$D41=4),$E41*'BG '!D$25,AND($C41="Hybrid car",$D41=5),$E41*'BG '!D$26,AND($C41="Electric motorcycle",$D41=1),$E41*'BG '!D$28,AND($C41="Electric motorcycle",$D41=2),$E41*'BG '!D$29,AND($C41="Electric bike",$D41=1),$E41*'BG '!D$31,AND($C41="Electric scooter",$D41=1),$E41*'BG '!D$33,AND($C41="Bus",$D41="Almost empty"),$E41*'BG '!I$23,AND($C41="Bus",$D41="Average"),$E41*'BG '!I$24,AND($C41="Bus",$D41="Nearly full"),$E41*'BG '!I$25,AND($C41="Electric bus",$D41="Almost empty"),$E41*'BG '!I$7,AND($C41="Electric bus",$D41="Average"),$E41*'BG '!I$8,AND($C41="Electric bus",$D41="Nearly full"),$E41*'BG '!I$9,AND($C41="Diesel bus",$D41="Almost empty"),$E41*'BG '!I$19,AND($C41="Diesel bus",$D41="Average"),$E41*'BG '!I$20,AND($C41="Diesel bus",$D41="Nearly full"),$E41*'BG '!I$21,AND($C41="Hybrid-electric bus",$D41="Almost empty"),$E41*'BG '!I$11,AND($C41="Hybrid-electric bus",$D41="Average"),$E41*'BG '!I$12,AND($C41="Hybrid-electric bus",$D41="Nearly full"),$E41*'BG '!I$13,AND($C41="Alternative fuel bus",$D41="Almost empty"),$E41*'BG '!I$15,AND($C41="Alternative fuel bus",$D41="Average"),$E41*'BG '!I$16,AND($C41="Alternative fuel bus",$D41="Nearly full"),$E41*'BG '!I$17,AND($C41="Metro, tram, urban light train",$D41="Almost empty"),$E41*'BG '!D$35,AND($C41="Metro, tram, urban light train",$D41="Average"),$E41*'BG '!D$36,AND($C41="Metro, tram, urban light train",$D41="Nearly full"),$E41*'BG '!D$37,AND($C41="Electric passenger train",$D41="Almost empty"),$E41*'BG '!D$39,AND($C41="Electric passenger train",$D41="Average"),$E41*'BG '!D$40,AND($C41="Electric passenger train",$D41="Nearly full"),$E41*'BG '!D$41,AND($C41="Diesel passenger train",$D41="Almost empty"),$E41*'BG '!D$47,AND($C41="Diesel passenger train",$D41="Average"),$E41*'BG '!D$48,AND($C41="Diesel passenger train",$D41="Nearly full"),$E41*'BG '!D$49,AND($C41="Walking"),$E41*0,AND($C41="Bike"),$E41*0,AND($C41="Plane - domestic flight"),$E41*'BG '!$C65,AND($C41="Plane - international - intra EU"),$E41*'BG '!$C67,AND($C41="Plane - international (extra EU)"),$E41*'BG '!$C69)</f>
        <v>#N/A</v>
      </c>
      <c r="H41" s="145"/>
      <c r="I41" s="148">
        <f t="shared" si="6"/>
        <v>0</v>
      </c>
      <c r="J41" s="146" t="e" cm="1">
        <f t="array" ref="J41">_xlfn.IFS(Bulgaria!C41="Fuel car",Bulgaria!I41*DATA!$C$17,C41="Electric car",Bulgaria!I41*DATA!$F$5,Bulgaria!C41="Hybrid car",Bulgaria!I41*(0.5*DATA!$C$17+0.5*DATA!$F$5))</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car",$D42=1),$E42*'BG '!C$7,AND($C42="Fuel car",$D42=2),$E42*'BG '!C$8,AND($C42="Fuel car",$D42=3),$E42*'BG '!C$9,AND($C42="Fuel car",$D42=4),$E42*'BG '!C$10,AND($C42="Fuel car",$D42=5),$E42*'BG '!C$11,AND($C42="Motorcycle",$D42=1),$E42*'BG '!C$13,AND($C42="Motorcycle",$D42=2),$E42*'BG '!C$14,AND($C42="Electric car",$D42=1),$E42*'BG '!C$16,AND($C42="Electric car",$D42=2),$E42*'BG '!C$17,AND($C42="Electric car",$D42=3),$E42*'BG '!C$18,AND($C42="Electric car",$D42=4),$E42*'BG '!C$19,AND($C42="Electric car",$D42=5),$E42*'BG '!C$20,AND($C42="Hybrid car",$D42=1),$E42*'BG '!C$22,AND($C42="Hybrid car",$D42=2),$E42*'BG '!C$23,AND($C42="Hybrid car",$D42=3),$E42*'BG '!C$24,AND($C42="Hybrid car",$D42=4),$E42*'BG '!C$25,AND($C42="Hybrid car",$D42=5),$E42*'BG '!C$26,AND($C42="Electric motorcycle",$D42=1),$E42*'BG '!C$28,AND($C42="Electric motorcycle",$D42=2),$E42*'BG '!C$29,AND($C42="Electric bike",$D42=1),$E42*'BG '!C$31,AND($C42="Electric scooter",$D42=1),$E42*'BG '!C$33,AND($C42="Bus",$D42="Almost empty"),$E42*'BG '!H$23,AND($C42="Bus",$D42="Average"),$E42*'BG '!H$24,AND($C42="Bus",$D42="Nearly full"),$E42*'BG '!H$25,AND($C42="Electric bus",$D42="Almost empty"),$E42*'BG '!H$7,AND($C42="Electric bus",$D42="Average"),$E42*'BG '!H$8,AND($C42="Electric bus",$D42="Nearly full"),$E42*'BG '!H$9,AND($C42="Diesel bus",$D42="Almost empty"),$E42*'BG '!H$19,AND($C42="Diesel bus",$D42="Average"),$E42*'BG '!H$20,AND($C42="Diesel bus",$D42="Nearly full"),$E42*'BG '!H$21,AND($C42="Hybrid-electric bus",$D42="Almost empty"),$E42*'BG '!H$11,AND($C42="Hybrid-electric bus",$D42="Average"),$E42*'BG '!H$12,AND($C42="Hybrid-electric bus",$D42="Nearly full"),$E42*'BG '!H$13,AND($C42="Alternative fuel bus",$D42="Almost empty"),$E42*'BG '!H$15,AND($C42="Alternative fuel bus",$D42="Average"),$E42*'BG '!H$16,AND($C42="Alternative fuel bus",$D42="Nearly full"),$E42*'BG '!H$17,AND($C42="Metro, tram, urban light train",$D42="Almost empty"),$E42*'BG '!C$35,AND($C42="Metro, tram, urban light train",$D42="Average"),$E42*'BG '!C$36,AND($C42="Metro, tram, urban light train",$D42="Nearly full"),$E42*'BG '!C$37,AND($C42="Electric passenger train",$D42="Almost empty"),$E42*'BG '!C$39,AND($C42="Electric passenger train",$D42="Average"),$E42*'BG '!C$40,AND($C42="Electric passenger train",$D42="Nearly full"),$E42*'BG '!C$41,AND($C42="Diesel passenger train",$D42="Almost empty"),$E42*'BG '!C$47,AND($C42="Diesel passenger train",$D42="Average"),$E42*'BG '!C$48,AND($C42="Diesel passenger train",$D42="Nearly full"),$E42*'BG '!C$49,AND($C42="Walking"),$E42*0,AND($C42="Bike"),$E42*0,AND($C42="Plane - domestic flight"),$E42*'BG '!$C66,AND($C42="Plane - international - intra EU"),$E42*'BG '!$C68,AND($C42="Plane - international (extra EU)"),$E42*'BG '!$C70)</f>
        <v>#N/A</v>
      </c>
      <c r="G42" s="31" t="e" cm="1">
        <f t="array" ref="G42">_xlfn.IFS(AND($C42="Fuel car",$D42=1),$E42*'BG '!D$7,AND($C42="Fuel car",$D42=2),$E42*'BG '!D$8,AND($C42="Fuel car",$D42=3),$E42*'BG '!D$9,AND($C42="Fuel car",$D42=4),$E42*'BG '!D$10,AND($C42="Fuel car",$D42=5),$E42*'BG '!D$11,AND($C42="Motorcycle",$D42=1),$E42*'BG '!D$13,AND($C42="Motorcycle",$D42=2),$E42*'BG '!D$14,AND($C42="Electric car",$D42=1),$E42*'BG '!D$16,AND($C42="Electric car",$D42=2),$E42*'BG '!D$17,AND($C42="Electric car",$D42=3),$E42*'BG '!D$18,AND($C42="Electric car",$D42=4),$E42*'BG '!D$19,AND($C42="Electric car",$D42=5),$E42*'BG '!D$20,AND($C42="Hybrid car",$D42=1),$E42*'BG '!D$22,AND($C42="Hybrid car",$D42=2),$E42*'BG '!D$23,AND($C42="Hybrid car",$D42=3),$E42*'BG '!D$24,AND($C42="Hybrid car",$D42=4),$E42*'BG '!D$25,AND($C42="Hybrid car",$D42=5),$E42*'BG '!D$26,AND($C42="Electric motorcycle",$D42=1),$E42*'BG '!D$28,AND($C42="Electric motorcycle",$D42=2),$E42*'BG '!D$29,AND($C42="Electric bike",$D42=1),$E42*'BG '!D$31,AND($C42="Electric scooter",$D42=1),$E42*'BG '!D$33,AND($C42="Bus",$D42="Almost empty"),$E42*'BG '!I$23,AND($C42="Bus",$D42="Average"),$E42*'BG '!I$24,AND($C42="Bus",$D42="Nearly full"),$E42*'BG '!I$25,AND($C42="Electric bus",$D42="Almost empty"),$E42*'BG '!I$7,AND($C42="Electric bus",$D42="Average"),$E42*'BG '!I$8,AND($C42="Electric bus",$D42="Nearly full"),$E42*'BG '!I$9,AND($C42="Diesel bus",$D42="Almost empty"),$E42*'BG '!I$19,AND($C42="Diesel bus",$D42="Average"),$E42*'BG '!I$20,AND($C42="Diesel bus",$D42="Nearly full"),$E42*'BG '!I$21,AND($C42="Hybrid-electric bus",$D42="Almost empty"),$E42*'BG '!I$11,AND($C42="Hybrid-electric bus",$D42="Average"),$E42*'BG '!I$12,AND($C42="Hybrid-electric bus",$D42="Nearly full"),$E42*'BG '!I$13,AND($C42="Alternative fuel bus",$D42="Almost empty"),$E42*'BG '!I$15,AND($C42="Alternative fuel bus",$D42="Average"),$E42*'BG '!I$16,AND($C42="Alternative fuel bus",$D42="Nearly full"),$E42*'BG '!I$17,AND($C42="Metro, tram, urban light train",$D42="Almost empty"),$E42*'BG '!D$35,AND($C42="Metro, tram, urban light train",$D42="Average"),$E42*'BG '!D$36,AND($C42="Metro, tram, urban light train",$D42="Nearly full"),$E42*'BG '!D$37,AND($C42="Electric passenger train",$D42="Almost empty"),$E42*'BG '!D$39,AND($C42="Electric passenger train",$D42="Average"),$E42*'BG '!D$40,AND($C42="Electric passenger train",$D42="Nearly full"),$E42*'BG '!D$41,AND($C42="Diesel passenger train",$D42="Almost empty"),$E42*'BG '!D$47,AND($C42="Diesel passenger train",$D42="Average"),$E42*'BG '!D$48,AND($C42="Diesel passenger train",$D42="Nearly full"),$E42*'BG '!D$49,AND($C42="Walking"),$E42*0,AND($C42="Bike"),$E42*0,AND($C42="Plane - domestic flight"),$E42*'BG '!$C66,AND($C42="Plane - international - intra EU"),$E42*'BG '!$C68,AND($C42="Plane - international (extra EU)"),$E42*'BG '!$C70)</f>
        <v>#N/A</v>
      </c>
      <c r="H42" s="145"/>
      <c r="I42" s="148">
        <f t="shared" si="6"/>
        <v>0</v>
      </c>
      <c r="J42" s="146" t="e" cm="1">
        <f t="array" ref="J42">_xlfn.IFS(Bulgaria!C42="Fuel car",Bulgaria!I42*DATA!$C$17,C42="Electric car",Bulgaria!I42*DATA!$F$5,Bulgaria!C42="Hybrid car",Bulgaria!I42*(0.5*DATA!$C$17+0.5*DATA!$F$5))</f>
        <v>#N/A</v>
      </c>
      <c r="L42" s="235"/>
      <c r="M42" s="236"/>
      <c r="N42" s="237"/>
    </row>
    <row r="43" spans="1:14" ht="14.5" customHeight="1" thickBot="1" x14ac:dyDescent="0.25">
      <c r="A43" s="222"/>
      <c r="B43" s="30"/>
      <c r="C43" s="15"/>
      <c r="D43" s="15"/>
      <c r="E43" s="15"/>
      <c r="F43" s="123" t="e" cm="1">
        <f t="array" ref="F43">_xlfn.IFS(AND($C43="Fuel car",$D43=1),$E43*'BG '!C$7,AND($C43="Fuel car",$D43=2),$E43*'BG '!C$8,AND($C43="Fuel car",$D43=3),$E43*'BG '!C$9,AND($C43="Fuel car",$D43=4),$E43*'BG '!C$10,AND($C43="Fuel car",$D43=5),$E43*'BG '!C$11,AND($C43="Motorcycle",$D43=1),$E43*'BG '!C$13,AND($C43="Motorcycle",$D43=2),$E43*'BG '!C$14,AND($C43="Electric car",$D43=1),$E43*'BG '!C$16,AND($C43="Electric car",$D43=2),$E43*'BG '!C$17,AND($C43="Electric car",$D43=3),$E43*'BG '!C$18,AND($C43="Electric car",$D43=4),$E43*'BG '!C$19,AND($C43="Electric car",$D43=5),$E43*'BG '!C$20,AND($C43="Hybrid car",$D43=1),$E43*'BG '!C$22,AND($C43="Hybrid car",$D43=2),$E43*'BG '!C$23,AND($C43="Hybrid car",$D43=3),$E43*'BG '!C$24,AND($C43="Hybrid car",$D43=4),$E43*'BG '!C$25,AND($C43="Hybrid car",$D43=5),$E43*'BG '!C$26,AND($C43="Electric motorcycle",$D43=1),$E43*'BG '!C$28,AND($C43="Electric motorcycle",$D43=2),$E43*'BG '!C$29,AND($C43="Electric bike",$D43=1),$E43*'BG '!C$31,AND($C43="Electric scooter",$D43=1),$E43*'BG '!C$33,AND($C43="Bus",$D43="Almost empty"),$E43*'BG '!H$23,AND($C43="Bus",$D43="Average"),$E43*'BG '!H$24,AND($C43="Bus",$D43="Nearly full"),$E43*'BG '!H$25,AND($C43="Electric bus",$D43="Almost empty"),$E43*'BG '!H$7,AND($C43="Electric bus",$D43="Average"),$E43*'BG '!H$8,AND($C43="Electric bus",$D43="Nearly full"),$E43*'BG '!H$9,AND($C43="Diesel bus",$D43="Almost empty"),$E43*'BG '!H$19,AND($C43="Diesel bus",$D43="Average"),$E43*'BG '!H$20,AND($C43="Diesel bus",$D43="Nearly full"),$E43*'BG '!H$21,AND($C43="Hybrid-electric bus",$D43="Almost empty"),$E43*'BG '!H$11,AND($C43="Hybrid-electric bus",$D43="Average"),$E43*'BG '!H$12,AND($C43="Hybrid-electric bus",$D43="Nearly full"),$E43*'BG '!H$13,AND($C43="Alternative fuel bus",$D43="Almost empty"),$E43*'BG '!H$15,AND($C43="Alternative fuel bus",$D43="Average"),$E43*'BG '!H$16,AND($C43="Alternative fuel bus",$D43="Nearly full"),$E43*'BG '!H$17,AND($C43="Metro, tram, urban light train",$D43="Almost empty"),$E43*'BG '!C$35,AND($C43="Metro, tram, urban light train",$D43="Average"),$E43*'BG '!C$36,AND($C43="Metro, tram, urban light train",$D43="Nearly full"),$E43*'BG '!C$37,AND($C43="Electric passenger train",$D43="Almost empty"),$E43*'BG '!C$39,AND($C43="Electric passenger train",$D43="Average"),$E43*'BG '!C$40,AND($C43="Electric passenger train",$D43="Nearly full"),$E43*'BG '!C$41,AND($C43="Diesel passenger train",$D43="Almost empty"),$E43*'BG '!C$47,AND($C43="Diesel passenger train",$D43="Average"),$E43*'BG '!C$48,AND($C43="Diesel passenger train",$D43="Nearly full"),$E43*'BG '!C$49,AND($C43="Walking"),$E43*0,AND($C43="Bike"),$E43*0,AND($C43="Plane - domestic flight"),$E43*'BG '!$C67,AND($C43="Plane - international - intra EU"),$E43*'BG '!$C69,AND($C43="Plane - international (extra EU)"),$E43*'BG '!$C71)</f>
        <v>#N/A</v>
      </c>
      <c r="G43" s="31" t="e" cm="1">
        <f t="array" ref="G43">_xlfn.IFS(AND($C43="Fuel car",$D43=1),$E43*'BG '!D$7,AND($C43="Fuel car",$D43=2),$E43*'BG '!D$8,AND($C43="Fuel car",$D43=3),$E43*'BG '!D$9,AND($C43="Fuel car",$D43=4),$E43*'BG '!D$10,AND($C43="Fuel car",$D43=5),$E43*'BG '!D$11,AND($C43="Motorcycle",$D43=1),$E43*'BG '!D$13,AND($C43="Motorcycle",$D43=2),$E43*'BG '!D$14,AND($C43="Electric car",$D43=1),$E43*'BG '!D$16,AND($C43="Electric car",$D43=2),$E43*'BG '!D$17,AND($C43="Electric car",$D43=3),$E43*'BG '!D$18,AND($C43="Electric car",$D43=4),$E43*'BG '!D$19,AND($C43="Electric car",$D43=5),$E43*'BG '!D$20,AND($C43="Hybrid car",$D43=1),$E43*'BG '!D$22,AND($C43="Hybrid car",$D43=2),$E43*'BG '!D$23,AND($C43="Hybrid car",$D43=3),$E43*'BG '!D$24,AND($C43="Hybrid car",$D43=4),$E43*'BG '!D$25,AND($C43="Hybrid car",$D43=5),$E43*'BG '!D$26,AND($C43="Electric motorcycle",$D43=1),$E43*'BG '!D$28,AND($C43="Electric motorcycle",$D43=2),$E43*'BG '!D$29,AND($C43="Electric bike",$D43=1),$E43*'BG '!D$31,AND($C43="Electric scooter",$D43=1),$E43*'BG '!D$33,AND($C43="Bus",$D43="Almost empty"),$E43*'BG '!I$23,AND($C43="Bus",$D43="Average"),$E43*'BG '!I$24,AND($C43="Bus",$D43="Nearly full"),$E43*'BG '!I$25,AND($C43="Electric bus",$D43="Almost empty"),$E43*'BG '!I$7,AND($C43="Electric bus",$D43="Average"),$E43*'BG '!I$8,AND($C43="Electric bus",$D43="Nearly full"),$E43*'BG '!I$9,AND($C43="Diesel bus",$D43="Almost empty"),$E43*'BG '!I$19,AND($C43="Diesel bus",$D43="Average"),$E43*'BG '!I$20,AND($C43="Diesel bus",$D43="Nearly full"),$E43*'BG '!I$21,AND($C43="Hybrid-electric bus",$D43="Almost empty"),$E43*'BG '!I$11,AND($C43="Hybrid-electric bus",$D43="Average"),$E43*'BG '!I$12,AND($C43="Hybrid-electric bus",$D43="Nearly full"),$E43*'BG '!I$13,AND($C43="Alternative fuel bus",$D43="Almost empty"),$E43*'BG '!I$15,AND($C43="Alternative fuel bus",$D43="Average"),$E43*'BG '!I$16,AND($C43="Alternative fuel bus",$D43="Nearly full"),$E43*'BG '!I$17,AND($C43="Metro, tram, urban light train",$D43="Almost empty"),$E43*'BG '!D$35,AND($C43="Metro, tram, urban light train",$D43="Average"),$E43*'BG '!D$36,AND($C43="Metro, tram, urban light train",$D43="Nearly full"),$E43*'BG '!D$37,AND($C43="Electric passenger train",$D43="Almost empty"),$E43*'BG '!D$39,AND($C43="Electric passenger train",$D43="Average"),$E43*'BG '!D$40,AND($C43="Electric passenger train",$D43="Nearly full"),$E43*'BG '!D$41,AND($C43="Diesel passenger train",$D43="Almost empty"),$E43*'BG '!D$47,AND($C43="Diesel passenger train",$D43="Average"),$E43*'BG '!D$48,AND($C43="Diesel passenger train",$D43="Nearly full"),$E43*'BG '!D$49,AND($C43="Walking"),$E43*0,AND($C43="Bike"),$E43*0,AND($C43="Plane - domestic flight"),$E43*'BG '!$C67,AND($C43="Plane - international - intra EU"),$E43*'BG '!$C69,AND($C43="Plane - international (extra EU)"),$E43*'BG '!$C71)</f>
        <v>#N/A</v>
      </c>
      <c r="H43" s="109"/>
      <c r="I43" s="154">
        <f t="shared" si="6"/>
        <v>0</v>
      </c>
      <c r="J43" s="147" t="e" cm="1">
        <f t="array" ref="J43">_xlfn.IFS(Bulgaria!C43="Fuel car",Bulgaria!I43*DATA!$C$17,C43="Electric car",Bulgaria!I43*DATA!$F$5,Bulgaria!C43="Hybrid car",Bulgaria!I43*(0.5*DATA!$C$17+0.5*DATA!$F$5))</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car",$D44=1),$E44*'BG '!C$7,AND($C44="Fuel car",$D44=2),$E44*'BG '!C$8,AND($C44="Fuel car",$D44=3),$E44*'BG '!C$9,AND($C44="Fuel car",$D44=4),$E44*'BG '!C$10,AND($C44="Fuel car",$D44=5),$E44*'BG '!C$11,AND($C44="Motorcycle",$D44=1),$E44*'BG '!C$13,AND($C44="Motorcycle",$D44=2),$E44*'BG '!C$14,AND($C44="Electric car",$D44=1),$E44*'BG '!C$16,AND($C44="Electric car",$D44=2),$E44*'BG '!C$17,AND($C44="Electric car",$D44=3),$E44*'BG '!C$18,AND($C44="Electric car",$D44=4),$E44*'BG '!C$19,AND($C44="Electric car",$D44=5),$E44*'BG '!C$20,AND($C44="Hybrid car",$D44=1),$E44*'BG '!C$22,AND($C44="Hybrid car",$D44=2),$E44*'BG '!C$23,AND($C44="Hybrid car",$D44=3),$E44*'BG '!C$24,AND($C44="Hybrid car",$D44=4),$E44*'BG '!C$25,AND($C44="Hybrid car",$D44=5),$E44*'BG '!C$26,AND($C44="Electric motorcycle",$D44=1),$E44*'BG '!C$28,AND($C44="Electric motorcycle",$D44=2),$E44*'BG '!C$29,AND($C44="Electric bike",$D44=1),$E44*'BG '!C$31,AND($C44="Electric scooter",$D44=1),$E44*'BG '!C$33,AND($C44="Bus",$D44="Almost empty"),$E44*'BG '!H$23,AND($C44="Bus",$D44="Average"),$E44*'BG '!H$24,AND($C44="Bus",$D44="Nearly full"),$E44*'BG '!H$25,AND($C44="Electric bus",$D44="Almost empty"),$E44*'BG '!H$7,AND($C44="Electric bus",$D44="Average"),$E44*'BG '!H$8,AND($C44="Electric bus",$D44="Nearly full"),$E44*'BG '!H$9,AND($C44="Diesel bus",$D44="Almost empty"),$E44*'BG '!H$19,AND($C44="Diesel bus",$D44="Average"),$E44*'BG '!H$20,AND($C44="Diesel bus",$D44="Nearly full"),$E44*'BG '!H$21,AND($C44="Hybrid-electric bus",$D44="Almost empty"),$E44*'BG '!H$11,AND($C44="Hybrid-electric bus",$D44="Average"),$E44*'BG '!H$12,AND($C44="Hybrid-electric bus",$D44="Nearly full"),$E44*'BG '!H$13,AND($C44="Alternative fuel bus",$D44="Almost empty"),$E44*'BG '!H$15,AND($C44="Alternative fuel bus",$D44="Average"),$E44*'BG '!H$16,AND($C44="Alternative fuel bus",$D44="Nearly full"),$E44*'BG '!H$17,AND($C44="Metro, tram, urban light train",$D44="Almost empty"),$E44*'BG '!C$35,AND($C44="Metro, tram, urban light train",$D44="Average"),$E44*'BG '!C$36,AND($C44="Metro, tram, urban light train",$D44="Nearly full"),$E44*'BG '!C$37,AND($C44="Electric passenger train",$D44="Almost empty"),$E44*'BG '!C$39,AND($C44="Electric passenger train",$D44="Average"),$E44*'BG '!C$40,AND($C44="Electric passenger train",$D44="Nearly full"),$E44*'BG '!C$41,AND($C44="Diesel passenger train",$D44="Almost empty"),$E44*'BG '!C$47,AND($C44="Diesel passenger train",$D44="Average"),$E44*'BG '!C$48,AND($C44="Diesel passenger train",$D44="Nearly full"),$E44*'BG '!C$49,AND($C44="Walking"),$E44*0,AND($C44="Bike"),$E44*0,AND($C44="Plane - domestic flight"),$E44*'BG '!$C68,AND($C44="Plane - international - intra EU"),$E44*'BG '!$C70,AND($C44="Plane - international (extra EU)"),$E44*'BG '!$C72)</f>
        <v>#N/A</v>
      </c>
      <c r="G44" s="31" t="e" cm="1">
        <f t="array" ref="G44">_xlfn.IFS(AND($C44="Fuel car",$D44=1),$E44*'BG '!D$7,AND($C44="Fuel car",$D44=2),$E44*'BG '!D$8,AND($C44="Fuel car",$D44=3),$E44*'BG '!D$9,AND($C44="Fuel car",$D44=4),$E44*'BG '!D$10,AND($C44="Fuel car",$D44=5),$E44*'BG '!D$11,AND($C44="Motorcycle",$D44=1),$E44*'BG '!D$13,AND($C44="Motorcycle",$D44=2),$E44*'BG '!D$14,AND($C44="Electric car",$D44=1),$E44*'BG '!D$16,AND($C44="Electric car",$D44=2),$E44*'BG '!D$17,AND($C44="Electric car",$D44=3),$E44*'BG '!D$18,AND($C44="Electric car",$D44=4),$E44*'BG '!D$19,AND($C44="Electric car",$D44=5),$E44*'BG '!D$20,AND($C44="Hybrid car",$D44=1),$E44*'BG '!D$22,AND($C44="Hybrid car",$D44=2),$E44*'BG '!D$23,AND($C44="Hybrid car",$D44=3),$E44*'BG '!D$24,AND($C44="Hybrid car",$D44=4),$E44*'BG '!D$25,AND($C44="Hybrid car",$D44=5),$E44*'BG '!D$26,AND($C44="Electric motorcycle",$D44=1),$E44*'BG '!D$28,AND($C44="Electric motorcycle",$D44=2),$E44*'BG '!D$29,AND($C44="Electric bike",$D44=1),$E44*'BG '!D$31,AND($C44="Electric scooter",$D44=1),$E44*'BG '!D$33,AND($C44="Bus",$D44="Almost empty"),$E44*'BG '!I$23,AND($C44="Bus",$D44="Average"),$E44*'BG '!I$24,AND($C44="Bus",$D44="Nearly full"),$E44*'BG '!I$25,AND($C44="Electric bus",$D44="Almost empty"),$E44*'BG '!I$7,AND($C44="Electric bus",$D44="Average"),$E44*'BG '!I$8,AND($C44="Electric bus",$D44="Nearly full"),$E44*'BG '!I$9,AND($C44="Diesel bus",$D44="Almost empty"),$E44*'BG '!I$19,AND($C44="Diesel bus",$D44="Average"),$E44*'BG '!I$20,AND($C44="Diesel bus",$D44="Nearly full"),$E44*'BG '!I$21,AND($C44="Hybrid-electric bus",$D44="Almost empty"),$E44*'BG '!I$11,AND($C44="Hybrid-electric bus",$D44="Average"),$E44*'BG '!I$12,AND($C44="Hybrid-electric bus",$D44="Nearly full"),$E44*'BG '!I$13,AND($C44="Alternative fuel bus",$D44="Almost empty"),$E44*'BG '!I$15,AND($C44="Alternative fuel bus",$D44="Average"),$E44*'BG '!I$16,AND($C44="Alternative fuel bus",$D44="Nearly full"),$E44*'BG '!I$17,AND($C44="Metro, tram, urban light train",$D44="Almost empty"),$E44*'BG '!D$35,AND($C44="Metro, tram, urban light train",$D44="Average"),$E44*'BG '!D$36,AND($C44="Metro, tram, urban light train",$D44="Nearly full"),$E44*'BG '!D$37,AND($C44="Electric passenger train",$D44="Almost empty"),$E44*'BG '!D$39,AND($C44="Electric passenger train",$D44="Average"),$E44*'BG '!D$40,AND($C44="Electric passenger train",$D44="Nearly full"),$E44*'BG '!D$41,AND($C44="Diesel passenger train",$D44="Almost empty"),$E44*'BG '!D$47,AND($C44="Diesel passenger train",$D44="Average"),$E44*'BG '!D$48,AND($C44="Diesel passenger train",$D44="Nearly full"),$E44*'BG '!D$49,AND($C44="Walking"),$E44*0,AND($C44="Bike"),$E44*0,AND($C44="Plane - domestic flight"),$E44*'BG '!$C68,AND($C44="Plane - international - intra EU"),$E44*'BG '!$C70,AND($C44="Plane - international (extra EU)"),$E44*'BG '!$C72)</f>
        <v>#N/A</v>
      </c>
      <c r="L44" s="218"/>
      <c r="M44" s="219"/>
      <c r="N44" s="220"/>
    </row>
    <row r="45" spans="1:14" ht="14.5" customHeight="1" x14ac:dyDescent="0.2">
      <c r="A45" s="222"/>
      <c r="B45" s="30"/>
      <c r="C45" s="15"/>
      <c r="D45" s="15"/>
      <c r="E45" s="15"/>
      <c r="F45" s="123" t="e" cm="1">
        <f t="array" ref="F45">_xlfn.IFS(AND($C45="Fuel car",$D45=1),$E45*'BG '!C$7,AND($C45="Fuel car",$D45=2),$E45*'BG '!C$8,AND($C45="Fuel car",$D45=3),$E45*'BG '!C$9,AND($C45="Fuel car",$D45=4),$E45*'BG '!C$10,AND($C45="Fuel car",$D45=5),$E45*'BG '!C$11,AND($C45="Motorcycle",$D45=1),$E45*'BG '!C$13,AND($C45="Motorcycle",$D45=2),$E45*'BG '!C$14,AND($C45="Electric car",$D45=1),$E45*'BG '!C$16,AND($C45="Electric car",$D45=2),$E45*'BG '!C$17,AND($C45="Electric car",$D45=3),$E45*'BG '!C$18,AND($C45="Electric car",$D45=4),$E45*'BG '!C$19,AND($C45="Electric car",$D45=5),$E45*'BG '!C$20,AND($C45="Hybrid car",$D45=1),$E45*'BG '!C$22,AND($C45="Hybrid car",$D45=2),$E45*'BG '!C$23,AND($C45="Hybrid car",$D45=3),$E45*'BG '!C$24,AND($C45="Hybrid car",$D45=4),$E45*'BG '!C$25,AND($C45="Hybrid car",$D45=5),$E45*'BG '!C$26,AND($C45="Electric motorcycle",$D45=1),$E45*'BG '!C$28,AND($C45="Electric motorcycle",$D45=2),$E45*'BG '!C$29,AND($C45="Electric bike",$D45=1),$E45*'BG '!C$31,AND($C45="Electric scooter",$D45=1),$E45*'BG '!C$33,AND($C45="Bus",$D45="Almost empty"),$E45*'BG '!H$23,AND($C45="Bus",$D45="Average"),$E45*'BG '!H$24,AND($C45="Bus",$D45="Nearly full"),$E45*'BG '!H$25,AND($C45="Electric bus",$D45="Almost empty"),$E45*'BG '!H$7,AND($C45="Electric bus",$D45="Average"),$E45*'BG '!H$8,AND($C45="Electric bus",$D45="Nearly full"),$E45*'BG '!H$9,AND($C45="Diesel bus",$D45="Almost empty"),$E45*'BG '!H$19,AND($C45="Diesel bus",$D45="Average"),$E45*'BG '!H$20,AND($C45="Diesel bus",$D45="Nearly full"),$E45*'BG '!H$21,AND($C45="Hybrid-electric bus",$D45="Almost empty"),$E45*'BG '!H$11,AND($C45="Hybrid-electric bus",$D45="Average"),$E45*'BG '!H$12,AND($C45="Hybrid-electric bus",$D45="Nearly full"),$E45*'BG '!H$13,AND($C45="Alternative fuel bus",$D45="Almost empty"),$E45*'BG '!H$15,AND($C45="Alternative fuel bus",$D45="Average"),$E45*'BG '!H$16,AND($C45="Alternative fuel bus",$D45="Nearly full"),$E45*'BG '!H$17,AND($C45="Metro, tram, urban light train",$D45="Almost empty"),$E45*'BG '!C$35,AND($C45="Metro, tram, urban light train",$D45="Average"),$E45*'BG '!C$36,AND($C45="Metro, tram, urban light train",$D45="Nearly full"),$E45*'BG '!C$37,AND($C45="Electric passenger train",$D45="Almost empty"),$E45*'BG '!C$39,AND($C45="Electric passenger train",$D45="Average"),$E45*'BG '!C$40,AND($C45="Electric passenger train",$D45="Nearly full"),$E45*'BG '!C$41,AND($C45="Diesel passenger train",$D45="Almost empty"),$E45*'BG '!C$47,AND($C45="Diesel passenger train",$D45="Average"),$E45*'BG '!C$48,AND($C45="Diesel passenger train",$D45="Nearly full"),$E45*'BG '!C$49,AND($C45="Walking"),$E45*0,AND($C45="Bike"),$E45*0,AND($C45="Plane - domestic flight"),$E45*'BG '!$C69,AND($C45="Plane - international - intra EU"),$E45*'BG '!$C71,AND($C45="Plane - international (extra EU)"),$E45*'BG '!$C73)</f>
        <v>#N/A</v>
      </c>
      <c r="G45" s="31" t="e" cm="1">
        <f t="array" ref="G45">_xlfn.IFS(AND($C45="Fuel car",$D45=1),$E45*'BG '!D$7,AND($C45="Fuel car",$D45=2),$E45*'BG '!D$8,AND($C45="Fuel car",$D45=3),$E45*'BG '!D$9,AND($C45="Fuel car",$D45=4),$E45*'BG '!D$10,AND($C45="Fuel car",$D45=5),$E45*'BG '!D$11,AND($C45="Motorcycle",$D45=1),$E45*'BG '!D$13,AND($C45="Motorcycle",$D45=2),$E45*'BG '!D$14,AND($C45="Electric car",$D45=1),$E45*'BG '!D$16,AND($C45="Electric car",$D45=2),$E45*'BG '!D$17,AND($C45="Electric car",$D45=3),$E45*'BG '!D$18,AND($C45="Electric car",$D45=4),$E45*'BG '!D$19,AND($C45="Electric car",$D45=5),$E45*'BG '!D$20,AND($C45="Hybrid car",$D45=1),$E45*'BG '!D$22,AND($C45="Hybrid car",$D45=2),$E45*'BG '!D$23,AND($C45="Hybrid car",$D45=3),$E45*'BG '!D$24,AND($C45="Hybrid car",$D45=4),$E45*'BG '!D$25,AND($C45="Hybrid car",$D45=5),$E45*'BG '!D$26,AND($C45="Electric motorcycle",$D45=1),$E45*'BG '!D$28,AND($C45="Electric motorcycle",$D45=2),$E45*'BG '!D$29,AND($C45="Electric bike",$D45=1),$E45*'BG '!D$31,AND($C45="Electric scooter",$D45=1),$E45*'BG '!D$33,AND($C45="Bus",$D45="Almost empty"),$E45*'BG '!I$23,AND($C45="Bus",$D45="Average"),$E45*'BG '!I$24,AND($C45="Bus",$D45="Nearly full"),$E45*'BG '!I$25,AND($C45="Electric bus",$D45="Almost empty"),$E45*'BG '!I$7,AND($C45="Electric bus",$D45="Average"),$E45*'BG '!I$8,AND($C45="Electric bus",$D45="Nearly full"),$E45*'BG '!I$9,AND($C45="Diesel bus",$D45="Almost empty"),$E45*'BG '!I$19,AND($C45="Diesel bus",$D45="Average"),$E45*'BG '!I$20,AND($C45="Diesel bus",$D45="Nearly full"),$E45*'BG '!I$21,AND($C45="Hybrid-electric bus",$D45="Almost empty"),$E45*'BG '!I$11,AND($C45="Hybrid-electric bus",$D45="Average"),$E45*'BG '!I$12,AND($C45="Hybrid-electric bus",$D45="Nearly full"),$E45*'BG '!I$13,AND($C45="Alternative fuel bus",$D45="Almost empty"),$E45*'BG '!I$15,AND($C45="Alternative fuel bus",$D45="Average"),$E45*'BG '!I$16,AND($C45="Alternative fuel bus",$D45="Nearly full"),$E45*'BG '!I$17,AND($C45="Metro, tram, urban light train",$D45="Almost empty"),$E45*'BG '!D$35,AND($C45="Metro, tram, urban light train",$D45="Average"),$E45*'BG '!D$36,AND($C45="Metro, tram, urban light train",$D45="Nearly full"),$E45*'BG '!D$37,AND($C45="Electric passenger train",$D45="Almost empty"),$E45*'BG '!D$39,AND($C45="Electric passenger train",$D45="Average"),$E45*'BG '!D$40,AND($C45="Electric passenger train",$D45="Nearly full"),$E45*'BG '!D$41,AND($C45="Diesel passenger train",$D45="Almost empty"),$E45*'BG '!D$47,AND($C45="Diesel passenger train",$D45="Average"),$E45*'BG '!D$48,AND($C45="Diesel passenger train",$D45="Nearly full"),$E45*'BG '!D$49,AND($C45="Walking"),$E45*0,AND($C45="Bike"),$E45*0,AND($C45="Plane - domestic flight"),$E45*'BG '!$C69,AND($C45="Plane - international - intra EU"),$E45*'BG '!$C71,AND($C45="Plane - international (extra EU)"),$E45*'BG '!$C73)</f>
        <v>#N/A</v>
      </c>
      <c r="L45" s="198" t="s">
        <v>256</v>
      </c>
      <c r="M45" s="199"/>
      <c r="N45" s="200"/>
    </row>
    <row r="46" spans="1:14" ht="16" thickBot="1" x14ac:dyDescent="0.25">
      <c r="A46" s="222"/>
      <c r="B46" s="30"/>
      <c r="C46" s="15"/>
      <c r="D46" s="15"/>
      <c r="E46" s="15"/>
      <c r="F46" s="123" t="e" cm="1">
        <f t="array" ref="F46">_xlfn.IFS(AND($C46="Fuel car",$D46=1),$E46*'BG '!C$7,AND($C46="Fuel car",$D46=2),$E46*'BG '!C$8,AND($C46="Fuel car",$D46=3),$E46*'BG '!C$9,AND($C46="Fuel car",$D46=4),$E46*'BG '!C$10,AND($C46="Fuel car",$D46=5),$E46*'BG '!C$11,AND($C46="Motorcycle",$D46=1),$E46*'BG '!C$13,AND($C46="Motorcycle",$D46=2),$E46*'BG '!C$14,AND($C46="Electric car",$D46=1),$E46*'BG '!C$16,AND($C46="Electric car",$D46=2),$E46*'BG '!C$17,AND($C46="Electric car",$D46=3),$E46*'BG '!C$18,AND($C46="Electric car",$D46=4),$E46*'BG '!C$19,AND($C46="Electric car",$D46=5),$E46*'BG '!C$20,AND($C46="Hybrid car",$D46=1),$E46*'BG '!C$22,AND($C46="Hybrid car",$D46=2),$E46*'BG '!C$23,AND($C46="Hybrid car",$D46=3),$E46*'BG '!C$24,AND($C46="Hybrid car",$D46=4),$E46*'BG '!C$25,AND($C46="Hybrid car",$D46=5),$E46*'BG '!C$26,AND($C46="Electric motorcycle",$D46=1),$E46*'BG '!C$28,AND($C46="Electric motorcycle",$D46=2),$E46*'BG '!C$29,AND($C46="Electric bike",$D46=1),$E46*'BG '!C$31,AND($C46="Electric scooter",$D46=1),$E46*'BG '!C$33,AND($C46="Bus",$D46="Almost empty"),$E46*'BG '!H$23,AND($C46="Bus",$D46="Average"),$E46*'BG '!H$24,AND($C46="Bus",$D46="Nearly full"),$E46*'BG '!H$25,AND($C46="Electric bus",$D46="Almost empty"),$E46*'BG '!H$7,AND($C46="Electric bus",$D46="Average"),$E46*'BG '!H$8,AND($C46="Electric bus",$D46="Nearly full"),$E46*'BG '!H$9,AND($C46="Diesel bus",$D46="Almost empty"),$E46*'BG '!H$19,AND($C46="Diesel bus",$D46="Average"),$E46*'BG '!H$20,AND($C46="Diesel bus",$D46="Nearly full"),$E46*'BG '!H$21,AND($C46="Hybrid-electric bus",$D46="Almost empty"),$E46*'BG '!H$11,AND($C46="Hybrid-electric bus",$D46="Average"),$E46*'BG '!H$12,AND($C46="Hybrid-electric bus",$D46="Nearly full"),$E46*'BG '!H$13,AND($C46="Alternative fuel bus",$D46="Almost empty"),$E46*'BG '!H$15,AND($C46="Alternative fuel bus",$D46="Average"),$E46*'BG '!H$16,AND($C46="Alternative fuel bus",$D46="Nearly full"),$E46*'BG '!H$17,AND($C46="Metro, tram, urban light train",$D46="Almost empty"),$E46*'BG '!C$35,AND($C46="Metro, tram, urban light train",$D46="Average"),$E46*'BG '!C$36,AND($C46="Metro, tram, urban light train",$D46="Nearly full"),$E46*'BG '!C$37,AND($C46="Electric passenger train",$D46="Almost empty"),$E46*'BG '!C$39,AND($C46="Electric passenger train",$D46="Average"),$E46*'BG '!C$40,AND($C46="Electric passenger train",$D46="Nearly full"),$E46*'BG '!C$41,AND($C46="Diesel passenger train",$D46="Almost empty"),$E46*'BG '!C$47,AND($C46="Diesel passenger train",$D46="Average"),$E46*'BG '!C$48,AND($C46="Diesel passenger train",$D46="Nearly full"),$E46*'BG '!C$49,AND($C46="Walking"),$E46*0,AND($C46="Bike"),$E46*0,AND($C46="Plane - domestic flight"),$E46*'BG '!$C70,AND($C46="Plane - international - intra EU"),$E46*'BG '!$C72,AND($C46="Plane - international (extra EU)"),$E46*'BG '!$C74)</f>
        <v>#N/A</v>
      </c>
      <c r="G46" s="31" t="e" cm="1">
        <f t="array" ref="G46">_xlfn.IFS(AND($C46="Fuel car",$D46=1),$E46*'BG '!D$7,AND($C46="Fuel car",$D46=2),$E46*'BG '!D$8,AND($C46="Fuel car",$D46=3),$E46*'BG '!D$9,AND($C46="Fuel car",$D46=4),$E46*'BG '!D$10,AND($C46="Fuel car",$D46=5),$E46*'BG '!D$11,AND($C46="Motorcycle",$D46=1),$E46*'BG '!D$13,AND($C46="Motorcycle",$D46=2),$E46*'BG '!D$14,AND($C46="Electric car",$D46=1),$E46*'BG '!D$16,AND($C46="Electric car",$D46=2),$E46*'BG '!D$17,AND($C46="Electric car",$D46=3),$E46*'BG '!D$18,AND($C46="Electric car",$D46=4),$E46*'BG '!D$19,AND($C46="Electric car",$D46=5),$E46*'BG '!D$20,AND($C46="Hybrid car",$D46=1),$E46*'BG '!D$22,AND($C46="Hybrid car",$D46=2),$E46*'BG '!D$23,AND($C46="Hybrid car",$D46=3),$E46*'BG '!D$24,AND($C46="Hybrid car",$D46=4),$E46*'BG '!D$25,AND($C46="Hybrid car",$D46=5),$E46*'BG '!D$26,AND($C46="Electric motorcycle",$D46=1),$E46*'BG '!D$28,AND($C46="Electric motorcycle",$D46=2),$E46*'BG '!D$29,AND($C46="Electric bike",$D46=1),$E46*'BG '!D$31,AND($C46="Electric scooter",$D46=1),$E46*'BG '!D$33,AND($C46="Bus",$D46="Almost empty"),$E46*'BG '!I$23,AND($C46="Bus",$D46="Average"),$E46*'BG '!I$24,AND($C46="Bus",$D46="Nearly full"),$E46*'BG '!I$25,AND($C46="Electric bus",$D46="Almost empty"),$E46*'BG '!I$7,AND($C46="Electric bus",$D46="Average"),$E46*'BG '!I$8,AND($C46="Electric bus",$D46="Nearly full"),$E46*'BG '!I$9,AND($C46="Diesel bus",$D46="Almost empty"),$E46*'BG '!I$19,AND($C46="Diesel bus",$D46="Average"),$E46*'BG '!I$20,AND($C46="Diesel bus",$D46="Nearly full"),$E46*'BG '!I$21,AND($C46="Hybrid-electric bus",$D46="Almost empty"),$E46*'BG '!I$11,AND($C46="Hybrid-electric bus",$D46="Average"),$E46*'BG '!I$12,AND($C46="Hybrid-electric bus",$D46="Nearly full"),$E46*'BG '!I$13,AND($C46="Alternative fuel bus",$D46="Almost empty"),$E46*'BG '!I$15,AND($C46="Alternative fuel bus",$D46="Average"),$E46*'BG '!I$16,AND($C46="Alternative fuel bus",$D46="Nearly full"),$E46*'BG '!I$17,AND($C46="Metro, tram, urban light train",$D46="Almost empty"),$E46*'BG '!D$35,AND($C46="Metro, tram, urban light train",$D46="Average"),$E46*'BG '!D$36,AND($C46="Metro, tram, urban light train",$D46="Nearly full"),$E46*'BG '!D$37,AND($C46="Electric passenger train",$D46="Almost empty"),$E46*'BG '!D$39,AND($C46="Electric passenger train",$D46="Average"),$E46*'BG '!D$40,AND($C46="Electric passenger train",$D46="Nearly full"),$E46*'BG '!D$41,AND($C46="Diesel passenger train",$D46="Almost empty"),$E46*'BG '!D$47,AND($C46="Diesel passenger train",$D46="Average"),$E46*'BG '!D$48,AND($C46="Diesel passenger train",$D46="Nearly full"),$E46*'BG '!D$49,AND($C46="Walking"),$E46*0,AND($C46="Bike"),$E46*0,AND($C46="Plane - domestic flight"),$E46*'BG '!$C70,AND($C46="Plane - international - intra EU"),$E46*'BG '!$C72,AND($C46="Plane - international (extra EU)"),$E46*'BG '!$C74)</f>
        <v>#N/A</v>
      </c>
      <c r="L46" s="246"/>
      <c r="M46" s="247"/>
      <c r="N46" s="248"/>
    </row>
    <row r="47" spans="1:14" ht="20" thickBot="1" x14ac:dyDescent="0.25">
      <c r="A47" s="222"/>
      <c r="B47" s="30"/>
      <c r="C47" s="15"/>
      <c r="D47" s="15"/>
      <c r="E47" s="15"/>
      <c r="F47" s="123" t="e" cm="1">
        <f t="array" ref="F47">_xlfn.IFS(AND($C47="Fuel car",$D47=1),$E47*'BG '!C$7,AND($C47="Fuel car",$D47=2),$E47*'BG '!C$8,AND($C47="Fuel car",$D47=3),$E47*'BG '!C$9,AND($C47="Fuel car",$D47=4),$E47*'BG '!C$10,AND($C47="Fuel car",$D47=5),$E47*'BG '!C$11,AND($C47="Motorcycle",$D47=1),$E47*'BG '!C$13,AND($C47="Motorcycle",$D47=2),$E47*'BG '!C$14,AND($C47="Electric car",$D47=1),$E47*'BG '!C$16,AND($C47="Electric car",$D47=2),$E47*'BG '!C$17,AND($C47="Electric car",$D47=3),$E47*'BG '!C$18,AND($C47="Electric car",$D47=4),$E47*'BG '!C$19,AND($C47="Electric car",$D47=5),$E47*'BG '!C$20,AND($C47="Hybrid car",$D47=1),$E47*'BG '!C$22,AND($C47="Hybrid car",$D47=2),$E47*'BG '!C$23,AND($C47="Hybrid car",$D47=3),$E47*'BG '!C$24,AND($C47="Hybrid car",$D47=4),$E47*'BG '!C$25,AND($C47="Hybrid car",$D47=5),$E47*'BG '!C$26,AND($C47="Electric motorcycle",$D47=1),$E47*'BG '!C$28,AND($C47="Electric motorcycle",$D47=2),$E47*'BG '!C$29,AND($C47="Electric bike",$D47=1),$E47*'BG '!C$31,AND($C47="Electric scooter",$D47=1),$E47*'BG '!C$33,AND($C47="Bus",$D47="Almost empty"),$E47*'BG '!H$23,AND($C47="Bus",$D47="Average"),$E47*'BG '!H$24,AND($C47="Bus",$D47="Nearly full"),$E47*'BG '!H$25,AND($C47="Electric bus",$D47="Almost empty"),$E47*'BG '!H$7,AND($C47="Electric bus",$D47="Average"),$E47*'BG '!H$8,AND($C47="Electric bus",$D47="Nearly full"),$E47*'BG '!H$9,AND($C47="Diesel bus",$D47="Almost empty"),$E47*'BG '!H$19,AND($C47="Diesel bus",$D47="Average"),$E47*'BG '!H$20,AND($C47="Diesel bus",$D47="Nearly full"),$E47*'BG '!H$21,AND($C47="Hybrid-electric bus",$D47="Almost empty"),$E47*'BG '!H$11,AND($C47="Hybrid-electric bus",$D47="Average"),$E47*'BG '!H$12,AND($C47="Hybrid-electric bus",$D47="Nearly full"),$E47*'BG '!H$13,AND($C47="Alternative fuel bus",$D47="Almost empty"),$E47*'BG '!H$15,AND($C47="Alternative fuel bus",$D47="Average"),$E47*'BG '!H$16,AND($C47="Alternative fuel bus",$D47="Nearly full"),$E47*'BG '!H$17,AND($C47="Metro, tram, urban light train",$D47="Almost empty"),$E47*'BG '!C$35,AND($C47="Metro, tram, urban light train",$D47="Average"),$E47*'BG '!C$36,AND($C47="Metro, tram, urban light train",$D47="Nearly full"),$E47*'BG '!C$37,AND($C47="Electric passenger train",$D47="Almost empty"),$E47*'BG '!C$39,AND($C47="Electric passenger train",$D47="Average"),$E47*'BG '!C$40,AND($C47="Electric passenger train",$D47="Nearly full"),$E47*'BG '!C$41,AND($C47="Diesel passenger train",$D47="Almost empty"),$E47*'BG '!C$47,AND($C47="Diesel passenger train",$D47="Average"),$E47*'BG '!C$48,AND($C47="Diesel passenger train",$D47="Nearly full"),$E47*'BG '!C$49,AND($C47="Walking"),$E47*0,AND($C47="Bike"),$E47*0,AND($C47="Plane - domestic flight"),$E47*'BG '!$C71,AND($C47="Plane - international - intra EU"),$E47*'BG '!$C73,AND($C47="Plane - international (extra EU)"),$E47*'BG '!$C75)</f>
        <v>#N/A</v>
      </c>
      <c r="G47" s="31" t="e" cm="1">
        <f t="array" ref="G47">_xlfn.IFS(AND($C47="Fuel car",$D47=1),$E47*'BG '!D$7,AND($C47="Fuel car",$D47=2),$E47*'BG '!D$8,AND($C47="Fuel car",$D47=3),$E47*'BG '!D$9,AND($C47="Fuel car",$D47=4),$E47*'BG '!D$10,AND($C47="Fuel car",$D47=5),$E47*'BG '!D$11,AND($C47="Motorcycle",$D47=1),$E47*'BG '!D$13,AND($C47="Motorcycle",$D47=2),$E47*'BG '!D$14,AND($C47="Electric car",$D47=1),$E47*'BG '!D$16,AND($C47="Electric car",$D47=2),$E47*'BG '!D$17,AND($C47="Electric car",$D47=3),$E47*'BG '!D$18,AND($C47="Electric car",$D47=4),$E47*'BG '!D$19,AND($C47="Electric car",$D47=5),$E47*'BG '!D$20,AND($C47="Hybrid car",$D47=1),$E47*'BG '!D$22,AND($C47="Hybrid car",$D47=2),$E47*'BG '!D$23,AND($C47="Hybrid car",$D47=3),$E47*'BG '!D$24,AND($C47="Hybrid car",$D47=4),$E47*'BG '!D$25,AND($C47="Hybrid car",$D47=5),$E47*'BG '!D$26,AND($C47="Electric motorcycle",$D47=1),$E47*'BG '!D$28,AND($C47="Electric motorcycle",$D47=2),$E47*'BG '!D$29,AND($C47="Electric bike",$D47=1),$E47*'BG '!D$31,AND($C47="Electric scooter",$D47=1),$E47*'BG '!D$33,AND($C47="Bus",$D47="Almost empty"),$E47*'BG '!I$23,AND($C47="Bus",$D47="Average"),$E47*'BG '!I$24,AND($C47="Bus",$D47="Nearly full"),$E47*'BG '!I$25,AND($C47="Electric bus",$D47="Almost empty"),$E47*'BG '!I$7,AND($C47="Electric bus",$D47="Average"),$E47*'BG '!I$8,AND($C47="Electric bus",$D47="Nearly full"),$E47*'BG '!I$9,AND($C47="Diesel bus",$D47="Almost empty"),$E47*'BG '!I$19,AND($C47="Diesel bus",$D47="Average"),$E47*'BG '!I$20,AND($C47="Diesel bus",$D47="Nearly full"),$E47*'BG '!I$21,AND($C47="Hybrid-electric bus",$D47="Almost empty"),$E47*'BG '!I$11,AND($C47="Hybrid-electric bus",$D47="Average"),$E47*'BG '!I$12,AND($C47="Hybrid-electric bus",$D47="Nearly full"),$E47*'BG '!I$13,AND($C47="Alternative fuel bus",$D47="Almost empty"),$E47*'BG '!I$15,AND($C47="Alternative fuel bus",$D47="Average"),$E47*'BG '!I$16,AND($C47="Alternative fuel bus",$D47="Nearly full"),$E47*'BG '!I$17,AND($C47="Metro, tram, urban light train",$D47="Almost empty"),$E47*'BG '!D$35,AND($C47="Metro, tram, urban light train",$D47="Average"),$E47*'BG '!D$36,AND($C47="Metro, tram, urban light train",$D47="Nearly full"),$E47*'BG '!D$37,AND($C47="Electric passenger train",$D47="Almost empty"),$E47*'BG '!D$39,AND($C47="Electric passenger train",$D47="Average"),$E47*'BG '!D$40,AND($C47="Electric passenger train",$D47="Nearly full"),$E47*'BG '!D$41,AND($C47="Diesel passenger train",$D47="Almost empty"),$E47*'BG '!D$47,AND($C47="Diesel passenger train",$D47="Average"),$E47*'BG '!D$48,AND($C47="Diesel passenger train",$D47="Nearly full"),$E47*'BG '!D$49,AND($C47="Walking"),$E47*0,AND($C47="Bike"),$E47*0,AND($C47="Plane - domestic flight"),$E47*'BG '!$C71,AND($C47="Plane - international - intra EU"),$E47*'BG '!$C73,AND($C47="Plane - international (extra EU)"),$E47*'BG '!$C75)</f>
        <v>#N/A</v>
      </c>
      <c r="L47" s="238" t="s">
        <v>56</v>
      </c>
      <c r="M47" s="239"/>
      <c r="N47" s="240"/>
    </row>
    <row r="48" spans="1:14" ht="16" thickBot="1" x14ac:dyDescent="0.25">
      <c r="A48" s="222"/>
      <c r="B48" s="30"/>
      <c r="C48" s="15"/>
      <c r="D48" s="15"/>
      <c r="E48" s="15"/>
      <c r="F48" s="123" t="e" cm="1">
        <f t="array" ref="F48">_xlfn.IFS(AND($C48="Fuel car",$D48=1),$E48*'BG '!C$7,AND($C48="Fuel car",$D48=2),$E48*'BG '!C$8,AND($C48="Fuel car",$D48=3),$E48*'BG '!C$9,AND($C48="Fuel car",$D48=4),$E48*'BG '!C$10,AND($C48="Fuel car",$D48=5),$E48*'BG '!C$11,AND($C48="Motorcycle",$D48=1),$E48*'BG '!C$13,AND($C48="Motorcycle",$D48=2),$E48*'BG '!C$14,AND($C48="Electric car",$D48=1),$E48*'BG '!C$16,AND($C48="Electric car",$D48=2),$E48*'BG '!C$17,AND($C48="Electric car",$D48=3),$E48*'BG '!C$18,AND($C48="Electric car",$D48=4),$E48*'BG '!C$19,AND($C48="Electric car",$D48=5),$E48*'BG '!C$20,AND($C48="Hybrid car",$D48=1),$E48*'BG '!C$22,AND($C48="Hybrid car",$D48=2),$E48*'BG '!C$23,AND($C48="Hybrid car",$D48=3),$E48*'BG '!C$24,AND($C48="Hybrid car",$D48=4),$E48*'BG '!C$25,AND($C48="Hybrid car",$D48=5),$E48*'BG '!C$26,AND($C48="Electric motorcycle",$D48=1),$E48*'BG '!C$28,AND($C48="Electric motorcycle",$D48=2),$E48*'BG '!C$29,AND($C48="Electric bike",$D48=1),$E48*'BG '!C$31,AND($C48="Electric scooter",$D48=1),$E48*'BG '!C$33,AND($C48="Bus",$D48="Almost empty"),$E48*'BG '!H$23,AND($C48="Bus",$D48="Average"),$E48*'BG '!H$24,AND($C48="Bus",$D48="Nearly full"),$E48*'BG '!H$25,AND($C48="Electric bus",$D48="Almost empty"),$E48*'BG '!H$7,AND($C48="Electric bus",$D48="Average"),$E48*'BG '!H$8,AND($C48="Electric bus",$D48="Nearly full"),$E48*'BG '!H$9,AND($C48="Diesel bus",$D48="Almost empty"),$E48*'BG '!H$19,AND($C48="Diesel bus",$D48="Average"),$E48*'BG '!H$20,AND($C48="Diesel bus",$D48="Nearly full"),$E48*'BG '!H$21,AND($C48="Hybrid-electric bus",$D48="Almost empty"),$E48*'BG '!H$11,AND($C48="Hybrid-electric bus",$D48="Average"),$E48*'BG '!H$12,AND($C48="Hybrid-electric bus",$D48="Nearly full"),$E48*'BG '!H$13,AND($C48="Alternative fuel bus",$D48="Almost empty"),$E48*'BG '!H$15,AND($C48="Alternative fuel bus",$D48="Average"),$E48*'BG '!H$16,AND($C48="Alternative fuel bus",$D48="Nearly full"),$E48*'BG '!H$17,AND($C48="Metro, tram, urban light train",$D48="Almost empty"),$E48*'BG '!C$35,AND($C48="Metro, tram, urban light train",$D48="Average"),$E48*'BG '!C$36,AND($C48="Metro, tram, urban light train",$D48="Nearly full"),$E48*'BG '!C$37,AND($C48="Electric passenger train",$D48="Almost empty"),$E48*'BG '!C$39,AND($C48="Electric passenger train",$D48="Average"),$E48*'BG '!C$40,AND($C48="Electric passenger train",$D48="Nearly full"),$E48*'BG '!C$41,AND($C48="Diesel passenger train",$D48="Almost empty"),$E48*'BG '!C$47,AND($C48="Diesel passenger train",$D48="Average"),$E48*'BG '!C$48,AND($C48="Diesel passenger train",$D48="Nearly full"),$E48*'BG '!C$49,AND($C48="Walking"),$E48*0,AND($C48="Bike"),$E48*0,AND($C48="Plane - domestic flight"),$E48*'BG '!$C72,AND($C48="Plane - international - intra EU"),$E48*'BG '!$C74,AND($C48="Plane - international (extra EU)"),$E48*'BG '!$C76)</f>
        <v>#N/A</v>
      </c>
      <c r="G48" s="31" t="e" cm="1">
        <f t="array" ref="G48">_xlfn.IFS(AND($C48="Fuel car",$D48=1),$E48*'BG '!D$7,AND($C48="Fuel car",$D48=2),$E48*'BG '!D$8,AND($C48="Fuel car",$D48=3),$E48*'BG '!D$9,AND($C48="Fuel car",$D48=4),$E48*'BG '!D$10,AND($C48="Fuel car",$D48=5),$E48*'BG '!D$11,AND($C48="Motorcycle",$D48=1),$E48*'BG '!D$13,AND($C48="Motorcycle",$D48=2),$E48*'BG '!D$14,AND($C48="Electric car",$D48=1),$E48*'BG '!D$16,AND($C48="Electric car",$D48=2),$E48*'BG '!D$17,AND($C48="Electric car",$D48=3),$E48*'BG '!D$18,AND($C48="Electric car",$D48=4),$E48*'BG '!D$19,AND($C48="Electric car",$D48=5),$E48*'BG '!D$20,AND($C48="Hybrid car",$D48=1),$E48*'BG '!D$22,AND($C48="Hybrid car",$D48=2),$E48*'BG '!D$23,AND($C48="Hybrid car",$D48=3),$E48*'BG '!D$24,AND($C48="Hybrid car",$D48=4),$E48*'BG '!D$25,AND($C48="Hybrid car",$D48=5),$E48*'BG '!D$26,AND($C48="Electric motorcycle",$D48=1),$E48*'BG '!D$28,AND($C48="Electric motorcycle",$D48=2),$E48*'BG '!D$29,AND($C48="Electric bike",$D48=1),$E48*'BG '!D$31,AND($C48="Electric scooter",$D48=1),$E48*'BG '!D$33,AND($C48="Bus",$D48="Almost empty"),$E48*'BG '!I$23,AND($C48="Bus",$D48="Average"),$E48*'BG '!I$24,AND($C48="Bus",$D48="Nearly full"),$E48*'BG '!I$25,AND($C48="Electric bus",$D48="Almost empty"),$E48*'BG '!I$7,AND($C48="Electric bus",$D48="Average"),$E48*'BG '!I$8,AND($C48="Electric bus",$D48="Nearly full"),$E48*'BG '!I$9,AND($C48="Diesel bus",$D48="Almost empty"),$E48*'BG '!I$19,AND($C48="Diesel bus",$D48="Average"),$E48*'BG '!I$20,AND($C48="Diesel bus",$D48="Nearly full"),$E48*'BG '!I$21,AND($C48="Hybrid-electric bus",$D48="Almost empty"),$E48*'BG '!I$11,AND($C48="Hybrid-electric bus",$D48="Average"),$E48*'BG '!I$12,AND($C48="Hybrid-electric bus",$D48="Nearly full"),$E48*'BG '!I$13,AND($C48="Alternative fuel bus",$D48="Almost empty"),$E48*'BG '!I$15,AND($C48="Alternative fuel bus",$D48="Average"),$E48*'BG '!I$16,AND($C48="Alternative fuel bus",$D48="Nearly full"),$E48*'BG '!I$17,AND($C48="Metro, tram, urban light train",$D48="Almost empty"),$E48*'BG '!D$35,AND($C48="Metro, tram, urban light train",$D48="Average"),$E48*'BG '!D$36,AND($C48="Metro, tram, urban light train",$D48="Nearly full"),$E48*'BG '!D$37,AND($C48="Electric passenger train",$D48="Almost empty"),$E48*'BG '!D$39,AND($C48="Electric passenger train",$D48="Average"),$E48*'BG '!D$40,AND($C48="Electric passenger train",$D48="Nearly full"),$E48*'BG '!D$41,AND($C48="Diesel passenger train",$D48="Almost empty"),$E48*'BG '!D$47,AND($C48="Diesel passenger train",$D48="Average"),$E48*'BG '!D$48,AND($C48="Diesel passenger train",$D48="Nearly full"),$E48*'BG '!D$49,AND($C48="Walking"),$E48*0,AND($C48="Bike"),$E48*0,AND($C48="Plane - domestic flight"),$E48*'BG '!$C72,AND($C48="Plane - international - intra EU"),$E48*'BG '!$C74,AND($C48="Plane - international (extra EU)"),$E48*'BG '!$C76)</f>
        <v>#N/A</v>
      </c>
      <c r="H48" s="196" t="s">
        <v>67</v>
      </c>
      <c r="I48" s="197"/>
      <c r="L48" s="249"/>
      <c r="M48" s="250"/>
      <c r="N48" s="251"/>
    </row>
    <row r="49" spans="1:14" x14ac:dyDescent="0.2">
      <c r="A49" s="222"/>
      <c r="B49" s="30"/>
      <c r="C49" s="15"/>
      <c r="D49" s="15"/>
      <c r="E49" s="15"/>
      <c r="F49" s="123" t="e" cm="1">
        <f t="array" ref="F49">_xlfn.IFS(AND($C49="Fuel car",$D49=1),$E49*'BG '!C$7,AND($C49="Fuel car",$D49=2),$E49*'BG '!C$8,AND($C49="Fuel car",$D49=3),$E49*'BG '!C$9,AND($C49="Fuel car",$D49=4),$E49*'BG '!C$10,AND($C49="Fuel car",$D49=5),$E49*'BG '!C$11,AND($C49="Motorcycle",$D49=1),$E49*'BG '!C$13,AND($C49="Motorcycle",$D49=2),$E49*'BG '!C$14,AND($C49="Electric car",$D49=1),$E49*'BG '!C$16,AND($C49="Electric car",$D49=2),$E49*'BG '!C$17,AND($C49="Electric car",$D49=3),$E49*'BG '!C$18,AND($C49="Electric car",$D49=4),$E49*'BG '!C$19,AND($C49="Electric car",$D49=5),$E49*'BG '!C$20,AND($C49="Hybrid car",$D49=1),$E49*'BG '!C$22,AND($C49="Hybrid car",$D49=2),$E49*'BG '!C$23,AND($C49="Hybrid car",$D49=3),$E49*'BG '!C$24,AND($C49="Hybrid car",$D49=4),$E49*'BG '!C$25,AND($C49="Hybrid car",$D49=5),$E49*'BG '!C$26,AND($C49="Electric motorcycle",$D49=1),$E49*'BG '!C$28,AND($C49="Electric motorcycle",$D49=2),$E49*'BG '!C$29,AND($C49="Electric bike",$D49=1),$E49*'BG '!C$31,AND($C49="Electric scooter",$D49=1),$E49*'BG '!C$33,AND($C49="Bus",$D49="Almost empty"),$E49*'BG '!H$23,AND($C49="Bus",$D49="Average"),$E49*'BG '!H$24,AND($C49="Bus",$D49="Nearly full"),$E49*'BG '!H$25,AND($C49="Electric bus",$D49="Almost empty"),$E49*'BG '!H$7,AND($C49="Electric bus",$D49="Average"),$E49*'BG '!H$8,AND($C49="Electric bus",$D49="Nearly full"),$E49*'BG '!H$9,AND($C49="Diesel bus",$D49="Almost empty"),$E49*'BG '!H$19,AND($C49="Diesel bus",$D49="Average"),$E49*'BG '!H$20,AND($C49="Diesel bus",$D49="Nearly full"),$E49*'BG '!H$21,AND($C49="Hybrid-electric bus",$D49="Almost empty"),$E49*'BG '!H$11,AND($C49="Hybrid-electric bus",$D49="Average"),$E49*'BG '!H$12,AND($C49="Hybrid-electric bus",$D49="Nearly full"),$E49*'BG '!H$13,AND($C49="Alternative fuel bus",$D49="Almost empty"),$E49*'BG '!H$15,AND($C49="Alternative fuel bus",$D49="Average"),$E49*'BG '!H$16,AND($C49="Alternative fuel bus",$D49="Nearly full"),$E49*'BG '!H$17,AND($C49="Metro, tram, urban light train",$D49="Almost empty"),$E49*'BG '!C$35,AND($C49="Metro, tram, urban light train",$D49="Average"),$E49*'BG '!C$36,AND($C49="Metro, tram, urban light train",$D49="Nearly full"),$E49*'BG '!C$37,AND($C49="Electric passenger train",$D49="Almost empty"),$E49*'BG '!C$39,AND($C49="Electric passenger train",$D49="Average"),$E49*'BG '!C$40,AND($C49="Electric passenger train",$D49="Nearly full"),$E49*'BG '!C$41,AND($C49="Diesel passenger train",$D49="Almost empty"),$E49*'BG '!C$47,AND($C49="Diesel passenger train",$D49="Average"),$E49*'BG '!C$48,AND($C49="Diesel passenger train",$D49="Nearly full"),$E49*'BG '!C$49,AND($C49="Walking"),$E49*0,AND($C49="Bike"),$E49*0,AND($C49="Plane - domestic flight"),$E49*'BG '!$C73,AND($C49="Plane - international - intra EU"),$E49*'BG '!$C75,AND($C49="Plane - international (extra EU)"),$E49*'BG '!$C77)</f>
        <v>#N/A</v>
      </c>
      <c r="G49" s="31" t="e" cm="1">
        <f t="array" ref="G49">_xlfn.IFS(AND($C49="Fuel car",$D49=1),$E49*'BG '!D$7,AND($C49="Fuel car",$D49=2),$E49*'BG '!D$8,AND($C49="Fuel car",$D49=3),$E49*'BG '!D$9,AND($C49="Fuel car",$D49=4),$E49*'BG '!D$10,AND($C49="Fuel car",$D49=5),$E49*'BG '!D$11,AND($C49="Motorcycle",$D49=1),$E49*'BG '!D$13,AND($C49="Motorcycle",$D49=2),$E49*'BG '!D$14,AND($C49="Electric car",$D49=1),$E49*'BG '!D$16,AND($C49="Electric car",$D49=2),$E49*'BG '!D$17,AND($C49="Electric car",$D49=3),$E49*'BG '!D$18,AND($C49="Electric car",$D49=4),$E49*'BG '!D$19,AND($C49="Electric car",$D49=5),$E49*'BG '!D$20,AND($C49="Hybrid car",$D49=1),$E49*'BG '!D$22,AND($C49="Hybrid car",$D49=2),$E49*'BG '!D$23,AND($C49="Hybrid car",$D49=3),$E49*'BG '!D$24,AND($C49="Hybrid car",$D49=4),$E49*'BG '!D$25,AND($C49="Hybrid car",$D49=5),$E49*'BG '!D$26,AND($C49="Electric motorcycle",$D49=1),$E49*'BG '!D$28,AND($C49="Electric motorcycle",$D49=2),$E49*'BG '!D$29,AND($C49="Electric bike",$D49=1),$E49*'BG '!D$31,AND($C49="Electric scooter",$D49=1),$E49*'BG '!D$33,AND($C49="Bus",$D49="Almost empty"),$E49*'BG '!I$23,AND($C49="Bus",$D49="Average"),$E49*'BG '!I$24,AND($C49="Bus",$D49="Nearly full"),$E49*'BG '!I$25,AND($C49="Electric bus",$D49="Almost empty"),$E49*'BG '!I$7,AND($C49="Electric bus",$D49="Average"),$E49*'BG '!I$8,AND($C49="Electric bus",$D49="Nearly full"),$E49*'BG '!I$9,AND($C49="Diesel bus",$D49="Almost empty"),$E49*'BG '!I$19,AND($C49="Diesel bus",$D49="Average"),$E49*'BG '!I$20,AND($C49="Diesel bus",$D49="Nearly full"),$E49*'BG '!I$21,AND($C49="Hybrid-electric bus",$D49="Almost empty"),$E49*'BG '!I$11,AND($C49="Hybrid-electric bus",$D49="Average"),$E49*'BG '!I$12,AND($C49="Hybrid-electric bus",$D49="Nearly full"),$E49*'BG '!I$13,AND($C49="Alternative fuel bus",$D49="Almost empty"),$E49*'BG '!I$15,AND($C49="Alternative fuel bus",$D49="Average"),$E49*'BG '!I$16,AND($C49="Alternative fuel bus",$D49="Nearly full"),$E49*'BG '!I$17,AND($C49="Metro, tram, urban light train",$D49="Almost empty"),$E49*'BG '!D$35,AND($C49="Metro, tram, urban light train",$D49="Average"),$E49*'BG '!D$36,AND($C49="Metro, tram, urban light train",$D49="Nearly full"),$E49*'BG '!D$37,AND($C49="Electric passenger train",$D49="Almost empty"),$E49*'BG '!D$39,AND($C49="Electric passenger train",$D49="Average"),$E49*'BG '!D$40,AND($C49="Electric passenger train",$D49="Nearly full"),$E49*'BG '!D$41,AND($C49="Diesel passenger train",$D49="Almost empty"),$E49*'BG '!D$47,AND($C49="Diesel passenger train",$D49="Average"),$E49*'BG '!D$48,AND($C49="Diesel passenger train",$D49="Nearly full"),$E49*'BG '!D$49,AND($C49="Walking"),$E49*0,AND($C49="Bike"),$E49*0,AND($C49="Plane - domestic flight"),$E49*'BG '!$C73,AND($C49="Plane - international - intra EU"),$E49*'BG '!$C75,AND($C49="Plane - international (extra EU)"),$E49*'BG '!$C77)</f>
        <v>#N/A</v>
      </c>
      <c r="H49" s="244" t="s">
        <v>74</v>
      </c>
      <c r="I49" s="141"/>
      <c r="L49" s="252"/>
      <c r="M49" s="253"/>
      <c r="N49" s="254"/>
    </row>
    <row r="50" spans="1:14" ht="16" thickBot="1" x14ac:dyDescent="0.25">
      <c r="A50" s="222"/>
      <c r="B50" s="51"/>
      <c r="C50" s="15"/>
      <c r="D50" s="15"/>
      <c r="E50" s="32"/>
      <c r="F50" s="123" t="e" cm="1">
        <f t="array" ref="F50">_xlfn.IFS(AND($C50="Fuel car",$D50=1),$E50*'BG '!C$7,AND($C50="Fuel car",$D50=2),$E50*'BG '!C$8,AND($C50="Fuel car",$D50=3),$E50*'BG '!C$9,AND($C50="Fuel car",$D50=4),$E50*'BG '!C$10,AND($C50="Fuel car",$D50=5),$E50*'BG '!C$11,AND($C50="Motorcycle",$D50=1),$E50*'BG '!C$13,AND($C50="Motorcycle",$D50=2),$E50*'BG '!C$14,AND($C50="Electric car",$D50=1),$E50*'BG '!C$16,AND($C50="Electric car",$D50=2),$E50*'BG '!C$17,AND($C50="Electric car",$D50=3),$E50*'BG '!C$18,AND($C50="Electric car",$D50=4),$E50*'BG '!C$19,AND($C50="Electric car",$D50=5),$E50*'BG '!C$20,AND($C50="Hybrid car",$D50=1),$E50*'BG '!C$22,AND($C50="Hybrid car",$D50=2),$E50*'BG '!C$23,AND($C50="Hybrid car",$D50=3),$E50*'BG '!C$24,AND($C50="Hybrid car",$D50=4),$E50*'BG '!C$25,AND($C50="Hybrid car",$D50=5),$E50*'BG '!C$26,AND($C50="Electric motorcycle",$D50=1),$E50*'BG '!C$28,AND($C50="Electric motorcycle",$D50=2),$E50*'BG '!C$29,AND($C50="Electric bike",$D50=1),$E50*'BG '!C$31,AND($C50="Electric scooter",$D50=1),$E50*'BG '!C$33,AND($C50="Bus",$D50="Almost empty"),$E50*'BG '!H$23,AND($C50="Bus",$D50="Average"),$E50*'BG '!H$24,AND($C50="Bus",$D50="Nearly full"),$E50*'BG '!H$25,AND($C50="Electric bus",$D50="Almost empty"),$E50*'BG '!H$7,AND($C50="Electric bus",$D50="Average"),$E50*'BG '!H$8,AND($C50="Electric bus",$D50="Nearly full"),$E50*'BG '!H$9,AND($C50="Diesel bus",$D50="Almost empty"),$E50*'BG '!H$19,AND($C50="Diesel bus",$D50="Average"),$E50*'BG '!H$20,AND($C50="Diesel bus",$D50="Nearly full"),$E50*'BG '!H$21,AND($C50="Hybrid-electric bus",$D50="Almost empty"),$E50*'BG '!H$11,AND($C50="Hybrid-electric bus",$D50="Average"),$E50*'BG '!H$12,AND($C50="Hybrid-electric bus",$D50="Nearly full"),$E50*'BG '!H$13,AND($C50="Alternative fuel bus",$D50="Almost empty"),$E50*'BG '!H$15,AND($C50="Alternative fuel bus",$D50="Average"),$E50*'BG '!H$16,AND($C50="Alternative fuel bus",$D50="Nearly full"),$E50*'BG '!H$17,AND($C50="Metro, tram, urban light train",$D50="Almost empty"),$E50*'BG '!C$35,AND($C50="Metro, tram, urban light train",$D50="Average"),$E50*'BG '!C$36,AND($C50="Metro, tram, urban light train",$D50="Nearly full"),$E50*'BG '!C$37,AND($C50="Electric passenger train",$D50="Almost empty"),$E50*'BG '!C$39,AND($C50="Electric passenger train",$D50="Average"),$E50*'BG '!C$40,AND($C50="Electric passenger train",$D50="Nearly full"),$E50*'BG '!C$41,AND($C50="Diesel passenger train",$D50="Almost empty"),$E50*'BG '!C$47,AND($C50="Diesel passenger train",$D50="Average"),$E50*'BG '!C$48,AND($C50="Diesel passenger train",$D50="Nearly full"),$E50*'BG '!C$49,AND($C50="Walking"),$E50*0,AND($C50="Bike"),$E50*0,AND($C50="Plane - domestic flight"),$E50*'BG '!$C74,AND($C50="Plane - international - intra EU"),$E50*'BG '!$C76,AND($C50="Plane - international (extra EU)"),$E50*'BG '!$C78)</f>
        <v>#N/A</v>
      </c>
      <c r="G50" s="31" t="e" cm="1">
        <f t="array" ref="G50">_xlfn.IFS(AND($C50="Fuel car",$D50=1),$E50*'BG '!D$7,AND($C50="Fuel car",$D50=2),$E50*'BG '!D$8,AND($C50="Fuel car",$D50=3),$E50*'BG '!D$9,AND($C50="Fuel car",$D50=4),$E50*'BG '!D$10,AND($C50="Fuel car",$D50=5),$E50*'BG '!D$11,AND($C50="Motorcycle",$D50=1),$E50*'BG '!D$13,AND($C50="Motorcycle",$D50=2),$E50*'BG '!D$14,AND($C50="Electric car",$D50=1),$E50*'BG '!D$16,AND($C50="Electric car",$D50=2),$E50*'BG '!D$17,AND($C50="Electric car",$D50=3),$E50*'BG '!D$18,AND($C50="Electric car",$D50=4),$E50*'BG '!D$19,AND($C50="Electric car",$D50=5),$E50*'BG '!D$20,AND($C50="Hybrid car",$D50=1),$E50*'BG '!D$22,AND($C50="Hybrid car",$D50=2),$E50*'BG '!D$23,AND($C50="Hybrid car",$D50=3),$E50*'BG '!D$24,AND($C50="Hybrid car",$D50=4),$E50*'BG '!D$25,AND($C50="Hybrid car",$D50=5),$E50*'BG '!D$26,AND($C50="Electric motorcycle",$D50=1),$E50*'BG '!D$28,AND($C50="Electric motorcycle",$D50=2),$E50*'BG '!D$29,AND($C50="Electric bike",$D50=1),$E50*'BG '!D$31,AND($C50="Electric scooter",$D50=1),$E50*'BG '!D$33,AND($C50="Bus",$D50="Almost empty"),$E50*'BG '!I$23,AND($C50="Bus",$D50="Average"),$E50*'BG '!I$24,AND($C50="Bus",$D50="Nearly full"),$E50*'BG '!I$25,AND($C50="Electric bus",$D50="Almost empty"),$E50*'BG '!I$7,AND($C50="Electric bus",$D50="Average"),$E50*'BG '!I$8,AND($C50="Electric bus",$D50="Nearly full"),$E50*'BG '!I$9,AND($C50="Diesel bus",$D50="Almost empty"),$E50*'BG '!I$19,AND($C50="Diesel bus",$D50="Average"),$E50*'BG '!I$20,AND($C50="Diesel bus",$D50="Nearly full"),$E50*'BG '!I$21,AND($C50="Hybrid-electric bus",$D50="Almost empty"),$E50*'BG '!I$11,AND($C50="Hybrid-electric bus",$D50="Average"),$E50*'BG '!I$12,AND($C50="Hybrid-electric bus",$D50="Nearly full"),$E50*'BG '!I$13,AND($C50="Alternative fuel bus",$D50="Almost empty"),$E50*'BG '!I$15,AND($C50="Alternative fuel bus",$D50="Average"),$E50*'BG '!I$16,AND($C50="Alternative fuel bus",$D50="Nearly full"),$E50*'BG '!I$17,AND($C50="Metro, tram, urban light train",$D50="Almost empty"),$E50*'BG '!D$35,AND($C50="Metro, tram, urban light train",$D50="Average"),$E50*'BG '!D$36,AND($C50="Metro, tram, urban light train",$D50="Nearly full"),$E50*'BG '!D$37,AND($C50="Electric passenger train",$D50="Almost empty"),$E50*'BG '!D$39,AND($C50="Electric passenger train",$D50="Average"),$E50*'BG '!D$40,AND($C50="Electric passenger train",$D50="Nearly full"),$E50*'BG '!D$41,AND($C50="Diesel passenger train",$D50="Almost empty"),$E50*'BG '!D$47,AND($C50="Diesel passenger train",$D50="Average"),$E50*'BG '!D$48,AND($C50="Diesel passenger train",$D50="Nearly full"),$E50*'BG '!D$49,AND($C50="Walking"),$E50*0,AND($C50="Bike"),$E50*0,AND($C50="Plane - domestic flight"),$E50*'BG '!$C74,AND($C50="Plane - international - intra EU"),$E50*'BG '!$C76,AND($C50="Plane - international (extra EU)"),$E50*'BG '!$C78)</f>
        <v>#N/A</v>
      </c>
      <c r="H50" s="245"/>
      <c r="I50" s="142"/>
      <c r="L50" s="252"/>
      <c r="M50" s="253"/>
      <c r="N50" s="254"/>
    </row>
    <row r="51" spans="1:14" ht="33" thickBot="1" x14ac:dyDescent="0.25">
      <c r="A51" s="222"/>
      <c r="B51" s="53"/>
      <c r="C51" s="32"/>
      <c r="D51" s="34"/>
      <c r="E51" s="34"/>
      <c r="F51" s="54" t="e" cm="1">
        <f t="array" ref="F51">_xlfn.IFS(AND($C51="Fuel car",$D51=1),$E51*'BG '!C$7,AND($C51="Fuel car",$D51=2),$E51*'BG '!C$8,AND($C51="Fuel car",$D51=3),$E51*'BG '!C$9,AND($C51="Fuel car",$D51=4),$E51*'BG '!C$10,AND($C51="Fuel car",$D51=5),$E51*'BG '!C$11,AND($C51="Motorcycle",$D51=1),$E51*'BG '!C$13,AND($C51="Motorcycle",$D51=2),$E51*'BG '!C$14,AND($C51="Electric car",$D51=1),$E51*'BG '!C$16,AND($C51="Electric car",$D51=2),$E51*'BG '!C$17,AND($C51="Electric car",$D51=3),$E51*'BG '!C$18,AND($C51="Electric car",$D51=4),$E51*'BG '!C$19,AND($C51="Electric car",$D51=5),$E51*'BG '!C$20,AND($C51="Hybrid car",$D51=1),$E51*'BG '!C$22,AND($C51="Hybrid car",$D51=2),$E51*'BG '!C$23,AND($C51="Hybrid car",$D51=3),$E51*'BG '!C$24,AND($C51="Hybrid car",$D51=4),$E51*'BG '!C$25,AND($C51="Hybrid car",$D51=5),$E51*'BG '!C$26,AND($C51="Electric motorcycle",$D51=1),$E51*'BG '!C$28,AND($C51="Electric motorcycle",$D51=2),$E51*'BG '!C$29,AND($C51="Electric bike",$D51=1),$E51*'BG '!C$31,AND($C51="Electric scooter",$D51=1),$E51*'BG '!C$33,AND($C51="Bus",$D51="Almost empty"),$E51*'BG '!H$23,AND($C51="Bus",$D51="Average"),$E51*'BG '!H$24,AND($C51="Bus",$D51="Nearly full"),$E51*'BG '!H$25,AND($C51="Electric bus",$D51="Almost empty"),$E51*'BG '!H$7,AND($C51="Electric bus",$D51="Average"),$E51*'BG '!H$8,AND($C51="Electric bus",$D51="Nearly full"),$E51*'BG '!H$9,AND($C51="Diesel bus",$D51="Almost empty"),$E51*'BG '!H$19,AND($C51="Diesel bus",$D51="Average"),$E51*'BG '!H$20,AND($C51="Diesel bus",$D51="Nearly full"),$E51*'BG '!H$21,AND($C51="Hybrid-electric bus",$D51="Almost empty"),$E51*'BG '!H$11,AND($C51="Hybrid-electric bus",$D51="Average"),$E51*'BG '!H$12,AND($C51="Hybrid-electric bus",$D51="Nearly full"),$E51*'BG '!H$13,AND($C51="Alternative fuel bus",$D51="Almost empty"),$E51*'BG '!H$15,AND($C51="Alternative fuel bus",$D51="Average"),$E51*'BG '!H$16,AND($C51="Alternative fuel bus",$D51="Nearly full"),$E51*'BG '!H$17,AND($C51="Metro, tram, urban light train",$D51="Almost empty"),$E51*'BG '!C$35,AND($C51="Metro, tram, urban light train",$D51="Average"),$E51*'BG '!C$36,AND($C51="Metro, tram, urban light train",$D51="Nearly full"),$E51*'BG '!C$37,AND($C51="Electric passenger train",$D51="Almost empty"),$E51*'BG '!C$39,AND($C51="Electric passenger train",$D51="Average"),$E51*'BG '!C$40,AND($C51="Electric passenger train",$D51="Nearly full"),$E51*'BG '!C$41,AND($C51="Diesel passenger train",$D51="Almost empty"),$E51*'BG '!C$47,AND($C51="Diesel passenger train",$D51="Average"),$E51*'BG '!C$48,AND($C51="Diesel passenger train",$D51="Nearly full"),$E51*'BG '!C$49,AND($C51="Walking"),$E51*0,AND($C51="Bike"),$E51*0,AND($C51="Plane - domestic flight"),$E51*'BG '!$C75,AND($C51="Plane - international - intra EU"),$E51*'BG '!$C77,AND($C51="Plane - international (extra EU)"),$E51*'BG '!$C79)</f>
        <v>#N/A</v>
      </c>
      <c r="G51" s="35" t="e" cm="1">
        <f t="array" ref="G51">_xlfn.IFS(AND($C51="Fuel car",$D51=1),$E51*'BG '!D$7,AND($C51="Fuel car",$D51=2),$E51*'BG '!D$8,AND($C51="Fuel car",$D51=3),$E51*'BG '!D$9,AND($C51="Fuel car",$D51=4),$E51*'BG '!D$10,AND($C51="Fuel car",$D51=5),$E51*'BG '!D$11,AND($C51="Motorcycle",$D51=1),$E51*'BG '!D$13,AND($C51="Motorcycle",$D51=2),$E51*'BG '!D$14,AND($C51="Electric car",$D51=1),$E51*'BG '!D$16,AND($C51="Electric car",$D51=2),$E51*'BG '!D$17,AND($C51="Electric car",$D51=3),$E51*'BG '!D$18,AND($C51="Electric car",$D51=4),$E51*'BG '!D$19,AND($C51="Electric car",$D51=5),$E51*'BG '!D$20,AND($C51="Hybrid car",$D51=1),$E51*'BG '!D$22,AND($C51="Hybrid car",$D51=2),$E51*'BG '!D$23,AND($C51="Hybrid car",$D51=3),$E51*'BG '!D$24,AND($C51="Hybrid car",$D51=4),$E51*'BG '!D$25,AND($C51="Hybrid car",$D51=5),$E51*'BG '!D$26,AND($C51="Electric motorcycle",$D51=1),$E51*'BG '!D$28,AND($C51="Electric motorcycle",$D51=2),$E51*'BG '!D$29,AND($C51="Electric bike",$D51=1),$E51*'BG '!D$31,AND($C51="Electric scooter",$D51=1),$E51*'BG '!D$33,AND($C51="Bus",$D51="Almost empty"),$E51*'BG '!I$23,AND($C51="Bus",$D51="Average"),$E51*'BG '!I$24,AND($C51="Bus",$D51="Nearly full"),$E51*'BG '!I$25,AND($C51="Electric bus",$D51="Almost empty"),$E51*'BG '!I$7,AND($C51="Electric bus",$D51="Average"),$E51*'BG '!I$8,AND($C51="Electric bus",$D51="Nearly full"),$E51*'BG '!I$9,AND($C51="Diesel bus",$D51="Almost empty"),$E51*'BG '!I$19,AND($C51="Diesel bus",$D51="Average"),$E51*'BG '!I$20,AND($C51="Diesel bus",$D51="Nearly full"),$E51*'BG '!I$21,AND($C51="Hybrid-electric bus",$D51="Almost empty"),$E51*'BG '!I$11,AND($C51="Hybrid-electric bus",$D51="Average"),$E51*'BG '!I$12,AND($C51="Hybrid-electric bus",$D51="Nearly full"),$E51*'BG '!I$13,AND($C51="Alternative fuel bus",$D51="Almost empty"),$E51*'BG '!I$15,AND($C51="Alternative fuel bus",$D51="Average"),$E51*'BG '!I$16,AND($C51="Alternative fuel bus",$D51="Nearly full"),$E51*'BG '!I$17,AND($C51="Metro, tram, urban light train",$D51="Almost empty"),$E51*'BG '!D$35,AND($C51="Metro, tram, urban light train",$D51="Average"),$E51*'BG '!D$36,AND($C51="Metro, tram, urban light train",$D51="Nearly full"),$E51*'BG '!D$37,AND($C51="Electric passenger train",$D51="Almost empty"),$E51*'BG '!D$39,AND($C51="Electric passenger train",$D51="Average"),$E51*'BG '!D$40,AND($C51="Electric passenger train",$D51="Nearly full"),$E51*'BG '!D$41,AND($C51="Diesel passenger train",$D51="Almost empty"),$E51*'BG '!D$47,AND($C51="Diesel passenger train",$D51="Average"),$E51*'BG '!D$48,AND($C51="Diesel passenger train",$D51="Nearly full"),$E51*'BG '!D$49,AND($C51="Walking"),$E51*0,AND($C51="Bike"),$E51*0,AND($C51="Plane - domestic flight"),$E51*'BG '!$C75,AND($C51="Plane - international - intra EU"),$E51*'BG '!$C77,AND($C51="Plane - international (extra EU)"),$E51*'BG '!$C79)</f>
        <v>#N/A</v>
      </c>
      <c r="H51" s="144" t="s">
        <v>75</v>
      </c>
      <c r="I51" s="49" t="e">
        <f>F52/I49</f>
        <v>#DIV/0!</v>
      </c>
      <c r="L51" s="252"/>
      <c r="M51" s="253"/>
      <c r="N51" s="254"/>
    </row>
    <row r="52" spans="1:14" ht="17" thickBot="1" x14ac:dyDescent="0.25">
      <c r="A52" s="222"/>
      <c r="B52" s="241" t="s">
        <v>57</v>
      </c>
      <c r="C52" s="242"/>
      <c r="D52" s="242"/>
      <c r="E52" s="243"/>
      <c r="F52" s="36">
        <f>SUMIF(F29:F51,"&gt;=0")</f>
        <v>0</v>
      </c>
      <c r="G52" s="10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_xlfn.IFS(AND(D57&lt;='BG '!L4),"A+",AND(D57&lt;='BG '!M4,D57&gt;'BG '!L4),"A",AND(D57&lt;='BG '!N4,D57&gt;'BG '!M4),"B",AND(D57&lt;='BG '!O4,D57&gt;'BG '!N4),"C",AND(D57&lt;='BG '!P4,D57&gt;'BG '!O4),"D",AND(D57&lt;='BG '!Q4,D57&gt;'BG '!P4),"E",AND(D57&lt;='BG '!R4,D57&gt;'BG '!Q4),"F",AND(D57&gt;'BG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_xlfn.IFS(D58="#","#",AND(D58&lt;='BG '!L5),"A+",AND(D58&lt;='BG '!M5,D58&gt;'BG '!L5),"A",AND(D58&lt;='BG '!N5,D58&gt;'BG '!M5),"B",AND(D58&lt;='BG '!O5,D58&gt;'BG '!N5),"C",AND(D58&lt;='BG '!P5,D58&gt;'BG '!O5),"D",AND(D58&lt;='BG '!Q5,D58&gt;'BG '!P5),"E",AND(D58&lt;='BG '!R5,D58&gt;'BG '!Q5),"F",AND(D58&gt;'BG '!R5),"G")</f>
        <v>#</v>
      </c>
    </row>
    <row r="59" spans="1:14" ht="32" x14ac:dyDescent="0.2">
      <c r="A59" s="262"/>
      <c r="B59" s="264"/>
      <c r="C59" s="21" t="s">
        <v>88</v>
      </c>
      <c r="D59" s="47" t="e">
        <f>IF(ISNUMBER(D58), D57 + D58, D57)</f>
        <v>#DIV/0!</v>
      </c>
      <c r="E59" s="277"/>
      <c r="G59" s="264"/>
      <c r="H59" t="s">
        <v>88</v>
      </c>
      <c r="I59" s="56" t="e" cm="1">
        <f t="array" ref="I59">_xlfn.IFS(AND(D59&lt;='BG '!L6),"A+",AND(D59&lt;='BG '!M6,D59&gt;'BG '!L6),"A",AND(D59&lt;='BG '!N6,D59&gt;'BG '!M6),"B",AND(D59&lt;='BG '!O6,D59&gt;'BG '!N6),"C",AND(D59&lt;='BG '!P6,D59&gt;'BG '!O6),"D",AND(D59&lt;='BG '!Q6,D59&gt;'BG '!P6),"E",AND(D59&lt;='BG '!R6,D59&gt;'BG '!Q6),"F",AND(D59&gt;'BG '!R6),"G")</f>
        <v>#DIV/0!</v>
      </c>
    </row>
    <row r="60" spans="1:14" ht="16" x14ac:dyDescent="0.2">
      <c r="A60" s="262"/>
      <c r="B60" s="264"/>
      <c r="C60" s="21" t="s">
        <v>89</v>
      </c>
      <c r="D60" s="99">
        <f>I30</f>
        <v>0</v>
      </c>
      <c r="E60" s="277"/>
      <c r="G60" s="264"/>
      <c r="H60" t="s">
        <v>89</v>
      </c>
      <c r="I60" s="56" t="str" cm="1">
        <f t="array" ref="I60">_xlfn.IFS(AND(D60&lt;='BG '!L7),"A+",AND(D60&lt;='BG '!M7,D60&gt;'BG '!L7),"A",AND(D60&lt;='BG '!N7,D60&gt;'BG '!M7),"B",AND(D60&lt;='BG '!O7,D60&gt;'BG '!N7),"C",AND(D60&lt;='BG '!P7,D60&gt;'BG '!O7),"D",AND(D60&lt;='BG '!Q7,D60&gt;'BG '!P7),"E",AND(D60&lt;='BG '!R7,D60&gt;'BG '!Q7),"F",AND(D60&gt;'BG '!R7),"G")</f>
        <v>A+</v>
      </c>
    </row>
    <row r="61" spans="1:14" ht="16" thickBot="1" x14ac:dyDescent="0.25">
      <c r="A61" s="262"/>
      <c r="B61" s="265"/>
      <c r="C61" s="16" t="s">
        <v>57</v>
      </c>
      <c r="D61" s="58" t="e">
        <f>SUM(D59:D60)</f>
        <v>#DIV/0!</v>
      </c>
      <c r="E61" s="261"/>
      <c r="G61" s="265"/>
      <c r="H61" s="16" t="s">
        <v>57</v>
      </c>
      <c r="I61" s="1" t="e" cm="1">
        <f t="array" ref="I61">_xlfn.IFS(AND(D61&lt;='BG '!L8),"A+",AND(D61&lt;='BG '!M8,D61&gt;'BG '!L8),"A",AND(D61&lt;='BG '!N8,D61&gt;'BG '!M8),"B",AND(D61&lt;='BG '!O8,D61&gt;'BG '!N8),"C",AND(D61&lt;='BG '!P8,D61&gt;'BG '!O8),"D",AND(D61&lt;='BG '!Q8,D61&gt;'BG '!P8),"E",AND(D61&lt;='BG '!R8,D61&gt;'BG '!Q8),"F",AND(D61&gt;'BG '!R8),"G")</f>
        <v>#DIV/0!</v>
      </c>
    </row>
    <row r="62" spans="1:14" ht="32" x14ac:dyDescent="0.2">
      <c r="A62" s="262"/>
      <c r="B62" s="263" t="s">
        <v>90</v>
      </c>
      <c r="C62" s="57" t="s">
        <v>85</v>
      </c>
      <c r="D62" s="100" t="e">
        <f>I16</f>
        <v>#DIV/0!</v>
      </c>
      <c r="E62" s="266" t="s">
        <v>91</v>
      </c>
      <c r="G62" s="263" t="s">
        <v>90</v>
      </c>
      <c r="H62" s="46" t="s">
        <v>85</v>
      </c>
      <c r="I62" s="55" t="e" cm="1">
        <f t="array" ref="I62">_xlfn.IFS(AND(D62&lt;='BG '!L9),"A+",AND(D62&lt;='BG '!M9,D62&gt;'BG '!L9),"A",AND(D62&lt;='BG '!N9,D62&gt;'BG '!M9),"B",AND(D62&lt;='BG '!O9,D62&gt;'BG '!N9),"C",AND(D62&lt;='BG '!P9,D62&gt;'BG '!O9),"D",AND(D62&lt;='BG '!Q9,D62&gt;'BG '!P9),"E",AND(D62&lt;='BG '!R9,D62&gt;'BG '!Q9),"F",AND(D62&gt;'BG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_xlfn.IFS(D63="#","#",AND(D63&lt;='BG '!L10),"A+",AND(D63&lt;='BG '!M10,D63&gt;'BG '!L10),"A",AND(D63&lt;='BG '!N10,D63&gt;'BG '!M10),"B",AND(D63&lt;='BG '!O10,D63&gt;'BG '!N10),"C",AND(D63&lt;='BG '!P10,D63&gt;'BG '!O10),"D",AND(D63&lt;='BG '!Q10,D63&gt;'BG '!P10),"E",AND(D63&lt;='BG '!R10,D63&gt;'BG '!Q10),"F",AND(D63&gt;'BG '!R10),"G")</f>
        <v>#</v>
      </c>
    </row>
    <row r="64" spans="1:14" ht="32" x14ac:dyDescent="0.2">
      <c r="A64" s="262"/>
      <c r="B64" s="264"/>
      <c r="C64" s="21" t="s">
        <v>92</v>
      </c>
      <c r="D64" s="47" t="e">
        <f>IF(ISNUMBER(D63), D62 + D63, D62)</f>
        <v>#DIV/0!</v>
      </c>
      <c r="E64" s="202"/>
      <c r="G64" s="264"/>
      <c r="H64" t="s">
        <v>92</v>
      </c>
      <c r="I64" s="56" t="e" cm="1">
        <f t="array" ref="I64">_xlfn.IFS(AND(D64&lt;='BG '!L11),"A+",AND(D64&lt;='BG '!M11,D64&gt;'BG '!L11),"A",AND(D64&lt;='BG '!N11,D64&gt;'BG '!M11),"B",AND(D64&lt;='BG '!O11,D64&gt;'BG '!N11),"C",AND(D64&lt;='BG '!P11,D64&gt;'BG '!O11),"D",AND(D64&lt;='BG '!Q11,D64&gt;'BG '!P11),"E",AND(D64&lt;='BG '!R11,D64&gt;'BG '!Q11),"F",AND(D64&gt;'BG '!R11),"G")</f>
        <v>#DIV/0!</v>
      </c>
    </row>
    <row r="65" spans="1:9" x14ac:dyDescent="0.2">
      <c r="A65" s="262"/>
      <c r="B65" s="264"/>
      <c r="C65" t="s">
        <v>89</v>
      </c>
      <c r="D65" s="99">
        <f>I31</f>
        <v>0</v>
      </c>
      <c r="E65" s="202"/>
      <c r="G65" s="264"/>
      <c r="H65" t="s">
        <v>89</v>
      </c>
      <c r="I65" s="56" t="str" cm="1">
        <f t="array" ref="I65">_xlfn.IFS(AND(D65&lt;='BG '!L12),"A+",AND(D65&lt;='BG '!M12,D65&gt;'BG '!L12),"A",AND(D65&lt;='BG '!N12,D65&gt;'BG '!M12),"B",AND(D65&lt;='BG '!O12,D65&gt;'BG '!N12),"C",AND(D65&lt;='BG '!P12,D65&gt;'BG '!O12),"D",AND(D65&lt;='BG '!Q12,D65&gt;'BG '!P12),"E",AND(D65&lt;='BG '!R12,D65&gt;'BG '!Q12),"F",AND(D65&gt;'BG '!R12),"G")</f>
        <v>A+</v>
      </c>
    </row>
    <row r="66" spans="1:9" ht="16" thickBot="1" x14ac:dyDescent="0.25">
      <c r="A66" s="262"/>
      <c r="B66" s="265"/>
      <c r="C66" s="16" t="s">
        <v>57</v>
      </c>
      <c r="D66" s="16" t="e">
        <f>SUM(D64:D65)</f>
        <v>#DIV/0!</v>
      </c>
      <c r="E66" s="267"/>
      <c r="G66" s="265"/>
      <c r="H66" s="16" t="s">
        <v>57</v>
      </c>
      <c r="I66" s="1" t="e" cm="1">
        <f t="array" ref="I66">_xlfn.IFS(AND(D66&lt;='BG '!L13),"A+",AND(D66&lt;='BG '!M13,D66&gt;'BG '!L13),"A",AND(D66&lt;='BG '!N13,D66&gt;'BG '!M13),"B",AND(D66&lt;='BG '!O13,D66&gt;'BG '!N13),"C",AND(D66&lt;='BG '!P13,D66&gt;'BG '!O13),"D",AND(D66&lt;='BG '!Q13,D66&gt;'BG '!P13),"E",AND(D66&lt;='BG '!R13,D66&gt;'BG '!Q13),"F",AND(D66&gt;'BG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93" priority="7" operator="equal">
      <formula>"A+"</formula>
    </cfRule>
    <cfRule type="containsText" dxfId="392" priority="8" operator="containsText" text="A">
      <formula>NOT(ISERROR(SEARCH("A",I57)))</formula>
    </cfRule>
    <cfRule type="containsText" dxfId="391" priority="9" operator="containsText" text="B">
      <formula>NOT(ISERROR(SEARCH("B",I57)))</formula>
    </cfRule>
    <cfRule type="containsText" dxfId="390" priority="10" operator="containsText" text="C">
      <formula>NOT(ISERROR(SEARCH("C",I57)))</formula>
    </cfRule>
    <cfRule type="containsText" dxfId="389" priority="11" operator="containsText" text="D">
      <formula>NOT(ISERROR(SEARCH("D",I57)))</formula>
    </cfRule>
    <cfRule type="containsText" dxfId="388" priority="12" operator="containsText" text="E">
      <formula>NOT(ISERROR(SEARCH("E",I57)))</formula>
    </cfRule>
    <cfRule type="containsText" dxfId="387" priority="13" operator="containsText" text="F">
      <formula>NOT(ISERROR(SEARCH("F",I57)))</formula>
    </cfRule>
    <cfRule type="containsText" dxfId="386" priority="14" operator="containsText" text="G">
      <formula>NOT(ISERROR(SEARCH("G",I57)))</formula>
    </cfRule>
  </conditionalFormatting>
  <conditionalFormatting sqref="K5:K15">
    <cfRule type="expression" dxfId="5" priority="2" stopIfTrue="1">
      <formula>$O$19="No"</formula>
    </cfRule>
  </conditionalFormatting>
  <conditionalFormatting sqref="L5:L15">
    <cfRule type="expression" dxfId="4" priority="1" stopIfTrue="1">
      <formula>$Q$19="No"</formula>
    </cfRule>
  </conditionalFormatting>
  <dataValidations disablePrompts="1" count="2">
    <dataValidation type="custom" allowBlank="1" showInputMessage="1" showErrorMessage="1" errorTitle="Error" error="You can only enter values if you have selected Connected To Grid. The value must be a number." sqref="L5:L15" xr:uid="{55FA5F8A-1CD4-6F45-A251-F617580D435E}">
      <formula1>AND(Q19="Yes", ISNUMBER(L5))</formula1>
    </dataValidation>
    <dataValidation type="custom" operator="lessThan" allowBlank="1" showErrorMessage="1" errorTitle="Error" error="You can only enter values if you have selected HOME PV. The value must be a number." sqref="K5:K15" xr:uid="{766BDF1E-014A-4A4F-8A38-B09015C8ADF5}">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B2F9EEAA-68C6-46A6-B642-DC7BD8751101}">
          <x14:formula1>
            <xm:f>DATA!$J$3:$J$10</xm:f>
          </x14:formula1>
          <xm:sqref>D29:D51</xm:sqref>
        </x14:dataValidation>
        <x14:dataValidation type="list" allowBlank="1" showInputMessage="1" showErrorMessage="1" xr:uid="{95EDFDA1-AD87-C543-8257-017E21BC9260}">
          <x14:formula1>
            <xm:f>DATA!$B$15:$B$23</xm:f>
          </x14:formula1>
          <xm:sqref>J2</xm:sqref>
        </x14:dataValidation>
        <x14:dataValidation type="list" allowBlank="1" showInputMessage="1" showErrorMessage="1" xr:uid="{B0044A24-18BD-481A-8974-A05823CC9414}">
          <x14:formula1>
            <xm:f>DATA!$H$3:$H$23</xm:f>
          </x14:formula1>
          <xm:sqref>C29:C51</xm:sqref>
        </x14:dataValidation>
        <x14:dataValidation type="list" allowBlank="1" showInputMessage="1" showErrorMessage="1" xr:uid="{9728581D-8811-C84A-8355-B9056EE4119E}">
          <x14:formula1>
            <xm:f>DATA!$B$3:$B$13</xm:f>
          </x14:formula1>
          <xm:sqref>H2</xm:sqref>
        </x14:dataValidation>
        <x14:dataValidation type="list" allowBlank="1" showInputMessage="1" showErrorMessage="1" xr:uid="{E8413260-D323-9D4C-929B-16B8E741115D}">
          <x14:formula1>
            <xm:f>DATA!$L$4:$L$5</xm:f>
          </x14:formula1>
          <xm:sqref>O18:O19 Q19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0EB8-6807-4B9D-8264-32B01F4AAFBD}">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33203125" customWidth="1"/>
    <col min="5" max="5" width="14.83203125" customWidth="1"/>
    <col min="6" max="6" width="15.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95</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IF($O$18="Yes",(E5/$F$2)*DATA!$C$9,(E5/$F$2)*DATA!F$6)+IF(ISBLANK(K5),0,K5/$F$2)*DATA!$C$9-IF(ISBLANK(L5),0,L5/$F$2)*DATA!F$6</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IF($O$18="Yes",(E6/$F$2)*DATA!$C$9,(E6/$F$2)*DATA!F$6)+IF(ISBLANK(K6),0,K6/$F$2)*DATA!$C$9-IF(ISBLANK(L6),0,L6/$F$2)*DATA!F$6</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IF($O$18="Yes",(E7/$F$2)*DATA!$C$9,(E7/$F$2)*DATA!F$6)+IF(ISBLANK(K7),0,K7/$F$2)*DATA!$C$9-IF(ISBLANK(L7),0,L7/$F$2)*DATA!F$6</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IF($O$18="Yes",(E8/$F$2)*DATA!$C$9,(E8/$F$2)*DATA!F$6)+IF(ISBLANK(K8),0,K8/$F$2)*DATA!$C$9-IF(ISBLANK(L8),0,L8/$F$2)*DATA!F$6</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IF($O$18="Yes",(E9/$F$2)*DATA!$C$9,(E9/$F$2)*DATA!F$6)+IF(ISBLANK(K9),0,K9/$F$2)*DATA!$C$9-IF(ISBLANK(L9),0,L9/$F$2)*DATA!F$6</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IF($O$18="Yes",(E10/$F$2)*DATA!$C$9,(E10/$F$2)*DATA!F$6)+IF(ISBLANK(K10),0,K10/$F$2)*DATA!$C$9-IF(ISBLANK(L10),0,L10/$F$2)*DATA!F$6</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198" t="s">
        <v>295</v>
      </c>
      <c r="O10" s="199"/>
      <c r="P10" s="200"/>
    </row>
    <row r="11" spans="1:16" ht="16" x14ac:dyDescent="0.2">
      <c r="A11" s="221"/>
      <c r="B11" s="24"/>
      <c r="C11" s="13"/>
      <c r="D11" s="14">
        <f t="shared" si="0"/>
        <v>0</v>
      </c>
      <c r="E11" s="15"/>
      <c r="F11" s="15"/>
      <c r="G11" s="25" t="e">
        <f t="shared" si="1"/>
        <v>#DIV/0!</v>
      </c>
      <c r="H11" s="25" t="e">
        <f t="shared" si="2"/>
        <v>#DIV/0!</v>
      </c>
      <c r="I11" s="25" t="e">
        <f>IF($O$18="Yes",(E11/$F$2)*DATA!$C$9,(E11/$F$2)*DATA!F$6)+IF(ISBLANK(K11),0,K11/$F$2)*DATA!$C$9-IF(ISBLANK(L11),0,L11/$F$2)*DATA!F$6</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15"/>
      <c r="O11" s="316"/>
      <c r="P11" s="317"/>
    </row>
    <row r="12" spans="1:16" ht="17" thickBot="1" x14ac:dyDescent="0.25">
      <c r="A12" s="221"/>
      <c r="B12" s="24"/>
      <c r="C12" s="13"/>
      <c r="D12" s="14">
        <f t="shared" si="0"/>
        <v>0</v>
      </c>
      <c r="E12" s="15"/>
      <c r="F12" s="15"/>
      <c r="G12" s="25" t="e">
        <f t="shared" si="1"/>
        <v>#DIV/0!</v>
      </c>
      <c r="H12" s="25" t="e">
        <f t="shared" si="2"/>
        <v>#DIV/0!</v>
      </c>
      <c r="I12" s="25" t="e">
        <f>IF($O$18="Yes",(E12/$F$2)*DATA!$C$9,(E12/$F$2)*DATA!F$6)+IF(ISBLANK(K12),0,K12/$F$2)*DATA!$C$9-IF(ISBLANK(L12),0,L12/$F$2)*DATA!F$6</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246"/>
      <c r="O12" s="247"/>
      <c r="P12" s="248"/>
    </row>
    <row r="13" spans="1:16" ht="20" customHeight="1" thickBot="1" x14ac:dyDescent="0.25">
      <c r="A13" s="221"/>
      <c r="B13" s="24"/>
      <c r="C13" s="13"/>
      <c r="D13" s="14">
        <f t="shared" si="0"/>
        <v>0</v>
      </c>
      <c r="E13" s="15"/>
      <c r="F13" s="15"/>
      <c r="G13" s="25" t="e">
        <f t="shared" si="1"/>
        <v>#DIV/0!</v>
      </c>
      <c r="H13" s="25" t="e">
        <f t="shared" si="2"/>
        <v>#DIV/0!</v>
      </c>
      <c r="I13" s="25" t="e">
        <f>IF($O$18="Yes",(E13/$F$2)*DATA!$C$9,(E13/$F$2)*DATA!F$6)+IF(ISBLANK(K13),0,K13/$F$2)*DATA!$C$9-IF(ISBLANK(L13),0,L13/$F$2)*DATA!F$6</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IF($O$18="Yes",(E14/$F$2)*DATA!$C$9,(E14/$F$2)*DATA!F$6)+IF(ISBLANK(K14),0,K14/$F$2)*DATA!$C$9-IF(ISBLANK(L14),0,L14/$F$2)*DATA!F$6</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IF($O$18="Yes",(E15/$F$2)*DATA!$C$9,(E15/$F$2)*DATA!F$6)+IF(ISBLANK(K15),0,K15/$F$2)*DATA!$C$9-IF(ISBLANK(L15),0,L15/$F$2)*DATA!F$6</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102"/>
      <c r="C29" s="15"/>
      <c r="D29" s="29"/>
      <c r="E29" s="29"/>
      <c r="F29" s="103" t="e" cm="1">
        <f t="array" ref="F29">_xlfn.IFS(AND($C29="Fuel car",$D29=1),$E29*'HR '!C$7,AND($C29="Fuel car",$D29=2),$E29*'HR '!C$8,AND($C29="Fuel car",$D29=3),$E29*'HR '!C$9,AND($C29="Fuel car",$D29=4),$E29*'HR '!C$10,AND($C29="Fuel car",$D29=5),$E29*'HR '!C$11,AND($C29="Motorcycle",$D29=1),$E29*'HR '!C$13,AND($C29="Motorcycle",$D29=2),$E29*'HR '!C$14,AND($C29="Electric car",$D29=1),$E29*'HR '!C$16,AND($C29="Electric car",$D29=2),$E29*'HR '!C$17,AND($C29="Electric car",$D29=3),$E29*'HR '!C$18,AND($C29="Electric car",$D29=4),$E29*'HR '!C$19,AND($C29="Electric car",$D29=5),$E29*'HR '!C$20,AND($C29="Hybrid car",$D29=1),$E29*'HR '!C$22,AND($C29="Hybrid car",$D29=2),$E29*'HR '!C$23,AND($C29="Hybrid car",$D29=3),$E29*'HR '!C$24,AND($C29="Hybrid car",$D29=4),$E29*'HR '!C$25,AND($C29="Hybrid car",$D29=5),$E29*'HR '!C$26,AND($C29="Electric motorcycle",$D29=1),$E29*'HR '!C$28,AND($C29="Electric motorcycle",$D29=2),$E29*'HR '!C$29,AND($C29="Electric bike",$D29=1),$E29*'HR '!C$31,AND($C29="Electric scooter",$D29=1),$E29*'HR '!C$33,AND($C29="Bus",$D29="Almost empty"),$E29*'HR '!H$23,AND($C29="Bus",$D29="Average"),$E29*'HR '!H$24,AND($C29="Bus",$D29="Nearly full"),$E29*'HR '!H$25,AND($C29="Electric bus",$D29="Almost empty"),$E29*'HR '!H$7,AND($C29="Electric bus",$D29="Average"),$E29*'HR '!H$8,AND($C29="Electric bus",$D29="Nearly full"),$E29*'HR '!H$9,AND($C29="Diesel bus",$D29="Almost empty"),$E29*'HR '!H$19,AND($C29="Diesel bus",$D29="Average"),$E29*'HR '!H$20,AND($C29="Diesel bus",$D29="Nearly full"),$E29*'HR '!H$21,AND($C29="Hybrid-electric bus",$D29="Almost empty"),$E29*'HR '!H$11,AND($C29="Hybrid-electric bus",$D29="Average"),$E29*'HR '!H$12,AND($C29="Hybrid-electric bus",$D29="Nearly full"),$E29*'HR '!H$13,AND($C29="Alternative fuel bus",$D29="Almost empty"),$E29*'HR '!H$15,AND($C29="Alternative fuel bus",$D29="Average"),$E29*'HR '!H$16,AND($C29="Alternative fuel bus",$D29="Nearly full"),$E29*'HR '!H$17,AND($C29="Metro, tram, urban light train",$D29="Almost empty"),$E29*'HR '!C$35,AND($C29="Metro, tram, urban light train",$D29="Average"),$E29*'HR '!C$36,AND($C29="Metro, tram, urban light train",$D29="Nearly full"),$E29*'HR '!C$37,AND($C29="Electric passenger train",$D29="Almost empty"),$E29*'HR '!C$39,AND($C29="Electric passenger train",$D29="Average"),$E29*'HR '!C$40,AND($C29="Electric passenger train",$D29="Nearly full"),$E29*'HR '!C$41,AND($C29="Diesel passenger train",$D29="Almost empty"),$E29*'HR '!C$47,AND($C29="Diesel passenger train",$D29="Average"),$E29*'HR '!C$48,AND($C29="Diesel passenger train",$D29="Nearly full"),$E29*'HR '!C$49,AND($C29="Walking"),$E29*0,AND($C29="Bike"),$E29*0,AND($C29="Plane - domestic flight"),$E29*'HR '!$C53,AND($C29="Plane - international - intra EU"),$E29*'HR '!$C55,AND($C29="Plane - international (extra EU)"),$E29*'HR '!$C57)</f>
        <v>#N/A</v>
      </c>
      <c r="G29" s="104" t="e" cm="1">
        <f t="array" ref="G29">_xlfn.IFS(AND($C29="Fuel car",$D29=1),$E29*'HR '!D$7,AND($C29="Fuel car",$D29=2),$E29*'HR '!D$8,AND($C29="Fuel car",$D29=3),$E29*'HR '!D$9,AND($C29="Fuel car",$D29=4),$E29*'HR '!D$10,AND($C29="Fuel car",$D29=5),$E29*'HR '!D$11,AND($C29="Motorcycle",$D29=1),$E29*'HR '!D$13,AND($C29="Motorcycle",$D29=2),$E29*'HR '!D$14,AND($C29="Electric car",$D29=1),$E29*'HR '!D$16,AND($C29="Electric car",$D29=2),$E29*'HR '!D$17,AND($C29="Electric car",$D29=3),$E29*'HR '!D$18,AND($C29="Electric car",$D29=4),$E29*'HR '!D$19,AND($C29="Electric car",$D29=5),$E29*'HR '!D$20,AND($C29="Hybrid car",$D29=1),$E29*'HR '!D$22,AND($C29="Hybrid car",$D29=2),$E29*'HR '!D$23,AND($C29="Hybrid car",$D29=3),$E29*'HR '!D$24,AND($C29="Hybrid car",$D29=4),$E29*'HR '!D$25,AND($C29="Hybrid car",$D29=5),$E29*'HR '!D$26,AND($C29="Electric motorcycle",$D29=1),$E29*'HR '!D$28,AND($C29="Electric motorcycle",$D29=2),$E29*'HR '!D$29,AND($C29="Electric bike",$D29=1),$E29*'HR '!D$31,AND($C29="Electric scooter",$D29=1),$E29*'HR '!D$33,AND($C29="Bus",$D29="Almost empty"),$E29*'HR '!I$23,AND($C29="Bus",$D29="Average"),$E29*'HR '!I$24,AND($C29="Bus",$D29="Nearly full"),$E29*'HR '!I$25,AND($C29="Electric bus",$D29="Almost empty"),$E29*'HR '!I$7,AND($C29="Electric bus",$D29="Average"),$E29*'HR '!I$8,AND($C29="Electric bus",$D29="Nearly full"),$E29*'HR '!I$9,AND($C29="Diesel bus",$D29="Almost empty"),$E29*'HR '!I$19,AND($C29="Diesel bus",$D29="Average"),$E29*'HR '!I$20,AND($C29="Diesel bus",$D29="Nearly full"),$E29*'HR '!I$21,AND($C29="Hybrid-electric bus",$D29="Almost empty"),$E29*'HR '!I$11,AND($C29="Hybrid-electric bus",$D29="Average"),$E29*'HR '!I$12,AND($C29="Hybrid-electric bus",$D29="Nearly full"),$E29*'HR '!I$13,AND($C29="Alternative fuel bus",$D29="Almost empty"),$E29*'HR '!I$15,AND($C29="Alternative fuel bus",$D29="Average"),$E29*'HR '!I$16,AND($C29="Alternative fuel bus",$D29="Nearly full"),$E29*'HR '!I$17,AND($C29="Metro, tram, urban light train",$D29="Almost empty"),$E29*'HR '!D$35,AND($C29="Metro, tram, urban light train",$D29="Average"),$E29*'HR '!D$36,AND($C29="Metro, tram, urban light train",$D29="Nearly full"),$E29*'HR '!D$37,AND($C29="Electric passenger train",$D29="Almost empty"),$E29*'HR '!D$39,AND($C29="Electric passenger train",$D29="Average"),$E29*'HR '!D$40,AND($C29="Electric passenger train",$D29="Nearly full"),$E29*'HR '!D$41,AND($C29="Diesel passenger train",$D29="Almost empty"),$E29*'HR '!D$47,AND($C29="Diesel passenger train",$D29="Average"),$E29*'HR '!D$48,AND($C29="Diesel passenger train",$D29="Nearly full"),$E29*'HR '!D$49,AND($C29="Walking"),$E29*0,AND($C29="Bike"),$E29*0,AND($C29="Plane - domestic flight"),$E29*'HR '!$C53,AND($C29="Plane - international - intra EU"),$E29*'HR '!$C55,AND($C29="Plane - international (extra EU)"),$E29*'HR '!$C57)</f>
        <v>#N/A</v>
      </c>
      <c r="H29" s="151"/>
      <c r="I29" s="152">
        <f>H29/10*E29</f>
        <v>0</v>
      </c>
      <c r="J29" s="146" t="e" cm="1">
        <f t="array" ref="J29">_xlfn.IFS(Croatia!C29="Fuel car",Croatia!I29*DATA!$C$17,C29="Electric car",Croatia!I29*DATA!$F$6,Croatia!C29="Hybrid car",Croatia!I29*(0.5*DATA!$C$17+0.5*DATA!$F$6))</f>
        <v>#N/A</v>
      </c>
      <c r="L29" s="218"/>
      <c r="M29" s="219"/>
      <c r="N29" s="220"/>
    </row>
    <row r="30" spans="1:17" ht="32" customHeight="1" x14ac:dyDescent="0.2">
      <c r="A30" s="222"/>
      <c r="B30" s="30"/>
      <c r="C30" s="15"/>
      <c r="D30" s="15"/>
      <c r="E30" s="15"/>
      <c r="F30" s="123" t="e" cm="1">
        <f t="array" ref="F30">_xlfn.IFS(AND($C30="Fuel car",$D30=1),$E30*'HR '!C$7,AND($C30="Fuel car",$D30=2),$E30*'HR '!C$8,AND($C30="Fuel car",$D30=3),$E30*'HR '!C$9,AND($C30="Fuel car",$D30=4),$E30*'HR '!C$10,AND($C30="Fuel car",$D30=5),$E30*'HR '!C$11,AND($C30="Motorcycle",$D30=1),$E30*'HR '!C$13,AND($C30="Motorcycle",$D30=2),$E30*'HR '!C$14,AND($C30="Electric car",$D30=1),$E30*'HR '!C$16,AND($C30="Electric car",$D30=2),$E30*'HR '!C$17,AND($C30="Electric car",$D30=3),$E30*'HR '!C$18,AND($C30="Electric car",$D30=4),$E30*'HR '!C$19,AND($C30="Electric car",$D30=5),$E30*'HR '!C$20,AND($C30="Hybrid car",$D30=1),$E30*'HR '!C$22,AND($C30="Hybrid car",$D30=2),$E30*'HR '!C$23,AND($C30="Hybrid car",$D30=3),$E30*'HR '!C$24,AND($C30="Hybrid car",$D30=4),$E30*'HR '!C$25,AND($C30="Hybrid car",$D30=5),$E30*'HR '!C$26,AND($C30="Electric motorcycle",$D30=1),$E30*'HR '!C$28,AND($C30="Electric motorcycle",$D30=2),$E30*'HR '!C$29,AND($C30="Electric bike",$D30=1),$E30*'HR '!C$31,AND($C30="Electric scooter",$D30=1),$E30*'HR '!C$33,AND($C30="Bus",$D30="Almost empty"),$E30*'HR '!H$23,AND($C30="Bus",$D30="Average"),$E30*'HR '!H$24,AND($C30="Bus",$D30="Nearly full"),$E30*'HR '!H$25,AND($C30="Electric bus",$D30="Almost empty"),$E30*'HR '!H$7,AND($C30="Electric bus",$D30="Average"),$E30*'HR '!H$8,AND($C30="Electric bus",$D30="Nearly full"),$E30*'HR '!H$9,AND($C30="Diesel bus",$D30="Almost empty"),$E30*'HR '!H$19,AND($C30="Diesel bus",$D30="Average"),$E30*'HR '!H$20,AND($C30="Diesel bus",$D30="Nearly full"),$E30*'HR '!H$21,AND($C30="Hybrid-electric bus",$D30="Almost empty"),$E30*'HR '!H$11,AND($C30="Hybrid-electric bus",$D30="Average"),$E30*'HR '!H$12,AND($C30="Hybrid-electric bus",$D30="Nearly full"),$E30*'HR '!H$13,AND($C30="Alternative fuel bus",$D30="Almost empty"),$E30*'HR '!H$15,AND($C30="Alternative fuel bus",$D30="Average"),$E30*'HR '!H$16,AND($C30="Alternative fuel bus",$D30="Nearly full"),$E30*'HR '!H$17,AND($C30="Metro, tram, urban light train",$D30="Almost empty"),$E30*'HR '!C$35,AND($C30="Metro, tram, urban light train",$D30="Average"),$E30*'HR '!C$36,AND($C30="Metro, tram, urban light train",$D30="Nearly full"),$E30*'HR '!C$37,AND($C30="Electric passenger train",$D30="Almost empty"),$E30*'HR '!C$39,AND($C30="Electric passenger train",$D30="Average"),$E30*'HR '!C$40,AND($C30="Electric passenger train",$D30="Nearly full"),$E30*'HR '!C$41,AND($C30="Diesel passenger train",$D30="Almost empty"),$E30*'HR '!C$47,AND($C30="Diesel passenger train",$D30="Average"),$E30*'HR '!C$48,AND($C30="Diesel passenger train",$D30="Nearly full"),$E30*'HR '!C$49,AND($C30="Walking"),$E30*0,AND($C30="Bike"),$E30*0,AND($C30="Plane - domestic flight"),$E30*'HR '!$C54,AND($C30="Plane - international - intra EU"),$E30*'HR '!$C56,AND($C30="Plane - international (extra EU)"),$E30*'HR '!$C58)</f>
        <v>#N/A</v>
      </c>
      <c r="G30" s="31" t="e" cm="1">
        <f t="array" ref="G30">_xlfn.IFS(AND($C30="Fuel car",$D30=1),$E30*'HR '!D$7,AND($C30="Fuel car",$D30=2),$E30*'HR '!D$8,AND($C30="Fuel car",$D30=3),$E30*'HR '!D$9,AND($C30="Fuel car",$D30=4),$E30*'HR '!D$10,AND($C30="Fuel car",$D30=5),$E30*'HR '!D$11,AND($C30="Motorcycle",$D30=1),$E30*'HR '!D$13,AND($C30="Motorcycle",$D30=2),$E30*'HR '!D$14,AND($C30="Electric car",$D30=1),$E30*'HR '!D$16,AND($C30="Electric car",$D30=2),$E30*'HR '!D$17,AND($C30="Electric car",$D30=3),$E30*'HR '!D$18,AND($C30="Electric car",$D30=4),$E30*'HR '!D$19,AND($C30="Electric car",$D30=5),$E30*'HR '!D$20,AND($C30="Hybrid car",$D30=1),$E30*'HR '!D$22,AND($C30="Hybrid car",$D30=2),$E30*'HR '!D$23,AND($C30="Hybrid car",$D30=3),$E30*'HR '!D$24,AND($C30="Hybrid car",$D30=4),$E30*'HR '!D$25,AND($C30="Hybrid car",$D30=5),$E30*'HR '!D$26,AND($C30="Electric motorcycle",$D30=1),$E30*'HR '!D$28,AND($C30="Electric motorcycle",$D30=2),$E30*'HR '!D$29,AND($C30="Electric bike",$D30=1),$E30*'HR '!D$31,AND($C30="Electric scooter",$D30=1),$E30*'HR '!D$33,AND($C30="Bus",$D30="Almost empty"),$E30*'HR '!I$23,AND($C30="Bus",$D30="Average"),$E30*'HR '!I$24,AND($C30="Bus",$D30="Nearly full"),$E30*'HR '!I$25,AND($C30="Electric bus",$D30="Almost empty"),$E30*'HR '!I$7,AND($C30="Electric bus",$D30="Average"),$E30*'HR '!I$8,AND($C30="Electric bus",$D30="Nearly full"),$E30*'HR '!I$9,AND($C30="Diesel bus",$D30="Almost empty"),$E30*'HR '!I$19,AND($C30="Diesel bus",$D30="Average"),$E30*'HR '!I$20,AND($C30="Diesel bus",$D30="Nearly full"),$E30*'HR '!I$21,AND($C30="Hybrid-electric bus",$D30="Almost empty"),$E30*'HR '!I$11,AND($C30="Hybrid-electric bus",$D30="Average"),$E30*'HR '!I$12,AND($C30="Hybrid-electric bus",$D30="Nearly full"),$E30*'HR '!I$13,AND($C30="Alternative fuel bus",$D30="Almost empty"),$E30*'HR '!I$15,AND($C30="Alternative fuel bus",$D30="Average"),$E30*'HR '!I$16,AND($C30="Alternative fuel bus",$D30="Nearly full"),$E30*'HR '!I$17,AND($C30="Metro, tram, urban light train",$D30="Almost empty"),$E30*'HR '!D$35,AND($C30="Metro, tram, urban light train",$D30="Average"),$E30*'HR '!D$36,AND($C30="Metro, tram, urban light train",$D30="Nearly full"),$E30*'HR '!D$37,AND($C30="Electric passenger train",$D30="Almost empty"),$E30*'HR '!D$39,AND($C30="Electric passenger train",$D30="Average"),$E30*'HR '!D$40,AND($C30="Electric passenger train",$D30="Nearly full"),$E30*'HR '!D$41,AND($C30="Diesel passenger train",$D30="Almost empty"),$E30*'HR '!D$47,AND($C30="Diesel passenger train",$D30="Average"),$E30*'HR '!D$48,AND($C30="Diesel passenger train",$D30="Nearly full"),$E30*'HR '!D$49,AND($C30="Walking"),$E30*0,AND($C30="Bike"),$E30*0,AND($C30="Plane - domestic flight"),$E30*'HR '!$C54,AND($C30="Plane - international - intra EU"),$E30*'HR '!$C56,AND($C30="Plane - international (extra EU)"),$E30*'HR '!$C58)</f>
        <v>#N/A</v>
      </c>
      <c r="H30" s="145"/>
      <c r="I30" s="148">
        <f t="shared" ref="I30:I43" si="6">H30/10*E30</f>
        <v>0</v>
      </c>
      <c r="J30" s="146" t="e" cm="1">
        <f t="array" ref="J30">_xlfn.IFS(Croatia!C30="Fuel car",Croatia!I30*DATA!$C$17,C30="Electric car",Croatia!I30*DATA!$F$6,Croatia!C30="Hybrid car",Croatia!I30*(0.5*DATA!$C$17+0.5*DATA!$F$6))</f>
        <v>#N/A</v>
      </c>
      <c r="L30" s="215" t="s">
        <v>76</v>
      </c>
      <c r="M30" s="216"/>
      <c r="N30" s="217"/>
    </row>
    <row r="31" spans="1:17" x14ac:dyDescent="0.2">
      <c r="A31" s="222"/>
      <c r="B31" s="30"/>
      <c r="C31" s="15"/>
      <c r="D31" s="15"/>
      <c r="E31" s="15"/>
      <c r="F31" s="123" t="e" cm="1">
        <f t="array" ref="F31">_xlfn.IFS(AND($C31="Fuel car",$D31=1),$E31*'HR '!C$7,AND($C31="Fuel car",$D31=2),$E31*'HR '!C$8,AND($C31="Fuel car",$D31=3),$E31*'HR '!C$9,AND($C31="Fuel car",$D31=4),$E31*'HR '!C$10,AND($C31="Fuel car",$D31=5),$E31*'HR '!C$11,AND($C31="Motorcycle",$D31=1),$E31*'HR '!C$13,AND($C31="Motorcycle",$D31=2),$E31*'HR '!C$14,AND($C31="Electric car",$D31=1),$E31*'HR '!C$16,AND($C31="Electric car",$D31=2),$E31*'HR '!C$17,AND($C31="Electric car",$D31=3),$E31*'HR '!C$18,AND($C31="Electric car",$D31=4),$E31*'HR '!C$19,AND($C31="Electric car",$D31=5),$E31*'HR '!C$20,AND($C31="Hybrid car",$D31=1),$E31*'HR '!C$22,AND($C31="Hybrid car",$D31=2),$E31*'HR '!C$23,AND($C31="Hybrid car",$D31=3),$E31*'HR '!C$24,AND($C31="Hybrid car",$D31=4),$E31*'HR '!C$25,AND($C31="Hybrid car",$D31=5),$E31*'HR '!C$26,AND($C31="Electric motorcycle",$D31=1),$E31*'HR '!C$28,AND($C31="Electric motorcycle",$D31=2),$E31*'HR '!C$29,AND($C31="Electric bike",$D31=1),$E31*'HR '!C$31,AND($C31="Electric scooter",$D31=1),$E31*'HR '!C$33,AND($C31="Bus",$D31="Almost empty"),$E31*'HR '!H$23,AND($C31="Bus",$D31="Average"),$E31*'HR '!H$24,AND($C31="Bus",$D31="Nearly full"),$E31*'HR '!H$25,AND($C31="Electric bus",$D31="Almost empty"),$E31*'HR '!H$7,AND($C31="Electric bus",$D31="Average"),$E31*'HR '!H$8,AND($C31="Electric bus",$D31="Nearly full"),$E31*'HR '!H$9,AND($C31="Diesel bus",$D31="Almost empty"),$E31*'HR '!H$19,AND($C31="Diesel bus",$D31="Average"),$E31*'HR '!H$20,AND($C31="Diesel bus",$D31="Nearly full"),$E31*'HR '!H$21,AND($C31="Hybrid-electric bus",$D31="Almost empty"),$E31*'HR '!H$11,AND($C31="Hybrid-electric bus",$D31="Average"),$E31*'HR '!H$12,AND($C31="Hybrid-electric bus",$D31="Nearly full"),$E31*'HR '!H$13,AND($C31="Alternative fuel bus",$D31="Almost empty"),$E31*'HR '!H$15,AND($C31="Alternative fuel bus",$D31="Average"),$E31*'HR '!H$16,AND($C31="Alternative fuel bus",$D31="Nearly full"),$E31*'HR '!H$17,AND($C31="Metro, tram, urban light train",$D31="Almost empty"),$E31*'HR '!C$35,AND($C31="Metro, tram, urban light train",$D31="Average"),$E31*'HR '!C$36,AND($C31="Metro, tram, urban light train",$D31="Nearly full"),$E31*'HR '!C$37,AND($C31="Electric passenger train",$D31="Almost empty"),$E31*'HR '!C$39,AND($C31="Electric passenger train",$D31="Average"),$E31*'HR '!C$40,AND($C31="Electric passenger train",$D31="Nearly full"),$E31*'HR '!C$41,AND($C31="Diesel passenger train",$D31="Almost empty"),$E31*'HR '!C$47,AND($C31="Diesel passenger train",$D31="Average"),$E31*'HR '!C$48,AND($C31="Diesel passenger train",$D31="Nearly full"),$E31*'HR '!C$49,AND($C31="Walking"),$E31*0,AND($C31="Bike"),$E31*0,AND($C31="Plane - domestic flight"),$E31*'HR '!$C55,AND($C31="Plane - international - intra EU"),$E31*'HR '!$C57,AND($C31="Plane - international (extra EU)"),$E31*'HR '!$C59)</f>
        <v>#N/A</v>
      </c>
      <c r="G31" s="31" t="e" cm="1">
        <f t="array" ref="G31">_xlfn.IFS(AND($C31="Fuel car",$D31=1),$E31*'HR '!D$7,AND($C31="Fuel car",$D31=2),$E31*'HR '!D$8,AND($C31="Fuel car",$D31=3),$E31*'HR '!D$9,AND($C31="Fuel car",$D31=4),$E31*'HR '!D$10,AND($C31="Fuel car",$D31=5),$E31*'HR '!D$11,AND($C31="Motorcycle",$D31=1),$E31*'HR '!D$13,AND($C31="Motorcycle",$D31=2),$E31*'HR '!D$14,AND($C31="Electric car",$D31=1),$E31*'HR '!D$16,AND($C31="Electric car",$D31=2),$E31*'HR '!D$17,AND($C31="Electric car",$D31=3),$E31*'HR '!D$18,AND($C31="Electric car",$D31=4),$E31*'HR '!D$19,AND($C31="Electric car",$D31=5),$E31*'HR '!D$20,AND($C31="Hybrid car",$D31=1),$E31*'HR '!D$22,AND($C31="Hybrid car",$D31=2),$E31*'HR '!D$23,AND($C31="Hybrid car",$D31=3),$E31*'HR '!D$24,AND($C31="Hybrid car",$D31=4),$E31*'HR '!D$25,AND($C31="Hybrid car",$D31=5),$E31*'HR '!D$26,AND($C31="Electric motorcycle",$D31=1),$E31*'HR '!D$28,AND($C31="Electric motorcycle",$D31=2),$E31*'HR '!D$29,AND($C31="Electric bike",$D31=1),$E31*'HR '!D$31,AND($C31="Electric scooter",$D31=1),$E31*'HR '!D$33,AND($C31="Bus",$D31="Almost empty"),$E31*'HR '!I$23,AND($C31="Bus",$D31="Average"),$E31*'HR '!I$24,AND($C31="Bus",$D31="Nearly full"),$E31*'HR '!I$25,AND($C31="Electric bus",$D31="Almost empty"),$E31*'HR '!I$7,AND($C31="Electric bus",$D31="Average"),$E31*'HR '!I$8,AND($C31="Electric bus",$D31="Nearly full"),$E31*'HR '!I$9,AND($C31="Diesel bus",$D31="Almost empty"),$E31*'HR '!I$19,AND($C31="Diesel bus",$D31="Average"),$E31*'HR '!I$20,AND($C31="Diesel bus",$D31="Nearly full"),$E31*'HR '!I$21,AND($C31="Hybrid-electric bus",$D31="Almost empty"),$E31*'HR '!I$11,AND($C31="Hybrid-electric bus",$D31="Average"),$E31*'HR '!I$12,AND($C31="Hybrid-electric bus",$D31="Nearly full"),$E31*'HR '!I$13,AND($C31="Alternative fuel bus",$D31="Almost empty"),$E31*'HR '!I$15,AND($C31="Alternative fuel bus",$D31="Average"),$E31*'HR '!I$16,AND($C31="Alternative fuel bus",$D31="Nearly full"),$E31*'HR '!I$17,AND($C31="Metro, tram, urban light train",$D31="Almost empty"),$E31*'HR '!D$35,AND($C31="Metro, tram, urban light train",$D31="Average"),$E31*'HR '!D$36,AND($C31="Metro, tram, urban light train",$D31="Nearly full"),$E31*'HR '!D$37,AND($C31="Electric passenger train",$D31="Almost empty"),$E31*'HR '!D$39,AND($C31="Electric passenger train",$D31="Average"),$E31*'HR '!D$40,AND($C31="Electric passenger train",$D31="Nearly full"),$E31*'HR '!D$41,AND($C31="Diesel passenger train",$D31="Almost empty"),$E31*'HR '!D$47,AND($C31="Diesel passenger train",$D31="Average"),$E31*'HR '!D$48,AND($C31="Diesel passenger train",$D31="Nearly full"),$E31*'HR '!D$49,AND($C31="Walking"),$E31*0,AND($C31="Bike"),$E31*0,AND($C31="Plane - domestic flight"),$E31*'HR '!$C55,AND($C31="Plane - international - intra EU"),$E31*'HR '!$C57,AND($C31="Plane - international (extra EU)"),$E31*'HR '!$C59)</f>
        <v>#N/A</v>
      </c>
      <c r="H31" s="145"/>
      <c r="I31" s="148">
        <f t="shared" si="6"/>
        <v>0</v>
      </c>
      <c r="J31" s="146" t="e" cm="1">
        <f t="array" ref="J31">_xlfn.IFS(Croatia!C31="Fuel car",Croatia!I31*DATA!$C$17,C31="Electric car",Croatia!I31*DATA!$F$6,Croatia!C31="Hybrid car",Croatia!I31*(0.5*DATA!$C$17+0.5*DATA!$F$6))</f>
        <v>#N/A</v>
      </c>
      <c r="L31" s="223"/>
      <c r="M31" s="224"/>
      <c r="N31" s="225"/>
    </row>
    <row r="32" spans="1:17" ht="16" thickBot="1" x14ac:dyDescent="0.25">
      <c r="A32" s="222"/>
      <c r="B32" s="30"/>
      <c r="C32" s="15"/>
      <c r="D32" s="15"/>
      <c r="E32" s="15"/>
      <c r="F32" s="123" t="e" cm="1">
        <f t="array" ref="F32">_xlfn.IFS(AND($C32="Fuel car",$D32=1),$E32*'HR '!C$7,AND($C32="Fuel car",$D32=2),$E32*'HR '!C$8,AND($C32="Fuel car",$D32=3),$E32*'HR '!C$9,AND($C32="Fuel car",$D32=4),$E32*'HR '!C$10,AND($C32="Fuel car",$D32=5),$E32*'HR '!C$11,AND($C32="Motorcycle",$D32=1),$E32*'HR '!C$13,AND($C32="Motorcycle",$D32=2),$E32*'HR '!C$14,AND($C32="Electric car",$D32=1),$E32*'HR '!C$16,AND($C32="Electric car",$D32=2),$E32*'HR '!C$17,AND($C32="Electric car",$D32=3),$E32*'HR '!C$18,AND($C32="Electric car",$D32=4),$E32*'HR '!C$19,AND($C32="Electric car",$D32=5),$E32*'HR '!C$20,AND($C32="Hybrid car",$D32=1),$E32*'HR '!C$22,AND($C32="Hybrid car",$D32=2),$E32*'HR '!C$23,AND($C32="Hybrid car",$D32=3),$E32*'HR '!C$24,AND($C32="Hybrid car",$D32=4),$E32*'HR '!C$25,AND($C32="Hybrid car",$D32=5),$E32*'HR '!C$26,AND($C32="Electric motorcycle",$D32=1),$E32*'HR '!C$28,AND($C32="Electric motorcycle",$D32=2),$E32*'HR '!C$29,AND($C32="Electric bike",$D32=1),$E32*'HR '!C$31,AND($C32="Electric scooter",$D32=1),$E32*'HR '!C$33,AND($C32="Bus",$D32="Almost empty"),$E32*'HR '!H$23,AND($C32="Bus",$D32="Average"),$E32*'HR '!H$24,AND($C32="Bus",$D32="Nearly full"),$E32*'HR '!H$25,AND($C32="Electric bus",$D32="Almost empty"),$E32*'HR '!H$7,AND($C32="Electric bus",$D32="Average"),$E32*'HR '!H$8,AND($C32="Electric bus",$D32="Nearly full"),$E32*'HR '!H$9,AND($C32="Diesel bus",$D32="Almost empty"),$E32*'HR '!H$19,AND($C32="Diesel bus",$D32="Average"),$E32*'HR '!H$20,AND($C32="Diesel bus",$D32="Nearly full"),$E32*'HR '!H$21,AND($C32="Hybrid-electric bus",$D32="Almost empty"),$E32*'HR '!H$11,AND($C32="Hybrid-electric bus",$D32="Average"),$E32*'HR '!H$12,AND($C32="Hybrid-electric bus",$D32="Nearly full"),$E32*'HR '!H$13,AND($C32="Alternative fuel bus",$D32="Almost empty"),$E32*'HR '!H$15,AND($C32="Alternative fuel bus",$D32="Average"),$E32*'HR '!H$16,AND($C32="Alternative fuel bus",$D32="Nearly full"),$E32*'HR '!H$17,AND($C32="Metro, tram, urban light train",$D32="Almost empty"),$E32*'HR '!C$35,AND($C32="Metro, tram, urban light train",$D32="Average"),$E32*'HR '!C$36,AND($C32="Metro, tram, urban light train",$D32="Nearly full"),$E32*'HR '!C$37,AND($C32="Electric passenger train",$D32="Almost empty"),$E32*'HR '!C$39,AND($C32="Electric passenger train",$D32="Average"),$E32*'HR '!C$40,AND($C32="Electric passenger train",$D32="Nearly full"),$E32*'HR '!C$41,AND($C32="Diesel passenger train",$D32="Almost empty"),$E32*'HR '!C$47,AND($C32="Diesel passenger train",$D32="Average"),$E32*'HR '!C$48,AND($C32="Diesel passenger train",$D32="Nearly full"),$E32*'HR '!C$49,AND($C32="Walking"),$E32*0,AND($C32="Bike"),$E32*0,AND($C32="Plane - domestic flight"),$E32*'HR '!$C56,AND($C32="Plane - international - intra EU"),$E32*'HR '!$C58,AND($C32="Plane - international (extra EU)"),$E32*'HR '!$C60)</f>
        <v>#N/A</v>
      </c>
      <c r="G32" s="31" t="e" cm="1">
        <f t="array" ref="G32">_xlfn.IFS(AND($C32="Fuel car",$D32=1),$E32*'HR '!D$7,AND($C32="Fuel car",$D32=2),$E32*'HR '!D$8,AND($C32="Fuel car",$D32=3),$E32*'HR '!D$9,AND($C32="Fuel car",$D32=4),$E32*'HR '!D$10,AND($C32="Fuel car",$D32=5),$E32*'HR '!D$11,AND($C32="Motorcycle",$D32=1),$E32*'HR '!D$13,AND($C32="Motorcycle",$D32=2),$E32*'HR '!D$14,AND($C32="Electric car",$D32=1),$E32*'HR '!D$16,AND($C32="Electric car",$D32=2),$E32*'HR '!D$17,AND($C32="Electric car",$D32=3),$E32*'HR '!D$18,AND($C32="Electric car",$D32=4),$E32*'HR '!D$19,AND($C32="Electric car",$D32=5),$E32*'HR '!D$20,AND($C32="Hybrid car",$D32=1),$E32*'HR '!D$22,AND($C32="Hybrid car",$D32=2),$E32*'HR '!D$23,AND($C32="Hybrid car",$D32=3),$E32*'HR '!D$24,AND($C32="Hybrid car",$D32=4),$E32*'HR '!D$25,AND($C32="Hybrid car",$D32=5),$E32*'HR '!D$26,AND($C32="Electric motorcycle",$D32=1),$E32*'HR '!D$28,AND($C32="Electric motorcycle",$D32=2),$E32*'HR '!D$29,AND($C32="Electric bike",$D32=1),$E32*'HR '!D$31,AND($C32="Electric scooter",$D32=1),$E32*'HR '!D$33,AND($C32="Bus",$D32="Almost empty"),$E32*'HR '!I$23,AND($C32="Bus",$D32="Average"),$E32*'HR '!I$24,AND($C32="Bus",$D32="Nearly full"),$E32*'HR '!I$25,AND($C32="Electric bus",$D32="Almost empty"),$E32*'HR '!I$7,AND($C32="Electric bus",$D32="Average"),$E32*'HR '!I$8,AND($C32="Electric bus",$D32="Nearly full"),$E32*'HR '!I$9,AND($C32="Diesel bus",$D32="Almost empty"),$E32*'HR '!I$19,AND($C32="Diesel bus",$D32="Average"),$E32*'HR '!I$20,AND($C32="Diesel bus",$D32="Nearly full"),$E32*'HR '!I$21,AND($C32="Hybrid-electric bus",$D32="Almost empty"),$E32*'HR '!I$11,AND($C32="Hybrid-electric bus",$D32="Average"),$E32*'HR '!I$12,AND($C32="Hybrid-electric bus",$D32="Nearly full"),$E32*'HR '!I$13,AND($C32="Alternative fuel bus",$D32="Almost empty"),$E32*'HR '!I$15,AND($C32="Alternative fuel bus",$D32="Average"),$E32*'HR '!I$16,AND($C32="Alternative fuel bus",$D32="Nearly full"),$E32*'HR '!I$17,AND($C32="Metro, tram, urban light train",$D32="Almost empty"),$E32*'HR '!D$35,AND($C32="Metro, tram, urban light train",$D32="Average"),$E32*'HR '!D$36,AND($C32="Metro, tram, urban light train",$D32="Nearly full"),$E32*'HR '!D$37,AND($C32="Electric passenger train",$D32="Almost empty"),$E32*'HR '!D$39,AND($C32="Electric passenger train",$D32="Average"),$E32*'HR '!D$40,AND($C32="Electric passenger train",$D32="Nearly full"),$E32*'HR '!D$41,AND($C32="Diesel passenger train",$D32="Almost empty"),$E32*'HR '!D$47,AND($C32="Diesel passenger train",$D32="Average"),$E32*'HR '!D$48,AND($C32="Diesel passenger train",$D32="Nearly full"),$E32*'HR '!D$49,AND($C32="Walking"),$E32*0,AND($C32="Bike"),$E32*0,AND($C32="Plane - domestic flight"),$E32*'HR '!$C56,AND($C32="Plane - international - intra EU"),$E32*'HR '!$C58,AND($C32="Plane - international (extra EU)"),$E32*'HR '!$C60)</f>
        <v>#N/A</v>
      </c>
      <c r="H32" s="145"/>
      <c r="I32" s="148">
        <f t="shared" si="6"/>
        <v>0</v>
      </c>
      <c r="J32" s="146" t="e" cm="1">
        <f t="array" ref="J32">_xlfn.IFS(Croatia!C32="Fuel car",Croatia!I32*DATA!$C$17,C32="Electric car",Croatia!I32*DATA!$F$6,Croatia!C32="Hybrid car",Croatia!I32*(0.5*DATA!$C$17+0.5*DATA!$F$6))</f>
        <v>#N/A</v>
      </c>
      <c r="L32" s="218"/>
      <c r="M32" s="219"/>
      <c r="N32" s="220"/>
    </row>
    <row r="33" spans="1:14" ht="14.5" customHeight="1" x14ac:dyDescent="0.2">
      <c r="A33" s="222"/>
      <c r="B33" s="30"/>
      <c r="C33" s="15"/>
      <c r="D33" s="15"/>
      <c r="E33" s="15"/>
      <c r="F33" s="123" t="e" cm="1">
        <f t="array" ref="F33">_xlfn.IFS(AND($C33="Fuel car",$D33=1),$E33*'HR '!C$7,AND($C33="Fuel car",$D33=2),$E33*'HR '!C$8,AND($C33="Fuel car",$D33=3),$E33*'HR '!C$9,AND($C33="Fuel car",$D33=4),$E33*'HR '!C$10,AND($C33="Fuel car",$D33=5),$E33*'HR '!C$11,AND($C33="Motorcycle",$D33=1),$E33*'HR '!C$13,AND($C33="Motorcycle",$D33=2),$E33*'HR '!C$14,AND($C33="Electric car",$D33=1),$E33*'HR '!C$16,AND($C33="Electric car",$D33=2),$E33*'HR '!C$17,AND($C33="Electric car",$D33=3),$E33*'HR '!C$18,AND($C33="Electric car",$D33=4),$E33*'HR '!C$19,AND($C33="Electric car",$D33=5),$E33*'HR '!C$20,AND($C33="Hybrid car",$D33=1),$E33*'HR '!C$22,AND($C33="Hybrid car",$D33=2),$E33*'HR '!C$23,AND($C33="Hybrid car",$D33=3),$E33*'HR '!C$24,AND($C33="Hybrid car",$D33=4),$E33*'HR '!C$25,AND($C33="Hybrid car",$D33=5),$E33*'HR '!C$26,AND($C33="Electric motorcycle",$D33=1),$E33*'HR '!C$28,AND($C33="Electric motorcycle",$D33=2),$E33*'HR '!C$29,AND($C33="Electric bike",$D33=1),$E33*'HR '!C$31,AND($C33="Electric scooter",$D33=1),$E33*'HR '!C$33,AND($C33="Bus",$D33="Almost empty"),$E33*'HR '!H$23,AND($C33="Bus",$D33="Average"),$E33*'HR '!H$24,AND($C33="Bus",$D33="Nearly full"),$E33*'HR '!H$25,AND($C33="Electric bus",$D33="Almost empty"),$E33*'HR '!H$7,AND($C33="Electric bus",$D33="Average"),$E33*'HR '!H$8,AND($C33="Electric bus",$D33="Nearly full"),$E33*'HR '!H$9,AND($C33="Diesel bus",$D33="Almost empty"),$E33*'HR '!H$19,AND($C33="Diesel bus",$D33="Average"),$E33*'HR '!H$20,AND($C33="Diesel bus",$D33="Nearly full"),$E33*'HR '!H$21,AND($C33="Hybrid-electric bus",$D33="Almost empty"),$E33*'HR '!H$11,AND($C33="Hybrid-electric bus",$D33="Average"),$E33*'HR '!H$12,AND($C33="Hybrid-electric bus",$D33="Nearly full"),$E33*'HR '!H$13,AND($C33="Alternative fuel bus",$D33="Almost empty"),$E33*'HR '!H$15,AND($C33="Alternative fuel bus",$D33="Average"),$E33*'HR '!H$16,AND($C33="Alternative fuel bus",$D33="Nearly full"),$E33*'HR '!H$17,AND($C33="Metro, tram, urban light train",$D33="Almost empty"),$E33*'HR '!C$35,AND($C33="Metro, tram, urban light train",$D33="Average"),$E33*'HR '!C$36,AND($C33="Metro, tram, urban light train",$D33="Nearly full"),$E33*'HR '!C$37,AND($C33="Electric passenger train",$D33="Almost empty"),$E33*'HR '!C$39,AND($C33="Electric passenger train",$D33="Average"),$E33*'HR '!C$40,AND($C33="Electric passenger train",$D33="Nearly full"),$E33*'HR '!C$41,AND($C33="Diesel passenger train",$D33="Almost empty"),$E33*'HR '!C$47,AND($C33="Diesel passenger train",$D33="Average"),$E33*'HR '!C$48,AND($C33="Diesel passenger train",$D33="Nearly full"),$E33*'HR '!C$49,AND($C33="Walking"),$E33*0,AND($C33="Bike"),$E33*0,AND($C33="Plane - domestic flight"),$E33*'HR '!$C57,AND($C33="Plane - international - intra EU"),$E33*'HR '!$C59,AND($C33="Plane - international (extra EU)"),$E33*'HR '!$C61)</f>
        <v>#N/A</v>
      </c>
      <c r="G33" s="31" t="e" cm="1">
        <f t="array" ref="G33">_xlfn.IFS(AND($C33="Fuel car",$D33=1),$E33*'HR '!D$7,AND($C33="Fuel car",$D33=2),$E33*'HR '!D$8,AND($C33="Fuel car",$D33=3),$E33*'HR '!D$9,AND($C33="Fuel car",$D33=4),$E33*'HR '!D$10,AND($C33="Fuel car",$D33=5),$E33*'HR '!D$11,AND($C33="Motorcycle",$D33=1),$E33*'HR '!D$13,AND($C33="Motorcycle",$D33=2),$E33*'HR '!D$14,AND($C33="Electric car",$D33=1),$E33*'HR '!D$16,AND($C33="Electric car",$D33=2),$E33*'HR '!D$17,AND($C33="Electric car",$D33=3),$E33*'HR '!D$18,AND($C33="Electric car",$D33=4),$E33*'HR '!D$19,AND($C33="Electric car",$D33=5),$E33*'HR '!D$20,AND($C33="Hybrid car",$D33=1),$E33*'HR '!D$22,AND($C33="Hybrid car",$D33=2),$E33*'HR '!D$23,AND($C33="Hybrid car",$D33=3),$E33*'HR '!D$24,AND($C33="Hybrid car",$D33=4),$E33*'HR '!D$25,AND($C33="Hybrid car",$D33=5),$E33*'HR '!D$26,AND($C33="Electric motorcycle",$D33=1),$E33*'HR '!D$28,AND($C33="Electric motorcycle",$D33=2),$E33*'HR '!D$29,AND($C33="Electric bike",$D33=1),$E33*'HR '!D$31,AND($C33="Electric scooter",$D33=1),$E33*'HR '!D$33,AND($C33="Bus",$D33="Almost empty"),$E33*'HR '!I$23,AND($C33="Bus",$D33="Average"),$E33*'HR '!I$24,AND($C33="Bus",$D33="Nearly full"),$E33*'HR '!I$25,AND($C33="Electric bus",$D33="Almost empty"),$E33*'HR '!I$7,AND($C33="Electric bus",$D33="Average"),$E33*'HR '!I$8,AND($C33="Electric bus",$D33="Nearly full"),$E33*'HR '!I$9,AND($C33="Diesel bus",$D33="Almost empty"),$E33*'HR '!I$19,AND($C33="Diesel bus",$D33="Average"),$E33*'HR '!I$20,AND($C33="Diesel bus",$D33="Nearly full"),$E33*'HR '!I$21,AND($C33="Hybrid-electric bus",$D33="Almost empty"),$E33*'HR '!I$11,AND($C33="Hybrid-electric bus",$D33="Average"),$E33*'HR '!I$12,AND($C33="Hybrid-electric bus",$D33="Nearly full"),$E33*'HR '!I$13,AND($C33="Alternative fuel bus",$D33="Almost empty"),$E33*'HR '!I$15,AND($C33="Alternative fuel bus",$D33="Average"),$E33*'HR '!I$16,AND($C33="Alternative fuel bus",$D33="Nearly full"),$E33*'HR '!I$17,AND($C33="Metro, tram, urban light train",$D33="Almost empty"),$E33*'HR '!D$35,AND($C33="Metro, tram, urban light train",$D33="Average"),$E33*'HR '!D$36,AND($C33="Metro, tram, urban light train",$D33="Nearly full"),$E33*'HR '!D$37,AND($C33="Electric passenger train",$D33="Almost empty"),$E33*'HR '!D$39,AND($C33="Electric passenger train",$D33="Average"),$E33*'HR '!D$40,AND($C33="Electric passenger train",$D33="Nearly full"),$E33*'HR '!D$41,AND($C33="Diesel passenger train",$D33="Almost empty"),$E33*'HR '!D$47,AND($C33="Diesel passenger train",$D33="Average"),$E33*'HR '!D$48,AND($C33="Diesel passenger train",$D33="Nearly full"),$E33*'HR '!D$49,AND($C33="Walking"),$E33*0,AND($C33="Bike"),$E33*0,AND($C33="Plane - domestic flight"),$E33*'HR '!$C57,AND($C33="Plane - international - intra EU"),$E33*'HR '!$C59,AND($C33="Plane - international (extra EU)"),$E33*'HR '!$C61)</f>
        <v>#N/A</v>
      </c>
      <c r="H33" s="145"/>
      <c r="I33" s="148">
        <f t="shared" si="6"/>
        <v>0</v>
      </c>
      <c r="J33" s="146" t="e" cm="1">
        <f t="array" ref="J33">_xlfn.IFS(Croatia!C33="Fuel car",Croatia!I33*DATA!$C$17,C33="Electric car",Croatia!I33*DATA!$F$6,Croatia!C33="Hybrid car",Croatia!I33*(0.5*DATA!$C$17+0.5*DATA!$F$6))</f>
        <v>#N/A</v>
      </c>
      <c r="L33" s="223" t="s">
        <v>78</v>
      </c>
      <c r="M33" s="224"/>
      <c r="N33" s="225"/>
    </row>
    <row r="34" spans="1:14" x14ac:dyDescent="0.2">
      <c r="A34" s="222"/>
      <c r="B34" s="30"/>
      <c r="C34" s="15"/>
      <c r="D34" s="15"/>
      <c r="E34" s="15"/>
      <c r="F34" s="123" t="e" cm="1">
        <f t="array" ref="F34">_xlfn.IFS(AND($C34="Fuel car",$D34=1),$E34*'HR '!C$7,AND($C34="Fuel car",$D34=2),$E34*'HR '!C$8,AND($C34="Fuel car",$D34=3),$E34*'HR '!C$9,AND($C34="Fuel car",$D34=4),$E34*'HR '!C$10,AND($C34="Fuel car",$D34=5),$E34*'HR '!C$11,AND($C34="Motorcycle",$D34=1),$E34*'HR '!C$13,AND($C34="Motorcycle",$D34=2),$E34*'HR '!C$14,AND($C34="Electric car",$D34=1),$E34*'HR '!C$16,AND($C34="Electric car",$D34=2),$E34*'HR '!C$17,AND($C34="Electric car",$D34=3),$E34*'HR '!C$18,AND($C34="Electric car",$D34=4),$E34*'HR '!C$19,AND($C34="Electric car",$D34=5),$E34*'HR '!C$20,AND($C34="Hybrid car",$D34=1),$E34*'HR '!C$22,AND($C34="Hybrid car",$D34=2),$E34*'HR '!C$23,AND($C34="Hybrid car",$D34=3),$E34*'HR '!C$24,AND($C34="Hybrid car",$D34=4),$E34*'HR '!C$25,AND($C34="Hybrid car",$D34=5),$E34*'HR '!C$26,AND($C34="Electric motorcycle",$D34=1),$E34*'HR '!C$28,AND($C34="Electric motorcycle",$D34=2),$E34*'HR '!C$29,AND($C34="Electric bike",$D34=1),$E34*'HR '!C$31,AND($C34="Electric scooter",$D34=1),$E34*'HR '!C$33,AND($C34="Bus",$D34="Almost empty"),$E34*'HR '!H$23,AND($C34="Bus",$D34="Average"),$E34*'HR '!H$24,AND($C34="Bus",$D34="Nearly full"),$E34*'HR '!H$25,AND($C34="Electric bus",$D34="Almost empty"),$E34*'HR '!H$7,AND($C34="Electric bus",$D34="Average"),$E34*'HR '!H$8,AND($C34="Electric bus",$D34="Nearly full"),$E34*'HR '!H$9,AND($C34="Diesel bus",$D34="Almost empty"),$E34*'HR '!H$19,AND($C34="Diesel bus",$D34="Average"),$E34*'HR '!H$20,AND($C34="Diesel bus",$D34="Nearly full"),$E34*'HR '!H$21,AND($C34="Hybrid-electric bus",$D34="Almost empty"),$E34*'HR '!H$11,AND($C34="Hybrid-electric bus",$D34="Average"),$E34*'HR '!H$12,AND($C34="Hybrid-electric bus",$D34="Nearly full"),$E34*'HR '!H$13,AND($C34="Alternative fuel bus",$D34="Almost empty"),$E34*'HR '!H$15,AND($C34="Alternative fuel bus",$D34="Average"),$E34*'HR '!H$16,AND($C34="Alternative fuel bus",$D34="Nearly full"),$E34*'HR '!H$17,AND($C34="Metro, tram, urban light train",$D34="Almost empty"),$E34*'HR '!C$35,AND($C34="Metro, tram, urban light train",$D34="Average"),$E34*'HR '!C$36,AND($C34="Metro, tram, urban light train",$D34="Nearly full"),$E34*'HR '!C$37,AND($C34="Electric passenger train",$D34="Almost empty"),$E34*'HR '!C$39,AND($C34="Electric passenger train",$D34="Average"),$E34*'HR '!C$40,AND($C34="Electric passenger train",$D34="Nearly full"),$E34*'HR '!C$41,AND($C34="Diesel passenger train",$D34="Almost empty"),$E34*'HR '!C$47,AND($C34="Diesel passenger train",$D34="Average"),$E34*'HR '!C$48,AND($C34="Diesel passenger train",$D34="Nearly full"),$E34*'HR '!C$49,AND($C34="Walking"),$E34*0,AND($C34="Bike"),$E34*0,AND($C34="Plane - domestic flight"),$E34*'HR '!$C58,AND($C34="Plane - international - intra EU"),$E34*'HR '!$C60,AND($C34="Plane - international (extra EU)"),$E34*'HR '!$C62)</f>
        <v>#N/A</v>
      </c>
      <c r="G34" s="31" t="e" cm="1">
        <f t="array" ref="G34">_xlfn.IFS(AND($C34="Fuel car",$D34=1),$E34*'HR '!D$7,AND($C34="Fuel car",$D34=2),$E34*'HR '!D$8,AND($C34="Fuel car",$D34=3),$E34*'HR '!D$9,AND($C34="Fuel car",$D34=4),$E34*'HR '!D$10,AND($C34="Fuel car",$D34=5),$E34*'HR '!D$11,AND($C34="Motorcycle",$D34=1),$E34*'HR '!D$13,AND($C34="Motorcycle",$D34=2),$E34*'HR '!D$14,AND($C34="Electric car",$D34=1),$E34*'HR '!D$16,AND($C34="Electric car",$D34=2),$E34*'HR '!D$17,AND($C34="Electric car",$D34=3),$E34*'HR '!D$18,AND($C34="Electric car",$D34=4),$E34*'HR '!D$19,AND($C34="Electric car",$D34=5),$E34*'HR '!D$20,AND($C34="Hybrid car",$D34=1),$E34*'HR '!D$22,AND($C34="Hybrid car",$D34=2),$E34*'HR '!D$23,AND($C34="Hybrid car",$D34=3),$E34*'HR '!D$24,AND($C34="Hybrid car",$D34=4),$E34*'HR '!D$25,AND($C34="Hybrid car",$D34=5),$E34*'HR '!D$26,AND($C34="Electric motorcycle",$D34=1),$E34*'HR '!D$28,AND($C34="Electric motorcycle",$D34=2),$E34*'HR '!D$29,AND($C34="Electric bike",$D34=1),$E34*'HR '!D$31,AND($C34="Electric scooter",$D34=1),$E34*'HR '!D$33,AND($C34="Bus",$D34="Almost empty"),$E34*'HR '!I$23,AND($C34="Bus",$D34="Average"),$E34*'HR '!I$24,AND($C34="Bus",$D34="Nearly full"),$E34*'HR '!I$25,AND($C34="Electric bus",$D34="Almost empty"),$E34*'HR '!I$7,AND($C34="Electric bus",$D34="Average"),$E34*'HR '!I$8,AND($C34="Electric bus",$D34="Nearly full"),$E34*'HR '!I$9,AND($C34="Diesel bus",$D34="Almost empty"),$E34*'HR '!I$19,AND($C34="Diesel bus",$D34="Average"),$E34*'HR '!I$20,AND($C34="Diesel bus",$D34="Nearly full"),$E34*'HR '!I$21,AND($C34="Hybrid-electric bus",$D34="Almost empty"),$E34*'HR '!I$11,AND($C34="Hybrid-electric bus",$D34="Average"),$E34*'HR '!I$12,AND($C34="Hybrid-electric bus",$D34="Nearly full"),$E34*'HR '!I$13,AND($C34="Alternative fuel bus",$D34="Almost empty"),$E34*'HR '!I$15,AND($C34="Alternative fuel bus",$D34="Average"),$E34*'HR '!I$16,AND($C34="Alternative fuel bus",$D34="Nearly full"),$E34*'HR '!I$17,AND($C34="Metro, tram, urban light train",$D34="Almost empty"),$E34*'HR '!D$35,AND($C34="Metro, tram, urban light train",$D34="Average"),$E34*'HR '!D$36,AND($C34="Metro, tram, urban light train",$D34="Nearly full"),$E34*'HR '!D$37,AND($C34="Electric passenger train",$D34="Almost empty"),$E34*'HR '!D$39,AND($C34="Electric passenger train",$D34="Average"),$E34*'HR '!D$40,AND($C34="Electric passenger train",$D34="Nearly full"),$E34*'HR '!D$41,AND($C34="Diesel passenger train",$D34="Almost empty"),$E34*'HR '!D$47,AND($C34="Diesel passenger train",$D34="Average"),$E34*'HR '!D$48,AND($C34="Diesel passenger train",$D34="Nearly full"),$E34*'HR '!D$49,AND($C34="Walking"),$E34*0,AND($C34="Bike"),$E34*0,AND($C34="Plane - domestic flight"),$E34*'HR '!$C58,AND($C34="Plane - international - intra EU"),$E34*'HR '!$C60,AND($C34="Plane - international (extra EU)"),$E34*'HR '!$C62)</f>
        <v>#N/A</v>
      </c>
      <c r="H34" s="145"/>
      <c r="I34" s="148">
        <f t="shared" si="6"/>
        <v>0</v>
      </c>
      <c r="J34" s="146" t="e" cm="1">
        <f t="array" ref="J34">_xlfn.IFS(Croatia!C34="Fuel car",Croatia!I34*DATA!$C$17,C34="Electric car",Croatia!I34*DATA!$F$6,Croatia!C34="Hybrid car",Croatia!I34*(0.5*DATA!$C$17+0.5*DATA!$F$6))</f>
        <v>#N/A</v>
      </c>
      <c r="L34" s="223"/>
      <c r="M34" s="224"/>
      <c r="N34" s="225"/>
    </row>
    <row r="35" spans="1:14" ht="14.5" customHeight="1" x14ac:dyDescent="0.2">
      <c r="A35" s="222"/>
      <c r="B35" s="30"/>
      <c r="C35" s="15"/>
      <c r="D35" s="15"/>
      <c r="E35" s="15"/>
      <c r="F35" s="123" t="e" cm="1">
        <f t="array" ref="F35">_xlfn.IFS(AND($C35="Fuel car",$D35=1),$E35*'HR '!C$7,AND($C35="Fuel car",$D35=2),$E35*'HR '!C$8,AND($C35="Fuel car",$D35=3),$E35*'HR '!C$9,AND($C35="Fuel car",$D35=4),$E35*'HR '!C$10,AND($C35="Fuel car",$D35=5),$E35*'HR '!C$11,AND($C35="Motorcycle",$D35=1),$E35*'HR '!C$13,AND($C35="Motorcycle",$D35=2),$E35*'HR '!C$14,AND($C35="Electric car",$D35=1),$E35*'HR '!C$16,AND($C35="Electric car",$D35=2),$E35*'HR '!C$17,AND($C35="Electric car",$D35=3),$E35*'HR '!C$18,AND($C35="Electric car",$D35=4),$E35*'HR '!C$19,AND($C35="Electric car",$D35=5),$E35*'HR '!C$20,AND($C35="Hybrid car",$D35=1),$E35*'HR '!C$22,AND($C35="Hybrid car",$D35=2),$E35*'HR '!C$23,AND($C35="Hybrid car",$D35=3),$E35*'HR '!C$24,AND($C35="Hybrid car",$D35=4),$E35*'HR '!C$25,AND($C35="Hybrid car",$D35=5),$E35*'HR '!C$26,AND($C35="Electric motorcycle",$D35=1),$E35*'HR '!C$28,AND($C35="Electric motorcycle",$D35=2),$E35*'HR '!C$29,AND($C35="Electric bike",$D35=1),$E35*'HR '!C$31,AND($C35="Electric scooter",$D35=1),$E35*'HR '!C$33,AND($C35="Bus",$D35="Almost empty"),$E35*'HR '!H$23,AND($C35="Bus",$D35="Average"),$E35*'HR '!H$24,AND($C35="Bus",$D35="Nearly full"),$E35*'HR '!H$25,AND($C35="Electric bus",$D35="Almost empty"),$E35*'HR '!H$7,AND($C35="Electric bus",$D35="Average"),$E35*'HR '!H$8,AND($C35="Electric bus",$D35="Nearly full"),$E35*'HR '!H$9,AND($C35="Diesel bus",$D35="Almost empty"),$E35*'HR '!H$19,AND($C35="Diesel bus",$D35="Average"),$E35*'HR '!H$20,AND($C35="Diesel bus",$D35="Nearly full"),$E35*'HR '!H$21,AND($C35="Hybrid-electric bus",$D35="Almost empty"),$E35*'HR '!H$11,AND($C35="Hybrid-electric bus",$D35="Average"),$E35*'HR '!H$12,AND($C35="Hybrid-electric bus",$D35="Nearly full"),$E35*'HR '!H$13,AND($C35="Alternative fuel bus",$D35="Almost empty"),$E35*'HR '!H$15,AND($C35="Alternative fuel bus",$D35="Average"),$E35*'HR '!H$16,AND($C35="Alternative fuel bus",$D35="Nearly full"),$E35*'HR '!H$17,AND($C35="Metro, tram, urban light train",$D35="Almost empty"),$E35*'HR '!C$35,AND($C35="Metro, tram, urban light train",$D35="Average"),$E35*'HR '!C$36,AND($C35="Metro, tram, urban light train",$D35="Nearly full"),$E35*'HR '!C$37,AND($C35="Electric passenger train",$D35="Almost empty"),$E35*'HR '!C$39,AND($C35="Electric passenger train",$D35="Average"),$E35*'HR '!C$40,AND($C35="Electric passenger train",$D35="Nearly full"),$E35*'HR '!C$41,AND($C35="Diesel passenger train",$D35="Almost empty"),$E35*'HR '!C$47,AND($C35="Diesel passenger train",$D35="Average"),$E35*'HR '!C$48,AND($C35="Diesel passenger train",$D35="Nearly full"),$E35*'HR '!C$49,AND($C35="Walking"),$E35*0,AND($C35="Bike"),$E35*0,AND($C35="Plane - domestic flight"),$E35*'HR '!$C59,AND($C35="Plane - international - intra EU"),$E35*'HR '!$C61,AND($C35="Plane - international (extra EU)"),$E35*'HR '!$C63)</f>
        <v>#N/A</v>
      </c>
      <c r="G35" s="31" t="e" cm="1">
        <f t="array" ref="G35">_xlfn.IFS(AND($C35="Fuel car",$D35=1),$E35*'HR '!D$7,AND($C35="Fuel car",$D35=2),$E35*'HR '!D$8,AND($C35="Fuel car",$D35=3),$E35*'HR '!D$9,AND($C35="Fuel car",$D35=4),$E35*'HR '!D$10,AND($C35="Fuel car",$D35=5),$E35*'HR '!D$11,AND($C35="Motorcycle",$D35=1),$E35*'HR '!D$13,AND($C35="Motorcycle",$D35=2),$E35*'HR '!D$14,AND($C35="Electric car",$D35=1),$E35*'HR '!D$16,AND($C35="Electric car",$D35=2),$E35*'HR '!D$17,AND($C35="Electric car",$D35=3),$E35*'HR '!D$18,AND($C35="Electric car",$D35=4),$E35*'HR '!D$19,AND($C35="Electric car",$D35=5),$E35*'HR '!D$20,AND($C35="Hybrid car",$D35=1),$E35*'HR '!D$22,AND($C35="Hybrid car",$D35=2),$E35*'HR '!D$23,AND($C35="Hybrid car",$D35=3),$E35*'HR '!D$24,AND($C35="Hybrid car",$D35=4),$E35*'HR '!D$25,AND($C35="Hybrid car",$D35=5),$E35*'HR '!D$26,AND($C35="Electric motorcycle",$D35=1),$E35*'HR '!D$28,AND($C35="Electric motorcycle",$D35=2),$E35*'HR '!D$29,AND($C35="Electric bike",$D35=1),$E35*'HR '!D$31,AND($C35="Electric scooter",$D35=1),$E35*'HR '!D$33,AND($C35="Bus",$D35="Almost empty"),$E35*'HR '!I$23,AND($C35="Bus",$D35="Average"),$E35*'HR '!I$24,AND($C35="Bus",$D35="Nearly full"),$E35*'HR '!I$25,AND($C35="Electric bus",$D35="Almost empty"),$E35*'HR '!I$7,AND($C35="Electric bus",$D35="Average"),$E35*'HR '!I$8,AND($C35="Electric bus",$D35="Nearly full"),$E35*'HR '!I$9,AND($C35="Diesel bus",$D35="Almost empty"),$E35*'HR '!I$19,AND($C35="Diesel bus",$D35="Average"),$E35*'HR '!I$20,AND($C35="Diesel bus",$D35="Nearly full"),$E35*'HR '!I$21,AND($C35="Hybrid-electric bus",$D35="Almost empty"),$E35*'HR '!I$11,AND($C35="Hybrid-electric bus",$D35="Average"),$E35*'HR '!I$12,AND($C35="Hybrid-electric bus",$D35="Nearly full"),$E35*'HR '!I$13,AND($C35="Alternative fuel bus",$D35="Almost empty"),$E35*'HR '!I$15,AND($C35="Alternative fuel bus",$D35="Average"),$E35*'HR '!I$16,AND($C35="Alternative fuel bus",$D35="Nearly full"),$E35*'HR '!I$17,AND($C35="Metro, tram, urban light train",$D35="Almost empty"),$E35*'HR '!D$35,AND($C35="Metro, tram, urban light train",$D35="Average"),$E35*'HR '!D$36,AND($C35="Metro, tram, urban light train",$D35="Nearly full"),$E35*'HR '!D$37,AND($C35="Electric passenger train",$D35="Almost empty"),$E35*'HR '!D$39,AND($C35="Electric passenger train",$D35="Average"),$E35*'HR '!D$40,AND($C35="Electric passenger train",$D35="Nearly full"),$E35*'HR '!D$41,AND($C35="Diesel passenger train",$D35="Almost empty"),$E35*'HR '!D$47,AND($C35="Diesel passenger train",$D35="Average"),$E35*'HR '!D$48,AND($C35="Diesel passenger train",$D35="Nearly full"),$E35*'HR '!D$49,AND($C35="Walking"),$E35*0,AND($C35="Bike"),$E35*0,AND($C35="Plane - domestic flight"),$E35*'HR '!$C59,AND($C35="Plane - international - intra EU"),$E35*'HR '!$C61,AND($C35="Plane - international (extra EU)"),$E35*'HR '!$C63)</f>
        <v>#N/A</v>
      </c>
      <c r="H35" s="145"/>
      <c r="I35" s="148">
        <f t="shared" si="6"/>
        <v>0</v>
      </c>
      <c r="J35" s="146" t="e" cm="1">
        <f t="array" ref="J35">_xlfn.IFS(Croatia!C35="Fuel car",Croatia!I35*DATA!$C$17,C35="Electric car",Croatia!I35*DATA!$F$6,Croatia!C35="Hybrid car",Croatia!I35*(0.5*DATA!$C$17+0.5*DATA!$F$6))</f>
        <v>#N/A</v>
      </c>
      <c r="L35" s="223"/>
      <c r="M35" s="224"/>
      <c r="N35" s="225"/>
    </row>
    <row r="36" spans="1:14" ht="16" thickBot="1" x14ac:dyDescent="0.25">
      <c r="A36" s="222"/>
      <c r="B36" s="30"/>
      <c r="C36" s="15"/>
      <c r="D36" s="15"/>
      <c r="E36" s="15"/>
      <c r="F36" s="123" t="e" cm="1">
        <f t="array" ref="F36">_xlfn.IFS(AND($C36="Fuel car",$D36=1),$E36*'HR '!C$7,AND($C36="Fuel car",$D36=2),$E36*'HR '!C$8,AND($C36="Fuel car",$D36=3),$E36*'HR '!C$9,AND($C36="Fuel car",$D36=4),$E36*'HR '!C$10,AND($C36="Fuel car",$D36=5),$E36*'HR '!C$11,AND($C36="Motorcycle",$D36=1),$E36*'HR '!C$13,AND($C36="Motorcycle",$D36=2),$E36*'HR '!C$14,AND($C36="Electric car",$D36=1),$E36*'HR '!C$16,AND($C36="Electric car",$D36=2),$E36*'HR '!C$17,AND($C36="Electric car",$D36=3),$E36*'HR '!C$18,AND($C36="Electric car",$D36=4),$E36*'HR '!C$19,AND($C36="Electric car",$D36=5),$E36*'HR '!C$20,AND($C36="Hybrid car",$D36=1),$E36*'HR '!C$22,AND($C36="Hybrid car",$D36=2),$E36*'HR '!C$23,AND($C36="Hybrid car",$D36=3),$E36*'HR '!C$24,AND($C36="Hybrid car",$D36=4),$E36*'HR '!C$25,AND($C36="Hybrid car",$D36=5),$E36*'HR '!C$26,AND($C36="Electric motorcycle",$D36=1),$E36*'HR '!C$28,AND($C36="Electric motorcycle",$D36=2),$E36*'HR '!C$29,AND($C36="Electric bike",$D36=1),$E36*'HR '!C$31,AND($C36="Electric scooter",$D36=1),$E36*'HR '!C$33,AND($C36="Bus",$D36="Almost empty"),$E36*'HR '!H$23,AND($C36="Bus",$D36="Average"),$E36*'HR '!H$24,AND($C36="Bus",$D36="Nearly full"),$E36*'HR '!H$25,AND($C36="Electric bus",$D36="Almost empty"),$E36*'HR '!H$7,AND($C36="Electric bus",$D36="Average"),$E36*'HR '!H$8,AND($C36="Electric bus",$D36="Nearly full"),$E36*'HR '!H$9,AND($C36="Diesel bus",$D36="Almost empty"),$E36*'HR '!H$19,AND($C36="Diesel bus",$D36="Average"),$E36*'HR '!H$20,AND($C36="Diesel bus",$D36="Nearly full"),$E36*'HR '!H$21,AND($C36="Hybrid-electric bus",$D36="Almost empty"),$E36*'HR '!H$11,AND($C36="Hybrid-electric bus",$D36="Average"),$E36*'HR '!H$12,AND($C36="Hybrid-electric bus",$D36="Nearly full"),$E36*'HR '!H$13,AND($C36="Alternative fuel bus",$D36="Almost empty"),$E36*'HR '!H$15,AND($C36="Alternative fuel bus",$D36="Average"),$E36*'HR '!H$16,AND($C36="Alternative fuel bus",$D36="Nearly full"),$E36*'HR '!H$17,AND($C36="Metro, tram, urban light train",$D36="Almost empty"),$E36*'HR '!C$35,AND($C36="Metro, tram, urban light train",$D36="Average"),$E36*'HR '!C$36,AND($C36="Metro, tram, urban light train",$D36="Nearly full"),$E36*'HR '!C$37,AND($C36="Electric passenger train",$D36="Almost empty"),$E36*'HR '!C$39,AND($C36="Electric passenger train",$D36="Average"),$E36*'HR '!C$40,AND($C36="Electric passenger train",$D36="Nearly full"),$E36*'HR '!C$41,AND($C36="Diesel passenger train",$D36="Almost empty"),$E36*'HR '!C$47,AND($C36="Diesel passenger train",$D36="Average"),$E36*'HR '!C$48,AND($C36="Diesel passenger train",$D36="Nearly full"),$E36*'HR '!C$49,AND($C36="Walking"),$E36*0,AND($C36="Bike"),$E36*0,AND($C36="Plane - domestic flight"),$E36*'HR '!$C60,AND($C36="Plane - international - intra EU"),$E36*'HR '!$C62,AND($C36="Plane - international (extra EU)"),$E36*'HR '!$C64)</f>
        <v>#N/A</v>
      </c>
      <c r="G36" s="31" t="e" cm="1">
        <f t="array" ref="G36">_xlfn.IFS(AND($C36="Fuel car",$D36=1),$E36*'HR '!D$7,AND($C36="Fuel car",$D36=2),$E36*'HR '!D$8,AND($C36="Fuel car",$D36=3),$E36*'HR '!D$9,AND($C36="Fuel car",$D36=4),$E36*'HR '!D$10,AND($C36="Fuel car",$D36=5),$E36*'HR '!D$11,AND($C36="Motorcycle",$D36=1),$E36*'HR '!D$13,AND($C36="Motorcycle",$D36=2),$E36*'HR '!D$14,AND($C36="Electric car",$D36=1),$E36*'HR '!D$16,AND($C36="Electric car",$D36=2),$E36*'HR '!D$17,AND($C36="Electric car",$D36=3),$E36*'HR '!D$18,AND($C36="Electric car",$D36=4),$E36*'HR '!D$19,AND($C36="Electric car",$D36=5),$E36*'HR '!D$20,AND($C36="Hybrid car",$D36=1),$E36*'HR '!D$22,AND($C36="Hybrid car",$D36=2),$E36*'HR '!D$23,AND($C36="Hybrid car",$D36=3),$E36*'HR '!D$24,AND($C36="Hybrid car",$D36=4),$E36*'HR '!D$25,AND($C36="Hybrid car",$D36=5),$E36*'HR '!D$26,AND($C36="Electric motorcycle",$D36=1),$E36*'HR '!D$28,AND($C36="Electric motorcycle",$D36=2),$E36*'HR '!D$29,AND($C36="Electric bike",$D36=1),$E36*'HR '!D$31,AND($C36="Electric scooter",$D36=1),$E36*'HR '!D$33,AND($C36="Bus",$D36="Almost empty"),$E36*'HR '!I$23,AND($C36="Bus",$D36="Average"),$E36*'HR '!I$24,AND($C36="Bus",$D36="Nearly full"),$E36*'HR '!I$25,AND($C36="Electric bus",$D36="Almost empty"),$E36*'HR '!I$7,AND($C36="Electric bus",$D36="Average"),$E36*'HR '!I$8,AND($C36="Electric bus",$D36="Nearly full"),$E36*'HR '!I$9,AND($C36="Diesel bus",$D36="Almost empty"),$E36*'HR '!I$19,AND($C36="Diesel bus",$D36="Average"),$E36*'HR '!I$20,AND($C36="Diesel bus",$D36="Nearly full"),$E36*'HR '!I$21,AND($C36="Hybrid-electric bus",$D36="Almost empty"),$E36*'HR '!I$11,AND($C36="Hybrid-electric bus",$D36="Average"),$E36*'HR '!I$12,AND($C36="Hybrid-electric bus",$D36="Nearly full"),$E36*'HR '!I$13,AND($C36="Alternative fuel bus",$D36="Almost empty"),$E36*'HR '!I$15,AND($C36="Alternative fuel bus",$D36="Average"),$E36*'HR '!I$16,AND($C36="Alternative fuel bus",$D36="Nearly full"),$E36*'HR '!I$17,AND($C36="Metro, tram, urban light train",$D36="Almost empty"),$E36*'HR '!D$35,AND($C36="Metro, tram, urban light train",$D36="Average"),$E36*'HR '!D$36,AND($C36="Metro, tram, urban light train",$D36="Nearly full"),$E36*'HR '!D$37,AND($C36="Electric passenger train",$D36="Almost empty"),$E36*'HR '!D$39,AND($C36="Electric passenger train",$D36="Average"),$E36*'HR '!D$40,AND($C36="Electric passenger train",$D36="Nearly full"),$E36*'HR '!D$41,AND($C36="Diesel passenger train",$D36="Almost empty"),$E36*'HR '!D$47,AND($C36="Diesel passenger train",$D36="Average"),$E36*'HR '!D$48,AND($C36="Diesel passenger train",$D36="Nearly full"),$E36*'HR '!D$49,AND($C36="Walking"),$E36*0,AND($C36="Bike"),$E36*0,AND($C36="Plane - domestic flight"),$E36*'HR '!$C60,AND($C36="Plane - international - intra EU"),$E36*'HR '!$C62,AND($C36="Plane - international (extra EU)"),$E36*'HR '!$C64)</f>
        <v>#N/A</v>
      </c>
      <c r="H36" s="145"/>
      <c r="I36" s="148">
        <f t="shared" si="6"/>
        <v>0</v>
      </c>
      <c r="J36" s="146" t="e" cm="1">
        <f t="array" ref="J36">_xlfn.IFS(Croatia!C36="Fuel car",Croatia!I36*DATA!$C$17,C36="Electric car",Croatia!I36*DATA!$F$6,Croatia!C36="Hybrid car",Croatia!I36*(0.5*DATA!$C$17+0.5*DATA!$F$6))</f>
        <v>#N/A</v>
      </c>
      <c r="L36" s="218"/>
      <c r="M36" s="219"/>
      <c r="N36" s="220"/>
    </row>
    <row r="37" spans="1:14" ht="14.5" customHeight="1" x14ac:dyDescent="0.2">
      <c r="A37" s="222"/>
      <c r="B37" s="30"/>
      <c r="C37" s="15"/>
      <c r="D37" s="15"/>
      <c r="E37" s="15"/>
      <c r="F37" s="123" t="e" cm="1">
        <f t="array" ref="F37">_xlfn.IFS(AND($C37="Fuel car",$D37=1),$E37*'HR '!C$7,AND($C37="Fuel car",$D37=2),$E37*'HR '!C$8,AND($C37="Fuel car",$D37=3),$E37*'HR '!C$9,AND($C37="Fuel car",$D37=4),$E37*'HR '!C$10,AND($C37="Fuel car",$D37=5),$E37*'HR '!C$11,AND($C37="Motorcycle",$D37=1),$E37*'HR '!C$13,AND($C37="Motorcycle",$D37=2),$E37*'HR '!C$14,AND($C37="Electric car",$D37=1),$E37*'HR '!C$16,AND($C37="Electric car",$D37=2),$E37*'HR '!C$17,AND($C37="Electric car",$D37=3),$E37*'HR '!C$18,AND($C37="Electric car",$D37=4),$E37*'HR '!C$19,AND($C37="Electric car",$D37=5),$E37*'HR '!C$20,AND($C37="Hybrid car",$D37=1),$E37*'HR '!C$22,AND($C37="Hybrid car",$D37=2),$E37*'HR '!C$23,AND($C37="Hybrid car",$D37=3),$E37*'HR '!C$24,AND($C37="Hybrid car",$D37=4),$E37*'HR '!C$25,AND($C37="Hybrid car",$D37=5),$E37*'HR '!C$26,AND($C37="Electric motorcycle",$D37=1),$E37*'HR '!C$28,AND($C37="Electric motorcycle",$D37=2),$E37*'HR '!C$29,AND($C37="Electric bike",$D37=1),$E37*'HR '!C$31,AND($C37="Electric scooter",$D37=1),$E37*'HR '!C$33,AND($C37="Bus",$D37="Almost empty"),$E37*'HR '!H$23,AND($C37="Bus",$D37="Average"),$E37*'HR '!H$24,AND($C37="Bus",$D37="Nearly full"),$E37*'HR '!H$25,AND($C37="Electric bus",$D37="Almost empty"),$E37*'HR '!H$7,AND($C37="Electric bus",$D37="Average"),$E37*'HR '!H$8,AND($C37="Electric bus",$D37="Nearly full"),$E37*'HR '!H$9,AND($C37="Diesel bus",$D37="Almost empty"),$E37*'HR '!H$19,AND($C37="Diesel bus",$D37="Average"),$E37*'HR '!H$20,AND($C37="Diesel bus",$D37="Nearly full"),$E37*'HR '!H$21,AND($C37="Hybrid-electric bus",$D37="Almost empty"),$E37*'HR '!H$11,AND($C37="Hybrid-electric bus",$D37="Average"),$E37*'HR '!H$12,AND($C37="Hybrid-electric bus",$D37="Nearly full"),$E37*'HR '!H$13,AND($C37="Alternative fuel bus",$D37="Almost empty"),$E37*'HR '!H$15,AND($C37="Alternative fuel bus",$D37="Average"),$E37*'HR '!H$16,AND($C37="Alternative fuel bus",$D37="Nearly full"),$E37*'HR '!H$17,AND($C37="Metro, tram, urban light train",$D37="Almost empty"),$E37*'HR '!C$35,AND($C37="Metro, tram, urban light train",$D37="Average"),$E37*'HR '!C$36,AND($C37="Metro, tram, urban light train",$D37="Nearly full"),$E37*'HR '!C$37,AND($C37="Electric passenger train",$D37="Almost empty"),$E37*'HR '!C$39,AND($C37="Electric passenger train",$D37="Average"),$E37*'HR '!C$40,AND($C37="Electric passenger train",$D37="Nearly full"),$E37*'HR '!C$41,AND($C37="Diesel passenger train",$D37="Almost empty"),$E37*'HR '!C$47,AND($C37="Diesel passenger train",$D37="Average"),$E37*'HR '!C$48,AND($C37="Diesel passenger train",$D37="Nearly full"),$E37*'HR '!C$49,AND($C37="Walking"),$E37*0,AND($C37="Bike"),$E37*0,AND($C37="Plane - domestic flight"),$E37*'HR '!$C61,AND($C37="Plane - international - intra EU"),$E37*'HR '!$C63,AND($C37="Plane - international (extra EU)"),$E37*'HR '!$C65)</f>
        <v>#N/A</v>
      </c>
      <c r="G37" s="31" t="e" cm="1">
        <f t="array" ref="G37">_xlfn.IFS(AND($C37="Fuel car",$D37=1),$E37*'HR '!D$7,AND($C37="Fuel car",$D37=2),$E37*'HR '!D$8,AND($C37="Fuel car",$D37=3),$E37*'HR '!D$9,AND($C37="Fuel car",$D37=4),$E37*'HR '!D$10,AND($C37="Fuel car",$D37=5),$E37*'HR '!D$11,AND($C37="Motorcycle",$D37=1),$E37*'HR '!D$13,AND($C37="Motorcycle",$D37=2),$E37*'HR '!D$14,AND($C37="Electric car",$D37=1),$E37*'HR '!D$16,AND($C37="Electric car",$D37=2),$E37*'HR '!D$17,AND($C37="Electric car",$D37=3),$E37*'HR '!D$18,AND($C37="Electric car",$D37=4),$E37*'HR '!D$19,AND($C37="Electric car",$D37=5),$E37*'HR '!D$20,AND($C37="Hybrid car",$D37=1),$E37*'HR '!D$22,AND($C37="Hybrid car",$D37=2),$E37*'HR '!D$23,AND($C37="Hybrid car",$D37=3),$E37*'HR '!D$24,AND($C37="Hybrid car",$D37=4),$E37*'HR '!D$25,AND($C37="Hybrid car",$D37=5),$E37*'HR '!D$26,AND($C37="Electric motorcycle",$D37=1),$E37*'HR '!D$28,AND($C37="Electric motorcycle",$D37=2),$E37*'HR '!D$29,AND($C37="Electric bike",$D37=1),$E37*'HR '!D$31,AND($C37="Electric scooter",$D37=1),$E37*'HR '!D$33,AND($C37="Bus",$D37="Almost empty"),$E37*'HR '!I$23,AND($C37="Bus",$D37="Average"),$E37*'HR '!I$24,AND($C37="Bus",$D37="Nearly full"),$E37*'HR '!I$25,AND($C37="Electric bus",$D37="Almost empty"),$E37*'HR '!I$7,AND($C37="Electric bus",$D37="Average"),$E37*'HR '!I$8,AND($C37="Electric bus",$D37="Nearly full"),$E37*'HR '!I$9,AND($C37="Diesel bus",$D37="Almost empty"),$E37*'HR '!I$19,AND($C37="Diesel bus",$D37="Average"),$E37*'HR '!I$20,AND($C37="Diesel bus",$D37="Nearly full"),$E37*'HR '!I$21,AND($C37="Hybrid-electric bus",$D37="Almost empty"),$E37*'HR '!I$11,AND($C37="Hybrid-electric bus",$D37="Average"),$E37*'HR '!I$12,AND($C37="Hybrid-electric bus",$D37="Nearly full"),$E37*'HR '!I$13,AND($C37="Alternative fuel bus",$D37="Almost empty"),$E37*'HR '!I$15,AND($C37="Alternative fuel bus",$D37="Average"),$E37*'HR '!I$16,AND($C37="Alternative fuel bus",$D37="Nearly full"),$E37*'HR '!I$17,AND($C37="Metro, tram, urban light train",$D37="Almost empty"),$E37*'HR '!D$35,AND($C37="Metro, tram, urban light train",$D37="Average"),$E37*'HR '!D$36,AND($C37="Metro, tram, urban light train",$D37="Nearly full"),$E37*'HR '!D$37,AND($C37="Electric passenger train",$D37="Almost empty"),$E37*'HR '!D$39,AND($C37="Electric passenger train",$D37="Average"),$E37*'HR '!D$40,AND($C37="Electric passenger train",$D37="Nearly full"),$E37*'HR '!D$41,AND($C37="Diesel passenger train",$D37="Almost empty"),$E37*'HR '!D$47,AND($C37="Diesel passenger train",$D37="Average"),$E37*'HR '!D$48,AND($C37="Diesel passenger train",$D37="Nearly full"),$E37*'HR '!D$49,AND($C37="Walking"),$E37*0,AND($C37="Bike"),$E37*0,AND($C37="Plane - domestic flight"),$E37*'HR '!$C61,AND($C37="Plane - international - intra EU"),$E37*'HR '!$C63,AND($C37="Plane - international (extra EU)"),$E37*'HR '!$C65)</f>
        <v>#N/A</v>
      </c>
      <c r="H37" s="145"/>
      <c r="I37" s="148">
        <f t="shared" si="6"/>
        <v>0</v>
      </c>
      <c r="J37" s="146" t="e" cm="1">
        <f t="array" ref="J37">_xlfn.IFS(Croatia!C37="Fuel car",Croatia!I37*DATA!$C$17,C37="Electric car",Croatia!I37*DATA!$F$6,Croatia!C37="Hybrid car",Croatia!I37*(0.5*DATA!$C$17+0.5*DATA!$F$6))</f>
        <v>#N/A</v>
      </c>
      <c r="L37" s="215" t="s">
        <v>79</v>
      </c>
      <c r="M37" s="216"/>
      <c r="N37" s="217"/>
    </row>
    <row r="38" spans="1:14" ht="16" thickBot="1" x14ac:dyDescent="0.25">
      <c r="A38" s="222"/>
      <c r="B38" s="30"/>
      <c r="C38" s="15"/>
      <c r="D38" s="15"/>
      <c r="E38" s="15"/>
      <c r="F38" s="123" t="e" cm="1">
        <f t="array" ref="F38">_xlfn.IFS(AND($C38="Fuel car",$D38=1),$E38*'HR '!C$7,AND($C38="Fuel car",$D38=2),$E38*'HR '!C$8,AND($C38="Fuel car",$D38=3),$E38*'HR '!C$9,AND($C38="Fuel car",$D38=4),$E38*'HR '!C$10,AND($C38="Fuel car",$D38=5),$E38*'HR '!C$11,AND($C38="Motorcycle",$D38=1),$E38*'HR '!C$13,AND($C38="Motorcycle",$D38=2),$E38*'HR '!C$14,AND($C38="Electric car",$D38=1),$E38*'HR '!C$16,AND($C38="Electric car",$D38=2),$E38*'HR '!C$17,AND($C38="Electric car",$D38=3),$E38*'HR '!C$18,AND($C38="Electric car",$D38=4),$E38*'HR '!C$19,AND($C38="Electric car",$D38=5),$E38*'HR '!C$20,AND($C38="Hybrid car",$D38=1),$E38*'HR '!C$22,AND($C38="Hybrid car",$D38=2),$E38*'HR '!C$23,AND($C38="Hybrid car",$D38=3),$E38*'HR '!C$24,AND($C38="Hybrid car",$D38=4),$E38*'HR '!C$25,AND($C38="Hybrid car",$D38=5),$E38*'HR '!C$26,AND($C38="Electric motorcycle",$D38=1),$E38*'HR '!C$28,AND($C38="Electric motorcycle",$D38=2),$E38*'HR '!C$29,AND($C38="Electric bike",$D38=1),$E38*'HR '!C$31,AND($C38="Electric scooter",$D38=1),$E38*'HR '!C$33,AND($C38="Bus",$D38="Almost empty"),$E38*'HR '!H$23,AND($C38="Bus",$D38="Average"),$E38*'HR '!H$24,AND($C38="Bus",$D38="Nearly full"),$E38*'HR '!H$25,AND($C38="Electric bus",$D38="Almost empty"),$E38*'HR '!H$7,AND($C38="Electric bus",$D38="Average"),$E38*'HR '!H$8,AND($C38="Electric bus",$D38="Nearly full"),$E38*'HR '!H$9,AND($C38="Diesel bus",$D38="Almost empty"),$E38*'HR '!H$19,AND($C38="Diesel bus",$D38="Average"),$E38*'HR '!H$20,AND($C38="Diesel bus",$D38="Nearly full"),$E38*'HR '!H$21,AND($C38="Hybrid-electric bus",$D38="Almost empty"),$E38*'HR '!H$11,AND($C38="Hybrid-electric bus",$D38="Average"),$E38*'HR '!H$12,AND($C38="Hybrid-electric bus",$D38="Nearly full"),$E38*'HR '!H$13,AND($C38="Alternative fuel bus",$D38="Almost empty"),$E38*'HR '!H$15,AND($C38="Alternative fuel bus",$D38="Average"),$E38*'HR '!H$16,AND($C38="Alternative fuel bus",$D38="Nearly full"),$E38*'HR '!H$17,AND($C38="Metro, tram, urban light train",$D38="Almost empty"),$E38*'HR '!C$35,AND($C38="Metro, tram, urban light train",$D38="Average"),$E38*'HR '!C$36,AND($C38="Metro, tram, urban light train",$D38="Nearly full"),$E38*'HR '!C$37,AND($C38="Electric passenger train",$D38="Almost empty"),$E38*'HR '!C$39,AND($C38="Electric passenger train",$D38="Average"),$E38*'HR '!C$40,AND($C38="Electric passenger train",$D38="Nearly full"),$E38*'HR '!C$41,AND($C38="Diesel passenger train",$D38="Almost empty"),$E38*'HR '!C$47,AND($C38="Diesel passenger train",$D38="Average"),$E38*'HR '!C$48,AND($C38="Diesel passenger train",$D38="Nearly full"),$E38*'HR '!C$49,AND($C38="Walking"),$E38*0,AND($C38="Bike"),$E38*0,AND($C38="Plane - domestic flight"),$E38*'HR '!$C62,AND($C38="Plane - international - intra EU"),$E38*'HR '!$C64,AND($C38="Plane - international (extra EU)"),$E38*'HR '!$C66)</f>
        <v>#N/A</v>
      </c>
      <c r="G38" s="31" t="e" cm="1">
        <f t="array" ref="G38">_xlfn.IFS(AND($C38="Fuel car",$D38=1),$E38*'HR '!D$7,AND($C38="Fuel car",$D38=2),$E38*'HR '!D$8,AND($C38="Fuel car",$D38=3),$E38*'HR '!D$9,AND($C38="Fuel car",$D38=4),$E38*'HR '!D$10,AND($C38="Fuel car",$D38=5),$E38*'HR '!D$11,AND($C38="Motorcycle",$D38=1),$E38*'HR '!D$13,AND($C38="Motorcycle",$D38=2),$E38*'HR '!D$14,AND($C38="Electric car",$D38=1),$E38*'HR '!D$16,AND($C38="Electric car",$D38=2),$E38*'HR '!D$17,AND($C38="Electric car",$D38=3),$E38*'HR '!D$18,AND($C38="Electric car",$D38=4),$E38*'HR '!D$19,AND($C38="Electric car",$D38=5),$E38*'HR '!D$20,AND($C38="Hybrid car",$D38=1),$E38*'HR '!D$22,AND($C38="Hybrid car",$D38=2),$E38*'HR '!D$23,AND($C38="Hybrid car",$D38=3),$E38*'HR '!D$24,AND($C38="Hybrid car",$D38=4),$E38*'HR '!D$25,AND($C38="Hybrid car",$D38=5),$E38*'HR '!D$26,AND($C38="Electric motorcycle",$D38=1),$E38*'HR '!D$28,AND($C38="Electric motorcycle",$D38=2),$E38*'HR '!D$29,AND($C38="Electric bike",$D38=1),$E38*'HR '!D$31,AND($C38="Electric scooter",$D38=1),$E38*'HR '!D$33,AND($C38="Bus",$D38="Almost empty"),$E38*'HR '!I$23,AND($C38="Bus",$D38="Average"),$E38*'HR '!I$24,AND($C38="Bus",$D38="Nearly full"),$E38*'HR '!I$25,AND($C38="Electric bus",$D38="Almost empty"),$E38*'HR '!I$7,AND($C38="Electric bus",$D38="Average"),$E38*'HR '!I$8,AND($C38="Electric bus",$D38="Nearly full"),$E38*'HR '!I$9,AND($C38="Diesel bus",$D38="Almost empty"),$E38*'HR '!I$19,AND($C38="Diesel bus",$D38="Average"),$E38*'HR '!I$20,AND($C38="Diesel bus",$D38="Nearly full"),$E38*'HR '!I$21,AND($C38="Hybrid-electric bus",$D38="Almost empty"),$E38*'HR '!I$11,AND($C38="Hybrid-electric bus",$D38="Average"),$E38*'HR '!I$12,AND($C38="Hybrid-electric bus",$D38="Nearly full"),$E38*'HR '!I$13,AND($C38="Alternative fuel bus",$D38="Almost empty"),$E38*'HR '!I$15,AND($C38="Alternative fuel bus",$D38="Average"),$E38*'HR '!I$16,AND($C38="Alternative fuel bus",$D38="Nearly full"),$E38*'HR '!I$17,AND($C38="Metro, tram, urban light train",$D38="Almost empty"),$E38*'HR '!D$35,AND($C38="Metro, tram, urban light train",$D38="Average"),$E38*'HR '!D$36,AND($C38="Metro, tram, urban light train",$D38="Nearly full"),$E38*'HR '!D$37,AND($C38="Electric passenger train",$D38="Almost empty"),$E38*'HR '!D$39,AND($C38="Electric passenger train",$D38="Average"),$E38*'HR '!D$40,AND($C38="Electric passenger train",$D38="Nearly full"),$E38*'HR '!D$41,AND($C38="Diesel passenger train",$D38="Almost empty"),$E38*'HR '!D$47,AND($C38="Diesel passenger train",$D38="Average"),$E38*'HR '!D$48,AND($C38="Diesel passenger train",$D38="Nearly full"),$E38*'HR '!D$49,AND($C38="Walking"),$E38*0,AND($C38="Bike"),$E38*0,AND($C38="Plane - domestic flight"),$E38*'HR '!$C62,AND($C38="Plane - international - intra EU"),$E38*'HR '!$C64,AND($C38="Plane - international (extra EU)"),$E38*'HR '!$C66)</f>
        <v>#N/A</v>
      </c>
      <c r="H38" s="145"/>
      <c r="I38" s="148">
        <f t="shared" si="6"/>
        <v>0</v>
      </c>
      <c r="J38" s="146" t="e" cm="1">
        <f t="array" ref="J38">_xlfn.IFS(Croatia!C38="Fuel car",Croatia!I38*DATA!$C$17,C38="Electric car",Croatia!I38*DATA!$F$6,Croatia!C38="Hybrid car",Croatia!I38*(0.5*DATA!$C$17+0.5*DATA!$F$6))</f>
        <v>#N/A</v>
      </c>
      <c r="L38" s="218"/>
      <c r="M38" s="219"/>
      <c r="N38" s="220"/>
    </row>
    <row r="39" spans="1:14" ht="14.5" customHeight="1" x14ac:dyDescent="0.2">
      <c r="A39" s="222"/>
      <c r="B39" s="30"/>
      <c r="C39" s="15"/>
      <c r="D39" s="15"/>
      <c r="E39" s="15"/>
      <c r="F39" s="123" t="e" cm="1">
        <f t="array" ref="F39">_xlfn.IFS(AND($C39="Fuel car",$D39=1),$E39*'HR '!C$7,AND($C39="Fuel car",$D39=2),$E39*'HR '!C$8,AND($C39="Fuel car",$D39=3),$E39*'HR '!C$9,AND($C39="Fuel car",$D39=4),$E39*'HR '!C$10,AND($C39="Fuel car",$D39=5),$E39*'HR '!C$11,AND($C39="Motorcycle",$D39=1),$E39*'HR '!C$13,AND($C39="Motorcycle",$D39=2),$E39*'HR '!C$14,AND($C39="Electric car",$D39=1),$E39*'HR '!C$16,AND($C39="Electric car",$D39=2),$E39*'HR '!C$17,AND($C39="Electric car",$D39=3),$E39*'HR '!C$18,AND($C39="Electric car",$D39=4),$E39*'HR '!C$19,AND($C39="Electric car",$D39=5),$E39*'HR '!C$20,AND($C39="Hybrid car",$D39=1),$E39*'HR '!C$22,AND($C39="Hybrid car",$D39=2),$E39*'HR '!C$23,AND($C39="Hybrid car",$D39=3),$E39*'HR '!C$24,AND($C39="Hybrid car",$D39=4),$E39*'HR '!C$25,AND($C39="Hybrid car",$D39=5),$E39*'HR '!C$26,AND($C39="Electric motorcycle",$D39=1),$E39*'HR '!C$28,AND($C39="Electric motorcycle",$D39=2),$E39*'HR '!C$29,AND($C39="Electric bike",$D39=1),$E39*'HR '!C$31,AND($C39="Electric scooter",$D39=1),$E39*'HR '!C$33,AND($C39="Bus",$D39="Almost empty"),$E39*'HR '!H$23,AND($C39="Bus",$D39="Average"),$E39*'HR '!H$24,AND($C39="Bus",$D39="Nearly full"),$E39*'HR '!H$25,AND($C39="Electric bus",$D39="Almost empty"),$E39*'HR '!H$7,AND($C39="Electric bus",$D39="Average"),$E39*'HR '!H$8,AND($C39="Electric bus",$D39="Nearly full"),$E39*'HR '!H$9,AND($C39="Diesel bus",$D39="Almost empty"),$E39*'HR '!H$19,AND($C39="Diesel bus",$D39="Average"),$E39*'HR '!H$20,AND($C39="Diesel bus",$D39="Nearly full"),$E39*'HR '!H$21,AND($C39="Hybrid-electric bus",$D39="Almost empty"),$E39*'HR '!H$11,AND($C39="Hybrid-electric bus",$D39="Average"),$E39*'HR '!H$12,AND($C39="Hybrid-electric bus",$D39="Nearly full"),$E39*'HR '!H$13,AND($C39="Alternative fuel bus",$D39="Almost empty"),$E39*'HR '!H$15,AND($C39="Alternative fuel bus",$D39="Average"),$E39*'HR '!H$16,AND($C39="Alternative fuel bus",$D39="Nearly full"),$E39*'HR '!H$17,AND($C39="Metro, tram, urban light train",$D39="Almost empty"),$E39*'HR '!C$35,AND($C39="Metro, tram, urban light train",$D39="Average"),$E39*'HR '!C$36,AND($C39="Metro, tram, urban light train",$D39="Nearly full"),$E39*'HR '!C$37,AND($C39="Electric passenger train",$D39="Almost empty"),$E39*'HR '!C$39,AND($C39="Electric passenger train",$D39="Average"),$E39*'HR '!C$40,AND($C39="Electric passenger train",$D39="Nearly full"),$E39*'HR '!C$41,AND($C39="Diesel passenger train",$D39="Almost empty"),$E39*'HR '!C$47,AND($C39="Diesel passenger train",$D39="Average"),$E39*'HR '!C$48,AND($C39="Diesel passenger train",$D39="Nearly full"),$E39*'HR '!C$49,AND($C39="Walking"),$E39*0,AND($C39="Bike"),$E39*0,AND($C39="Plane - domestic flight"),$E39*'HR '!$C63,AND($C39="Plane - international - intra EU"),$E39*'HR '!$C65,AND($C39="Plane - international (extra EU)"),$E39*'HR '!$C67)</f>
        <v>#N/A</v>
      </c>
      <c r="G39" s="31" t="e" cm="1">
        <f t="array" ref="G39">_xlfn.IFS(AND($C39="Fuel car",$D39=1),$E39*'HR '!D$7,AND($C39="Fuel car",$D39=2),$E39*'HR '!D$8,AND($C39="Fuel car",$D39=3),$E39*'HR '!D$9,AND($C39="Fuel car",$D39=4),$E39*'HR '!D$10,AND($C39="Fuel car",$D39=5),$E39*'HR '!D$11,AND($C39="Motorcycle",$D39=1),$E39*'HR '!D$13,AND($C39="Motorcycle",$D39=2),$E39*'HR '!D$14,AND($C39="Electric car",$D39=1),$E39*'HR '!D$16,AND($C39="Electric car",$D39=2),$E39*'HR '!D$17,AND($C39="Electric car",$D39=3),$E39*'HR '!D$18,AND($C39="Electric car",$D39=4),$E39*'HR '!D$19,AND($C39="Electric car",$D39=5),$E39*'HR '!D$20,AND($C39="Hybrid car",$D39=1),$E39*'HR '!D$22,AND($C39="Hybrid car",$D39=2),$E39*'HR '!D$23,AND($C39="Hybrid car",$D39=3),$E39*'HR '!D$24,AND($C39="Hybrid car",$D39=4),$E39*'HR '!D$25,AND($C39="Hybrid car",$D39=5),$E39*'HR '!D$26,AND($C39="Electric motorcycle",$D39=1),$E39*'HR '!D$28,AND($C39="Electric motorcycle",$D39=2),$E39*'HR '!D$29,AND($C39="Electric bike",$D39=1),$E39*'HR '!D$31,AND($C39="Electric scooter",$D39=1),$E39*'HR '!D$33,AND($C39="Bus",$D39="Almost empty"),$E39*'HR '!I$23,AND($C39="Bus",$D39="Average"),$E39*'HR '!I$24,AND($C39="Bus",$D39="Nearly full"),$E39*'HR '!I$25,AND($C39="Electric bus",$D39="Almost empty"),$E39*'HR '!I$7,AND($C39="Electric bus",$D39="Average"),$E39*'HR '!I$8,AND($C39="Electric bus",$D39="Nearly full"),$E39*'HR '!I$9,AND($C39="Diesel bus",$D39="Almost empty"),$E39*'HR '!I$19,AND($C39="Diesel bus",$D39="Average"),$E39*'HR '!I$20,AND($C39="Diesel bus",$D39="Nearly full"),$E39*'HR '!I$21,AND($C39="Hybrid-electric bus",$D39="Almost empty"),$E39*'HR '!I$11,AND($C39="Hybrid-electric bus",$D39="Average"),$E39*'HR '!I$12,AND($C39="Hybrid-electric bus",$D39="Nearly full"),$E39*'HR '!I$13,AND($C39="Alternative fuel bus",$D39="Almost empty"),$E39*'HR '!I$15,AND($C39="Alternative fuel bus",$D39="Average"),$E39*'HR '!I$16,AND($C39="Alternative fuel bus",$D39="Nearly full"),$E39*'HR '!I$17,AND($C39="Metro, tram, urban light train",$D39="Almost empty"),$E39*'HR '!D$35,AND($C39="Metro, tram, urban light train",$D39="Average"),$E39*'HR '!D$36,AND($C39="Metro, tram, urban light train",$D39="Nearly full"),$E39*'HR '!D$37,AND($C39="Electric passenger train",$D39="Almost empty"),$E39*'HR '!D$39,AND($C39="Electric passenger train",$D39="Average"),$E39*'HR '!D$40,AND($C39="Electric passenger train",$D39="Nearly full"),$E39*'HR '!D$41,AND($C39="Diesel passenger train",$D39="Almost empty"),$E39*'HR '!D$47,AND($C39="Diesel passenger train",$D39="Average"),$E39*'HR '!D$48,AND($C39="Diesel passenger train",$D39="Nearly full"),$E39*'HR '!D$49,AND($C39="Walking"),$E39*0,AND($C39="Bike"),$E39*0,AND($C39="Plane - domestic flight"),$E39*'HR '!$C63,AND($C39="Plane - international - intra EU"),$E39*'HR '!$C65,AND($C39="Plane - international (extra EU)"),$E39*'HR '!$C67)</f>
        <v>#N/A</v>
      </c>
      <c r="H39" s="145"/>
      <c r="I39" s="148">
        <f t="shared" si="6"/>
        <v>0</v>
      </c>
      <c r="J39" s="146" t="e" cm="1">
        <f t="array" ref="J39">_xlfn.IFS(Croatia!C39="Fuel car",Croatia!I39*DATA!$C$17,C39="Electric car",Croatia!I39*DATA!$F$6,Croatia!C39="Hybrid car",Croatia!I39*(0.5*DATA!$C$17+0.5*DATA!$F$6))</f>
        <v>#N/A</v>
      </c>
      <c r="L39" s="226" t="s">
        <v>80</v>
      </c>
      <c r="M39" s="227"/>
      <c r="N39" s="228"/>
    </row>
    <row r="40" spans="1:14" x14ac:dyDescent="0.2">
      <c r="A40" s="222"/>
      <c r="B40" s="30"/>
      <c r="C40" s="15"/>
      <c r="D40" s="15"/>
      <c r="E40" s="15"/>
      <c r="F40" s="123" t="e" cm="1">
        <f t="array" ref="F40">_xlfn.IFS(AND($C40="Fuel car",$D40=1),$E40*'HR '!C$7,AND($C40="Fuel car",$D40=2),$E40*'HR '!C$8,AND($C40="Fuel car",$D40=3),$E40*'HR '!C$9,AND($C40="Fuel car",$D40=4),$E40*'HR '!C$10,AND($C40="Fuel car",$D40=5),$E40*'HR '!C$11,AND($C40="Motorcycle",$D40=1),$E40*'HR '!C$13,AND($C40="Motorcycle",$D40=2),$E40*'HR '!C$14,AND($C40="Electric car",$D40=1),$E40*'HR '!C$16,AND($C40="Electric car",$D40=2),$E40*'HR '!C$17,AND($C40="Electric car",$D40=3),$E40*'HR '!C$18,AND($C40="Electric car",$D40=4),$E40*'HR '!C$19,AND($C40="Electric car",$D40=5),$E40*'HR '!C$20,AND($C40="Hybrid car",$D40=1),$E40*'HR '!C$22,AND($C40="Hybrid car",$D40=2),$E40*'HR '!C$23,AND($C40="Hybrid car",$D40=3),$E40*'HR '!C$24,AND($C40="Hybrid car",$D40=4),$E40*'HR '!C$25,AND($C40="Hybrid car",$D40=5),$E40*'HR '!C$26,AND($C40="Electric motorcycle",$D40=1),$E40*'HR '!C$28,AND($C40="Electric motorcycle",$D40=2),$E40*'HR '!C$29,AND($C40="Electric bike",$D40=1),$E40*'HR '!C$31,AND($C40="Electric scooter",$D40=1),$E40*'HR '!C$33,AND($C40="Bus",$D40="Almost empty"),$E40*'HR '!H$23,AND($C40="Bus",$D40="Average"),$E40*'HR '!H$24,AND($C40="Bus",$D40="Nearly full"),$E40*'HR '!H$25,AND($C40="Electric bus",$D40="Almost empty"),$E40*'HR '!H$7,AND($C40="Electric bus",$D40="Average"),$E40*'HR '!H$8,AND($C40="Electric bus",$D40="Nearly full"),$E40*'HR '!H$9,AND($C40="Diesel bus",$D40="Almost empty"),$E40*'HR '!H$19,AND($C40="Diesel bus",$D40="Average"),$E40*'HR '!H$20,AND($C40="Diesel bus",$D40="Nearly full"),$E40*'HR '!H$21,AND($C40="Hybrid-electric bus",$D40="Almost empty"),$E40*'HR '!H$11,AND($C40="Hybrid-electric bus",$D40="Average"),$E40*'HR '!H$12,AND($C40="Hybrid-electric bus",$D40="Nearly full"),$E40*'HR '!H$13,AND($C40="Alternative fuel bus",$D40="Almost empty"),$E40*'HR '!H$15,AND($C40="Alternative fuel bus",$D40="Average"),$E40*'HR '!H$16,AND($C40="Alternative fuel bus",$D40="Nearly full"),$E40*'HR '!H$17,AND($C40="Metro, tram, urban light train",$D40="Almost empty"),$E40*'HR '!C$35,AND($C40="Metro, tram, urban light train",$D40="Average"),$E40*'HR '!C$36,AND($C40="Metro, tram, urban light train",$D40="Nearly full"),$E40*'HR '!C$37,AND($C40="Electric passenger train",$D40="Almost empty"),$E40*'HR '!C$39,AND($C40="Electric passenger train",$D40="Average"),$E40*'HR '!C$40,AND($C40="Electric passenger train",$D40="Nearly full"),$E40*'HR '!C$41,AND($C40="Diesel passenger train",$D40="Almost empty"),$E40*'HR '!C$47,AND($C40="Diesel passenger train",$D40="Average"),$E40*'HR '!C$48,AND($C40="Diesel passenger train",$D40="Nearly full"),$E40*'HR '!C$49,AND($C40="Walking"),$E40*0,AND($C40="Bike"),$E40*0,AND($C40="Plane - domestic flight"),$E40*'HR '!$C64,AND($C40="Plane - international - intra EU"),$E40*'HR '!$C66,AND($C40="Plane - international (extra EU)"),$E40*'HR '!$C68)</f>
        <v>#N/A</v>
      </c>
      <c r="G40" s="31" t="e" cm="1">
        <f t="array" ref="G40">_xlfn.IFS(AND($C40="Fuel car",$D40=1),$E40*'HR '!D$7,AND($C40="Fuel car",$D40=2),$E40*'HR '!D$8,AND($C40="Fuel car",$D40=3),$E40*'HR '!D$9,AND($C40="Fuel car",$D40=4),$E40*'HR '!D$10,AND($C40="Fuel car",$D40=5),$E40*'HR '!D$11,AND($C40="Motorcycle",$D40=1),$E40*'HR '!D$13,AND($C40="Motorcycle",$D40=2),$E40*'HR '!D$14,AND($C40="Electric car",$D40=1),$E40*'HR '!D$16,AND($C40="Electric car",$D40=2),$E40*'HR '!D$17,AND($C40="Electric car",$D40=3),$E40*'HR '!D$18,AND($C40="Electric car",$D40=4),$E40*'HR '!D$19,AND($C40="Electric car",$D40=5),$E40*'HR '!D$20,AND($C40="Hybrid car",$D40=1),$E40*'HR '!D$22,AND($C40="Hybrid car",$D40=2),$E40*'HR '!D$23,AND($C40="Hybrid car",$D40=3),$E40*'HR '!D$24,AND($C40="Hybrid car",$D40=4),$E40*'HR '!D$25,AND($C40="Hybrid car",$D40=5),$E40*'HR '!D$26,AND($C40="Electric motorcycle",$D40=1),$E40*'HR '!D$28,AND($C40="Electric motorcycle",$D40=2),$E40*'HR '!D$29,AND($C40="Electric bike",$D40=1),$E40*'HR '!D$31,AND($C40="Electric scooter",$D40=1),$E40*'HR '!D$33,AND($C40="Bus",$D40="Almost empty"),$E40*'HR '!I$23,AND($C40="Bus",$D40="Average"),$E40*'HR '!I$24,AND($C40="Bus",$D40="Nearly full"),$E40*'HR '!I$25,AND($C40="Electric bus",$D40="Almost empty"),$E40*'HR '!I$7,AND($C40="Electric bus",$D40="Average"),$E40*'HR '!I$8,AND($C40="Electric bus",$D40="Nearly full"),$E40*'HR '!I$9,AND($C40="Diesel bus",$D40="Almost empty"),$E40*'HR '!I$19,AND($C40="Diesel bus",$D40="Average"),$E40*'HR '!I$20,AND($C40="Diesel bus",$D40="Nearly full"),$E40*'HR '!I$21,AND($C40="Hybrid-electric bus",$D40="Almost empty"),$E40*'HR '!I$11,AND($C40="Hybrid-electric bus",$D40="Average"),$E40*'HR '!I$12,AND($C40="Hybrid-electric bus",$D40="Nearly full"),$E40*'HR '!I$13,AND($C40="Alternative fuel bus",$D40="Almost empty"),$E40*'HR '!I$15,AND($C40="Alternative fuel bus",$D40="Average"),$E40*'HR '!I$16,AND($C40="Alternative fuel bus",$D40="Nearly full"),$E40*'HR '!I$17,AND($C40="Metro, tram, urban light train",$D40="Almost empty"),$E40*'HR '!D$35,AND($C40="Metro, tram, urban light train",$D40="Average"),$E40*'HR '!D$36,AND($C40="Metro, tram, urban light train",$D40="Nearly full"),$E40*'HR '!D$37,AND($C40="Electric passenger train",$D40="Almost empty"),$E40*'HR '!D$39,AND($C40="Electric passenger train",$D40="Average"),$E40*'HR '!D$40,AND($C40="Electric passenger train",$D40="Nearly full"),$E40*'HR '!D$41,AND($C40="Diesel passenger train",$D40="Almost empty"),$E40*'HR '!D$47,AND($C40="Diesel passenger train",$D40="Average"),$E40*'HR '!D$48,AND($C40="Diesel passenger train",$D40="Nearly full"),$E40*'HR '!D$49,AND($C40="Walking"),$E40*0,AND($C40="Bike"),$E40*0,AND($C40="Plane - domestic flight"),$E40*'HR '!$C64,AND($C40="Plane - international - intra EU"),$E40*'HR '!$C66,AND($C40="Plane - international (extra EU)"),$E40*'HR '!$C68)</f>
        <v>#N/A</v>
      </c>
      <c r="H40" s="145"/>
      <c r="I40" s="148">
        <f t="shared" si="6"/>
        <v>0</v>
      </c>
      <c r="J40" s="146" t="e" cm="1">
        <f t="array" ref="J40">_xlfn.IFS(Croatia!C40="Fuel car",Croatia!I40*DATA!$C$17,C40="Electric car",Croatia!I40*DATA!$F$6,Croatia!C40="Hybrid car",Croatia!I40*(0.5*DATA!$C$17+0.5*DATA!$F$6))</f>
        <v>#N/A</v>
      </c>
      <c r="L40" s="229"/>
      <c r="M40" s="230"/>
      <c r="N40" s="231"/>
    </row>
    <row r="41" spans="1:14" ht="14.5" customHeight="1" x14ac:dyDescent="0.2">
      <c r="A41" s="222"/>
      <c r="B41" s="30"/>
      <c r="C41" s="15"/>
      <c r="D41" s="15"/>
      <c r="E41" s="15"/>
      <c r="F41" s="123" t="e" cm="1">
        <f t="array" ref="F41">_xlfn.IFS(AND($C41="Fuel car",$D41=1),$E41*'HR '!C$7,AND($C41="Fuel car",$D41=2),$E41*'HR '!C$8,AND($C41="Fuel car",$D41=3),$E41*'HR '!C$9,AND($C41="Fuel car",$D41=4),$E41*'HR '!C$10,AND($C41="Fuel car",$D41=5),$E41*'HR '!C$11,AND($C41="Motorcycle",$D41=1),$E41*'HR '!C$13,AND($C41="Motorcycle",$D41=2),$E41*'HR '!C$14,AND($C41="Electric car",$D41=1),$E41*'HR '!C$16,AND($C41="Electric car",$D41=2),$E41*'HR '!C$17,AND($C41="Electric car",$D41=3),$E41*'HR '!C$18,AND($C41="Electric car",$D41=4),$E41*'HR '!C$19,AND($C41="Electric car",$D41=5),$E41*'HR '!C$20,AND($C41="Hybrid car",$D41=1),$E41*'HR '!C$22,AND($C41="Hybrid car",$D41=2),$E41*'HR '!C$23,AND($C41="Hybrid car",$D41=3),$E41*'HR '!C$24,AND($C41="Hybrid car",$D41=4),$E41*'HR '!C$25,AND($C41="Hybrid car",$D41=5),$E41*'HR '!C$26,AND($C41="Electric motorcycle",$D41=1),$E41*'HR '!C$28,AND($C41="Electric motorcycle",$D41=2),$E41*'HR '!C$29,AND($C41="Electric bike",$D41=1),$E41*'HR '!C$31,AND($C41="Electric scooter",$D41=1),$E41*'HR '!C$33,AND($C41="Bus",$D41="Almost empty"),$E41*'HR '!H$23,AND($C41="Bus",$D41="Average"),$E41*'HR '!H$24,AND($C41="Bus",$D41="Nearly full"),$E41*'HR '!H$25,AND($C41="Electric bus",$D41="Almost empty"),$E41*'HR '!H$7,AND($C41="Electric bus",$D41="Average"),$E41*'HR '!H$8,AND($C41="Electric bus",$D41="Nearly full"),$E41*'HR '!H$9,AND($C41="Diesel bus",$D41="Almost empty"),$E41*'HR '!H$19,AND($C41="Diesel bus",$D41="Average"),$E41*'HR '!H$20,AND($C41="Diesel bus",$D41="Nearly full"),$E41*'HR '!H$21,AND($C41="Hybrid-electric bus",$D41="Almost empty"),$E41*'HR '!H$11,AND($C41="Hybrid-electric bus",$D41="Average"),$E41*'HR '!H$12,AND($C41="Hybrid-electric bus",$D41="Nearly full"),$E41*'HR '!H$13,AND($C41="Alternative fuel bus",$D41="Almost empty"),$E41*'HR '!H$15,AND($C41="Alternative fuel bus",$D41="Average"),$E41*'HR '!H$16,AND($C41="Alternative fuel bus",$D41="Nearly full"),$E41*'HR '!H$17,AND($C41="Metro, tram, urban light train",$D41="Almost empty"),$E41*'HR '!C$35,AND($C41="Metro, tram, urban light train",$D41="Average"),$E41*'HR '!C$36,AND($C41="Metro, tram, urban light train",$D41="Nearly full"),$E41*'HR '!C$37,AND($C41="Electric passenger train",$D41="Almost empty"),$E41*'HR '!C$39,AND($C41="Electric passenger train",$D41="Average"),$E41*'HR '!C$40,AND($C41="Electric passenger train",$D41="Nearly full"),$E41*'HR '!C$41,AND($C41="Diesel passenger train",$D41="Almost empty"),$E41*'HR '!C$47,AND($C41="Diesel passenger train",$D41="Average"),$E41*'HR '!C$48,AND($C41="Diesel passenger train",$D41="Nearly full"),$E41*'HR '!C$49,AND($C41="Walking"),$E41*0,AND($C41="Bike"),$E41*0,AND($C41="Plane - domestic flight"),$E41*'HR '!$C65,AND($C41="Plane - international - intra EU"),$E41*'HR '!$C67,AND($C41="Plane - international (extra EU)"),$E41*'HR '!$C69)</f>
        <v>#N/A</v>
      </c>
      <c r="G41" s="31" t="e" cm="1">
        <f t="array" ref="G41">_xlfn.IFS(AND($C41="Fuel car",$D41=1),$E41*'HR '!D$7,AND($C41="Fuel car",$D41=2),$E41*'HR '!D$8,AND($C41="Fuel car",$D41=3),$E41*'HR '!D$9,AND($C41="Fuel car",$D41=4),$E41*'HR '!D$10,AND($C41="Fuel car",$D41=5),$E41*'HR '!D$11,AND($C41="Motorcycle",$D41=1),$E41*'HR '!D$13,AND($C41="Motorcycle",$D41=2),$E41*'HR '!D$14,AND($C41="Electric car",$D41=1),$E41*'HR '!D$16,AND($C41="Electric car",$D41=2),$E41*'HR '!D$17,AND($C41="Electric car",$D41=3),$E41*'HR '!D$18,AND($C41="Electric car",$D41=4),$E41*'HR '!D$19,AND($C41="Electric car",$D41=5),$E41*'HR '!D$20,AND($C41="Hybrid car",$D41=1),$E41*'HR '!D$22,AND($C41="Hybrid car",$D41=2),$E41*'HR '!D$23,AND($C41="Hybrid car",$D41=3),$E41*'HR '!D$24,AND($C41="Hybrid car",$D41=4),$E41*'HR '!D$25,AND($C41="Hybrid car",$D41=5),$E41*'HR '!D$26,AND($C41="Electric motorcycle",$D41=1),$E41*'HR '!D$28,AND($C41="Electric motorcycle",$D41=2),$E41*'HR '!D$29,AND($C41="Electric bike",$D41=1),$E41*'HR '!D$31,AND($C41="Electric scooter",$D41=1),$E41*'HR '!D$33,AND($C41="Bus",$D41="Almost empty"),$E41*'HR '!I$23,AND($C41="Bus",$D41="Average"),$E41*'HR '!I$24,AND($C41="Bus",$D41="Nearly full"),$E41*'HR '!I$25,AND($C41="Electric bus",$D41="Almost empty"),$E41*'HR '!I$7,AND($C41="Electric bus",$D41="Average"),$E41*'HR '!I$8,AND($C41="Electric bus",$D41="Nearly full"),$E41*'HR '!I$9,AND($C41="Diesel bus",$D41="Almost empty"),$E41*'HR '!I$19,AND($C41="Diesel bus",$D41="Average"),$E41*'HR '!I$20,AND($C41="Diesel bus",$D41="Nearly full"),$E41*'HR '!I$21,AND($C41="Hybrid-electric bus",$D41="Almost empty"),$E41*'HR '!I$11,AND($C41="Hybrid-electric bus",$D41="Average"),$E41*'HR '!I$12,AND($C41="Hybrid-electric bus",$D41="Nearly full"),$E41*'HR '!I$13,AND($C41="Alternative fuel bus",$D41="Almost empty"),$E41*'HR '!I$15,AND($C41="Alternative fuel bus",$D41="Average"),$E41*'HR '!I$16,AND($C41="Alternative fuel bus",$D41="Nearly full"),$E41*'HR '!I$17,AND($C41="Metro, tram, urban light train",$D41="Almost empty"),$E41*'HR '!D$35,AND($C41="Metro, tram, urban light train",$D41="Average"),$E41*'HR '!D$36,AND($C41="Metro, tram, urban light train",$D41="Nearly full"),$E41*'HR '!D$37,AND($C41="Electric passenger train",$D41="Almost empty"),$E41*'HR '!D$39,AND($C41="Electric passenger train",$D41="Average"),$E41*'HR '!D$40,AND($C41="Electric passenger train",$D41="Nearly full"),$E41*'HR '!D$41,AND($C41="Diesel passenger train",$D41="Almost empty"),$E41*'HR '!D$47,AND($C41="Diesel passenger train",$D41="Average"),$E41*'HR '!D$48,AND($C41="Diesel passenger train",$D41="Nearly full"),$E41*'HR '!D$49,AND($C41="Walking"),$E41*0,AND($C41="Bike"),$E41*0,AND($C41="Plane - domestic flight"),$E41*'HR '!$C65,AND($C41="Plane - international - intra EU"),$E41*'HR '!$C67,AND($C41="Plane - international (extra EU)"),$E41*'HR '!$C69)</f>
        <v>#N/A</v>
      </c>
      <c r="H41" s="145"/>
      <c r="I41" s="148">
        <f t="shared" si="6"/>
        <v>0</v>
      </c>
      <c r="J41" s="146" t="e" cm="1">
        <f t="array" ref="J41">_xlfn.IFS(Croatia!C41="Fuel car",Croatia!I41*DATA!$C$17,C41="Electric car",Croatia!I41*DATA!$F$6,Croatia!C41="Hybrid car",Croatia!I41*(0.5*DATA!$C$17+0.5*DATA!$F$6))</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car",$D42=1),$E42*'HR '!C$7,AND($C42="Fuel car",$D42=2),$E42*'HR '!C$8,AND($C42="Fuel car",$D42=3),$E42*'HR '!C$9,AND($C42="Fuel car",$D42=4),$E42*'HR '!C$10,AND($C42="Fuel car",$D42=5),$E42*'HR '!C$11,AND($C42="Motorcycle",$D42=1),$E42*'HR '!C$13,AND($C42="Motorcycle",$D42=2),$E42*'HR '!C$14,AND($C42="Electric car",$D42=1),$E42*'HR '!C$16,AND($C42="Electric car",$D42=2),$E42*'HR '!C$17,AND($C42="Electric car",$D42=3),$E42*'HR '!C$18,AND($C42="Electric car",$D42=4),$E42*'HR '!C$19,AND($C42="Electric car",$D42=5),$E42*'HR '!C$20,AND($C42="Hybrid car",$D42=1),$E42*'HR '!C$22,AND($C42="Hybrid car",$D42=2),$E42*'HR '!C$23,AND($C42="Hybrid car",$D42=3),$E42*'HR '!C$24,AND($C42="Hybrid car",$D42=4),$E42*'HR '!C$25,AND($C42="Hybrid car",$D42=5),$E42*'HR '!C$26,AND($C42="Electric motorcycle",$D42=1),$E42*'HR '!C$28,AND($C42="Electric motorcycle",$D42=2),$E42*'HR '!C$29,AND($C42="Electric bike",$D42=1),$E42*'HR '!C$31,AND($C42="Electric scooter",$D42=1),$E42*'HR '!C$33,AND($C42="Bus",$D42="Almost empty"),$E42*'HR '!H$23,AND($C42="Bus",$D42="Average"),$E42*'HR '!H$24,AND($C42="Bus",$D42="Nearly full"),$E42*'HR '!H$25,AND($C42="Electric bus",$D42="Almost empty"),$E42*'HR '!H$7,AND($C42="Electric bus",$D42="Average"),$E42*'HR '!H$8,AND($C42="Electric bus",$D42="Nearly full"),$E42*'HR '!H$9,AND($C42="Diesel bus",$D42="Almost empty"),$E42*'HR '!H$19,AND($C42="Diesel bus",$D42="Average"),$E42*'HR '!H$20,AND($C42="Diesel bus",$D42="Nearly full"),$E42*'HR '!H$21,AND($C42="Hybrid-electric bus",$D42="Almost empty"),$E42*'HR '!H$11,AND($C42="Hybrid-electric bus",$D42="Average"),$E42*'HR '!H$12,AND($C42="Hybrid-electric bus",$D42="Nearly full"),$E42*'HR '!H$13,AND($C42="Alternative fuel bus",$D42="Almost empty"),$E42*'HR '!H$15,AND($C42="Alternative fuel bus",$D42="Average"),$E42*'HR '!H$16,AND($C42="Alternative fuel bus",$D42="Nearly full"),$E42*'HR '!H$17,AND($C42="Metro, tram, urban light train",$D42="Almost empty"),$E42*'HR '!C$35,AND($C42="Metro, tram, urban light train",$D42="Average"),$E42*'HR '!C$36,AND($C42="Metro, tram, urban light train",$D42="Nearly full"),$E42*'HR '!C$37,AND($C42="Electric passenger train",$D42="Almost empty"),$E42*'HR '!C$39,AND($C42="Electric passenger train",$D42="Average"),$E42*'HR '!C$40,AND($C42="Electric passenger train",$D42="Nearly full"),$E42*'HR '!C$41,AND($C42="Diesel passenger train",$D42="Almost empty"),$E42*'HR '!C$47,AND($C42="Diesel passenger train",$D42="Average"),$E42*'HR '!C$48,AND($C42="Diesel passenger train",$D42="Nearly full"),$E42*'HR '!C$49,AND($C42="Walking"),$E42*0,AND($C42="Bike"),$E42*0,AND($C42="Plane - domestic flight"),$E42*'HR '!$C66,AND($C42="Plane - international - intra EU"),$E42*'HR '!$C68,AND($C42="Plane - international (extra EU)"),$E42*'HR '!$C70)</f>
        <v>#N/A</v>
      </c>
      <c r="G42" s="31" t="e" cm="1">
        <f t="array" ref="G42">_xlfn.IFS(AND($C42="Fuel car",$D42=1),$E42*'HR '!D$7,AND($C42="Fuel car",$D42=2),$E42*'HR '!D$8,AND($C42="Fuel car",$D42=3),$E42*'HR '!D$9,AND($C42="Fuel car",$D42=4),$E42*'HR '!D$10,AND($C42="Fuel car",$D42=5),$E42*'HR '!D$11,AND($C42="Motorcycle",$D42=1),$E42*'HR '!D$13,AND($C42="Motorcycle",$D42=2),$E42*'HR '!D$14,AND($C42="Electric car",$D42=1),$E42*'HR '!D$16,AND($C42="Electric car",$D42=2),$E42*'HR '!D$17,AND($C42="Electric car",$D42=3),$E42*'HR '!D$18,AND($C42="Electric car",$D42=4),$E42*'HR '!D$19,AND($C42="Electric car",$D42=5),$E42*'HR '!D$20,AND($C42="Hybrid car",$D42=1),$E42*'HR '!D$22,AND($C42="Hybrid car",$D42=2),$E42*'HR '!D$23,AND($C42="Hybrid car",$D42=3),$E42*'HR '!D$24,AND($C42="Hybrid car",$D42=4),$E42*'HR '!D$25,AND($C42="Hybrid car",$D42=5),$E42*'HR '!D$26,AND($C42="Electric motorcycle",$D42=1),$E42*'HR '!D$28,AND($C42="Electric motorcycle",$D42=2),$E42*'HR '!D$29,AND($C42="Electric bike",$D42=1),$E42*'HR '!D$31,AND($C42="Electric scooter",$D42=1),$E42*'HR '!D$33,AND($C42="Bus",$D42="Almost empty"),$E42*'HR '!I$23,AND($C42="Bus",$D42="Average"),$E42*'HR '!I$24,AND($C42="Bus",$D42="Nearly full"),$E42*'HR '!I$25,AND($C42="Electric bus",$D42="Almost empty"),$E42*'HR '!I$7,AND($C42="Electric bus",$D42="Average"),$E42*'HR '!I$8,AND($C42="Electric bus",$D42="Nearly full"),$E42*'HR '!I$9,AND($C42="Diesel bus",$D42="Almost empty"),$E42*'HR '!I$19,AND($C42="Diesel bus",$D42="Average"),$E42*'HR '!I$20,AND($C42="Diesel bus",$D42="Nearly full"),$E42*'HR '!I$21,AND($C42="Hybrid-electric bus",$D42="Almost empty"),$E42*'HR '!I$11,AND($C42="Hybrid-electric bus",$D42="Average"),$E42*'HR '!I$12,AND($C42="Hybrid-electric bus",$D42="Nearly full"),$E42*'HR '!I$13,AND($C42="Alternative fuel bus",$D42="Almost empty"),$E42*'HR '!I$15,AND($C42="Alternative fuel bus",$D42="Average"),$E42*'HR '!I$16,AND($C42="Alternative fuel bus",$D42="Nearly full"),$E42*'HR '!I$17,AND($C42="Metro, tram, urban light train",$D42="Almost empty"),$E42*'HR '!D$35,AND($C42="Metro, tram, urban light train",$D42="Average"),$E42*'HR '!D$36,AND($C42="Metro, tram, urban light train",$D42="Nearly full"),$E42*'HR '!D$37,AND($C42="Electric passenger train",$D42="Almost empty"),$E42*'HR '!D$39,AND($C42="Electric passenger train",$D42="Average"),$E42*'HR '!D$40,AND($C42="Electric passenger train",$D42="Nearly full"),$E42*'HR '!D$41,AND($C42="Diesel passenger train",$D42="Almost empty"),$E42*'HR '!D$47,AND($C42="Diesel passenger train",$D42="Average"),$E42*'HR '!D$48,AND($C42="Diesel passenger train",$D42="Nearly full"),$E42*'HR '!D$49,AND($C42="Walking"),$E42*0,AND($C42="Bike"),$E42*0,AND($C42="Plane - domestic flight"),$E42*'HR '!$C66,AND($C42="Plane - international - intra EU"),$E42*'HR '!$C68,AND($C42="Plane - international (extra EU)"),$E42*'HR '!$C70)</f>
        <v>#N/A</v>
      </c>
      <c r="H42" s="145"/>
      <c r="I42" s="148">
        <f t="shared" si="6"/>
        <v>0</v>
      </c>
      <c r="J42" s="146" t="e" cm="1">
        <f t="array" ref="J42">_xlfn.IFS(Croatia!C42="Fuel car",Croatia!I42*DATA!$C$17,C42="Electric car",Croatia!I42*DATA!$F$6,Croatia!C42="Hybrid car",Croatia!I42*(0.5*DATA!$C$17+0.5*DATA!$F$6))</f>
        <v>#N/A</v>
      </c>
      <c r="L42" s="235"/>
      <c r="M42" s="236"/>
      <c r="N42" s="237"/>
    </row>
    <row r="43" spans="1:14" ht="14.5" customHeight="1" thickBot="1" x14ac:dyDescent="0.25">
      <c r="A43" s="222"/>
      <c r="B43" s="30"/>
      <c r="C43" s="15"/>
      <c r="D43" s="15"/>
      <c r="E43" s="15"/>
      <c r="F43" s="123" t="e" cm="1">
        <f t="array" ref="F43">_xlfn.IFS(AND($C43="Fuel car",$D43=1),$E43*'HR '!C$7,AND($C43="Fuel car",$D43=2),$E43*'HR '!C$8,AND($C43="Fuel car",$D43=3),$E43*'HR '!C$9,AND($C43="Fuel car",$D43=4),$E43*'HR '!C$10,AND($C43="Fuel car",$D43=5),$E43*'HR '!C$11,AND($C43="Motorcycle",$D43=1),$E43*'HR '!C$13,AND($C43="Motorcycle",$D43=2),$E43*'HR '!C$14,AND($C43="Electric car",$D43=1),$E43*'HR '!C$16,AND($C43="Electric car",$D43=2),$E43*'HR '!C$17,AND($C43="Electric car",$D43=3),$E43*'HR '!C$18,AND($C43="Electric car",$D43=4),$E43*'HR '!C$19,AND($C43="Electric car",$D43=5),$E43*'HR '!C$20,AND($C43="Hybrid car",$D43=1),$E43*'HR '!C$22,AND($C43="Hybrid car",$D43=2),$E43*'HR '!C$23,AND($C43="Hybrid car",$D43=3),$E43*'HR '!C$24,AND($C43="Hybrid car",$D43=4),$E43*'HR '!C$25,AND($C43="Hybrid car",$D43=5),$E43*'HR '!C$26,AND($C43="Electric motorcycle",$D43=1),$E43*'HR '!C$28,AND($C43="Electric motorcycle",$D43=2),$E43*'HR '!C$29,AND($C43="Electric bike",$D43=1),$E43*'HR '!C$31,AND($C43="Electric scooter",$D43=1),$E43*'HR '!C$33,AND($C43="Bus",$D43="Almost empty"),$E43*'HR '!H$23,AND($C43="Bus",$D43="Average"),$E43*'HR '!H$24,AND($C43="Bus",$D43="Nearly full"),$E43*'HR '!H$25,AND($C43="Electric bus",$D43="Almost empty"),$E43*'HR '!H$7,AND($C43="Electric bus",$D43="Average"),$E43*'HR '!H$8,AND($C43="Electric bus",$D43="Nearly full"),$E43*'HR '!H$9,AND($C43="Diesel bus",$D43="Almost empty"),$E43*'HR '!H$19,AND($C43="Diesel bus",$D43="Average"),$E43*'HR '!H$20,AND($C43="Diesel bus",$D43="Nearly full"),$E43*'HR '!H$21,AND($C43="Hybrid-electric bus",$D43="Almost empty"),$E43*'HR '!H$11,AND($C43="Hybrid-electric bus",$D43="Average"),$E43*'HR '!H$12,AND($C43="Hybrid-electric bus",$D43="Nearly full"),$E43*'HR '!H$13,AND($C43="Alternative fuel bus",$D43="Almost empty"),$E43*'HR '!H$15,AND($C43="Alternative fuel bus",$D43="Average"),$E43*'HR '!H$16,AND($C43="Alternative fuel bus",$D43="Nearly full"),$E43*'HR '!H$17,AND($C43="Metro, tram, urban light train",$D43="Almost empty"),$E43*'HR '!C$35,AND($C43="Metro, tram, urban light train",$D43="Average"),$E43*'HR '!C$36,AND($C43="Metro, tram, urban light train",$D43="Nearly full"),$E43*'HR '!C$37,AND($C43="Electric passenger train",$D43="Almost empty"),$E43*'HR '!C$39,AND($C43="Electric passenger train",$D43="Average"),$E43*'HR '!C$40,AND($C43="Electric passenger train",$D43="Nearly full"),$E43*'HR '!C$41,AND($C43="Diesel passenger train",$D43="Almost empty"),$E43*'HR '!C$47,AND($C43="Diesel passenger train",$D43="Average"),$E43*'HR '!C$48,AND($C43="Diesel passenger train",$D43="Nearly full"),$E43*'HR '!C$49,AND($C43="Walking"),$E43*0,AND($C43="Bike"),$E43*0,AND($C43="Plane - domestic flight"),$E43*'HR '!$C67,AND($C43="Plane - international - intra EU"),$E43*'HR '!$C69,AND($C43="Plane - international (extra EU)"),$E43*'HR '!$C71)</f>
        <v>#N/A</v>
      </c>
      <c r="G43" s="31" t="e" cm="1">
        <f t="array" ref="G43">_xlfn.IFS(AND($C43="Fuel car",$D43=1),$E43*'HR '!D$7,AND($C43="Fuel car",$D43=2),$E43*'HR '!D$8,AND($C43="Fuel car",$D43=3),$E43*'HR '!D$9,AND($C43="Fuel car",$D43=4),$E43*'HR '!D$10,AND($C43="Fuel car",$D43=5),$E43*'HR '!D$11,AND($C43="Motorcycle",$D43=1),$E43*'HR '!D$13,AND($C43="Motorcycle",$D43=2),$E43*'HR '!D$14,AND($C43="Electric car",$D43=1),$E43*'HR '!D$16,AND($C43="Electric car",$D43=2),$E43*'HR '!D$17,AND($C43="Electric car",$D43=3),$E43*'HR '!D$18,AND($C43="Electric car",$D43=4),$E43*'HR '!D$19,AND($C43="Electric car",$D43=5),$E43*'HR '!D$20,AND($C43="Hybrid car",$D43=1),$E43*'HR '!D$22,AND($C43="Hybrid car",$D43=2),$E43*'HR '!D$23,AND($C43="Hybrid car",$D43=3),$E43*'HR '!D$24,AND($C43="Hybrid car",$D43=4),$E43*'HR '!D$25,AND($C43="Hybrid car",$D43=5),$E43*'HR '!D$26,AND($C43="Electric motorcycle",$D43=1),$E43*'HR '!D$28,AND($C43="Electric motorcycle",$D43=2),$E43*'HR '!D$29,AND($C43="Electric bike",$D43=1),$E43*'HR '!D$31,AND($C43="Electric scooter",$D43=1),$E43*'HR '!D$33,AND($C43="Bus",$D43="Almost empty"),$E43*'HR '!I$23,AND($C43="Bus",$D43="Average"),$E43*'HR '!I$24,AND($C43="Bus",$D43="Nearly full"),$E43*'HR '!I$25,AND($C43="Electric bus",$D43="Almost empty"),$E43*'HR '!I$7,AND($C43="Electric bus",$D43="Average"),$E43*'HR '!I$8,AND($C43="Electric bus",$D43="Nearly full"),$E43*'HR '!I$9,AND($C43="Diesel bus",$D43="Almost empty"),$E43*'HR '!I$19,AND($C43="Diesel bus",$D43="Average"),$E43*'HR '!I$20,AND($C43="Diesel bus",$D43="Nearly full"),$E43*'HR '!I$21,AND($C43="Hybrid-electric bus",$D43="Almost empty"),$E43*'HR '!I$11,AND($C43="Hybrid-electric bus",$D43="Average"),$E43*'HR '!I$12,AND($C43="Hybrid-electric bus",$D43="Nearly full"),$E43*'HR '!I$13,AND($C43="Alternative fuel bus",$D43="Almost empty"),$E43*'HR '!I$15,AND($C43="Alternative fuel bus",$D43="Average"),$E43*'HR '!I$16,AND($C43="Alternative fuel bus",$D43="Nearly full"),$E43*'HR '!I$17,AND($C43="Metro, tram, urban light train",$D43="Almost empty"),$E43*'HR '!D$35,AND($C43="Metro, tram, urban light train",$D43="Average"),$E43*'HR '!D$36,AND($C43="Metro, tram, urban light train",$D43="Nearly full"),$E43*'HR '!D$37,AND($C43="Electric passenger train",$D43="Almost empty"),$E43*'HR '!D$39,AND($C43="Electric passenger train",$D43="Average"),$E43*'HR '!D$40,AND($C43="Electric passenger train",$D43="Nearly full"),$E43*'HR '!D$41,AND($C43="Diesel passenger train",$D43="Almost empty"),$E43*'HR '!D$47,AND($C43="Diesel passenger train",$D43="Average"),$E43*'HR '!D$48,AND($C43="Diesel passenger train",$D43="Nearly full"),$E43*'HR '!D$49,AND($C43="Walking"),$E43*0,AND($C43="Bike"),$E43*0,AND($C43="Plane - domestic flight"),$E43*'HR '!$C67,AND($C43="Plane - international - intra EU"),$E43*'HR '!$C69,AND($C43="Plane - international (extra EU)"),$E43*'HR '!$C71)</f>
        <v>#N/A</v>
      </c>
      <c r="H43" s="109"/>
      <c r="I43" s="154">
        <f t="shared" si="6"/>
        <v>0</v>
      </c>
      <c r="J43" s="147" t="e" cm="1">
        <f t="array" ref="J43">_xlfn.IFS(Croatia!C43="Fuel car",Croatia!I43*DATA!$C$17,C43="Electric car",Croatia!I43*DATA!$F$6,Croatia!C43="Hybrid car",Croatia!I43*(0.5*DATA!$C$17+0.5*DATA!$F$6))</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car",$D44=1),$E44*'HR '!C$7,AND($C44="Fuel car",$D44=2),$E44*'HR '!C$8,AND($C44="Fuel car",$D44=3),$E44*'HR '!C$9,AND($C44="Fuel car",$D44=4),$E44*'HR '!C$10,AND($C44="Fuel car",$D44=5),$E44*'HR '!C$11,AND($C44="Motorcycle",$D44=1),$E44*'HR '!C$13,AND($C44="Motorcycle",$D44=2),$E44*'HR '!C$14,AND($C44="Electric car",$D44=1),$E44*'HR '!C$16,AND($C44="Electric car",$D44=2),$E44*'HR '!C$17,AND($C44="Electric car",$D44=3),$E44*'HR '!C$18,AND($C44="Electric car",$D44=4),$E44*'HR '!C$19,AND($C44="Electric car",$D44=5),$E44*'HR '!C$20,AND($C44="Hybrid car",$D44=1),$E44*'HR '!C$22,AND($C44="Hybrid car",$D44=2),$E44*'HR '!C$23,AND($C44="Hybrid car",$D44=3),$E44*'HR '!C$24,AND($C44="Hybrid car",$D44=4),$E44*'HR '!C$25,AND($C44="Hybrid car",$D44=5),$E44*'HR '!C$26,AND($C44="Electric motorcycle",$D44=1),$E44*'HR '!C$28,AND($C44="Electric motorcycle",$D44=2),$E44*'HR '!C$29,AND($C44="Electric bike",$D44=1),$E44*'HR '!C$31,AND($C44="Electric scooter",$D44=1),$E44*'HR '!C$33,AND($C44="Bus",$D44="Almost empty"),$E44*'HR '!H$23,AND($C44="Bus",$D44="Average"),$E44*'HR '!H$24,AND($C44="Bus",$D44="Nearly full"),$E44*'HR '!H$25,AND($C44="Electric bus",$D44="Almost empty"),$E44*'HR '!H$7,AND($C44="Electric bus",$D44="Average"),$E44*'HR '!H$8,AND($C44="Electric bus",$D44="Nearly full"),$E44*'HR '!H$9,AND($C44="Diesel bus",$D44="Almost empty"),$E44*'HR '!H$19,AND($C44="Diesel bus",$D44="Average"),$E44*'HR '!H$20,AND($C44="Diesel bus",$D44="Nearly full"),$E44*'HR '!H$21,AND($C44="Hybrid-electric bus",$D44="Almost empty"),$E44*'HR '!H$11,AND($C44="Hybrid-electric bus",$D44="Average"),$E44*'HR '!H$12,AND($C44="Hybrid-electric bus",$D44="Nearly full"),$E44*'HR '!H$13,AND($C44="Alternative fuel bus",$D44="Almost empty"),$E44*'HR '!H$15,AND($C44="Alternative fuel bus",$D44="Average"),$E44*'HR '!H$16,AND($C44="Alternative fuel bus",$D44="Nearly full"),$E44*'HR '!H$17,AND($C44="Metro, tram, urban light train",$D44="Almost empty"),$E44*'HR '!C$35,AND($C44="Metro, tram, urban light train",$D44="Average"),$E44*'HR '!C$36,AND($C44="Metro, tram, urban light train",$D44="Nearly full"),$E44*'HR '!C$37,AND($C44="Electric passenger train",$D44="Almost empty"),$E44*'HR '!C$39,AND($C44="Electric passenger train",$D44="Average"),$E44*'HR '!C$40,AND($C44="Electric passenger train",$D44="Nearly full"),$E44*'HR '!C$41,AND($C44="Diesel passenger train",$D44="Almost empty"),$E44*'HR '!C$47,AND($C44="Diesel passenger train",$D44="Average"),$E44*'HR '!C$48,AND($C44="Diesel passenger train",$D44="Nearly full"),$E44*'HR '!C$49,AND($C44="Walking"),$E44*0,AND($C44="Bike"),$E44*0,AND($C44="Plane - domestic flight"),$E44*'HR '!$C68,AND($C44="Plane - international - intra EU"),$E44*'HR '!$C70,AND($C44="Plane - international (extra EU)"),$E44*'HR '!$C72)</f>
        <v>#N/A</v>
      </c>
      <c r="G44" s="31" t="e" cm="1">
        <f t="array" ref="G44">_xlfn.IFS(AND($C44="Fuel car",$D44=1),$E44*'HR '!D$7,AND($C44="Fuel car",$D44=2),$E44*'HR '!D$8,AND($C44="Fuel car",$D44=3),$E44*'HR '!D$9,AND($C44="Fuel car",$D44=4),$E44*'HR '!D$10,AND($C44="Fuel car",$D44=5),$E44*'HR '!D$11,AND($C44="Motorcycle",$D44=1),$E44*'HR '!D$13,AND($C44="Motorcycle",$D44=2),$E44*'HR '!D$14,AND($C44="Electric car",$D44=1),$E44*'HR '!D$16,AND($C44="Electric car",$D44=2),$E44*'HR '!D$17,AND($C44="Electric car",$D44=3),$E44*'HR '!D$18,AND($C44="Electric car",$D44=4),$E44*'HR '!D$19,AND($C44="Electric car",$D44=5),$E44*'HR '!D$20,AND($C44="Hybrid car",$D44=1),$E44*'HR '!D$22,AND($C44="Hybrid car",$D44=2),$E44*'HR '!D$23,AND($C44="Hybrid car",$D44=3),$E44*'HR '!D$24,AND($C44="Hybrid car",$D44=4),$E44*'HR '!D$25,AND($C44="Hybrid car",$D44=5),$E44*'HR '!D$26,AND($C44="Electric motorcycle",$D44=1),$E44*'HR '!D$28,AND($C44="Electric motorcycle",$D44=2),$E44*'HR '!D$29,AND($C44="Electric bike",$D44=1),$E44*'HR '!D$31,AND($C44="Electric scooter",$D44=1),$E44*'HR '!D$33,AND($C44="Bus",$D44="Almost empty"),$E44*'HR '!I$23,AND($C44="Bus",$D44="Average"),$E44*'HR '!I$24,AND($C44="Bus",$D44="Nearly full"),$E44*'HR '!I$25,AND($C44="Electric bus",$D44="Almost empty"),$E44*'HR '!I$7,AND($C44="Electric bus",$D44="Average"),$E44*'HR '!I$8,AND($C44="Electric bus",$D44="Nearly full"),$E44*'HR '!I$9,AND($C44="Diesel bus",$D44="Almost empty"),$E44*'HR '!I$19,AND($C44="Diesel bus",$D44="Average"),$E44*'HR '!I$20,AND($C44="Diesel bus",$D44="Nearly full"),$E44*'HR '!I$21,AND($C44="Hybrid-electric bus",$D44="Almost empty"),$E44*'HR '!I$11,AND($C44="Hybrid-electric bus",$D44="Average"),$E44*'HR '!I$12,AND($C44="Hybrid-electric bus",$D44="Nearly full"),$E44*'HR '!I$13,AND($C44="Alternative fuel bus",$D44="Almost empty"),$E44*'HR '!I$15,AND($C44="Alternative fuel bus",$D44="Average"),$E44*'HR '!I$16,AND($C44="Alternative fuel bus",$D44="Nearly full"),$E44*'HR '!I$17,AND($C44="Metro, tram, urban light train",$D44="Almost empty"),$E44*'HR '!D$35,AND($C44="Metro, tram, urban light train",$D44="Average"),$E44*'HR '!D$36,AND($C44="Metro, tram, urban light train",$D44="Nearly full"),$E44*'HR '!D$37,AND($C44="Electric passenger train",$D44="Almost empty"),$E44*'HR '!D$39,AND($C44="Electric passenger train",$D44="Average"),$E44*'HR '!D$40,AND($C44="Electric passenger train",$D44="Nearly full"),$E44*'HR '!D$41,AND($C44="Diesel passenger train",$D44="Almost empty"),$E44*'HR '!D$47,AND($C44="Diesel passenger train",$D44="Average"),$E44*'HR '!D$48,AND($C44="Diesel passenger train",$D44="Nearly full"),$E44*'HR '!D$49,AND($C44="Walking"),$E44*0,AND($C44="Bike"),$E44*0,AND($C44="Plane - domestic flight"),$E44*'HR '!$C68,AND($C44="Plane - international - intra EU"),$E44*'HR '!$C70,AND($C44="Plane - international (extra EU)"),$E44*'HR '!$C72)</f>
        <v>#N/A</v>
      </c>
      <c r="L44" s="218"/>
      <c r="M44" s="219"/>
      <c r="N44" s="220"/>
    </row>
    <row r="45" spans="1:14" ht="14.5" customHeight="1" x14ac:dyDescent="0.2">
      <c r="A45" s="222"/>
      <c r="B45" s="30"/>
      <c r="C45" s="15"/>
      <c r="D45" s="15"/>
      <c r="E45" s="15"/>
      <c r="F45" s="123" t="e" cm="1">
        <f t="array" ref="F45">_xlfn.IFS(AND($C45="Fuel car",$D45=1),$E45*'HR '!C$7,AND($C45="Fuel car",$D45=2),$E45*'HR '!C$8,AND($C45="Fuel car",$D45=3),$E45*'HR '!C$9,AND($C45="Fuel car",$D45=4),$E45*'HR '!C$10,AND($C45="Fuel car",$D45=5),$E45*'HR '!C$11,AND($C45="Motorcycle",$D45=1),$E45*'HR '!C$13,AND($C45="Motorcycle",$D45=2),$E45*'HR '!C$14,AND($C45="Electric car",$D45=1),$E45*'HR '!C$16,AND($C45="Electric car",$D45=2),$E45*'HR '!C$17,AND($C45="Electric car",$D45=3),$E45*'HR '!C$18,AND($C45="Electric car",$D45=4),$E45*'HR '!C$19,AND($C45="Electric car",$D45=5),$E45*'HR '!C$20,AND($C45="Hybrid car",$D45=1),$E45*'HR '!C$22,AND($C45="Hybrid car",$D45=2),$E45*'HR '!C$23,AND($C45="Hybrid car",$D45=3),$E45*'HR '!C$24,AND($C45="Hybrid car",$D45=4),$E45*'HR '!C$25,AND($C45="Hybrid car",$D45=5),$E45*'HR '!C$26,AND($C45="Electric motorcycle",$D45=1),$E45*'HR '!C$28,AND($C45="Electric motorcycle",$D45=2),$E45*'HR '!C$29,AND($C45="Electric bike",$D45=1),$E45*'HR '!C$31,AND($C45="Electric scooter",$D45=1),$E45*'HR '!C$33,AND($C45="Bus",$D45="Almost empty"),$E45*'HR '!H$23,AND($C45="Bus",$D45="Average"),$E45*'HR '!H$24,AND($C45="Bus",$D45="Nearly full"),$E45*'HR '!H$25,AND($C45="Electric bus",$D45="Almost empty"),$E45*'HR '!H$7,AND($C45="Electric bus",$D45="Average"),$E45*'HR '!H$8,AND($C45="Electric bus",$D45="Nearly full"),$E45*'HR '!H$9,AND($C45="Diesel bus",$D45="Almost empty"),$E45*'HR '!H$19,AND($C45="Diesel bus",$D45="Average"),$E45*'HR '!H$20,AND($C45="Diesel bus",$D45="Nearly full"),$E45*'HR '!H$21,AND($C45="Hybrid-electric bus",$D45="Almost empty"),$E45*'HR '!H$11,AND($C45="Hybrid-electric bus",$D45="Average"),$E45*'HR '!H$12,AND($C45="Hybrid-electric bus",$D45="Nearly full"),$E45*'HR '!H$13,AND($C45="Alternative fuel bus",$D45="Almost empty"),$E45*'HR '!H$15,AND($C45="Alternative fuel bus",$D45="Average"),$E45*'HR '!H$16,AND($C45="Alternative fuel bus",$D45="Nearly full"),$E45*'HR '!H$17,AND($C45="Metro, tram, urban light train",$D45="Almost empty"),$E45*'HR '!C$35,AND($C45="Metro, tram, urban light train",$D45="Average"),$E45*'HR '!C$36,AND($C45="Metro, tram, urban light train",$D45="Nearly full"),$E45*'HR '!C$37,AND($C45="Electric passenger train",$D45="Almost empty"),$E45*'HR '!C$39,AND($C45="Electric passenger train",$D45="Average"),$E45*'HR '!C$40,AND($C45="Electric passenger train",$D45="Nearly full"),$E45*'HR '!C$41,AND($C45="Diesel passenger train",$D45="Almost empty"),$E45*'HR '!C$47,AND($C45="Diesel passenger train",$D45="Average"),$E45*'HR '!C$48,AND($C45="Diesel passenger train",$D45="Nearly full"),$E45*'HR '!C$49,AND($C45="Walking"),$E45*0,AND($C45="Bike"),$E45*0,AND($C45="Plane - domestic flight"),$E45*'HR '!$C69,AND($C45="Plane - international - intra EU"),$E45*'HR '!$C71,AND($C45="Plane - international (extra EU)"),$E45*'HR '!$C73)</f>
        <v>#N/A</v>
      </c>
      <c r="G45" s="31" t="e" cm="1">
        <f t="array" ref="G45">_xlfn.IFS(AND($C45="Fuel car",$D45=1),$E45*'HR '!D$7,AND($C45="Fuel car",$D45=2),$E45*'HR '!D$8,AND($C45="Fuel car",$D45=3),$E45*'HR '!D$9,AND($C45="Fuel car",$D45=4),$E45*'HR '!D$10,AND($C45="Fuel car",$D45=5),$E45*'HR '!D$11,AND($C45="Motorcycle",$D45=1),$E45*'HR '!D$13,AND($C45="Motorcycle",$D45=2),$E45*'HR '!D$14,AND($C45="Electric car",$D45=1),$E45*'HR '!D$16,AND($C45="Electric car",$D45=2),$E45*'HR '!D$17,AND($C45="Electric car",$D45=3),$E45*'HR '!D$18,AND($C45="Electric car",$D45=4),$E45*'HR '!D$19,AND($C45="Electric car",$D45=5),$E45*'HR '!D$20,AND($C45="Hybrid car",$D45=1),$E45*'HR '!D$22,AND($C45="Hybrid car",$D45=2),$E45*'HR '!D$23,AND($C45="Hybrid car",$D45=3),$E45*'HR '!D$24,AND($C45="Hybrid car",$D45=4),$E45*'HR '!D$25,AND($C45="Hybrid car",$D45=5),$E45*'HR '!D$26,AND($C45="Electric motorcycle",$D45=1),$E45*'HR '!D$28,AND($C45="Electric motorcycle",$D45=2),$E45*'HR '!D$29,AND($C45="Electric bike",$D45=1),$E45*'HR '!D$31,AND($C45="Electric scooter",$D45=1),$E45*'HR '!D$33,AND($C45="Bus",$D45="Almost empty"),$E45*'HR '!I$23,AND($C45="Bus",$D45="Average"),$E45*'HR '!I$24,AND($C45="Bus",$D45="Nearly full"),$E45*'HR '!I$25,AND($C45="Electric bus",$D45="Almost empty"),$E45*'HR '!I$7,AND($C45="Electric bus",$D45="Average"),$E45*'HR '!I$8,AND($C45="Electric bus",$D45="Nearly full"),$E45*'HR '!I$9,AND($C45="Diesel bus",$D45="Almost empty"),$E45*'HR '!I$19,AND($C45="Diesel bus",$D45="Average"),$E45*'HR '!I$20,AND($C45="Diesel bus",$D45="Nearly full"),$E45*'HR '!I$21,AND($C45="Hybrid-electric bus",$D45="Almost empty"),$E45*'HR '!I$11,AND($C45="Hybrid-electric bus",$D45="Average"),$E45*'HR '!I$12,AND($C45="Hybrid-electric bus",$D45="Nearly full"),$E45*'HR '!I$13,AND($C45="Alternative fuel bus",$D45="Almost empty"),$E45*'HR '!I$15,AND($C45="Alternative fuel bus",$D45="Average"),$E45*'HR '!I$16,AND($C45="Alternative fuel bus",$D45="Nearly full"),$E45*'HR '!I$17,AND($C45="Metro, tram, urban light train",$D45="Almost empty"),$E45*'HR '!D$35,AND($C45="Metro, tram, urban light train",$D45="Average"),$E45*'HR '!D$36,AND($C45="Metro, tram, urban light train",$D45="Nearly full"),$E45*'HR '!D$37,AND($C45="Electric passenger train",$D45="Almost empty"),$E45*'HR '!D$39,AND($C45="Electric passenger train",$D45="Average"),$E45*'HR '!D$40,AND($C45="Electric passenger train",$D45="Nearly full"),$E45*'HR '!D$41,AND($C45="Diesel passenger train",$D45="Almost empty"),$E45*'HR '!D$47,AND($C45="Diesel passenger train",$D45="Average"),$E45*'HR '!D$48,AND($C45="Diesel passenger train",$D45="Nearly full"),$E45*'HR '!D$49,AND($C45="Walking"),$E45*0,AND($C45="Bike"),$E45*0,AND($C45="Plane - domestic flight"),$E45*'HR '!$C69,AND($C45="Plane - international - intra EU"),$E45*'HR '!$C71,AND($C45="Plane - international (extra EU)"),$E45*'HR '!$C73)</f>
        <v>#N/A</v>
      </c>
      <c r="L45" s="198" t="s">
        <v>256</v>
      </c>
      <c r="M45" s="199"/>
      <c r="N45" s="200"/>
    </row>
    <row r="46" spans="1:14" ht="16" thickBot="1" x14ac:dyDescent="0.25">
      <c r="A46" s="222"/>
      <c r="B46" s="30"/>
      <c r="C46" s="15"/>
      <c r="D46" s="15"/>
      <c r="E46" s="15"/>
      <c r="F46" s="123" t="e" cm="1">
        <f t="array" ref="F46">_xlfn.IFS(AND($C46="Fuel car",$D46=1),$E46*'HR '!C$7,AND($C46="Fuel car",$D46=2),$E46*'HR '!C$8,AND($C46="Fuel car",$D46=3),$E46*'HR '!C$9,AND($C46="Fuel car",$D46=4),$E46*'HR '!C$10,AND($C46="Fuel car",$D46=5),$E46*'HR '!C$11,AND($C46="Motorcycle",$D46=1),$E46*'HR '!C$13,AND($C46="Motorcycle",$D46=2),$E46*'HR '!C$14,AND($C46="Electric car",$D46=1),$E46*'HR '!C$16,AND($C46="Electric car",$D46=2),$E46*'HR '!C$17,AND($C46="Electric car",$D46=3),$E46*'HR '!C$18,AND($C46="Electric car",$D46=4),$E46*'HR '!C$19,AND($C46="Electric car",$D46=5),$E46*'HR '!C$20,AND($C46="Hybrid car",$D46=1),$E46*'HR '!C$22,AND($C46="Hybrid car",$D46=2),$E46*'HR '!C$23,AND($C46="Hybrid car",$D46=3),$E46*'HR '!C$24,AND($C46="Hybrid car",$D46=4),$E46*'HR '!C$25,AND($C46="Hybrid car",$D46=5),$E46*'HR '!C$26,AND($C46="Electric motorcycle",$D46=1),$E46*'HR '!C$28,AND($C46="Electric motorcycle",$D46=2),$E46*'HR '!C$29,AND($C46="Electric bike",$D46=1),$E46*'HR '!C$31,AND($C46="Electric scooter",$D46=1),$E46*'HR '!C$33,AND($C46="Bus",$D46="Almost empty"),$E46*'HR '!H$23,AND($C46="Bus",$D46="Average"),$E46*'HR '!H$24,AND($C46="Bus",$D46="Nearly full"),$E46*'HR '!H$25,AND($C46="Electric bus",$D46="Almost empty"),$E46*'HR '!H$7,AND($C46="Electric bus",$D46="Average"),$E46*'HR '!H$8,AND($C46="Electric bus",$D46="Nearly full"),$E46*'HR '!H$9,AND($C46="Diesel bus",$D46="Almost empty"),$E46*'HR '!H$19,AND($C46="Diesel bus",$D46="Average"),$E46*'HR '!H$20,AND($C46="Diesel bus",$D46="Nearly full"),$E46*'HR '!H$21,AND($C46="Hybrid-electric bus",$D46="Almost empty"),$E46*'HR '!H$11,AND($C46="Hybrid-electric bus",$D46="Average"),$E46*'HR '!H$12,AND($C46="Hybrid-electric bus",$D46="Nearly full"),$E46*'HR '!H$13,AND($C46="Alternative fuel bus",$D46="Almost empty"),$E46*'HR '!H$15,AND($C46="Alternative fuel bus",$D46="Average"),$E46*'HR '!H$16,AND($C46="Alternative fuel bus",$D46="Nearly full"),$E46*'HR '!H$17,AND($C46="Metro, tram, urban light train",$D46="Almost empty"),$E46*'HR '!C$35,AND($C46="Metro, tram, urban light train",$D46="Average"),$E46*'HR '!C$36,AND($C46="Metro, tram, urban light train",$D46="Nearly full"),$E46*'HR '!C$37,AND($C46="Electric passenger train",$D46="Almost empty"),$E46*'HR '!C$39,AND($C46="Electric passenger train",$D46="Average"),$E46*'HR '!C$40,AND($C46="Electric passenger train",$D46="Nearly full"),$E46*'HR '!C$41,AND($C46="Diesel passenger train",$D46="Almost empty"),$E46*'HR '!C$47,AND($C46="Diesel passenger train",$D46="Average"),$E46*'HR '!C$48,AND($C46="Diesel passenger train",$D46="Nearly full"),$E46*'HR '!C$49,AND($C46="Walking"),$E46*0,AND($C46="Bike"),$E46*0,AND($C46="Plane - domestic flight"),$E46*'HR '!$C70,AND($C46="Plane - international - intra EU"),$E46*'HR '!$C72,AND($C46="Plane - international (extra EU)"),$E46*'HR '!$C74)</f>
        <v>#N/A</v>
      </c>
      <c r="G46" s="31" t="e" cm="1">
        <f t="array" ref="G46">_xlfn.IFS(AND($C46="Fuel car",$D46=1),$E46*'HR '!D$7,AND($C46="Fuel car",$D46=2),$E46*'HR '!D$8,AND($C46="Fuel car",$D46=3),$E46*'HR '!D$9,AND($C46="Fuel car",$D46=4),$E46*'HR '!D$10,AND($C46="Fuel car",$D46=5),$E46*'HR '!D$11,AND($C46="Motorcycle",$D46=1),$E46*'HR '!D$13,AND($C46="Motorcycle",$D46=2),$E46*'HR '!D$14,AND($C46="Electric car",$D46=1),$E46*'HR '!D$16,AND($C46="Electric car",$D46=2),$E46*'HR '!D$17,AND($C46="Electric car",$D46=3),$E46*'HR '!D$18,AND($C46="Electric car",$D46=4),$E46*'HR '!D$19,AND($C46="Electric car",$D46=5),$E46*'HR '!D$20,AND($C46="Hybrid car",$D46=1),$E46*'HR '!D$22,AND($C46="Hybrid car",$D46=2),$E46*'HR '!D$23,AND($C46="Hybrid car",$D46=3),$E46*'HR '!D$24,AND($C46="Hybrid car",$D46=4),$E46*'HR '!D$25,AND($C46="Hybrid car",$D46=5),$E46*'HR '!D$26,AND($C46="Electric motorcycle",$D46=1),$E46*'HR '!D$28,AND($C46="Electric motorcycle",$D46=2),$E46*'HR '!D$29,AND($C46="Electric bike",$D46=1),$E46*'HR '!D$31,AND($C46="Electric scooter",$D46=1),$E46*'HR '!D$33,AND($C46="Bus",$D46="Almost empty"),$E46*'HR '!I$23,AND($C46="Bus",$D46="Average"),$E46*'HR '!I$24,AND($C46="Bus",$D46="Nearly full"),$E46*'HR '!I$25,AND($C46="Electric bus",$D46="Almost empty"),$E46*'HR '!I$7,AND($C46="Electric bus",$D46="Average"),$E46*'HR '!I$8,AND($C46="Electric bus",$D46="Nearly full"),$E46*'HR '!I$9,AND($C46="Diesel bus",$D46="Almost empty"),$E46*'HR '!I$19,AND($C46="Diesel bus",$D46="Average"),$E46*'HR '!I$20,AND($C46="Diesel bus",$D46="Nearly full"),$E46*'HR '!I$21,AND($C46="Hybrid-electric bus",$D46="Almost empty"),$E46*'HR '!I$11,AND($C46="Hybrid-electric bus",$D46="Average"),$E46*'HR '!I$12,AND($C46="Hybrid-electric bus",$D46="Nearly full"),$E46*'HR '!I$13,AND($C46="Alternative fuel bus",$D46="Almost empty"),$E46*'HR '!I$15,AND($C46="Alternative fuel bus",$D46="Average"),$E46*'HR '!I$16,AND($C46="Alternative fuel bus",$D46="Nearly full"),$E46*'HR '!I$17,AND($C46="Metro, tram, urban light train",$D46="Almost empty"),$E46*'HR '!D$35,AND($C46="Metro, tram, urban light train",$D46="Average"),$E46*'HR '!D$36,AND($C46="Metro, tram, urban light train",$D46="Nearly full"),$E46*'HR '!D$37,AND($C46="Electric passenger train",$D46="Almost empty"),$E46*'HR '!D$39,AND($C46="Electric passenger train",$D46="Average"),$E46*'HR '!D$40,AND($C46="Electric passenger train",$D46="Nearly full"),$E46*'HR '!D$41,AND($C46="Diesel passenger train",$D46="Almost empty"),$E46*'HR '!D$47,AND($C46="Diesel passenger train",$D46="Average"),$E46*'HR '!D$48,AND($C46="Diesel passenger train",$D46="Nearly full"),$E46*'HR '!D$49,AND($C46="Walking"),$E46*0,AND($C46="Bike"),$E46*0,AND($C46="Plane - domestic flight"),$E46*'HR '!$C70,AND($C46="Plane - international - intra EU"),$E46*'HR '!$C72,AND($C46="Plane - international (extra EU)"),$E46*'HR '!$C74)</f>
        <v>#N/A</v>
      </c>
      <c r="L46" s="246"/>
      <c r="M46" s="247"/>
      <c r="N46" s="248"/>
    </row>
    <row r="47" spans="1:14" ht="20" thickBot="1" x14ac:dyDescent="0.25">
      <c r="A47" s="222"/>
      <c r="B47" s="30"/>
      <c r="C47" s="15"/>
      <c r="D47" s="15"/>
      <c r="E47" s="15"/>
      <c r="F47" s="123" t="e" cm="1">
        <f t="array" ref="F47">_xlfn.IFS(AND($C47="Fuel car",$D47=1),$E47*'HR '!C$7,AND($C47="Fuel car",$D47=2),$E47*'HR '!C$8,AND($C47="Fuel car",$D47=3),$E47*'HR '!C$9,AND($C47="Fuel car",$D47=4),$E47*'HR '!C$10,AND($C47="Fuel car",$D47=5),$E47*'HR '!C$11,AND($C47="Motorcycle",$D47=1),$E47*'HR '!C$13,AND($C47="Motorcycle",$D47=2),$E47*'HR '!C$14,AND($C47="Electric car",$D47=1),$E47*'HR '!C$16,AND($C47="Electric car",$D47=2),$E47*'HR '!C$17,AND($C47="Electric car",$D47=3),$E47*'HR '!C$18,AND($C47="Electric car",$D47=4),$E47*'HR '!C$19,AND($C47="Electric car",$D47=5),$E47*'HR '!C$20,AND($C47="Hybrid car",$D47=1),$E47*'HR '!C$22,AND($C47="Hybrid car",$D47=2),$E47*'HR '!C$23,AND($C47="Hybrid car",$D47=3),$E47*'HR '!C$24,AND($C47="Hybrid car",$D47=4),$E47*'HR '!C$25,AND($C47="Hybrid car",$D47=5),$E47*'HR '!C$26,AND($C47="Electric motorcycle",$D47=1),$E47*'HR '!C$28,AND($C47="Electric motorcycle",$D47=2),$E47*'HR '!C$29,AND($C47="Electric bike",$D47=1),$E47*'HR '!C$31,AND($C47="Electric scooter",$D47=1),$E47*'HR '!C$33,AND($C47="Bus",$D47="Almost empty"),$E47*'HR '!H$23,AND($C47="Bus",$D47="Average"),$E47*'HR '!H$24,AND($C47="Bus",$D47="Nearly full"),$E47*'HR '!H$25,AND($C47="Electric bus",$D47="Almost empty"),$E47*'HR '!H$7,AND($C47="Electric bus",$D47="Average"),$E47*'HR '!H$8,AND($C47="Electric bus",$D47="Nearly full"),$E47*'HR '!H$9,AND($C47="Diesel bus",$D47="Almost empty"),$E47*'HR '!H$19,AND($C47="Diesel bus",$D47="Average"),$E47*'HR '!H$20,AND($C47="Diesel bus",$D47="Nearly full"),$E47*'HR '!H$21,AND($C47="Hybrid-electric bus",$D47="Almost empty"),$E47*'HR '!H$11,AND($C47="Hybrid-electric bus",$D47="Average"),$E47*'HR '!H$12,AND($C47="Hybrid-electric bus",$D47="Nearly full"),$E47*'HR '!H$13,AND($C47="Alternative fuel bus",$D47="Almost empty"),$E47*'HR '!H$15,AND($C47="Alternative fuel bus",$D47="Average"),$E47*'HR '!H$16,AND($C47="Alternative fuel bus",$D47="Nearly full"),$E47*'HR '!H$17,AND($C47="Metro, tram, urban light train",$D47="Almost empty"),$E47*'HR '!C$35,AND($C47="Metro, tram, urban light train",$D47="Average"),$E47*'HR '!C$36,AND($C47="Metro, tram, urban light train",$D47="Nearly full"),$E47*'HR '!C$37,AND($C47="Electric passenger train",$D47="Almost empty"),$E47*'HR '!C$39,AND($C47="Electric passenger train",$D47="Average"),$E47*'HR '!C$40,AND($C47="Electric passenger train",$D47="Nearly full"),$E47*'HR '!C$41,AND($C47="Diesel passenger train",$D47="Almost empty"),$E47*'HR '!C$47,AND($C47="Diesel passenger train",$D47="Average"),$E47*'HR '!C$48,AND($C47="Diesel passenger train",$D47="Nearly full"),$E47*'HR '!C$49,AND($C47="Walking"),$E47*0,AND($C47="Bike"),$E47*0,AND($C47="Plane - domestic flight"),$E47*'HR '!$C71,AND($C47="Plane - international - intra EU"),$E47*'HR '!$C73,AND($C47="Plane - international (extra EU)"),$E47*'HR '!$C75)</f>
        <v>#N/A</v>
      </c>
      <c r="G47" s="31" t="e" cm="1">
        <f t="array" ref="G47">_xlfn.IFS(AND($C47="Fuel car",$D47=1),$E47*'HR '!D$7,AND($C47="Fuel car",$D47=2),$E47*'HR '!D$8,AND($C47="Fuel car",$D47=3),$E47*'HR '!D$9,AND($C47="Fuel car",$D47=4),$E47*'HR '!D$10,AND($C47="Fuel car",$D47=5),$E47*'HR '!D$11,AND($C47="Motorcycle",$D47=1),$E47*'HR '!D$13,AND($C47="Motorcycle",$D47=2),$E47*'HR '!D$14,AND($C47="Electric car",$D47=1),$E47*'HR '!D$16,AND($C47="Electric car",$D47=2),$E47*'HR '!D$17,AND($C47="Electric car",$D47=3),$E47*'HR '!D$18,AND($C47="Electric car",$D47=4),$E47*'HR '!D$19,AND($C47="Electric car",$D47=5),$E47*'HR '!D$20,AND($C47="Hybrid car",$D47=1),$E47*'HR '!D$22,AND($C47="Hybrid car",$D47=2),$E47*'HR '!D$23,AND($C47="Hybrid car",$D47=3),$E47*'HR '!D$24,AND($C47="Hybrid car",$D47=4),$E47*'HR '!D$25,AND($C47="Hybrid car",$D47=5),$E47*'HR '!D$26,AND($C47="Electric motorcycle",$D47=1),$E47*'HR '!D$28,AND($C47="Electric motorcycle",$D47=2),$E47*'HR '!D$29,AND($C47="Electric bike",$D47=1),$E47*'HR '!D$31,AND($C47="Electric scooter",$D47=1),$E47*'HR '!D$33,AND($C47="Bus",$D47="Almost empty"),$E47*'HR '!I$23,AND($C47="Bus",$D47="Average"),$E47*'HR '!I$24,AND($C47="Bus",$D47="Nearly full"),$E47*'HR '!I$25,AND($C47="Electric bus",$D47="Almost empty"),$E47*'HR '!I$7,AND($C47="Electric bus",$D47="Average"),$E47*'HR '!I$8,AND($C47="Electric bus",$D47="Nearly full"),$E47*'HR '!I$9,AND($C47="Diesel bus",$D47="Almost empty"),$E47*'HR '!I$19,AND($C47="Diesel bus",$D47="Average"),$E47*'HR '!I$20,AND($C47="Diesel bus",$D47="Nearly full"),$E47*'HR '!I$21,AND($C47="Hybrid-electric bus",$D47="Almost empty"),$E47*'HR '!I$11,AND($C47="Hybrid-electric bus",$D47="Average"),$E47*'HR '!I$12,AND($C47="Hybrid-electric bus",$D47="Nearly full"),$E47*'HR '!I$13,AND($C47="Alternative fuel bus",$D47="Almost empty"),$E47*'HR '!I$15,AND($C47="Alternative fuel bus",$D47="Average"),$E47*'HR '!I$16,AND($C47="Alternative fuel bus",$D47="Nearly full"),$E47*'HR '!I$17,AND($C47="Metro, tram, urban light train",$D47="Almost empty"),$E47*'HR '!D$35,AND($C47="Metro, tram, urban light train",$D47="Average"),$E47*'HR '!D$36,AND($C47="Metro, tram, urban light train",$D47="Nearly full"),$E47*'HR '!D$37,AND($C47="Electric passenger train",$D47="Almost empty"),$E47*'HR '!D$39,AND($C47="Electric passenger train",$D47="Average"),$E47*'HR '!D$40,AND($C47="Electric passenger train",$D47="Nearly full"),$E47*'HR '!D$41,AND($C47="Diesel passenger train",$D47="Almost empty"),$E47*'HR '!D$47,AND($C47="Diesel passenger train",$D47="Average"),$E47*'HR '!D$48,AND($C47="Diesel passenger train",$D47="Nearly full"),$E47*'HR '!D$49,AND($C47="Walking"),$E47*0,AND($C47="Bike"),$E47*0,AND($C47="Plane - domestic flight"),$E47*'HR '!$C71,AND($C47="Plane - international - intra EU"),$E47*'HR '!$C73,AND($C47="Plane - international (extra EU)"),$E47*'HR '!$C75)</f>
        <v>#N/A</v>
      </c>
      <c r="L47" s="238" t="s">
        <v>56</v>
      </c>
      <c r="M47" s="239"/>
      <c r="N47" s="240"/>
    </row>
    <row r="48" spans="1:14" ht="16" thickBot="1" x14ac:dyDescent="0.25">
      <c r="A48" s="222"/>
      <c r="B48" s="30"/>
      <c r="C48" s="15"/>
      <c r="D48" s="15"/>
      <c r="E48" s="15"/>
      <c r="F48" s="123" t="e" cm="1">
        <f t="array" ref="F48">_xlfn.IFS(AND($C48="Fuel car",$D48=1),$E48*'HR '!C$7,AND($C48="Fuel car",$D48=2),$E48*'HR '!C$8,AND($C48="Fuel car",$D48=3),$E48*'HR '!C$9,AND($C48="Fuel car",$D48=4),$E48*'HR '!C$10,AND($C48="Fuel car",$D48=5),$E48*'HR '!C$11,AND($C48="Motorcycle",$D48=1),$E48*'HR '!C$13,AND($C48="Motorcycle",$D48=2),$E48*'HR '!C$14,AND($C48="Electric car",$D48=1),$E48*'HR '!C$16,AND($C48="Electric car",$D48=2),$E48*'HR '!C$17,AND($C48="Electric car",$D48=3),$E48*'HR '!C$18,AND($C48="Electric car",$D48=4),$E48*'HR '!C$19,AND($C48="Electric car",$D48=5),$E48*'HR '!C$20,AND($C48="Hybrid car",$D48=1),$E48*'HR '!C$22,AND($C48="Hybrid car",$D48=2),$E48*'HR '!C$23,AND($C48="Hybrid car",$D48=3),$E48*'HR '!C$24,AND($C48="Hybrid car",$D48=4),$E48*'HR '!C$25,AND($C48="Hybrid car",$D48=5),$E48*'HR '!C$26,AND($C48="Electric motorcycle",$D48=1),$E48*'HR '!C$28,AND($C48="Electric motorcycle",$D48=2),$E48*'HR '!C$29,AND($C48="Electric bike",$D48=1),$E48*'HR '!C$31,AND($C48="Electric scooter",$D48=1),$E48*'HR '!C$33,AND($C48="Bus",$D48="Almost empty"),$E48*'HR '!H$23,AND($C48="Bus",$D48="Average"),$E48*'HR '!H$24,AND($C48="Bus",$D48="Nearly full"),$E48*'HR '!H$25,AND($C48="Electric bus",$D48="Almost empty"),$E48*'HR '!H$7,AND($C48="Electric bus",$D48="Average"),$E48*'HR '!H$8,AND($C48="Electric bus",$D48="Nearly full"),$E48*'HR '!H$9,AND($C48="Diesel bus",$D48="Almost empty"),$E48*'HR '!H$19,AND($C48="Diesel bus",$D48="Average"),$E48*'HR '!H$20,AND($C48="Diesel bus",$D48="Nearly full"),$E48*'HR '!H$21,AND($C48="Hybrid-electric bus",$D48="Almost empty"),$E48*'HR '!H$11,AND($C48="Hybrid-electric bus",$D48="Average"),$E48*'HR '!H$12,AND($C48="Hybrid-electric bus",$D48="Nearly full"),$E48*'HR '!H$13,AND($C48="Alternative fuel bus",$D48="Almost empty"),$E48*'HR '!H$15,AND($C48="Alternative fuel bus",$D48="Average"),$E48*'HR '!H$16,AND($C48="Alternative fuel bus",$D48="Nearly full"),$E48*'HR '!H$17,AND($C48="Metro, tram, urban light train",$D48="Almost empty"),$E48*'HR '!C$35,AND($C48="Metro, tram, urban light train",$D48="Average"),$E48*'HR '!C$36,AND($C48="Metro, tram, urban light train",$D48="Nearly full"),$E48*'HR '!C$37,AND($C48="Electric passenger train",$D48="Almost empty"),$E48*'HR '!C$39,AND($C48="Electric passenger train",$D48="Average"),$E48*'HR '!C$40,AND($C48="Electric passenger train",$D48="Nearly full"),$E48*'HR '!C$41,AND($C48="Diesel passenger train",$D48="Almost empty"),$E48*'HR '!C$47,AND($C48="Diesel passenger train",$D48="Average"),$E48*'HR '!C$48,AND($C48="Diesel passenger train",$D48="Nearly full"),$E48*'HR '!C$49,AND($C48="Walking"),$E48*0,AND($C48="Bike"),$E48*0,AND($C48="Plane - domestic flight"),$E48*'HR '!$C72,AND($C48="Plane - international - intra EU"),$E48*'HR '!$C74,AND($C48="Plane - international (extra EU)"),$E48*'HR '!$C76)</f>
        <v>#N/A</v>
      </c>
      <c r="G48" s="31" t="e" cm="1">
        <f t="array" ref="G48">_xlfn.IFS(AND($C48="Fuel car",$D48=1),$E48*'HR '!D$7,AND($C48="Fuel car",$D48=2),$E48*'HR '!D$8,AND($C48="Fuel car",$D48=3),$E48*'HR '!D$9,AND($C48="Fuel car",$D48=4),$E48*'HR '!D$10,AND($C48="Fuel car",$D48=5),$E48*'HR '!D$11,AND($C48="Motorcycle",$D48=1),$E48*'HR '!D$13,AND($C48="Motorcycle",$D48=2),$E48*'HR '!D$14,AND($C48="Electric car",$D48=1),$E48*'HR '!D$16,AND($C48="Electric car",$D48=2),$E48*'HR '!D$17,AND($C48="Electric car",$D48=3),$E48*'HR '!D$18,AND($C48="Electric car",$D48=4),$E48*'HR '!D$19,AND($C48="Electric car",$D48=5),$E48*'HR '!D$20,AND($C48="Hybrid car",$D48=1),$E48*'HR '!D$22,AND($C48="Hybrid car",$D48=2),$E48*'HR '!D$23,AND($C48="Hybrid car",$D48=3),$E48*'HR '!D$24,AND($C48="Hybrid car",$D48=4),$E48*'HR '!D$25,AND($C48="Hybrid car",$D48=5),$E48*'HR '!D$26,AND($C48="Electric motorcycle",$D48=1),$E48*'HR '!D$28,AND($C48="Electric motorcycle",$D48=2),$E48*'HR '!D$29,AND($C48="Electric bike",$D48=1),$E48*'HR '!D$31,AND($C48="Electric scooter",$D48=1),$E48*'HR '!D$33,AND($C48="Bus",$D48="Almost empty"),$E48*'HR '!I$23,AND($C48="Bus",$D48="Average"),$E48*'HR '!I$24,AND($C48="Bus",$D48="Nearly full"),$E48*'HR '!I$25,AND($C48="Electric bus",$D48="Almost empty"),$E48*'HR '!I$7,AND($C48="Electric bus",$D48="Average"),$E48*'HR '!I$8,AND($C48="Electric bus",$D48="Nearly full"),$E48*'HR '!I$9,AND($C48="Diesel bus",$D48="Almost empty"),$E48*'HR '!I$19,AND($C48="Diesel bus",$D48="Average"),$E48*'HR '!I$20,AND($C48="Diesel bus",$D48="Nearly full"),$E48*'HR '!I$21,AND($C48="Hybrid-electric bus",$D48="Almost empty"),$E48*'HR '!I$11,AND($C48="Hybrid-electric bus",$D48="Average"),$E48*'HR '!I$12,AND($C48="Hybrid-electric bus",$D48="Nearly full"),$E48*'HR '!I$13,AND($C48="Alternative fuel bus",$D48="Almost empty"),$E48*'HR '!I$15,AND($C48="Alternative fuel bus",$D48="Average"),$E48*'HR '!I$16,AND($C48="Alternative fuel bus",$D48="Nearly full"),$E48*'HR '!I$17,AND($C48="Metro, tram, urban light train",$D48="Almost empty"),$E48*'HR '!D$35,AND($C48="Metro, tram, urban light train",$D48="Average"),$E48*'HR '!D$36,AND($C48="Metro, tram, urban light train",$D48="Nearly full"),$E48*'HR '!D$37,AND($C48="Electric passenger train",$D48="Almost empty"),$E48*'HR '!D$39,AND($C48="Electric passenger train",$D48="Average"),$E48*'HR '!D$40,AND($C48="Electric passenger train",$D48="Nearly full"),$E48*'HR '!D$41,AND($C48="Diesel passenger train",$D48="Almost empty"),$E48*'HR '!D$47,AND($C48="Diesel passenger train",$D48="Average"),$E48*'HR '!D$48,AND($C48="Diesel passenger train",$D48="Nearly full"),$E48*'HR '!D$49,AND($C48="Walking"),$E48*0,AND($C48="Bike"),$E48*0,AND($C48="Plane - domestic flight"),$E48*'HR '!$C72,AND($C48="Plane - international - intra EU"),$E48*'HR '!$C74,AND($C48="Plane - international (extra EU)"),$E48*'HR '!$C76)</f>
        <v>#N/A</v>
      </c>
      <c r="H48" s="196" t="s">
        <v>67</v>
      </c>
      <c r="I48" s="197"/>
      <c r="L48" s="249"/>
      <c r="M48" s="250"/>
      <c r="N48" s="251"/>
    </row>
    <row r="49" spans="1:14" x14ac:dyDescent="0.2">
      <c r="A49" s="222"/>
      <c r="B49" s="30"/>
      <c r="C49" s="15"/>
      <c r="D49" s="15"/>
      <c r="E49" s="15"/>
      <c r="F49" s="123" t="e" cm="1">
        <f t="array" ref="F49">_xlfn.IFS(AND($C49="Fuel car",$D49=1),$E49*'HR '!C$7,AND($C49="Fuel car",$D49=2),$E49*'HR '!C$8,AND($C49="Fuel car",$D49=3),$E49*'HR '!C$9,AND($C49="Fuel car",$D49=4),$E49*'HR '!C$10,AND($C49="Fuel car",$D49=5),$E49*'HR '!C$11,AND($C49="Motorcycle",$D49=1),$E49*'HR '!C$13,AND($C49="Motorcycle",$D49=2),$E49*'HR '!C$14,AND($C49="Electric car",$D49=1),$E49*'HR '!C$16,AND($C49="Electric car",$D49=2),$E49*'HR '!C$17,AND($C49="Electric car",$D49=3),$E49*'HR '!C$18,AND($C49="Electric car",$D49=4),$E49*'HR '!C$19,AND($C49="Electric car",$D49=5),$E49*'HR '!C$20,AND($C49="Hybrid car",$D49=1),$E49*'HR '!C$22,AND($C49="Hybrid car",$D49=2),$E49*'HR '!C$23,AND($C49="Hybrid car",$D49=3),$E49*'HR '!C$24,AND($C49="Hybrid car",$D49=4),$E49*'HR '!C$25,AND($C49="Hybrid car",$D49=5),$E49*'HR '!C$26,AND($C49="Electric motorcycle",$D49=1),$E49*'HR '!C$28,AND($C49="Electric motorcycle",$D49=2),$E49*'HR '!C$29,AND($C49="Electric bike",$D49=1),$E49*'HR '!C$31,AND($C49="Electric scooter",$D49=1),$E49*'HR '!C$33,AND($C49="Bus",$D49="Almost empty"),$E49*'HR '!H$23,AND($C49="Bus",$D49="Average"),$E49*'HR '!H$24,AND($C49="Bus",$D49="Nearly full"),$E49*'HR '!H$25,AND($C49="Electric bus",$D49="Almost empty"),$E49*'HR '!H$7,AND($C49="Electric bus",$D49="Average"),$E49*'HR '!H$8,AND($C49="Electric bus",$D49="Nearly full"),$E49*'HR '!H$9,AND($C49="Diesel bus",$D49="Almost empty"),$E49*'HR '!H$19,AND($C49="Diesel bus",$D49="Average"),$E49*'HR '!H$20,AND($C49="Diesel bus",$D49="Nearly full"),$E49*'HR '!H$21,AND($C49="Hybrid-electric bus",$D49="Almost empty"),$E49*'HR '!H$11,AND($C49="Hybrid-electric bus",$D49="Average"),$E49*'HR '!H$12,AND($C49="Hybrid-electric bus",$D49="Nearly full"),$E49*'HR '!H$13,AND($C49="Alternative fuel bus",$D49="Almost empty"),$E49*'HR '!H$15,AND($C49="Alternative fuel bus",$D49="Average"),$E49*'HR '!H$16,AND($C49="Alternative fuel bus",$D49="Nearly full"),$E49*'HR '!H$17,AND($C49="Metro, tram, urban light train",$D49="Almost empty"),$E49*'HR '!C$35,AND($C49="Metro, tram, urban light train",$D49="Average"),$E49*'HR '!C$36,AND($C49="Metro, tram, urban light train",$D49="Nearly full"),$E49*'HR '!C$37,AND($C49="Electric passenger train",$D49="Almost empty"),$E49*'HR '!C$39,AND($C49="Electric passenger train",$D49="Average"),$E49*'HR '!C$40,AND($C49="Electric passenger train",$D49="Nearly full"),$E49*'HR '!C$41,AND($C49="Diesel passenger train",$D49="Almost empty"),$E49*'HR '!C$47,AND($C49="Diesel passenger train",$D49="Average"),$E49*'HR '!C$48,AND($C49="Diesel passenger train",$D49="Nearly full"),$E49*'HR '!C$49,AND($C49="Walking"),$E49*0,AND($C49="Bike"),$E49*0,AND($C49="Plane - domestic flight"),$E49*'HR '!$C73,AND($C49="Plane - international - intra EU"),$E49*'HR '!$C75,AND($C49="Plane - international (extra EU)"),$E49*'HR '!$C77)</f>
        <v>#N/A</v>
      </c>
      <c r="G49" s="31" t="e" cm="1">
        <f t="array" ref="G49">_xlfn.IFS(AND($C49="Fuel car",$D49=1),$E49*'HR '!D$7,AND($C49="Fuel car",$D49=2),$E49*'HR '!D$8,AND($C49="Fuel car",$D49=3),$E49*'HR '!D$9,AND($C49="Fuel car",$D49=4),$E49*'HR '!D$10,AND($C49="Fuel car",$D49=5),$E49*'HR '!D$11,AND($C49="Motorcycle",$D49=1),$E49*'HR '!D$13,AND($C49="Motorcycle",$D49=2),$E49*'HR '!D$14,AND($C49="Electric car",$D49=1),$E49*'HR '!D$16,AND($C49="Electric car",$D49=2),$E49*'HR '!D$17,AND($C49="Electric car",$D49=3),$E49*'HR '!D$18,AND($C49="Electric car",$D49=4),$E49*'HR '!D$19,AND($C49="Electric car",$D49=5),$E49*'HR '!D$20,AND($C49="Hybrid car",$D49=1),$E49*'HR '!D$22,AND($C49="Hybrid car",$D49=2),$E49*'HR '!D$23,AND($C49="Hybrid car",$D49=3),$E49*'HR '!D$24,AND($C49="Hybrid car",$D49=4),$E49*'HR '!D$25,AND($C49="Hybrid car",$D49=5),$E49*'HR '!D$26,AND($C49="Electric motorcycle",$D49=1),$E49*'HR '!D$28,AND($C49="Electric motorcycle",$D49=2),$E49*'HR '!D$29,AND($C49="Electric bike",$D49=1),$E49*'HR '!D$31,AND($C49="Electric scooter",$D49=1),$E49*'HR '!D$33,AND($C49="Bus",$D49="Almost empty"),$E49*'HR '!I$23,AND($C49="Bus",$D49="Average"),$E49*'HR '!I$24,AND($C49="Bus",$D49="Nearly full"),$E49*'HR '!I$25,AND($C49="Electric bus",$D49="Almost empty"),$E49*'HR '!I$7,AND($C49="Electric bus",$D49="Average"),$E49*'HR '!I$8,AND($C49="Electric bus",$D49="Nearly full"),$E49*'HR '!I$9,AND($C49="Diesel bus",$D49="Almost empty"),$E49*'HR '!I$19,AND($C49="Diesel bus",$D49="Average"),$E49*'HR '!I$20,AND($C49="Diesel bus",$D49="Nearly full"),$E49*'HR '!I$21,AND($C49="Hybrid-electric bus",$D49="Almost empty"),$E49*'HR '!I$11,AND($C49="Hybrid-electric bus",$D49="Average"),$E49*'HR '!I$12,AND($C49="Hybrid-electric bus",$D49="Nearly full"),$E49*'HR '!I$13,AND($C49="Alternative fuel bus",$D49="Almost empty"),$E49*'HR '!I$15,AND($C49="Alternative fuel bus",$D49="Average"),$E49*'HR '!I$16,AND($C49="Alternative fuel bus",$D49="Nearly full"),$E49*'HR '!I$17,AND($C49="Metro, tram, urban light train",$D49="Almost empty"),$E49*'HR '!D$35,AND($C49="Metro, tram, urban light train",$D49="Average"),$E49*'HR '!D$36,AND($C49="Metro, tram, urban light train",$D49="Nearly full"),$E49*'HR '!D$37,AND($C49="Electric passenger train",$D49="Almost empty"),$E49*'HR '!D$39,AND($C49="Electric passenger train",$D49="Average"),$E49*'HR '!D$40,AND($C49="Electric passenger train",$D49="Nearly full"),$E49*'HR '!D$41,AND($C49="Diesel passenger train",$D49="Almost empty"),$E49*'HR '!D$47,AND($C49="Diesel passenger train",$D49="Average"),$E49*'HR '!D$48,AND($C49="Diesel passenger train",$D49="Nearly full"),$E49*'HR '!D$49,AND($C49="Walking"),$E49*0,AND($C49="Bike"),$E49*0,AND($C49="Plane - domestic flight"),$E49*'HR '!$C73,AND($C49="Plane - international - intra EU"),$E49*'HR '!$C75,AND($C49="Plane - international (extra EU)"),$E49*'HR '!$C77)</f>
        <v>#N/A</v>
      </c>
      <c r="H49" s="244" t="s">
        <v>74</v>
      </c>
      <c r="I49" s="141"/>
      <c r="L49" s="252"/>
      <c r="M49" s="253"/>
      <c r="N49" s="254"/>
    </row>
    <row r="50" spans="1:14" ht="16" thickBot="1" x14ac:dyDescent="0.25">
      <c r="A50" s="222"/>
      <c r="B50" s="51"/>
      <c r="C50" s="15"/>
      <c r="D50" s="15"/>
      <c r="E50" s="32"/>
      <c r="F50" s="123" t="e" cm="1">
        <f t="array" ref="F50">_xlfn.IFS(AND($C50="Fuel car",$D50=1),$E50*'HR '!C$7,AND($C50="Fuel car",$D50=2),$E50*'HR '!C$8,AND($C50="Fuel car",$D50=3),$E50*'HR '!C$9,AND($C50="Fuel car",$D50=4),$E50*'HR '!C$10,AND($C50="Fuel car",$D50=5),$E50*'HR '!C$11,AND($C50="Motorcycle",$D50=1),$E50*'HR '!C$13,AND($C50="Motorcycle",$D50=2),$E50*'HR '!C$14,AND($C50="Electric car",$D50=1),$E50*'HR '!C$16,AND($C50="Electric car",$D50=2),$E50*'HR '!C$17,AND($C50="Electric car",$D50=3),$E50*'HR '!C$18,AND($C50="Electric car",$D50=4),$E50*'HR '!C$19,AND($C50="Electric car",$D50=5),$E50*'HR '!C$20,AND($C50="Hybrid car",$D50=1),$E50*'HR '!C$22,AND($C50="Hybrid car",$D50=2),$E50*'HR '!C$23,AND($C50="Hybrid car",$D50=3),$E50*'HR '!C$24,AND($C50="Hybrid car",$D50=4),$E50*'HR '!C$25,AND($C50="Hybrid car",$D50=5),$E50*'HR '!C$26,AND($C50="Electric motorcycle",$D50=1),$E50*'HR '!C$28,AND($C50="Electric motorcycle",$D50=2),$E50*'HR '!C$29,AND($C50="Electric bike",$D50=1),$E50*'HR '!C$31,AND($C50="Electric scooter",$D50=1),$E50*'HR '!C$33,AND($C50="Bus",$D50="Almost empty"),$E50*'HR '!H$23,AND($C50="Bus",$D50="Average"),$E50*'HR '!H$24,AND($C50="Bus",$D50="Nearly full"),$E50*'HR '!H$25,AND($C50="Electric bus",$D50="Almost empty"),$E50*'HR '!H$7,AND($C50="Electric bus",$D50="Average"),$E50*'HR '!H$8,AND($C50="Electric bus",$D50="Nearly full"),$E50*'HR '!H$9,AND($C50="Diesel bus",$D50="Almost empty"),$E50*'HR '!H$19,AND($C50="Diesel bus",$D50="Average"),$E50*'HR '!H$20,AND($C50="Diesel bus",$D50="Nearly full"),$E50*'HR '!H$21,AND($C50="Hybrid-electric bus",$D50="Almost empty"),$E50*'HR '!H$11,AND($C50="Hybrid-electric bus",$D50="Average"),$E50*'HR '!H$12,AND($C50="Hybrid-electric bus",$D50="Nearly full"),$E50*'HR '!H$13,AND($C50="Alternative fuel bus",$D50="Almost empty"),$E50*'HR '!H$15,AND($C50="Alternative fuel bus",$D50="Average"),$E50*'HR '!H$16,AND($C50="Alternative fuel bus",$D50="Nearly full"),$E50*'HR '!H$17,AND($C50="Metro, tram, urban light train",$D50="Almost empty"),$E50*'HR '!C$35,AND($C50="Metro, tram, urban light train",$D50="Average"),$E50*'HR '!C$36,AND($C50="Metro, tram, urban light train",$D50="Nearly full"),$E50*'HR '!C$37,AND($C50="Electric passenger train",$D50="Almost empty"),$E50*'HR '!C$39,AND($C50="Electric passenger train",$D50="Average"),$E50*'HR '!C$40,AND($C50="Electric passenger train",$D50="Nearly full"),$E50*'HR '!C$41,AND($C50="Diesel passenger train",$D50="Almost empty"),$E50*'HR '!C$47,AND($C50="Diesel passenger train",$D50="Average"),$E50*'HR '!C$48,AND($C50="Diesel passenger train",$D50="Nearly full"),$E50*'HR '!C$49,AND($C50="Walking"),$E50*0,AND($C50="Bike"),$E50*0,AND($C50="Plane - domestic flight"),$E50*'HR '!$C74,AND($C50="Plane - international - intra EU"),$E50*'HR '!$C76,AND($C50="Plane - international (extra EU)"),$E50*'HR '!$C78)</f>
        <v>#N/A</v>
      </c>
      <c r="G50" s="31" t="e" cm="1">
        <f t="array" ref="G50">_xlfn.IFS(AND($C50="Fuel car",$D50=1),$E50*'HR '!D$7,AND($C50="Fuel car",$D50=2),$E50*'HR '!D$8,AND($C50="Fuel car",$D50=3),$E50*'HR '!D$9,AND($C50="Fuel car",$D50=4),$E50*'HR '!D$10,AND($C50="Fuel car",$D50=5),$E50*'HR '!D$11,AND($C50="Motorcycle",$D50=1),$E50*'HR '!D$13,AND($C50="Motorcycle",$D50=2),$E50*'HR '!D$14,AND($C50="Electric car",$D50=1),$E50*'HR '!D$16,AND($C50="Electric car",$D50=2),$E50*'HR '!D$17,AND($C50="Electric car",$D50=3),$E50*'HR '!D$18,AND($C50="Electric car",$D50=4),$E50*'HR '!D$19,AND($C50="Electric car",$D50=5),$E50*'HR '!D$20,AND($C50="Hybrid car",$D50=1),$E50*'HR '!D$22,AND($C50="Hybrid car",$D50=2),$E50*'HR '!D$23,AND($C50="Hybrid car",$D50=3),$E50*'HR '!D$24,AND($C50="Hybrid car",$D50=4),$E50*'HR '!D$25,AND($C50="Hybrid car",$D50=5),$E50*'HR '!D$26,AND($C50="Electric motorcycle",$D50=1),$E50*'HR '!D$28,AND($C50="Electric motorcycle",$D50=2),$E50*'HR '!D$29,AND($C50="Electric bike",$D50=1),$E50*'HR '!D$31,AND($C50="Electric scooter",$D50=1),$E50*'HR '!D$33,AND($C50="Bus",$D50="Almost empty"),$E50*'HR '!I$23,AND($C50="Bus",$D50="Average"),$E50*'HR '!I$24,AND($C50="Bus",$D50="Nearly full"),$E50*'HR '!I$25,AND($C50="Electric bus",$D50="Almost empty"),$E50*'HR '!I$7,AND($C50="Electric bus",$D50="Average"),$E50*'HR '!I$8,AND($C50="Electric bus",$D50="Nearly full"),$E50*'HR '!I$9,AND($C50="Diesel bus",$D50="Almost empty"),$E50*'HR '!I$19,AND($C50="Diesel bus",$D50="Average"),$E50*'HR '!I$20,AND($C50="Diesel bus",$D50="Nearly full"),$E50*'HR '!I$21,AND($C50="Hybrid-electric bus",$D50="Almost empty"),$E50*'HR '!I$11,AND($C50="Hybrid-electric bus",$D50="Average"),$E50*'HR '!I$12,AND($C50="Hybrid-electric bus",$D50="Nearly full"),$E50*'HR '!I$13,AND($C50="Alternative fuel bus",$D50="Almost empty"),$E50*'HR '!I$15,AND($C50="Alternative fuel bus",$D50="Average"),$E50*'HR '!I$16,AND($C50="Alternative fuel bus",$D50="Nearly full"),$E50*'HR '!I$17,AND($C50="Metro, tram, urban light train",$D50="Almost empty"),$E50*'HR '!D$35,AND($C50="Metro, tram, urban light train",$D50="Average"),$E50*'HR '!D$36,AND($C50="Metro, tram, urban light train",$D50="Nearly full"),$E50*'HR '!D$37,AND($C50="Electric passenger train",$D50="Almost empty"),$E50*'HR '!D$39,AND($C50="Electric passenger train",$D50="Average"),$E50*'HR '!D$40,AND($C50="Electric passenger train",$D50="Nearly full"),$E50*'HR '!D$41,AND($C50="Diesel passenger train",$D50="Almost empty"),$E50*'HR '!D$47,AND($C50="Diesel passenger train",$D50="Average"),$E50*'HR '!D$48,AND($C50="Diesel passenger train",$D50="Nearly full"),$E50*'HR '!D$49,AND($C50="Walking"),$E50*0,AND($C50="Bike"),$E50*0,AND($C50="Plane - domestic flight"),$E50*'HR '!$C74,AND($C50="Plane - international - intra EU"),$E50*'HR '!$C76,AND($C50="Plane - international (extra EU)"),$E50*'HR '!$C78)</f>
        <v>#N/A</v>
      </c>
      <c r="H50" s="245"/>
      <c r="I50" s="142"/>
      <c r="L50" s="252"/>
      <c r="M50" s="253"/>
      <c r="N50" s="254"/>
    </row>
    <row r="51" spans="1:14" ht="33" thickBot="1" x14ac:dyDescent="0.25">
      <c r="A51" s="222"/>
      <c r="B51" s="53"/>
      <c r="C51" s="32"/>
      <c r="D51" s="34"/>
      <c r="E51" s="34"/>
      <c r="F51" s="54" t="e" cm="1">
        <f t="array" ref="F51">_xlfn.IFS(AND($C51="Fuel car",$D51=1),$E51*'HR '!C$7,AND($C51="Fuel car",$D51=2),$E51*'HR '!C$8,AND($C51="Fuel car",$D51=3),$E51*'HR '!C$9,AND($C51="Fuel car",$D51=4),$E51*'HR '!C$10,AND($C51="Fuel car",$D51=5),$E51*'HR '!C$11,AND($C51="Motorcycle",$D51=1),$E51*'HR '!C$13,AND($C51="Motorcycle",$D51=2),$E51*'HR '!C$14,AND($C51="Electric car",$D51=1),$E51*'HR '!C$16,AND($C51="Electric car",$D51=2),$E51*'HR '!C$17,AND($C51="Electric car",$D51=3),$E51*'HR '!C$18,AND($C51="Electric car",$D51=4),$E51*'HR '!C$19,AND($C51="Electric car",$D51=5),$E51*'HR '!C$20,AND($C51="Hybrid car",$D51=1),$E51*'HR '!C$22,AND($C51="Hybrid car",$D51=2),$E51*'HR '!C$23,AND($C51="Hybrid car",$D51=3),$E51*'HR '!C$24,AND($C51="Hybrid car",$D51=4),$E51*'HR '!C$25,AND($C51="Hybrid car",$D51=5),$E51*'HR '!C$26,AND($C51="Electric motorcycle",$D51=1),$E51*'HR '!C$28,AND($C51="Electric motorcycle",$D51=2),$E51*'HR '!C$29,AND($C51="Electric bike",$D51=1),$E51*'HR '!C$31,AND($C51="Electric scooter",$D51=1),$E51*'HR '!C$33,AND($C51="Bus",$D51="Almost empty"),$E51*'HR '!H$23,AND($C51="Bus",$D51="Average"),$E51*'HR '!H$24,AND($C51="Bus",$D51="Nearly full"),$E51*'HR '!H$25,AND($C51="Electric bus",$D51="Almost empty"),$E51*'HR '!H$7,AND($C51="Electric bus",$D51="Average"),$E51*'HR '!H$8,AND($C51="Electric bus",$D51="Nearly full"),$E51*'HR '!H$9,AND($C51="Diesel bus",$D51="Almost empty"),$E51*'HR '!H$19,AND($C51="Diesel bus",$D51="Average"),$E51*'HR '!H$20,AND($C51="Diesel bus",$D51="Nearly full"),$E51*'HR '!H$21,AND($C51="Hybrid-electric bus",$D51="Almost empty"),$E51*'HR '!H$11,AND($C51="Hybrid-electric bus",$D51="Average"),$E51*'HR '!H$12,AND($C51="Hybrid-electric bus",$D51="Nearly full"),$E51*'HR '!H$13,AND($C51="Alternative fuel bus",$D51="Almost empty"),$E51*'HR '!H$15,AND($C51="Alternative fuel bus",$D51="Average"),$E51*'HR '!H$16,AND($C51="Alternative fuel bus",$D51="Nearly full"),$E51*'HR '!H$17,AND($C51="Metro, tram, urban light train",$D51="Almost empty"),$E51*'HR '!C$35,AND($C51="Metro, tram, urban light train",$D51="Average"),$E51*'HR '!C$36,AND($C51="Metro, tram, urban light train",$D51="Nearly full"),$E51*'HR '!C$37,AND($C51="Electric passenger train",$D51="Almost empty"),$E51*'HR '!C$39,AND($C51="Electric passenger train",$D51="Average"),$E51*'HR '!C$40,AND($C51="Electric passenger train",$D51="Nearly full"),$E51*'HR '!C$41,AND($C51="Diesel passenger train",$D51="Almost empty"),$E51*'HR '!C$47,AND($C51="Diesel passenger train",$D51="Average"),$E51*'HR '!C$48,AND($C51="Diesel passenger train",$D51="Nearly full"),$E51*'HR '!C$49,AND($C51="Walking"),$E51*0,AND($C51="Bike"),$E51*0,AND($C51="Plane - domestic flight"),$E51*'HR '!$C75,AND($C51="Plane - international - intra EU"),$E51*'HR '!$C77,AND($C51="Plane - international (extra EU)"),$E51*'HR '!$C79)</f>
        <v>#N/A</v>
      </c>
      <c r="G51" s="35" t="e" cm="1">
        <f t="array" ref="G51">_xlfn.IFS(AND($C51="Fuel car",$D51=1),$E51*'HR '!D$7,AND($C51="Fuel car",$D51=2),$E51*'HR '!D$8,AND($C51="Fuel car",$D51=3),$E51*'HR '!D$9,AND($C51="Fuel car",$D51=4),$E51*'HR '!D$10,AND($C51="Fuel car",$D51=5),$E51*'HR '!D$11,AND($C51="Motorcycle",$D51=1),$E51*'HR '!D$13,AND($C51="Motorcycle",$D51=2),$E51*'HR '!D$14,AND($C51="Electric car",$D51=1),$E51*'HR '!D$16,AND($C51="Electric car",$D51=2),$E51*'HR '!D$17,AND($C51="Electric car",$D51=3),$E51*'HR '!D$18,AND($C51="Electric car",$D51=4),$E51*'HR '!D$19,AND($C51="Electric car",$D51=5),$E51*'HR '!D$20,AND($C51="Hybrid car",$D51=1),$E51*'HR '!D$22,AND($C51="Hybrid car",$D51=2),$E51*'HR '!D$23,AND($C51="Hybrid car",$D51=3),$E51*'HR '!D$24,AND($C51="Hybrid car",$D51=4),$E51*'HR '!D$25,AND($C51="Hybrid car",$D51=5),$E51*'HR '!D$26,AND($C51="Electric motorcycle",$D51=1),$E51*'HR '!D$28,AND($C51="Electric motorcycle",$D51=2),$E51*'HR '!D$29,AND($C51="Electric bike",$D51=1),$E51*'HR '!D$31,AND($C51="Electric scooter",$D51=1),$E51*'HR '!D$33,AND($C51="Bus",$D51="Almost empty"),$E51*'HR '!I$23,AND($C51="Bus",$D51="Average"),$E51*'HR '!I$24,AND($C51="Bus",$D51="Nearly full"),$E51*'HR '!I$25,AND($C51="Electric bus",$D51="Almost empty"),$E51*'HR '!I$7,AND($C51="Electric bus",$D51="Average"),$E51*'HR '!I$8,AND($C51="Electric bus",$D51="Nearly full"),$E51*'HR '!I$9,AND($C51="Diesel bus",$D51="Almost empty"),$E51*'HR '!I$19,AND($C51="Diesel bus",$D51="Average"),$E51*'HR '!I$20,AND($C51="Diesel bus",$D51="Nearly full"),$E51*'HR '!I$21,AND($C51="Hybrid-electric bus",$D51="Almost empty"),$E51*'HR '!I$11,AND($C51="Hybrid-electric bus",$D51="Average"),$E51*'HR '!I$12,AND($C51="Hybrid-electric bus",$D51="Nearly full"),$E51*'HR '!I$13,AND($C51="Alternative fuel bus",$D51="Almost empty"),$E51*'HR '!I$15,AND($C51="Alternative fuel bus",$D51="Average"),$E51*'HR '!I$16,AND($C51="Alternative fuel bus",$D51="Nearly full"),$E51*'HR '!I$17,AND($C51="Metro, tram, urban light train",$D51="Almost empty"),$E51*'HR '!D$35,AND($C51="Metro, tram, urban light train",$D51="Average"),$E51*'HR '!D$36,AND($C51="Metro, tram, urban light train",$D51="Nearly full"),$E51*'HR '!D$37,AND($C51="Electric passenger train",$D51="Almost empty"),$E51*'HR '!D$39,AND($C51="Electric passenger train",$D51="Average"),$E51*'HR '!D$40,AND($C51="Electric passenger train",$D51="Nearly full"),$E51*'HR '!D$41,AND($C51="Diesel passenger train",$D51="Almost empty"),$E51*'HR '!D$47,AND($C51="Diesel passenger train",$D51="Average"),$E51*'HR '!D$48,AND($C51="Diesel passenger train",$D51="Nearly full"),$E51*'HR '!D$49,AND($C51="Walking"),$E51*0,AND($C51="Bike"),$E51*0,AND($C51="Plane - domestic flight"),$E51*'HR '!$C75,AND($C51="Plane - international - intra EU"),$E51*'HR '!$C77,AND($C51="Plane - international (extra EU)"),$E51*'HR '!$C79)</f>
        <v>#N/A</v>
      </c>
      <c r="H51" s="144" t="s">
        <v>75</v>
      </c>
      <c r="I51" s="49" t="e">
        <f>F52/I49</f>
        <v>#DIV/0!</v>
      </c>
      <c r="L51" s="252"/>
      <c r="M51" s="253"/>
      <c r="N51" s="254"/>
    </row>
    <row r="52" spans="1:14" ht="17" thickBot="1" x14ac:dyDescent="0.25">
      <c r="A52" s="222"/>
      <c r="B52" s="241" t="s">
        <v>57</v>
      </c>
      <c r="C52" s="242"/>
      <c r="D52" s="242"/>
      <c r="E52" s="243"/>
      <c r="F52" s="37">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_xlfn.IFS(AND(D57&lt;='HR '!L4),"A+",AND(D57&lt;='HR '!M4,D57&gt;'HR '!L4),"A",AND(D57&lt;='HR '!N4,D57&gt;'HR '!M4),"B",AND(D57&lt;='HR '!O4,D57&gt;'HR '!N4),"C",AND(D57&lt;='HR '!P4,D57&gt;'HR '!O4),"D",AND(D57&lt;='HR '!Q4,D57&gt;'HR '!P4),"E",AND(D57&lt;='HR '!R4,D57&gt;'HR '!Q4),"F",AND(D57&gt;'HR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_xlfn.IFS(D58="#","#",AND(D58&lt;='HR '!L5),"A+",AND(D58&lt;='HR '!M5,D58&gt;'HR '!L5),"A",AND(D58&lt;='HR '!N5,D58&gt;'HR '!M5),"B",AND(D58&lt;='HR '!O5,D58&gt;'HR '!N5),"C",AND(D58&lt;='HR '!P5,D58&gt;'HR '!O5),"D",AND(D58&lt;='HR '!Q5,D58&gt;'HR '!P5),"E",AND(D58&lt;='HR '!R5,D58&gt;'HR '!Q5),"F",AND(D58&gt;'HR '!R5),"G")</f>
        <v>#</v>
      </c>
    </row>
    <row r="59" spans="1:14" ht="32" x14ac:dyDescent="0.2">
      <c r="A59" s="262"/>
      <c r="B59" s="264"/>
      <c r="C59" s="21" t="s">
        <v>88</v>
      </c>
      <c r="D59" s="47" t="e">
        <f>IF(ISNUMBER(D58), D57 + D58, D57)</f>
        <v>#DIV/0!</v>
      </c>
      <c r="E59" s="277"/>
      <c r="G59" s="264"/>
      <c r="H59" t="s">
        <v>88</v>
      </c>
      <c r="I59" s="56" t="e" cm="1">
        <f t="array" ref="I59">_xlfn.IFS(AND(D59&lt;='HR '!L6),"A+",AND(D59&lt;='HR '!M6,D59&gt;'HR '!L6),"A",AND(D59&lt;='HR '!N6,D59&gt;'HR '!M6),"B",AND(D59&lt;='HR '!O6,D59&gt;'HR '!N6),"C",AND(D59&lt;='HR '!P6,D59&gt;'HR '!O6),"D",AND(D59&lt;='HR '!Q6,D59&gt;'HR '!P6),"E",AND(D59&lt;='HR '!R6,D59&gt;'HR '!Q6),"F",AND(D59&gt;'HR '!R6),"G")</f>
        <v>#DIV/0!</v>
      </c>
    </row>
    <row r="60" spans="1:14" ht="16" x14ac:dyDescent="0.2">
      <c r="A60" s="262"/>
      <c r="B60" s="264"/>
      <c r="C60" s="21" t="s">
        <v>89</v>
      </c>
      <c r="D60" s="99">
        <f>I30</f>
        <v>0</v>
      </c>
      <c r="E60" s="277"/>
      <c r="G60" s="264"/>
      <c r="H60" t="s">
        <v>89</v>
      </c>
      <c r="I60" s="56" t="str" cm="1">
        <f t="array" ref="I60">_xlfn.IFS(AND(D60&lt;='HR '!L7),"A+",AND(D60&lt;='HR '!M7,D60&gt;'HR '!L7),"A",AND(D60&lt;='HR '!N7,D60&gt;'HR '!M7),"B",AND(D60&lt;='HR '!O7,D60&gt;'HR '!N7),"C",AND(D60&lt;='HR '!P7,D60&gt;'HR '!O7),"D",AND(D60&lt;='HR '!Q7,D60&gt;'HR '!P7),"E",AND(D60&lt;='HR '!R7,D60&gt;'HR '!Q7),"F",AND(D60&gt;'HR '!R7),"G")</f>
        <v>A+</v>
      </c>
    </row>
    <row r="61" spans="1:14" ht="16" thickBot="1" x14ac:dyDescent="0.25">
      <c r="A61" s="262"/>
      <c r="B61" s="265"/>
      <c r="C61" s="16" t="s">
        <v>57</v>
      </c>
      <c r="D61" s="58" t="e">
        <f>SUM(D59:D60)</f>
        <v>#DIV/0!</v>
      </c>
      <c r="E61" s="261"/>
      <c r="G61" s="265"/>
      <c r="H61" s="16" t="s">
        <v>57</v>
      </c>
      <c r="I61" s="1" t="e" cm="1">
        <f t="array" ref="I61">_xlfn.IFS(AND(D61&lt;='HR '!L8),"A+",AND(D61&lt;='HR '!M8,D61&gt;'HR '!L8),"A",AND(D61&lt;='HR '!N8,D61&gt;'HR '!M8),"B",AND(D61&lt;='HR '!O8,D61&gt;'HR '!N8),"C",AND(D61&lt;='HR '!P8,D61&gt;'HR '!O8),"D",AND(D61&lt;='HR '!Q8,D61&gt;'HR '!P8),"E",AND(D61&lt;='HR '!R8,D61&gt;'HR '!Q8),"F",AND(D61&gt;'HR '!R8),"G")</f>
        <v>#DIV/0!</v>
      </c>
    </row>
    <row r="62" spans="1:14" ht="32" x14ac:dyDescent="0.2">
      <c r="A62" s="262"/>
      <c r="B62" s="263" t="s">
        <v>90</v>
      </c>
      <c r="C62" s="57" t="s">
        <v>85</v>
      </c>
      <c r="D62" s="100" t="e">
        <f>I16</f>
        <v>#DIV/0!</v>
      </c>
      <c r="E62" s="266" t="s">
        <v>91</v>
      </c>
      <c r="G62" s="263" t="s">
        <v>90</v>
      </c>
      <c r="H62" s="46" t="s">
        <v>85</v>
      </c>
      <c r="I62" s="55" t="e" cm="1">
        <f t="array" ref="I62">_xlfn.IFS(AND(D62&lt;='HR '!L9),"A+",AND(D62&lt;='HR '!M9,D62&gt;'HR '!L9),"A",AND(D62&lt;='HR '!N9,D62&gt;'HR '!M9),"B",AND(D62&lt;='HR '!O9,D62&gt;'HR '!N9),"C",AND(D62&lt;='HR '!P9,D62&gt;'HR '!O9),"D",AND(D62&lt;='HR '!Q9,D62&gt;'HR '!P9),"E",AND(D62&lt;='HR '!R9,D62&gt;'HR '!Q9),"F",AND(D62&gt;'HR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_xlfn.IFS(D63="#","#",AND(D63&lt;='HR '!L10),"A+",AND(D63&lt;='HR '!M10,D63&gt;'HR '!L10),"A",AND(D63&lt;='HR '!N10,D63&gt;'HR '!M10),"B",AND(D63&lt;='HR '!O10,D63&gt;'HR '!N10),"C",AND(D63&lt;='HR '!P10,D63&gt;'HR '!O10),"D",AND(D63&lt;='HR '!Q10,D63&gt;'HR '!P10),"E",AND(D63&lt;='HR '!R10,D63&gt;'HR '!Q10),"F",AND(D63&gt;'HR '!R10),"G")</f>
        <v>#</v>
      </c>
    </row>
    <row r="64" spans="1:14" ht="32" x14ac:dyDescent="0.2">
      <c r="A64" s="262"/>
      <c r="B64" s="264"/>
      <c r="C64" s="21" t="s">
        <v>92</v>
      </c>
      <c r="D64" s="47" t="e">
        <f>IF(ISNUMBER(D63), D62 + D63, D62)</f>
        <v>#DIV/0!</v>
      </c>
      <c r="E64" s="202"/>
      <c r="G64" s="264"/>
      <c r="H64" t="s">
        <v>92</v>
      </c>
      <c r="I64" s="56" t="e" cm="1">
        <f t="array" ref="I64">_xlfn.IFS(AND(D64&lt;='HR '!L11),"A+",AND(D64&lt;='HR '!M11,D64&gt;'HR '!L11),"A",AND(D64&lt;='HR '!N11,D64&gt;'HR '!M11),"B",AND(D64&lt;='HR '!O11,D64&gt;'HR '!N11),"C",AND(D64&lt;='HR '!P11,D64&gt;'HR '!O11),"D",AND(D64&lt;='HR '!Q11,D64&gt;'HR '!P11),"E",AND(D64&lt;='HR '!R11,D64&gt;'HR '!Q11),"F",AND(D64&gt;'HR '!R11),"G")</f>
        <v>#DIV/0!</v>
      </c>
    </row>
    <row r="65" spans="1:9" x14ac:dyDescent="0.2">
      <c r="A65" s="262"/>
      <c r="B65" s="264"/>
      <c r="C65" t="s">
        <v>89</v>
      </c>
      <c r="D65" s="99">
        <f>I31</f>
        <v>0</v>
      </c>
      <c r="E65" s="202"/>
      <c r="G65" s="264"/>
      <c r="H65" t="s">
        <v>89</v>
      </c>
      <c r="I65" s="56" t="str" cm="1">
        <f t="array" ref="I65">_xlfn.IFS(AND(D65&lt;='HR '!L12),"A+",AND(D65&lt;='HR '!M12,D65&gt;'HR '!L12),"A",AND(D65&lt;='HR '!N12,D65&gt;'HR '!M12),"B",AND(D65&lt;='HR '!O12,D65&gt;'HR '!N12),"C",AND(D65&lt;='HR '!P12,D65&gt;'HR '!O12),"D",AND(D65&lt;='HR '!Q12,D65&gt;'HR '!P12),"E",AND(D65&lt;='HR '!R12,D65&gt;'HR '!Q12),"F",AND(D65&gt;'HR '!R12),"G")</f>
        <v>A+</v>
      </c>
    </row>
    <row r="66" spans="1:9" ht="16" thickBot="1" x14ac:dyDescent="0.25">
      <c r="A66" s="262"/>
      <c r="B66" s="265"/>
      <c r="C66" s="16" t="s">
        <v>57</v>
      </c>
      <c r="D66" s="16" t="e">
        <f>SUM(D64:D65)</f>
        <v>#DIV/0!</v>
      </c>
      <c r="E66" s="267"/>
      <c r="G66" s="265"/>
      <c r="H66" s="16" t="s">
        <v>57</v>
      </c>
      <c r="I66" s="1" t="e" cm="1">
        <f t="array" ref="I66">_xlfn.IFS(AND(D66&lt;='HR '!L13),"A+",AND(D66&lt;='HR '!M13,D66&gt;'HR '!L13),"A",AND(D66&lt;='HR '!N13,D66&gt;'HR '!M13),"B",AND(D66&lt;='HR '!O13,D66&gt;'HR '!N13),"C",AND(D66&lt;='HR '!P13,D66&gt;'HR '!O13),"D",AND(D66&lt;='HR '!Q13,D66&gt;'HR '!P13),"E",AND(D66&lt;='HR '!R13,D66&gt;'HR '!Q13),"F",AND(D66&gt;'HR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83" priority="7" operator="equal">
      <formula>"A+"</formula>
    </cfRule>
    <cfRule type="containsText" dxfId="382" priority="8" operator="containsText" text="A">
      <formula>NOT(ISERROR(SEARCH("A",I57)))</formula>
    </cfRule>
    <cfRule type="containsText" dxfId="381" priority="9" operator="containsText" text="B">
      <formula>NOT(ISERROR(SEARCH("B",I57)))</formula>
    </cfRule>
    <cfRule type="containsText" dxfId="380" priority="10" operator="containsText" text="C">
      <formula>NOT(ISERROR(SEARCH("C",I57)))</formula>
    </cfRule>
    <cfRule type="containsText" dxfId="379" priority="11" operator="containsText" text="D">
      <formula>NOT(ISERROR(SEARCH("D",I57)))</formula>
    </cfRule>
    <cfRule type="containsText" dxfId="378" priority="12" operator="containsText" text="E">
      <formula>NOT(ISERROR(SEARCH("E",I57)))</formula>
    </cfRule>
    <cfRule type="containsText" dxfId="377" priority="13" operator="containsText" text="F">
      <formula>NOT(ISERROR(SEARCH("F",I57)))</formula>
    </cfRule>
    <cfRule type="containsText" dxfId="376" priority="14" operator="containsText" text="G">
      <formula>NOT(ISERROR(SEARCH("G",I57)))</formula>
    </cfRule>
  </conditionalFormatting>
  <conditionalFormatting sqref="K5:K15">
    <cfRule type="expression" dxfId="7" priority="2" stopIfTrue="1">
      <formula>$O$19="No"</formula>
    </cfRule>
  </conditionalFormatting>
  <conditionalFormatting sqref="L5:L15">
    <cfRule type="expression" dxfId="6"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72430D96-929A-F442-989F-1DFC99AD32C0}">
      <formula1>AND(Q19="Yes", ISNUMBER(L5))</formula1>
    </dataValidation>
    <dataValidation type="custom" operator="lessThan" allowBlank="1" showErrorMessage="1" errorTitle="Error" error="You can only enter values if you have selected HOME PV. The value must be a number." sqref="K5:K15" xr:uid="{10EF41C3-8A0C-7342-A1BA-EE49A2ECD0A8}">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40AA200F-B16B-4C7C-952D-063EA436865B}">
          <x14:formula1>
            <xm:f>DATA!$J$3:$J$10</xm:f>
          </x14:formula1>
          <xm:sqref>D29:D51</xm:sqref>
        </x14:dataValidation>
        <x14:dataValidation type="list" allowBlank="1" showInputMessage="1" showErrorMessage="1" xr:uid="{6B079C63-6B33-694E-9E77-B003877EB9D8}">
          <x14:formula1>
            <xm:f>DATA!$B$15:$B$23</xm:f>
          </x14:formula1>
          <xm:sqref>J2</xm:sqref>
        </x14:dataValidation>
        <x14:dataValidation type="list" allowBlank="1" showInputMessage="1" showErrorMessage="1" xr:uid="{0236F310-C149-4B7D-8194-80C82047CCBD}">
          <x14:formula1>
            <xm:f>DATA!$H$3:$H$23</xm:f>
          </x14:formula1>
          <xm:sqref>C29:C51</xm:sqref>
        </x14:dataValidation>
        <x14:dataValidation type="list" allowBlank="1" showInputMessage="1" showErrorMessage="1" xr:uid="{40023DD5-4961-594A-B7D0-C9922BA349FB}">
          <x14:formula1>
            <xm:f>DATA!$B$3:$B$13</xm:f>
          </x14:formula1>
          <xm:sqref>H2</xm:sqref>
        </x14:dataValidation>
        <x14:dataValidation type="list" allowBlank="1" showInputMessage="1" showErrorMessage="1" xr:uid="{570E1EBA-DEAA-2740-95A3-4F782F1920ED}">
          <x14:formula1>
            <xm:f>DATA!$L$4:$L$5</xm:f>
          </x14:formula1>
          <xm:sqref>O18:O19 Q19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603D-E13D-4A0A-8D48-C9FEF711CE55}">
  <dimension ref="A1:Q66"/>
  <sheetViews>
    <sheetView zoomScale="80" zoomScaleNormal="80" workbookViewId="0">
      <selection activeCell="I6" sqref="I6"/>
    </sheetView>
  </sheetViews>
  <sheetFormatPr baseColWidth="10" defaultColWidth="11.5" defaultRowHeight="15" x14ac:dyDescent="0.2"/>
  <cols>
    <col min="1" max="1" width="6.5" customWidth="1"/>
    <col min="4" max="4" width="15.6640625" customWidth="1"/>
    <col min="5" max="5" width="16.83203125" customWidth="1"/>
    <col min="6" max="6" width="16.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96</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IF($O$18="Yes",(E5/$F$2)*DATA!$C$9,(E5/$F$2)*DATA!F$7)+IF(ISBLANK(K5),0,K5/$F$2)*DATA!$C$9-IF(ISBLANK(L5),0,L5/$F$2)*DATA!F$7</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IF($O$18="Yes",(E6/$F$2)*DATA!$C$9,(E6/$F$2)*DATA!F$7)+IF(ISBLANK(K6),0,K6/$F$2)*DATA!$C$9-IF(ISBLANK(L6),0,L6/$F$2)*DATA!F$7</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IF($O$18="Yes",(E7/$F$2)*DATA!$C$9,(E7/$F$2)*DATA!F$7)+IF(ISBLANK(K7),0,K7/$F$2)*DATA!$C$9-IF(ISBLANK(L7),0,L7/$F$2)*DATA!F$7</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IF($O$18="Yes",(E8/$F$2)*DATA!$C$9,(E8/$F$2)*DATA!F$7)+IF(ISBLANK(K8),0,K8/$F$2)*DATA!$C$9-IF(ISBLANK(L8),0,L8/$F$2)*DATA!F$7</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IF($O$18="Yes",(E9/$F$2)*DATA!$C$9,(E9/$F$2)*DATA!F$7)+IF(ISBLANK(K9),0,K9/$F$2)*DATA!$C$9-IF(ISBLANK(L9),0,L9/$F$2)*DATA!F$7</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IF($O$18="Yes",(E10/$F$2)*DATA!$C$9,(E10/$F$2)*DATA!F$7)+IF(ISBLANK(K10),0,K10/$F$2)*DATA!$C$9-IF(ISBLANK(L10),0,L10/$F$2)*DATA!F$7</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198" t="s">
        <v>295</v>
      </c>
      <c r="O10" s="199"/>
      <c r="P10" s="200"/>
    </row>
    <row r="11" spans="1:16" ht="16" x14ac:dyDescent="0.2">
      <c r="A11" s="221"/>
      <c r="B11" s="24"/>
      <c r="C11" s="13"/>
      <c r="D11" s="14">
        <f t="shared" si="0"/>
        <v>0</v>
      </c>
      <c r="E11" s="15"/>
      <c r="F11" s="15"/>
      <c r="G11" s="25" t="e">
        <f t="shared" si="1"/>
        <v>#DIV/0!</v>
      </c>
      <c r="H11" s="25" t="e">
        <f t="shared" si="2"/>
        <v>#DIV/0!</v>
      </c>
      <c r="I11" s="25" t="e">
        <f>IF($O$18="Yes",(E11/$F$2)*DATA!$C$9,(E11/$F$2)*DATA!F$7)+IF(ISBLANK(K11),0,K11/$F$2)*DATA!$C$9-IF(ISBLANK(L11),0,L11/$F$2)*DATA!F$7</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15"/>
      <c r="O11" s="316"/>
      <c r="P11" s="317"/>
    </row>
    <row r="12" spans="1:16" ht="17" thickBot="1" x14ac:dyDescent="0.25">
      <c r="A12" s="221"/>
      <c r="B12" s="24"/>
      <c r="C12" s="13"/>
      <c r="D12" s="14">
        <f t="shared" si="0"/>
        <v>0</v>
      </c>
      <c r="E12" s="15"/>
      <c r="F12" s="15"/>
      <c r="G12" s="25" t="e">
        <f t="shared" si="1"/>
        <v>#DIV/0!</v>
      </c>
      <c r="H12" s="25" t="e">
        <f t="shared" si="2"/>
        <v>#DIV/0!</v>
      </c>
      <c r="I12" s="25" t="e">
        <f>IF($O$18="Yes",(E12/$F$2)*DATA!$C$9,(E12/$F$2)*DATA!F$7)+IF(ISBLANK(K12),0,K12/$F$2)*DATA!$C$9-IF(ISBLANK(L12),0,L12/$F$2)*DATA!F$7</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246"/>
      <c r="O12" s="247"/>
      <c r="P12" s="248"/>
    </row>
    <row r="13" spans="1:16" ht="20" customHeight="1" thickBot="1" x14ac:dyDescent="0.25">
      <c r="A13" s="221"/>
      <c r="B13" s="24"/>
      <c r="C13" s="13"/>
      <c r="D13" s="14">
        <f t="shared" si="0"/>
        <v>0</v>
      </c>
      <c r="E13" s="15"/>
      <c r="F13" s="15"/>
      <c r="G13" s="25" t="e">
        <f t="shared" si="1"/>
        <v>#DIV/0!</v>
      </c>
      <c r="H13" s="25" t="e">
        <f t="shared" si="2"/>
        <v>#DIV/0!</v>
      </c>
      <c r="I13" s="25" t="e">
        <f>IF($O$18="Yes",(E13/$F$2)*DATA!$C$9,(E13/$F$2)*DATA!F$7)+IF(ISBLANK(K13),0,K13/$F$2)*DATA!$C$9-IF(ISBLANK(L13),0,L13/$F$2)*DATA!F$7</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IF($O$18="Yes",(E14/$F$2)*DATA!$C$9,(E14/$F$2)*DATA!F$7)+IF(ISBLANK(K14),0,K14/$F$2)*DATA!$C$9-IF(ISBLANK(L14),0,L14/$F$2)*DATA!F$7</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IF($O$18="Yes",(E15/$F$2)*DATA!$C$9,(E15/$F$2)*DATA!F$7)+IF(ISBLANK(K15),0,K15/$F$2)*DATA!$C$9-IF(ISBLANK(L15),0,L15/$F$2)*DATA!F$7</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29"/>
      <c r="F29" s="123" t="e" cm="1">
        <f t="array" ref="F29">_xlfn.IFS(AND($C29="Fuel car",$D29=1),$E29*'CY '!C$7,AND($C29="Fuel car",$D29=2),$E29*'CY '!C$8,AND($C29="Fuel car",$D29=3),$E29*'CY '!C$9,AND($C29="Fuel car",$D29=4),$E29*'CY '!C$10,AND($C29="Fuel car",$D29=5),$E29*'CY '!C$11,AND($C29="Motorcycle",$D29=1),$E29*'CY '!C$13,AND($C29="Motorcycle",$D29=2),$E29*'CY '!C$14,AND($C29="Electric car",$D29=1),$E29*'CY '!C$16,AND($C29="Electric car",$D29=2),$E29*'CY '!C$17,AND($C29="Electric car",$D29=3),$E29*'CY '!C$18,AND($C29="Electric car",$D29=4),$E29*'CY '!C$19,AND($C29="Electric car",$D29=5),$E29*'CY '!C$20,AND($C29="Hybrid car",$D29=1),$E29*'CY '!C$22,AND($C29="Hybrid car",$D29=2),$E29*'CY '!C$23,AND($C29="Hybrid car",$D29=3),$E29*'CY '!C$24,AND($C29="Hybrid car",$D29=4),$E29*'CY '!C$25,AND($C29="Hybrid car",$D29=5),$E29*'CY '!C$26,AND($C29="Electric motorcycle",$D29=1),$E29*'CY '!C$28,AND($C29="Electric motorcycle",$D29=2),$E29*'CY '!C$29,AND($C29="Electric bike",$D29=1),$E29*'CY '!C$31,AND($C29="Electric scooter",$D29=1),$E29*'CY '!C$33,AND($C29="Bus",$D29="Almost empty"),$E29*'CY '!H$23,AND($C29="Bus",$D29="Average"),$E29*'CY '!H$24,AND($C29="Bus",$D29="Nearly full"),$E29*'CY '!H$25,AND($C29="Electric bus",$D29="Almost empty"),$E29*'CY '!H$7,AND($C29="Electric bus",$D29="Average"),$E29*'CY '!H$8,AND($C29="Electric bus",$D29="Nearly full"),$E29*'CY '!H$9,AND($C29="Diesel bus",$D29="Almost empty"),$E29*'CY '!H$19,AND($C29="Diesel bus",$D29="Average"),$E29*'CY '!H$20,AND($C29="Diesel bus",$D29="Nearly full"),$E29*'CY '!H$21,AND($C29="Hybrid-electric bus",$D29="Almost empty"),$E29*'CY '!H$11,AND($C29="Hybrid-electric bus",$D29="Average"),$E29*'CY '!H$12,AND($C29="Hybrid-electric bus",$D29="Nearly full"),$E29*'CY '!H$13,AND($C29="Alternative fuel bus",$D29="Almost empty"),$E29*'CY '!H$15,AND($C29="Alternative fuel bus",$D29="Average"),$E29*'CY '!H$16,AND($C29="Alternative fuel bus",$D29="Nearly full"),$E29*'CY '!H$17,AND($C29="Metro, tram, urban light train",$D29="Almost empty"),$E29*'CY '!C$35,AND($C29="Metro, tram, urban light train",$D29="Average"),$E29*'CY '!C$36,AND($C29="Metro, tram, urban light train",$D29="Nearly full"),$E29*'CY '!C$37,AND($C29="Electric passenger train",$D29="Almost empty"),$E29*'CY '!C$39,AND($C29="Electric passenger train",$D29="Average"),$E29*'CY '!C$40,AND($C29="Electric passenger train",$D29="Nearly full"),$E29*'CY '!C$41,AND($C29="Diesel passenger train",$D29="Almost empty"),$E29*'CY '!C$47,AND($C29="Diesel passenger train",$D29="Average"),$E29*'CY '!C$48,AND($C29="Diesel passenger train",$D29="Nearly full"),$E29*'CY '!C$49,AND($C29="Walking"),$E29*0,AND($C29="Bike"),$E29*0,AND($C29="Plane - domestic flight"),$E29*'CY '!$C53,AND($C29="Plane - international - intra EU"),$E29*'CY '!$C55,AND($C29="Plane - international (extra EU)"),$E29*'CY '!$C57)</f>
        <v>#N/A</v>
      </c>
      <c r="G29" s="31" t="e" cm="1">
        <f t="array" ref="G29">_xlfn.IFS(AND($C29="Fuel car",$D29=1),$E29*'CY '!D$7,AND($C29="Fuel car",$D29=2),$E29*'CY '!D$8,AND($C29="Fuel car",$D29=3),$E29*'CY '!D$9,AND($C29="Fuel car",$D29=4),$E29*'CY '!D$10,AND($C29="Fuel car",$D29=5),$E29*'CY '!D$11,AND($C29="Motorcycle",$D29=1),$E29*'CY '!D$13,AND($C29="Motorcycle",$D29=2),$E29*'CY '!D$14,AND($C29="Electric car",$D29=1),$E29*'CY '!D$16,AND($C29="Electric car",$D29=2),$E29*'CY '!D$17,AND($C29="Electric car",$D29=3),$E29*'CY '!D$18,AND($C29="Electric car",$D29=4),$E29*'CY '!D$19,AND($C29="Electric car",$D29=5),$E29*'CY '!D$20,AND($C29="Hybrid car",$D29=1),$E29*'CY '!D$22,AND($C29="Hybrid car",$D29=2),$E29*'CY '!D$23,AND($C29="Hybrid car",$D29=3),$E29*'CY '!D$24,AND($C29="Hybrid car",$D29=4),$E29*'CY '!D$25,AND($C29="Hybrid car",$D29=5),$E29*'CY '!D$26,AND($C29="Electric motorcycle",$D29=1),$E29*'CY '!D$28,AND($C29="Electric motorcycle",$D29=2),$E29*'CY '!D$29,AND($C29="Electric bike",$D29=1),$E29*'CY '!D$31,AND($C29="Electric scooter",$D29=1),$E29*'CY '!D$33,AND($C29="Bus",$D29="Almost empty"),$E29*'CY '!I$23,AND($C29="Bus",$D29="Average"),$E29*'CY '!I$24,AND($C29="Bus",$D29="Nearly full"),$E29*'CY '!I$25,AND($C29="Electric bus",$D29="Almost empty"),$E29*'CY '!I$7,AND($C29="Electric bus",$D29="Average"),$E29*'CY '!I$8,AND($C29="Electric bus",$D29="Nearly full"),$E29*'CY '!I$9,AND($C29="Diesel bus",$D29="Almost empty"),$E29*'CY '!I$19,AND($C29="Diesel bus",$D29="Average"),$E29*'CY '!I$20,AND($C29="Diesel bus",$D29="Nearly full"),$E29*'CY '!I$21,AND($C29="Hybrid-electric bus",$D29="Almost empty"),$E29*'CY '!I$11,AND($C29="Hybrid-electric bus",$D29="Average"),$E29*'CY '!I$12,AND($C29="Hybrid-electric bus",$D29="Nearly full"),$E29*'CY '!I$13,AND($C29="Alternative fuel bus",$D29="Almost empty"),$E29*'CY '!I$15,AND($C29="Alternative fuel bus",$D29="Average"),$E29*'CY '!I$16,AND($C29="Alternative fuel bus",$D29="Nearly full"),$E29*'CY '!I$17,AND($C29="Metro, tram, urban light train",$D29="Almost empty"),$E29*'CY '!D$35,AND($C29="Metro, tram, urban light train",$D29="Average"),$E29*'CY '!D$36,AND($C29="Metro, tram, urban light train",$D29="Nearly full"),$E29*'CY '!D$37,AND($C29="Electric passenger train",$D29="Almost empty"),$E29*'CY '!D$39,AND($C29="Electric passenger train",$D29="Average"),$E29*'CY '!D$40,AND($C29="Electric passenger train",$D29="Nearly full"),$E29*'CY '!D$41,AND($C29="Diesel passenger train",$D29="Almost empty"),$E29*'CY '!D$47,AND($C29="Diesel passenger train",$D29="Average"),$E29*'CY '!D$48,AND($C29="Diesel passenger train",$D29="Nearly full"),$E29*'CY '!D$49,AND($C29="Walking"),$E29*0,AND($C29="Bike"),$E29*0,AND($C29="Plane - domestic flight"),$E29*'CY '!$C53,AND($C29="Plane - international - intra EU"),$E29*'CY '!$C55,AND($C29="Plane - international (extra EU)"),$E29*'CY '!$C57)</f>
        <v>#N/A</v>
      </c>
      <c r="H29" s="151"/>
      <c r="I29" s="152">
        <f>H29/10*E29</f>
        <v>0</v>
      </c>
      <c r="J29" s="146" t="e" cm="1">
        <f t="array" ref="J29">_xlfn.IFS(Cyprus!C29="Fuel car",Cyprus!I29*DATA!$C$17,C29="Electric car",Cyprus!I29*DATA!$F$7,Cyprus!C29="Hybrid car",Cyprus!I29*(0.5*DATA!$C$17+0.5*DATA!$F$7))</f>
        <v>#N/A</v>
      </c>
      <c r="L29" s="218"/>
      <c r="M29" s="219"/>
      <c r="N29" s="220"/>
    </row>
    <row r="30" spans="1:17" ht="32" customHeight="1" x14ac:dyDescent="0.2">
      <c r="A30" s="222"/>
      <c r="B30" s="30"/>
      <c r="C30" s="15"/>
      <c r="D30" s="15"/>
      <c r="E30" s="15"/>
      <c r="F30" s="123" t="e" cm="1">
        <f t="array" ref="F30">_xlfn.IFS(AND($C30="Fuel car",$D30=1),$E30*'CY '!C$7,AND($C30="Fuel car",$D30=2),$E30*'CY '!C$8,AND($C30="Fuel car",$D30=3),$E30*'CY '!C$9,AND($C30="Fuel car",$D30=4),$E30*'CY '!C$10,AND($C30="Fuel car",$D30=5),$E30*'CY '!C$11,AND($C30="Motorcycle",$D30=1),$E30*'CY '!C$13,AND($C30="Motorcycle",$D30=2),$E30*'CY '!C$14,AND($C30="Electric car",$D30=1),$E30*'CY '!C$16,AND($C30="Electric car",$D30=2),$E30*'CY '!C$17,AND($C30="Electric car",$D30=3),$E30*'CY '!C$18,AND($C30="Electric car",$D30=4),$E30*'CY '!C$19,AND($C30="Electric car",$D30=5),$E30*'CY '!C$20,AND($C30="Hybrid car",$D30=1),$E30*'CY '!C$22,AND($C30="Hybrid car",$D30=2),$E30*'CY '!C$23,AND($C30="Hybrid car",$D30=3),$E30*'CY '!C$24,AND($C30="Hybrid car",$D30=4),$E30*'CY '!C$25,AND($C30="Hybrid car",$D30=5),$E30*'CY '!C$26,AND($C30="Electric motorcycle",$D30=1),$E30*'CY '!C$28,AND($C30="Electric motorcycle",$D30=2),$E30*'CY '!C$29,AND($C30="Electric bike",$D30=1),$E30*'CY '!C$31,AND($C30="Electric scooter",$D30=1),$E30*'CY '!C$33,AND($C30="Bus",$D30="Almost empty"),$E30*'CY '!H$23,AND($C30="Bus",$D30="Average"),$E30*'CY '!H$24,AND($C30="Bus",$D30="Nearly full"),$E30*'CY '!H$25,AND($C30="Electric bus",$D30="Almost empty"),$E30*'CY '!H$7,AND($C30="Electric bus",$D30="Average"),$E30*'CY '!H$8,AND($C30="Electric bus",$D30="Nearly full"),$E30*'CY '!H$9,AND($C30="Diesel bus",$D30="Almost empty"),$E30*'CY '!H$19,AND($C30="Diesel bus",$D30="Average"),$E30*'CY '!H$20,AND($C30="Diesel bus",$D30="Nearly full"),$E30*'CY '!H$21,AND($C30="Hybrid-electric bus",$D30="Almost empty"),$E30*'CY '!H$11,AND($C30="Hybrid-electric bus",$D30="Average"),$E30*'CY '!H$12,AND($C30="Hybrid-electric bus",$D30="Nearly full"),$E30*'CY '!H$13,AND($C30="Alternative fuel bus",$D30="Almost empty"),$E30*'CY '!H$15,AND($C30="Alternative fuel bus",$D30="Average"),$E30*'CY '!H$16,AND($C30="Alternative fuel bus",$D30="Nearly full"),$E30*'CY '!H$17,AND($C30="Metro, tram, urban light train",$D30="Almost empty"),$E30*'CY '!C$35,AND($C30="Metro, tram, urban light train",$D30="Average"),$E30*'CY '!C$36,AND($C30="Metro, tram, urban light train",$D30="Nearly full"),$E30*'CY '!C$37,AND($C30="Electric passenger train",$D30="Almost empty"),$E30*'CY '!C$39,AND($C30="Electric passenger train",$D30="Average"),$E30*'CY '!C$40,AND($C30="Electric passenger train",$D30="Nearly full"),$E30*'CY '!C$41,AND($C30="Diesel passenger train",$D30="Almost empty"),$E30*'CY '!C$47,AND($C30="Diesel passenger train",$D30="Average"),$E30*'CY '!C$48,AND($C30="Diesel passenger train",$D30="Nearly full"),$E30*'CY '!C$49,AND($C30="Walking"),$E30*0,AND($C30="Bike"),$E30*0,AND($C30="Plane - domestic flight"),$E30*'CY '!$C54,AND($C30="Plane - international - intra EU"),$E30*'CY '!$C56,AND($C30="Plane - international (extra EU)"),$E30*'CY '!$C58)</f>
        <v>#N/A</v>
      </c>
      <c r="G30" s="31" t="e" cm="1">
        <f t="array" ref="G30">_xlfn.IFS(AND($C30="Fuel car",$D30=1),$E30*'CY '!D$7,AND($C30="Fuel car",$D30=2),$E30*'CY '!D$8,AND($C30="Fuel car",$D30=3),$E30*'CY '!D$9,AND($C30="Fuel car",$D30=4),$E30*'CY '!D$10,AND($C30="Fuel car",$D30=5),$E30*'CY '!D$11,AND($C30="Motorcycle",$D30=1),$E30*'CY '!D$13,AND($C30="Motorcycle",$D30=2),$E30*'CY '!D$14,AND($C30="Electric car",$D30=1),$E30*'CY '!D$16,AND($C30="Electric car",$D30=2),$E30*'CY '!D$17,AND($C30="Electric car",$D30=3),$E30*'CY '!D$18,AND($C30="Electric car",$D30=4),$E30*'CY '!D$19,AND($C30="Electric car",$D30=5),$E30*'CY '!D$20,AND($C30="Hybrid car",$D30=1),$E30*'CY '!D$22,AND($C30="Hybrid car",$D30=2),$E30*'CY '!D$23,AND($C30="Hybrid car",$D30=3),$E30*'CY '!D$24,AND($C30="Hybrid car",$D30=4),$E30*'CY '!D$25,AND($C30="Hybrid car",$D30=5),$E30*'CY '!D$26,AND($C30="Electric motorcycle",$D30=1),$E30*'CY '!D$28,AND($C30="Electric motorcycle",$D30=2),$E30*'CY '!D$29,AND($C30="Electric bike",$D30=1),$E30*'CY '!D$31,AND($C30="Electric scooter",$D30=1),$E30*'CY '!D$33,AND($C30="Bus",$D30="Almost empty"),$E30*'CY '!I$23,AND($C30="Bus",$D30="Average"),$E30*'CY '!I$24,AND($C30="Bus",$D30="Nearly full"),$E30*'CY '!I$25,AND($C30="Electric bus",$D30="Almost empty"),$E30*'CY '!I$7,AND($C30="Electric bus",$D30="Average"),$E30*'CY '!I$8,AND($C30="Electric bus",$D30="Nearly full"),$E30*'CY '!I$9,AND($C30="Diesel bus",$D30="Almost empty"),$E30*'CY '!I$19,AND($C30="Diesel bus",$D30="Average"),$E30*'CY '!I$20,AND($C30="Diesel bus",$D30="Nearly full"),$E30*'CY '!I$21,AND($C30="Hybrid-electric bus",$D30="Almost empty"),$E30*'CY '!I$11,AND($C30="Hybrid-electric bus",$D30="Average"),$E30*'CY '!I$12,AND($C30="Hybrid-electric bus",$D30="Nearly full"),$E30*'CY '!I$13,AND($C30="Alternative fuel bus",$D30="Almost empty"),$E30*'CY '!I$15,AND($C30="Alternative fuel bus",$D30="Average"),$E30*'CY '!I$16,AND($C30="Alternative fuel bus",$D30="Nearly full"),$E30*'CY '!I$17,AND($C30="Metro, tram, urban light train",$D30="Almost empty"),$E30*'CY '!D$35,AND($C30="Metro, tram, urban light train",$D30="Average"),$E30*'CY '!D$36,AND($C30="Metro, tram, urban light train",$D30="Nearly full"),$E30*'CY '!D$37,AND($C30="Electric passenger train",$D30="Almost empty"),$E30*'CY '!D$39,AND($C30="Electric passenger train",$D30="Average"),$E30*'CY '!D$40,AND($C30="Electric passenger train",$D30="Nearly full"),$E30*'CY '!D$41,AND($C30="Diesel passenger train",$D30="Almost empty"),$E30*'CY '!D$47,AND($C30="Diesel passenger train",$D30="Average"),$E30*'CY '!D$48,AND($C30="Diesel passenger train",$D30="Nearly full"),$E30*'CY '!D$49,AND($C30="Walking"),$E30*0,AND($C30="Bike"),$E30*0,AND($C30="Plane - domestic flight"),$E30*'CY '!$C54,AND($C30="Plane - international - intra EU"),$E30*'CY '!$C56,AND($C30="Plane - international (extra EU)"),$E30*'CY '!$C58)</f>
        <v>#N/A</v>
      </c>
      <c r="H30" s="145"/>
      <c r="I30" s="148">
        <f t="shared" ref="I30:I43" si="6">H30/10*E30</f>
        <v>0</v>
      </c>
      <c r="J30" s="146" t="e" cm="1">
        <f t="array" ref="J30">_xlfn.IFS(Cyprus!C30="Fuel car",Cyprus!I30*DATA!$C$17,C30="Electric car",Cyprus!I30*DATA!$F$7,Cyprus!C30="Hybrid car",Cyprus!I30*(0.5*DATA!$C$17+0.5*DATA!$F$7))</f>
        <v>#N/A</v>
      </c>
      <c r="L30" s="215" t="s">
        <v>76</v>
      </c>
      <c r="M30" s="216"/>
      <c r="N30" s="217"/>
    </row>
    <row r="31" spans="1:17" x14ac:dyDescent="0.2">
      <c r="A31" s="222"/>
      <c r="B31" s="30"/>
      <c r="C31" s="15"/>
      <c r="D31" s="15"/>
      <c r="E31" s="15"/>
      <c r="F31" s="123" t="e" cm="1">
        <f t="array" ref="F31">_xlfn.IFS(AND($C31="Fuel car",$D31=1),$E31*'CY '!C$7,AND($C31="Fuel car",$D31=2),$E31*'CY '!C$8,AND($C31="Fuel car",$D31=3),$E31*'CY '!C$9,AND($C31="Fuel car",$D31=4),$E31*'CY '!C$10,AND($C31="Fuel car",$D31=5),$E31*'CY '!C$11,AND($C31="Motorcycle",$D31=1),$E31*'CY '!C$13,AND($C31="Motorcycle",$D31=2),$E31*'CY '!C$14,AND($C31="Electric car",$D31=1),$E31*'CY '!C$16,AND($C31="Electric car",$D31=2),$E31*'CY '!C$17,AND($C31="Electric car",$D31=3),$E31*'CY '!C$18,AND($C31="Electric car",$D31=4),$E31*'CY '!C$19,AND($C31="Electric car",$D31=5),$E31*'CY '!C$20,AND($C31="Hybrid car",$D31=1),$E31*'CY '!C$22,AND($C31="Hybrid car",$D31=2),$E31*'CY '!C$23,AND($C31="Hybrid car",$D31=3),$E31*'CY '!C$24,AND($C31="Hybrid car",$D31=4),$E31*'CY '!C$25,AND($C31="Hybrid car",$D31=5),$E31*'CY '!C$26,AND($C31="Electric motorcycle",$D31=1),$E31*'CY '!C$28,AND($C31="Electric motorcycle",$D31=2),$E31*'CY '!C$29,AND($C31="Electric bike",$D31=1),$E31*'CY '!C$31,AND($C31="Electric scooter",$D31=1),$E31*'CY '!C$33,AND($C31="Bus",$D31="Almost empty"),$E31*'CY '!H$23,AND($C31="Bus",$D31="Average"),$E31*'CY '!H$24,AND($C31="Bus",$D31="Nearly full"),$E31*'CY '!H$25,AND($C31="Electric bus",$D31="Almost empty"),$E31*'CY '!H$7,AND($C31="Electric bus",$D31="Average"),$E31*'CY '!H$8,AND($C31="Electric bus",$D31="Nearly full"),$E31*'CY '!H$9,AND($C31="Diesel bus",$D31="Almost empty"),$E31*'CY '!H$19,AND($C31="Diesel bus",$D31="Average"),$E31*'CY '!H$20,AND($C31="Diesel bus",$D31="Nearly full"),$E31*'CY '!H$21,AND($C31="Hybrid-electric bus",$D31="Almost empty"),$E31*'CY '!H$11,AND($C31="Hybrid-electric bus",$D31="Average"),$E31*'CY '!H$12,AND($C31="Hybrid-electric bus",$D31="Nearly full"),$E31*'CY '!H$13,AND($C31="Alternative fuel bus",$D31="Almost empty"),$E31*'CY '!H$15,AND($C31="Alternative fuel bus",$D31="Average"),$E31*'CY '!H$16,AND($C31="Alternative fuel bus",$D31="Nearly full"),$E31*'CY '!H$17,AND($C31="Metro, tram, urban light train",$D31="Almost empty"),$E31*'CY '!C$35,AND($C31="Metro, tram, urban light train",$D31="Average"),$E31*'CY '!C$36,AND($C31="Metro, tram, urban light train",$D31="Nearly full"),$E31*'CY '!C$37,AND($C31="Electric passenger train",$D31="Almost empty"),$E31*'CY '!C$39,AND($C31="Electric passenger train",$D31="Average"),$E31*'CY '!C$40,AND($C31="Electric passenger train",$D31="Nearly full"),$E31*'CY '!C$41,AND($C31="Diesel passenger train",$D31="Almost empty"),$E31*'CY '!C$47,AND($C31="Diesel passenger train",$D31="Average"),$E31*'CY '!C$48,AND($C31="Diesel passenger train",$D31="Nearly full"),$E31*'CY '!C$49,AND($C31="Walking"),$E31*0,AND($C31="Bike"),$E31*0,AND($C31="Plane - domestic flight"),$E31*'CY '!$C55,AND($C31="Plane - international - intra EU"),$E31*'CY '!$C57,AND($C31="Plane - international (extra EU)"),$E31*'CY '!$C59)</f>
        <v>#N/A</v>
      </c>
      <c r="G31" s="31" t="e" cm="1">
        <f t="array" ref="G31">_xlfn.IFS(AND($C31="Fuel car",$D31=1),$E31*'CY '!D$7,AND($C31="Fuel car",$D31=2),$E31*'CY '!D$8,AND($C31="Fuel car",$D31=3),$E31*'CY '!D$9,AND($C31="Fuel car",$D31=4),$E31*'CY '!D$10,AND($C31="Fuel car",$D31=5),$E31*'CY '!D$11,AND($C31="Motorcycle",$D31=1),$E31*'CY '!D$13,AND($C31="Motorcycle",$D31=2),$E31*'CY '!D$14,AND($C31="Electric car",$D31=1),$E31*'CY '!D$16,AND($C31="Electric car",$D31=2),$E31*'CY '!D$17,AND($C31="Electric car",$D31=3),$E31*'CY '!D$18,AND($C31="Electric car",$D31=4),$E31*'CY '!D$19,AND($C31="Electric car",$D31=5),$E31*'CY '!D$20,AND($C31="Hybrid car",$D31=1),$E31*'CY '!D$22,AND($C31="Hybrid car",$D31=2),$E31*'CY '!D$23,AND($C31="Hybrid car",$D31=3),$E31*'CY '!D$24,AND($C31="Hybrid car",$D31=4),$E31*'CY '!D$25,AND($C31="Hybrid car",$D31=5),$E31*'CY '!D$26,AND($C31="Electric motorcycle",$D31=1),$E31*'CY '!D$28,AND($C31="Electric motorcycle",$D31=2),$E31*'CY '!D$29,AND($C31="Electric bike",$D31=1),$E31*'CY '!D$31,AND($C31="Electric scooter",$D31=1),$E31*'CY '!D$33,AND($C31="Bus",$D31="Almost empty"),$E31*'CY '!I$23,AND($C31="Bus",$D31="Average"),$E31*'CY '!I$24,AND($C31="Bus",$D31="Nearly full"),$E31*'CY '!I$25,AND($C31="Electric bus",$D31="Almost empty"),$E31*'CY '!I$7,AND($C31="Electric bus",$D31="Average"),$E31*'CY '!I$8,AND($C31="Electric bus",$D31="Nearly full"),$E31*'CY '!I$9,AND($C31="Diesel bus",$D31="Almost empty"),$E31*'CY '!I$19,AND($C31="Diesel bus",$D31="Average"),$E31*'CY '!I$20,AND($C31="Diesel bus",$D31="Nearly full"),$E31*'CY '!I$21,AND($C31="Hybrid-electric bus",$D31="Almost empty"),$E31*'CY '!I$11,AND($C31="Hybrid-electric bus",$D31="Average"),$E31*'CY '!I$12,AND($C31="Hybrid-electric bus",$D31="Nearly full"),$E31*'CY '!I$13,AND($C31="Alternative fuel bus",$D31="Almost empty"),$E31*'CY '!I$15,AND($C31="Alternative fuel bus",$D31="Average"),$E31*'CY '!I$16,AND($C31="Alternative fuel bus",$D31="Nearly full"),$E31*'CY '!I$17,AND($C31="Metro, tram, urban light train",$D31="Almost empty"),$E31*'CY '!D$35,AND($C31="Metro, tram, urban light train",$D31="Average"),$E31*'CY '!D$36,AND($C31="Metro, tram, urban light train",$D31="Nearly full"),$E31*'CY '!D$37,AND($C31="Electric passenger train",$D31="Almost empty"),$E31*'CY '!D$39,AND($C31="Electric passenger train",$D31="Average"),$E31*'CY '!D$40,AND($C31="Electric passenger train",$D31="Nearly full"),$E31*'CY '!D$41,AND($C31="Diesel passenger train",$D31="Almost empty"),$E31*'CY '!D$47,AND($C31="Diesel passenger train",$D31="Average"),$E31*'CY '!D$48,AND($C31="Diesel passenger train",$D31="Nearly full"),$E31*'CY '!D$49,AND($C31="Walking"),$E31*0,AND($C31="Bike"),$E31*0,AND($C31="Plane - domestic flight"),$E31*'CY '!$C55,AND($C31="Plane - international - intra EU"),$E31*'CY '!$C57,AND($C31="Plane - international (extra EU)"),$E31*'CY '!$C59)</f>
        <v>#N/A</v>
      </c>
      <c r="H31" s="145"/>
      <c r="I31" s="148">
        <f t="shared" si="6"/>
        <v>0</v>
      </c>
      <c r="J31" s="146" t="e" cm="1">
        <f t="array" ref="J31">_xlfn.IFS(Cyprus!C31="Fuel car",Cyprus!I31*DATA!$C$17,C31="Electric car",Cyprus!I31*DATA!$F$7,Cyprus!C31="Hybrid car",Cyprus!I31*(0.5*DATA!$C$17+0.5*DATA!$F$7))</f>
        <v>#N/A</v>
      </c>
      <c r="L31" s="223"/>
      <c r="M31" s="224"/>
      <c r="N31" s="225"/>
    </row>
    <row r="32" spans="1:17" ht="16" thickBot="1" x14ac:dyDescent="0.25">
      <c r="A32" s="222"/>
      <c r="B32" s="30"/>
      <c r="C32" s="15"/>
      <c r="D32" s="15"/>
      <c r="E32" s="15"/>
      <c r="F32" s="123" t="e" cm="1">
        <f t="array" ref="F32">_xlfn.IFS(AND($C32="Fuel car",$D32=1),$E32*'CY '!C$7,AND($C32="Fuel car",$D32=2),$E32*'CY '!C$8,AND($C32="Fuel car",$D32=3),$E32*'CY '!C$9,AND($C32="Fuel car",$D32=4),$E32*'CY '!C$10,AND($C32="Fuel car",$D32=5),$E32*'CY '!C$11,AND($C32="Motorcycle",$D32=1),$E32*'CY '!C$13,AND($C32="Motorcycle",$D32=2),$E32*'CY '!C$14,AND($C32="Electric car",$D32=1),$E32*'CY '!C$16,AND($C32="Electric car",$D32=2),$E32*'CY '!C$17,AND($C32="Electric car",$D32=3),$E32*'CY '!C$18,AND($C32="Electric car",$D32=4),$E32*'CY '!C$19,AND($C32="Electric car",$D32=5),$E32*'CY '!C$20,AND($C32="Hybrid car",$D32=1),$E32*'CY '!C$22,AND($C32="Hybrid car",$D32=2),$E32*'CY '!C$23,AND($C32="Hybrid car",$D32=3),$E32*'CY '!C$24,AND($C32="Hybrid car",$D32=4),$E32*'CY '!C$25,AND($C32="Hybrid car",$D32=5),$E32*'CY '!C$26,AND($C32="Electric motorcycle",$D32=1),$E32*'CY '!C$28,AND($C32="Electric motorcycle",$D32=2),$E32*'CY '!C$29,AND($C32="Electric bike",$D32=1),$E32*'CY '!C$31,AND($C32="Electric scooter",$D32=1),$E32*'CY '!C$33,AND($C32="Bus",$D32="Almost empty"),$E32*'CY '!H$23,AND($C32="Bus",$D32="Average"),$E32*'CY '!H$24,AND($C32="Bus",$D32="Nearly full"),$E32*'CY '!H$25,AND($C32="Electric bus",$D32="Almost empty"),$E32*'CY '!H$7,AND($C32="Electric bus",$D32="Average"),$E32*'CY '!H$8,AND($C32="Electric bus",$D32="Nearly full"),$E32*'CY '!H$9,AND($C32="Diesel bus",$D32="Almost empty"),$E32*'CY '!H$19,AND($C32="Diesel bus",$D32="Average"),$E32*'CY '!H$20,AND($C32="Diesel bus",$D32="Nearly full"),$E32*'CY '!H$21,AND($C32="Hybrid-electric bus",$D32="Almost empty"),$E32*'CY '!H$11,AND($C32="Hybrid-electric bus",$D32="Average"),$E32*'CY '!H$12,AND($C32="Hybrid-electric bus",$D32="Nearly full"),$E32*'CY '!H$13,AND($C32="Alternative fuel bus",$D32="Almost empty"),$E32*'CY '!H$15,AND($C32="Alternative fuel bus",$D32="Average"),$E32*'CY '!H$16,AND($C32="Alternative fuel bus",$D32="Nearly full"),$E32*'CY '!H$17,AND($C32="Metro, tram, urban light train",$D32="Almost empty"),$E32*'CY '!C$35,AND($C32="Metro, tram, urban light train",$D32="Average"),$E32*'CY '!C$36,AND($C32="Metro, tram, urban light train",$D32="Nearly full"),$E32*'CY '!C$37,AND($C32="Electric passenger train",$D32="Almost empty"),$E32*'CY '!C$39,AND($C32="Electric passenger train",$D32="Average"),$E32*'CY '!C$40,AND($C32="Electric passenger train",$D32="Nearly full"),$E32*'CY '!C$41,AND($C32="Diesel passenger train",$D32="Almost empty"),$E32*'CY '!C$47,AND($C32="Diesel passenger train",$D32="Average"),$E32*'CY '!C$48,AND($C32="Diesel passenger train",$D32="Nearly full"),$E32*'CY '!C$49,AND($C32="Walking"),$E32*0,AND($C32="Bike"),$E32*0,AND($C32="Plane - domestic flight"),$E32*'CY '!$C56,AND($C32="Plane - international - intra EU"),$E32*'CY '!$C58,AND($C32="Plane - international (extra EU)"),$E32*'CY '!$C60)</f>
        <v>#N/A</v>
      </c>
      <c r="G32" s="31" t="e" cm="1">
        <f t="array" ref="G32">_xlfn.IFS(AND($C32="Fuel car",$D32=1),$E32*'CY '!D$7,AND($C32="Fuel car",$D32=2),$E32*'CY '!D$8,AND($C32="Fuel car",$D32=3),$E32*'CY '!D$9,AND($C32="Fuel car",$D32=4),$E32*'CY '!D$10,AND($C32="Fuel car",$D32=5),$E32*'CY '!D$11,AND($C32="Motorcycle",$D32=1),$E32*'CY '!D$13,AND($C32="Motorcycle",$D32=2),$E32*'CY '!D$14,AND($C32="Electric car",$D32=1),$E32*'CY '!D$16,AND($C32="Electric car",$D32=2),$E32*'CY '!D$17,AND($C32="Electric car",$D32=3),$E32*'CY '!D$18,AND($C32="Electric car",$D32=4),$E32*'CY '!D$19,AND($C32="Electric car",$D32=5),$E32*'CY '!D$20,AND($C32="Hybrid car",$D32=1),$E32*'CY '!D$22,AND($C32="Hybrid car",$D32=2),$E32*'CY '!D$23,AND($C32="Hybrid car",$D32=3),$E32*'CY '!D$24,AND($C32="Hybrid car",$D32=4),$E32*'CY '!D$25,AND($C32="Hybrid car",$D32=5),$E32*'CY '!D$26,AND($C32="Electric motorcycle",$D32=1),$E32*'CY '!D$28,AND($C32="Electric motorcycle",$D32=2),$E32*'CY '!D$29,AND($C32="Electric bike",$D32=1),$E32*'CY '!D$31,AND($C32="Electric scooter",$D32=1),$E32*'CY '!D$33,AND($C32="Bus",$D32="Almost empty"),$E32*'CY '!I$23,AND($C32="Bus",$D32="Average"),$E32*'CY '!I$24,AND($C32="Bus",$D32="Nearly full"),$E32*'CY '!I$25,AND($C32="Electric bus",$D32="Almost empty"),$E32*'CY '!I$7,AND($C32="Electric bus",$D32="Average"),$E32*'CY '!I$8,AND($C32="Electric bus",$D32="Nearly full"),$E32*'CY '!I$9,AND($C32="Diesel bus",$D32="Almost empty"),$E32*'CY '!I$19,AND($C32="Diesel bus",$D32="Average"),$E32*'CY '!I$20,AND($C32="Diesel bus",$D32="Nearly full"),$E32*'CY '!I$21,AND($C32="Hybrid-electric bus",$D32="Almost empty"),$E32*'CY '!I$11,AND($C32="Hybrid-electric bus",$D32="Average"),$E32*'CY '!I$12,AND($C32="Hybrid-electric bus",$D32="Nearly full"),$E32*'CY '!I$13,AND($C32="Alternative fuel bus",$D32="Almost empty"),$E32*'CY '!I$15,AND($C32="Alternative fuel bus",$D32="Average"),$E32*'CY '!I$16,AND($C32="Alternative fuel bus",$D32="Nearly full"),$E32*'CY '!I$17,AND($C32="Metro, tram, urban light train",$D32="Almost empty"),$E32*'CY '!D$35,AND($C32="Metro, tram, urban light train",$D32="Average"),$E32*'CY '!D$36,AND($C32="Metro, tram, urban light train",$D32="Nearly full"),$E32*'CY '!D$37,AND($C32="Electric passenger train",$D32="Almost empty"),$E32*'CY '!D$39,AND($C32="Electric passenger train",$D32="Average"),$E32*'CY '!D$40,AND($C32="Electric passenger train",$D32="Nearly full"),$E32*'CY '!D$41,AND($C32="Diesel passenger train",$D32="Almost empty"),$E32*'CY '!D$47,AND($C32="Diesel passenger train",$D32="Average"),$E32*'CY '!D$48,AND($C32="Diesel passenger train",$D32="Nearly full"),$E32*'CY '!D$49,AND($C32="Walking"),$E32*0,AND($C32="Bike"),$E32*0,AND($C32="Plane - domestic flight"),$E32*'CY '!$C56,AND($C32="Plane - international - intra EU"),$E32*'CY '!$C58,AND($C32="Plane - international (extra EU)"),$E32*'CY '!$C60)</f>
        <v>#N/A</v>
      </c>
      <c r="H32" s="145"/>
      <c r="I32" s="148">
        <f t="shared" si="6"/>
        <v>0</v>
      </c>
      <c r="J32" s="146" t="e" cm="1">
        <f t="array" ref="J32">_xlfn.IFS(Cyprus!C32="Fuel car",Cyprus!I32*DATA!$C$17,C32="Electric car",Cyprus!I32*DATA!$F$7,Cyprus!C32="Hybrid car",Cyprus!I32*(0.5*DATA!$C$17+0.5*DATA!$F$7))</f>
        <v>#N/A</v>
      </c>
      <c r="L32" s="218"/>
      <c r="M32" s="219"/>
      <c r="N32" s="220"/>
    </row>
    <row r="33" spans="1:14" ht="14.5" customHeight="1" x14ac:dyDescent="0.2">
      <c r="A33" s="222"/>
      <c r="B33" s="30"/>
      <c r="C33" s="15"/>
      <c r="D33" s="15"/>
      <c r="E33" s="15"/>
      <c r="F33" s="123" t="e" cm="1">
        <f t="array" ref="F33">_xlfn.IFS(AND($C33="Fuel car",$D33=1),$E33*'CY '!C$7,AND($C33="Fuel car",$D33=2),$E33*'CY '!C$8,AND($C33="Fuel car",$D33=3),$E33*'CY '!C$9,AND($C33="Fuel car",$D33=4),$E33*'CY '!C$10,AND($C33="Fuel car",$D33=5),$E33*'CY '!C$11,AND($C33="Motorcycle",$D33=1),$E33*'CY '!C$13,AND($C33="Motorcycle",$D33=2),$E33*'CY '!C$14,AND($C33="Electric car",$D33=1),$E33*'CY '!C$16,AND($C33="Electric car",$D33=2),$E33*'CY '!C$17,AND($C33="Electric car",$D33=3),$E33*'CY '!C$18,AND($C33="Electric car",$D33=4),$E33*'CY '!C$19,AND($C33="Electric car",$D33=5),$E33*'CY '!C$20,AND($C33="Hybrid car",$D33=1),$E33*'CY '!C$22,AND($C33="Hybrid car",$D33=2),$E33*'CY '!C$23,AND($C33="Hybrid car",$D33=3),$E33*'CY '!C$24,AND($C33="Hybrid car",$D33=4),$E33*'CY '!C$25,AND($C33="Hybrid car",$D33=5),$E33*'CY '!C$26,AND($C33="Electric motorcycle",$D33=1),$E33*'CY '!C$28,AND($C33="Electric motorcycle",$D33=2),$E33*'CY '!C$29,AND($C33="Electric bike",$D33=1),$E33*'CY '!C$31,AND($C33="Electric scooter",$D33=1),$E33*'CY '!C$33,AND($C33="Bus",$D33="Almost empty"),$E33*'CY '!H$23,AND($C33="Bus",$D33="Average"),$E33*'CY '!H$24,AND($C33="Bus",$D33="Nearly full"),$E33*'CY '!H$25,AND($C33="Electric bus",$D33="Almost empty"),$E33*'CY '!H$7,AND($C33="Electric bus",$D33="Average"),$E33*'CY '!H$8,AND($C33="Electric bus",$D33="Nearly full"),$E33*'CY '!H$9,AND($C33="Diesel bus",$D33="Almost empty"),$E33*'CY '!H$19,AND($C33="Diesel bus",$D33="Average"),$E33*'CY '!H$20,AND($C33="Diesel bus",$D33="Nearly full"),$E33*'CY '!H$21,AND($C33="Hybrid-electric bus",$D33="Almost empty"),$E33*'CY '!H$11,AND($C33="Hybrid-electric bus",$D33="Average"),$E33*'CY '!H$12,AND($C33="Hybrid-electric bus",$D33="Nearly full"),$E33*'CY '!H$13,AND($C33="Alternative fuel bus",$D33="Almost empty"),$E33*'CY '!H$15,AND($C33="Alternative fuel bus",$D33="Average"),$E33*'CY '!H$16,AND($C33="Alternative fuel bus",$D33="Nearly full"),$E33*'CY '!H$17,AND($C33="Metro, tram, urban light train",$D33="Almost empty"),$E33*'CY '!C$35,AND($C33="Metro, tram, urban light train",$D33="Average"),$E33*'CY '!C$36,AND($C33="Metro, tram, urban light train",$D33="Nearly full"),$E33*'CY '!C$37,AND($C33="Electric passenger train",$D33="Almost empty"),$E33*'CY '!C$39,AND($C33="Electric passenger train",$D33="Average"),$E33*'CY '!C$40,AND($C33="Electric passenger train",$D33="Nearly full"),$E33*'CY '!C$41,AND($C33="Diesel passenger train",$D33="Almost empty"),$E33*'CY '!C$47,AND($C33="Diesel passenger train",$D33="Average"),$E33*'CY '!C$48,AND($C33="Diesel passenger train",$D33="Nearly full"),$E33*'CY '!C$49,AND($C33="Walking"),$E33*0,AND($C33="Bike"),$E33*0,AND($C33="Plane - domestic flight"),$E33*'CY '!$C57,AND($C33="Plane - international - intra EU"),$E33*'CY '!$C59,AND($C33="Plane - international (extra EU)"),$E33*'CY '!$C61)</f>
        <v>#N/A</v>
      </c>
      <c r="G33" s="31" t="e" cm="1">
        <f t="array" ref="G33">_xlfn.IFS(AND($C33="Fuel car",$D33=1),$E33*'CY '!D$7,AND($C33="Fuel car",$D33=2),$E33*'CY '!D$8,AND($C33="Fuel car",$D33=3),$E33*'CY '!D$9,AND($C33="Fuel car",$D33=4),$E33*'CY '!D$10,AND($C33="Fuel car",$D33=5),$E33*'CY '!D$11,AND($C33="Motorcycle",$D33=1),$E33*'CY '!D$13,AND($C33="Motorcycle",$D33=2),$E33*'CY '!D$14,AND($C33="Electric car",$D33=1),$E33*'CY '!D$16,AND($C33="Electric car",$D33=2),$E33*'CY '!D$17,AND($C33="Electric car",$D33=3),$E33*'CY '!D$18,AND($C33="Electric car",$D33=4),$E33*'CY '!D$19,AND($C33="Electric car",$D33=5),$E33*'CY '!D$20,AND($C33="Hybrid car",$D33=1),$E33*'CY '!D$22,AND($C33="Hybrid car",$D33=2),$E33*'CY '!D$23,AND($C33="Hybrid car",$D33=3),$E33*'CY '!D$24,AND($C33="Hybrid car",$D33=4),$E33*'CY '!D$25,AND($C33="Hybrid car",$D33=5),$E33*'CY '!D$26,AND($C33="Electric motorcycle",$D33=1),$E33*'CY '!D$28,AND($C33="Electric motorcycle",$D33=2),$E33*'CY '!D$29,AND($C33="Electric bike",$D33=1),$E33*'CY '!D$31,AND($C33="Electric scooter",$D33=1),$E33*'CY '!D$33,AND($C33="Bus",$D33="Almost empty"),$E33*'CY '!I$23,AND($C33="Bus",$D33="Average"),$E33*'CY '!I$24,AND($C33="Bus",$D33="Nearly full"),$E33*'CY '!I$25,AND($C33="Electric bus",$D33="Almost empty"),$E33*'CY '!I$7,AND($C33="Electric bus",$D33="Average"),$E33*'CY '!I$8,AND($C33="Electric bus",$D33="Nearly full"),$E33*'CY '!I$9,AND($C33="Diesel bus",$D33="Almost empty"),$E33*'CY '!I$19,AND($C33="Diesel bus",$D33="Average"),$E33*'CY '!I$20,AND($C33="Diesel bus",$D33="Nearly full"),$E33*'CY '!I$21,AND($C33="Hybrid-electric bus",$D33="Almost empty"),$E33*'CY '!I$11,AND($C33="Hybrid-electric bus",$D33="Average"),$E33*'CY '!I$12,AND($C33="Hybrid-electric bus",$D33="Nearly full"),$E33*'CY '!I$13,AND($C33="Alternative fuel bus",$D33="Almost empty"),$E33*'CY '!I$15,AND($C33="Alternative fuel bus",$D33="Average"),$E33*'CY '!I$16,AND($C33="Alternative fuel bus",$D33="Nearly full"),$E33*'CY '!I$17,AND($C33="Metro, tram, urban light train",$D33="Almost empty"),$E33*'CY '!D$35,AND($C33="Metro, tram, urban light train",$D33="Average"),$E33*'CY '!D$36,AND($C33="Metro, tram, urban light train",$D33="Nearly full"),$E33*'CY '!D$37,AND($C33="Electric passenger train",$D33="Almost empty"),$E33*'CY '!D$39,AND($C33="Electric passenger train",$D33="Average"),$E33*'CY '!D$40,AND($C33="Electric passenger train",$D33="Nearly full"),$E33*'CY '!D$41,AND($C33="Diesel passenger train",$D33="Almost empty"),$E33*'CY '!D$47,AND($C33="Diesel passenger train",$D33="Average"),$E33*'CY '!D$48,AND($C33="Diesel passenger train",$D33="Nearly full"),$E33*'CY '!D$49,AND($C33="Walking"),$E33*0,AND($C33="Bike"),$E33*0,AND($C33="Plane - domestic flight"),$E33*'CY '!$C57,AND($C33="Plane - international - intra EU"),$E33*'CY '!$C59,AND($C33="Plane - international (extra EU)"),$E33*'CY '!$C61)</f>
        <v>#N/A</v>
      </c>
      <c r="H33" s="145"/>
      <c r="I33" s="148">
        <f t="shared" si="6"/>
        <v>0</v>
      </c>
      <c r="J33" s="146" t="e" cm="1">
        <f t="array" ref="J33">_xlfn.IFS(Cyprus!C33="Fuel car",Cyprus!I33*DATA!$C$17,C33="Electric car",Cyprus!I33*DATA!$F$7,Cyprus!C33="Hybrid car",Cyprus!I33*(0.5*DATA!$C$17+0.5*DATA!$F$7))</f>
        <v>#N/A</v>
      </c>
      <c r="L33" s="223" t="s">
        <v>78</v>
      </c>
      <c r="M33" s="224"/>
      <c r="N33" s="225"/>
    </row>
    <row r="34" spans="1:14" x14ac:dyDescent="0.2">
      <c r="A34" s="222"/>
      <c r="B34" s="30"/>
      <c r="C34" s="15"/>
      <c r="D34" s="15"/>
      <c r="E34" s="15"/>
      <c r="F34" s="123" t="e" cm="1">
        <f t="array" ref="F34">_xlfn.IFS(AND($C34="Fuel car",$D34=1),$E34*'CY '!C$7,AND($C34="Fuel car",$D34=2),$E34*'CY '!C$8,AND($C34="Fuel car",$D34=3),$E34*'CY '!C$9,AND($C34="Fuel car",$D34=4),$E34*'CY '!C$10,AND($C34="Fuel car",$D34=5),$E34*'CY '!C$11,AND($C34="Motorcycle",$D34=1),$E34*'CY '!C$13,AND($C34="Motorcycle",$D34=2),$E34*'CY '!C$14,AND($C34="Electric car",$D34=1),$E34*'CY '!C$16,AND($C34="Electric car",$D34=2),$E34*'CY '!C$17,AND($C34="Electric car",$D34=3),$E34*'CY '!C$18,AND($C34="Electric car",$D34=4),$E34*'CY '!C$19,AND($C34="Electric car",$D34=5),$E34*'CY '!C$20,AND($C34="Hybrid car",$D34=1),$E34*'CY '!C$22,AND($C34="Hybrid car",$D34=2),$E34*'CY '!C$23,AND($C34="Hybrid car",$D34=3),$E34*'CY '!C$24,AND($C34="Hybrid car",$D34=4),$E34*'CY '!C$25,AND($C34="Hybrid car",$D34=5),$E34*'CY '!C$26,AND($C34="Electric motorcycle",$D34=1),$E34*'CY '!C$28,AND($C34="Electric motorcycle",$D34=2),$E34*'CY '!C$29,AND($C34="Electric bike",$D34=1),$E34*'CY '!C$31,AND($C34="Electric scooter",$D34=1),$E34*'CY '!C$33,AND($C34="Bus",$D34="Almost empty"),$E34*'CY '!H$23,AND($C34="Bus",$D34="Average"),$E34*'CY '!H$24,AND($C34="Bus",$D34="Nearly full"),$E34*'CY '!H$25,AND($C34="Electric bus",$D34="Almost empty"),$E34*'CY '!H$7,AND($C34="Electric bus",$D34="Average"),$E34*'CY '!H$8,AND($C34="Electric bus",$D34="Nearly full"),$E34*'CY '!H$9,AND($C34="Diesel bus",$D34="Almost empty"),$E34*'CY '!H$19,AND($C34="Diesel bus",$D34="Average"),$E34*'CY '!H$20,AND($C34="Diesel bus",$D34="Nearly full"),$E34*'CY '!H$21,AND($C34="Hybrid-electric bus",$D34="Almost empty"),$E34*'CY '!H$11,AND($C34="Hybrid-electric bus",$D34="Average"),$E34*'CY '!H$12,AND($C34="Hybrid-electric bus",$D34="Nearly full"),$E34*'CY '!H$13,AND($C34="Alternative fuel bus",$D34="Almost empty"),$E34*'CY '!H$15,AND($C34="Alternative fuel bus",$D34="Average"),$E34*'CY '!H$16,AND($C34="Alternative fuel bus",$D34="Nearly full"),$E34*'CY '!H$17,AND($C34="Metro, tram, urban light train",$D34="Almost empty"),$E34*'CY '!C$35,AND($C34="Metro, tram, urban light train",$D34="Average"),$E34*'CY '!C$36,AND($C34="Metro, tram, urban light train",$D34="Nearly full"),$E34*'CY '!C$37,AND($C34="Electric passenger train",$D34="Almost empty"),$E34*'CY '!C$39,AND($C34="Electric passenger train",$D34="Average"),$E34*'CY '!C$40,AND($C34="Electric passenger train",$D34="Nearly full"),$E34*'CY '!C$41,AND($C34="Diesel passenger train",$D34="Almost empty"),$E34*'CY '!C$47,AND($C34="Diesel passenger train",$D34="Average"),$E34*'CY '!C$48,AND($C34="Diesel passenger train",$D34="Nearly full"),$E34*'CY '!C$49,AND($C34="Walking"),$E34*0,AND($C34="Bike"),$E34*0,AND($C34="Plane - domestic flight"),$E34*'CY '!$C58,AND($C34="Plane - international - intra EU"),$E34*'CY '!$C60,AND($C34="Plane - international (extra EU)"),$E34*'CY '!$C62)</f>
        <v>#N/A</v>
      </c>
      <c r="G34" s="31" t="e" cm="1">
        <f t="array" ref="G34">_xlfn.IFS(AND($C34="Fuel car",$D34=1),$E34*'CY '!D$7,AND($C34="Fuel car",$D34=2),$E34*'CY '!D$8,AND($C34="Fuel car",$D34=3),$E34*'CY '!D$9,AND($C34="Fuel car",$D34=4),$E34*'CY '!D$10,AND($C34="Fuel car",$D34=5),$E34*'CY '!D$11,AND($C34="Motorcycle",$D34=1),$E34*'CY '!D$13,AND($C34="Motorcycle",$D34=2),$E34*'CY '!D$14,AND($C34="Electric car",$D34=1),$E34*'CY '!D$16,AND($C34="Electric car",$D34=2),$E34*'CY '!D$17,AND($C34="Electric car",$D34=3),$E34*'CY '!D$18,AND($C34="Electric car",$D34=4),$E34*'CY '!D$19,AND($C34="Electric car",$D34=5),$E34*'CY '!D$20,AND($C34="Hybrid car",$D34=1),$E34*'CY '!D$22,AND($C34="Hybrid car",$D34=2),$E34*'CY '!D$23,AND($C34="Hybrid car",$D34=3),$E34*'CY '!D$24,AND($C34="Hybrid car",$D34=4),$E34*'CY '!D$25,AND($C34="Hybrid car",$D34=5),$E34*'CY '!D$26,AND($C34="Electric motorcycle",$D34=1),$E34*'CY '!D$28,AND($C34="Electric motorcycle",$D34=2),$E34*'CY '!D$29,AND($C34="Electric bike",$D34=1),$E34*'CY '!D$31,AND($C34="Electric scooter",$D34=1),$E34*'CY '!D$33,AND($C34="Bus",$D34="Almost empty"),$E34*'CY '!I$23,AND($C34="Bus",$D34="Average"),$E34*'CY '!I$24,AND($C34="Bus",$D34="Nearly full"),$E34*'CY '!I$25,AND($C34="Electric bus",$D34="Almost empty"),$E34*'CY '!I$7,AND($C34="Electric bus",$D34="Average"),$E34*'CY '!I$8,AND($C34="Electric bus",$D34="Nearly full"),$E34*'CY '!I$9,AND($C34="Diesel bus",$D34="Almost empty"),$E34*'CY '!I$19,AND($C34="Diesel bus",$D34="Average"),$E34*'CY '!I$20,AND($C34="Diesel bus",$D34="Nearly full"),$E34*'CY '!I$21,AND($C34="Hybrid-electric bus",$D34="Almost empty"),$E34*'CY '!I$11,AND($C34="Hybrid-electric bus",$D34="Average"),$E34*'CY '!I$12,AND($C34="Hybrid-electric bus",$D34="Nearly full"),$E34*'CY '!I$13,AND($C34="Alternative fuel bus",$D34="Almost empty"),$E34*'CY '!I$15,AND($C34="Alternative fuel bus",$D34="Average"),$E34*'CY '!I$16,AND($C34="Alternative fuel bus",$D34="Nearly full"),$E34*'CY '!I$17,AND($C34="Metro, tram, urban light train",$D34="Almost empty"),$E34*'CY '!D$35,AND($C34="Metro, tram, urban light train",$D34="Average"),$E34*'CY '!D$36,AND($C34="Metro, tram, urban light train",$D34="Nearly full"),$E34*'CY '!D$37,AND($C34="Electric passenger train",$D34="Almost empty"),$E34*'CY '!D$39,AND($C34="Electric passenger train",$D34="Average"),$E34*'CY '!D$40,AND($C34="Electric passenger train",$D34="Nearly full"),$E34*'CY '!D$41,AND($C34="Diesel passenger train",$D34="Almost empty"),$E34*'CY '!D$47,AND($C34="Diesel passenger train",$D34="Average"),$E34*'CY '!D$48,AND($C34="Diesel passenger train",$D34="Nearly full"),$E34*'CY '!D$49,AND($C34="Walking"),$E34*0,AND($C34="Bike"),$E34*0,AND($C34="Plane - domestic flight"),$E34*'CY '!$C58,AND($C34="Plane - international - intra EU"),$E34*'CY '!$C60,AND($C34="Plane - international (extra EU)"),$E34*'CY '!$C62)</f>
        <v>#N/A</v>
      </c>
      <c r="H34" s="145"/>
      <c r="I34" s="148">
        <f t="shared" si="6"/>
        <v>0</v>
      </c>
      <c r="J34" s="146" t="e" cm="1">
        <f t="array" ref="J34">_xlfn.IFS(Cyprus!C34="Fuel car",Cyprus!I34*DATA!$C$17,C34="Electric car",Cyprus!I34*DATA!$F$7,Cyprus!C34="Hybrid car",Cyprus!I34*(0.5*DATA!$C$17+0.5*DATA!$F$7))</f>
        <v>#N/A</v>
      </c>
      <c r="L34" s="223"/>
      <c r="M34" s="224"/>
      <c r="N34" s="225"/>
    </row>
    <row r="35" spans="1:14" ht="14.5" customHeight="1" x14ac:dyDescent="0.2">
      <c r="A35" s="222"/>
      <c r="B35" s="30"/>
      <c r="C35" s="15"/>
      <c r="D35" s="15"/>
      <c r="E35" s="15"/>
      <c r="F35" s="123" t="e" cm="1">
        <f t="array" ref="F35">_xlfn.IFS(AND($C35="Fuel car",$D35=1),$E35*'CY '!C$7,AND($C35="Fuel car",$D35=2),$E35*'CY '!C$8,AND($C35="Fuel car",$D35=3),$E35*'CY '!C$9,AND($C35="Fuel car",$D35=4),$E35*'CY '!C$10,AND($C35="Fuel car",$D35=5),$E35*'CY '!C$11,AND($C35="Motorcycle",$D35=1),$E35*'CY '!C$13,AND($C35="Motorcycle",$D35=2),$E35*'CY '!C$14,AND($C35="Electric car",$D35=1),$E35*'CY '!C$16,AND($C35="Electric car",$D35=2),$E35*'CY '!C$17,AND($C35="Electric car",$D35=3),$E35*'CY '!C$18,AND($C35="Electric car",$D35=4),$E35*'CY '!C$19,AND($C35="Electric car",$D35=5),$E35*'CY '!C$20,AND($C35="Hybrid car",$D35=1),$E35*'CY '!C$22,AND($C35="Hybrid car",$D35=2),$E35*'CY '!C$23,AND($C35="Hybrid car",$D35=3),$E35*'CY '!C$24,AND($C35="Hybrid car",$D35=4),$E35*'CY '!C$25,AND($C35="Hybrid car",$D35=5),$E35*'CY '!C$26,AND($C35="Electric motorcycle",$D35=1),$E35*'CY '!C$28,AND($C35="Electric motorcycle",$D35=2),$E35*'CY '!C$29,AND($C35="Electric bike",$D35=1),$E35*'CY '!C$31,AND($C35="Electric scooter",$D35=1),$E35*'CY '!C$33,AND($C35="Bus",$D35="Almost empty"),$E35*'CY '!H$23,AND($C35="Bus",$D35="Average"),$E35*'CY '!H$24,AND($C35="Bus",$D35="Nearly full"),$E35*'CY '!H$25,AND($C35="Electric bus",$D35="Almost empty"),$E35*'CY '!H$7,AND($C35="Electric bus",$D35="Average"),$E35*'CY '!H$8,AND($C35="Electric bus",$D35="Nearly full"),$E35*'CY '!H$9,AND($C35="Diesel bus",$D35="Almost empty"),$E35*'CY '!H$19,AND($C35="Diesel bus",$D35="Average"),$E35*'CY '!H$20,AND($C35="Diesel bus",$D35="Nearly full"),$E35*'CY '!H$21,AND($C35="Hybrid-electric bus",$D35="Almost empty"),$E35*'CY '!H$11,AND($C35="Hybrid-electric bus",$D35="Average"),$E35*'CY '!H$12,AND($C35="Hybrid-electric bus",$D35="Nearly full"),$E35*'CY '!H$13,AND($C35="Alternative fuel bus",$D35="Almost empty"),$E35*'CY '!H$15,AND($C35="Alternative fuel bus",$D35="Average"),$E35*'CY '!H$16,AND($C35="Alternative fuel bus",$D35="Nearly full"),$E35*'CY '!H$17,AND($C35="Metro, tram, urban light train",$D35="Almost empty"),$E35*'CY '!C$35,AND($C35="Metro, tram, urban light train",$D35="Average"),$E35*'CY '!C$36,AND($C35="Metro, tram, urban light train",$D35="Nearly full"),$E35*'CY '!C$37,AND($C35="Electric passenger train",$D35="Almost empty"),$E35*'CY '!C$39,AND($C35="Electric passenger train",$D35="Average"),$E35*'CY '!C$40,AND($C35="Electric passenger train",$D35="Nearly full"),$E35*'CY '!C$41,AND($C35="Diesel passenger train",$D35="Almost empty"),$E35*'CY '!C$47,AND($C35="Diesel passenger train",$D35="Average"),$E35*'CY '!C$48,AND($C35="Diesel passenger train",$D35="Nearly full"),$E35*'CY '!C$49,AND($C35="Walking"),$E35*0,AND($C35="Bike"),$E35*0,AND($C35="Plane - domestic flight"),$E35*'CY '!$C59,AND($C35="Plane - international - intra EU"),$E35*'CY '!$C61,AND($C35="Plane - international (extra EU)"),$E35*'CY '!$C63)</f>
        <v>#N/A</v>
      </c>
      <c r="G35" s="31" t="e" cm="1">
        <f t="array" ref="G35">_xlfn.IFS(AND($C35="Fuel car",$D35=1),$E35*'CY '!D$7,AND($C35="Fuel car",$D35=2),$E35*'CY '!D$8,AND($C35="Fuel car",$D35=3),$E35*'CY '!D$9,AND($C35="Fuel car",$D35=4),$E35*'CY '!D$10,AND($C35="Fuel car",$D35=5),$E35*'CY '!D$11,AND($C35="Motorcycle",$D35=1),$E35*'CY '!D$13,AND($C35="Motorcycle",$D35=2),$E35*'CY '!D$14,AND($C35="Electric car",$D35=1),$E35*'CY '!D$16,AND($C35="Electric car",$D35=2),$E35*'CY '!D$17,AND($C35="Electric car",$D35=3),$E35*'CY '!D$18,AND($C35="Electric car",$D35=4),$E35*'CY '!D$19,AND($C35="Electric car",$D35=5),$E35*'CY '!D$20,AND($C35="Hybrid car",$D35=1),$E35*'CY '!D$22,AND($C35="Hybrid car",$D35=2),$E35*'CY '!D$23,AND($C35="Hybrid car",$D35=3),$E35*'CY '!D$24,AND($C35="Hybrid car",$D35=4),$E35*'CY '!D$25,AND($C35="Hybrid car",$D35=5),$E35*'CY '!D$26,AND($C35="Electric motorcycle",$D35=1),$E35*'CY '!D$28,AND($C35="Electric motorcycle",$D35=2),$E35*'CY '!D$29,AND($C35="Electric bike",$D35=1),$E35*'CY '!D$31,AND($C35="Electric scooter",$D35=1),$E35*'CY '!D$33,AND($C35="Bus",$D35="Almost empty"),$E35*'CY '!I$23,AND($C35="Bus",$D35="Average"),$E35*'CY '!I$24,AND($C35="Bus",$D35="Nearly full"),$E35*'CY '!I$25,AND($C35="Electric bus",$D35="Almost empty"),$E35*'CY '!I$7,AND($C35="Electric bus",$D35="Average"),$E35*'CY '!I$8,AND($C35="Electric bus",$D35="Nearly full"),$E35*'CY '!I$9,AND($C35="Diesel bus",$D35="Almost empty"),$E35*'CY '!I$19,AND($C35="Diesel bus",$D35="Average"),$E35*'CY '!I$20,AND($C35="Diesel bus",$D35="Nearly full"),$E35*'CY '!I$21,AND($C35="Hybrid-electric bus",$D35="Almost empty"),$E35*'CY '!I$11,AND($C35="Hybrid-electric bus",$D35="Average"),$E35*'CY '!I$12,AND($C35="Hybrid-electric bus",$D35="Nearly full"),$E35*'CY '!I$13,AND($C35="Alternative fuel bus",$D35="Almost empty"),$E35*'CY '!I$15,AND($C35="Alternative fuel bus",$D35="Average"),$E35*'CY '!I$16,AND($C35="Alternative fuel bus",$D35="Nearly full"),$E35*'CY '!I$17,AND($C35="Metro, tram, urban light train",$D35="Almost empty"),$E35*'CY '!D$35,AND($C35="Metro, tram, urban light train",$D35="Average"),$E35*'CY '!D$36,AND($C35="Metro, tram, urban light train",$D35="Nearly full"),$E35*'CY '!D$37,AND($C35="Electric passenger train",$D35="Almost empty"),$E35*'CY '!D$39,AND($C35="Electric passenger train",$D35="Average"),$E35*'CY '!D$40,AND($C35="Electric passenger train",$D35="Nearly full"),$E35*'CY '!D$41,AND($C35="Diesel passenger train",$D35="Almost empty"),$E35*'CY '!D$47,AND($C35="Diesel passenger train",$D35="Average"),$E35*'CY '!D$48,AND($C35="Diesel passenger train",$D35="Nearly full"),$E35*'CY '!D$49,AND($C35="Walking"),$E35*0,AND($C35="Bike"),$E35*0,AND($C35="Plane - domestic flight"),$E35*'CY '!$C59,AND($C35="Plane - international - intra EU"),$E35*'CY '!$C61,AND($C35="Plane - international (extra EU)"),$E35*'CY '!$C63)</f>
        <v>#N/A</v>
      </c>
      <c r="H35" s="145"/>
      <c r="I35" s="148">
        <f t="shared" si="6"/>
        <v>0</v>
      </c>
      <c r="J35" s="146" t="e" cm="1">
        <f t="array" ref="J35">_xlfn.IFS(Cyprus!C35="Fuel car",Cyprus!I35*DATA!$C$17,C35="Electric car",Cyprus!I35*DATA!$F$7,Cyprus!C35="Hybrid car",Cyprus!I35*(0.5*DATA!$C$17+0.5*DATA!$F$7))</f>
        <v>#N/A</v>
      </c>
      <c r="L35" s="223"/>
      <c r="M35" s="224"/>
      <c r="N35" s="225"/>
    </row>
    <row r="36" spans="1:14" ht="16" thickBot="1" x14ac:dyDescent="0.25">
      <c r="A36" s="222"/>
      <c r="B36" s="30"/>
      <c r="C36" s="15"/>
      <c r="D36" s="15"/>
      <c r="E36" s="15"/>
      <c r="F36" s="123" t="e" cm="1">
        <f t="array" ref="F36">_xlfn.IFS(AND($C36="Fuel car",$D36=1),$E36*'CY '!C$7,AND($C36="Fuel car",$D36=2),$E36*'CY '!C$8,AND($C36="Fuel car",$D36=3),$E36*'CY '!C$9,AND($C36="Fuel car",$D36=4),$E36*'CY '!C$10,AND($C36="Fuel car",$D36=5),$E36*'CY '!C$11,AND($C36="Motorcycle",$D36=1),$E36*'CY '!C$13,AND($C36="Motorcycle",$D36=2),$E36*'CY '!C$14,AND($C36="Electric car",$D36=1),$E36*'CY '!C$16,AND($C36="Electric car",$D36=2),$E36*'CY '!C$17,AND($C36="Electric car",$D36=3),$E36*'CY '!C$18,AND($C36="Electric car",$D36=4),$E36*'CY '!C$19,AND($C36="Electric car",$D36=5),$E36*'CY '!C$20,AND($C36="Hybrid car",$D36=1),$E36*'CY '!C$22,AND($C36="Hybrid car",$D36=2),$E36*'CY '!C$23,AND($C36="Hybrid car",$D36=3),$E36*'CY '!C$24,AND($C36="Hybrid car",$D36=4),$E36*'CY '!C$25,AND($C36="Hybrid car",$D36=5),$E36*'CY '!C$26,AND($C36="Electric motorcycle",$D36=1),$E36*'CY '!C$28,AND($C36="Electric motorcycle",$D36=2),$E36*'CY '!C$29,AND($C36="Electric bike",$D36=1),$E36*'CY '!C$31,AND($C36="Electric scooter",$D36=1),$E36*'CY '!C$33,AND($C36="Bus",$D36="Almost empty"),$E36*'CY '!H$23,AND($C36="Bus",$D36="Average"),$E36*'CY '!H$24,AND($C36="Bus",$D36="Nearly full"),$E36*'CY '!H$25,AND($C36="Electric bus",$D36="Almost empty"),$E36*'CY '!H$7,AND($C36="Electric bus",$D36="Average"),$E36*'CY '!H$8,AND($C36="Electric bus",$D36="Nearly full"),$E36*'CY '!H$9,AND($C36="Diesel bus",$D36="Almost empty"),$E36*'CY '!H$19,AND($C36="Diesel bus",$D36="Average"),$E36*'CY '!H$20,AND($C36="Diesel bus",$D36="Nearly full"),$E36*'CY '!H$21,AND($C36="Hybrid-electric bus",$D36="Almost empty"),$E36*'CY '!H$11,AND($C36="Hybrid-electric bus",$D36="Average"),$E36*'CY '!H$12,AND($C36="Hybrid-electric bus",$D36="Nearly full"),$E36*'CY '!H$13,AND($C36="Alternative fuel bus",$D36="Almost empty"),$E36*'CY '!H$15,AND($C36="Alternative fuel bus",$D36="Average"),$E36*'CY '!H$16,AND($C36="Alternative fuel bus",$D36="Nearly full"),$E36*'CY '!H$17,AND($C36="Metro, tram, urban light train",$D36="Almost empty"),$E36*'CY '!C$35,AND($C36="Metro, tram, urban light train",$D36="Average"),$E36*'CY '!C$36,AND($C36="Metro, tram, urban light train",$D36="Nearly full"),$E36*'CY '!C$37,AND($C36="Electric passenger train",$D36="Almost empty"),$E36*'CY '!C$39,AND($C36="Electric passenger train",$D36="Average"),$E36*'CY '!C$40,AND($C36="Electric passenger train",$D36="Nearly full"),$E36*'CY '!C$41,AND($C36="Diesel passenger train",$D36="Almost empty"),$E36*'CY '!C$47,AND($C36="Diesel passenger train",$D36="Average"),$E36*'CY '!C$48,AND($C36="Diesel passenger train",$D36="Nearly full"),$E36*'CY '!C$49,AND($C36="Walking"),$E36*0,AND($C36="Bike"),$E36*0,AND($C36="Plane - domestic flight"),$E36*'CY '!$C60,AND($C36="Plane - international - intra EU"),$E36*'CY '!$C62,AND($C36="Plane - international (extra EU)"),$E36*'CY '!$C64)</f>
        <v>#N/A</v>
      </c>
      <c r="G36" s="31" t="e" cm="1">
        <f t="array" ref="G36">_xlfn.IFS(AND($C36="Fuel car",$D36=1),$E36*'CY '!D$7,AND($C36="Fuel car",$D36=2),$E36*'CY '!D$8,AND($C36="Fuel car",$D36=3),$E36*'CY '!D$9,AND($C36="Fuel car",$D36=4),$E36*'CY '!D$10,AND($C36="Fuel car",$D36=5),$E36*'CY '!D$11,AND($C36="Motorcycle",$D36=1),$E36*'CY '!D$13,AND($C36="Motorcycle",$D36=2),$E36*'CY '!D$14,AND($C36="Electric car",$D36=1),$E36*'CY '!D$16,AND($C36="Electric car",$D36=2),$E36*'CY '!D$17,AND($C36="Electric car",$D36=3),$E36*'CY '!D$18,AND($C36="Electric car",$D36=4),$E36*'CY '!D$19,AND($C36="Electric car",$D36=5),$E36*'CY '!D$20,AND($C36="Hybrid car",$D36=1),$E36*'CY '!D$22,AND($C36="Hybrid car",$D36=2),$E36*'CY '!D$23,AND($C36="Hybrid car",$D36=3),$E36*'CY '!D$24,AND($C36="Hybrid car",$D36=4),$E36*'CY '!D$25,AND($C36="Hybrid car",$D36=5),$E36*'CY '!D$26,AND($C36="Electric motorcycle",$D36=1),$E36*'CY '!D$28,AND($C36="Electric motorcycle",$D36=2),$E36*'CY '!D$29,AND($C36="Electric bike",$D36=1),$E36*'CY '!D$31,AND($C36="Electric scooter",$D36=1),$E36*'CY '!D$33,AND($C36="Bus",$D36="Almost empty"),$E36*'CY '!I$23,AND($C36="Bus",$D36="Average"),$E36*'CY '!I$24,AND($C36="Bus",$D36="Nearly full"),$E36*'CY '!I$25,AND($C36="Electric bus",$D36="Almost empty"),$E36*'CY '!I$7,AND($C36="Electric bus",$D36="Average"),$E36*'CY '!I$8,AND($C36="Electric bus",$D36="Nearly full"),$E36*'CY '!I$9,AND($C36="Diesel bus",$D36="Almost empty"),$E36*'CY '!I$19,AND($C36="Diesel bus",$D36="Average"),$E36*'CY '!I$20,AND($C36="Diesel bus",$D36="Nearly full"),$E36*'CY '!I$21,AND($C36="Hybrid-electric bus",$D36="Almost empty"),$E36*'CY '!I$11,AND($C36="Hybrid-electric bus",$D36="Average"),$E36*'CY '!I$12,AND($C36="Hybrid-electric bus",$D36="Nearly full"),$E36*'CY '!I$13,AND($C36="Alternative fuel bus",$D36="Almost empty"),$E36*'CY '!I$15,AND($C36="Alternative fuel bus",$D36="Average"),$E36*'CY '!I$16,AND($C36="Alternative fuel bus",$D36="Nearly full"),$E36*'CY '!I$17,AND($C36="Metro, tram, urban light train",$D36="Almost empty"),$E36*'CY '!D$35,AND($C36="Metro, tram, urban light train",$D36="Average"),$E36*'CY '!D$36,AND($C36="Metro, tram, urban light train",$D36="Nearly full"),$E36*'CY '!D$37,AND($C36="Electric passenger train",$D36="Almost empty"),$E36*'CY '!D$39,AND($C36="Electric passenger train",$D36="Average"),$E36*'CY '!D$40,AND($C36="Electric passenger train",$D36="Nearly full"),$E36*'CY '!D$41,AND($C36="Diesel passenger train",$D36="Almost empty"),$E36*'CY '!D$47,AND($C36="Diesel passenger train",$D36="Average"),$E36*'CY '!D$48,AND($C36="Diesel passenger train",$D36="Nearly full"),$E36*'CY '!D$49,AND($C36="Walking"),$E36*0,AND($C36="Bike"),$E36*0,AND($C36="Plane - domestic flight"),$E36*'CY '!$C60,AND($C36="Plane - international - intra EU"),$E36*'CY '!$C62,AND($C36="Plane - international (extra EU)"),$E36*'CY '!$C64)</f>
        <v>#N/A</v>
      </c>
      <c r="H36" s="145"/>
      <c r="I36" s="148">
        <f t="shared" si="6"/>
        <v>0</v>
      </c>
      <c r="J36" s="146" t="e" cm="1">
        <f t="array" ref="J36">_xlfn.IFS(Cyprus!C36="Fuel car",Cyprus!I36*DATA!$C$17,C36="Electric car",Cyprus!I36*DATA!$F$7,Cyprus!C36="Hybrid car",Cyprus!I36*(0.5*DATA!$C$17+0.5*DATA!$F$7))</f>
        <v>#N/A</v>
      </c>
      <c r="L36" s="218"/>
      <c r="M36" s="219"/>
      <c r="N36" s="220"/>
    </row>
    <row r="37" spans="1:14" ht="14.5" customHeight="1" x14ac:dyDescent="0.2">
      <c r="A37" s="222"/>
      <c r="B37" s="30"/>
      <c r="C37" s="15"/>
      <c r="D37" s="15"/>
      <c r="E37" s="15"/>
      <c r="F37" s="123" t="e" cm="1">
        <f t="array" ref="F37">_xlfn.IFS(AND($C37="Fuel car",$D37=1),$E37*'CY '!C$7,AND($C37="Fuel car",$D37=2),$E37*'CY '!C$8,AND($C37="Fuel car",$D37=3),$E37*'CY '!C$9,AND($C37="Fuel car",$D37=4),$E37*'CY '!C$10,AND($C37="Fuel car",$D37=5),$E37*'CY '!C$11,AND($C37="Motorcycle",$D37=1),$E37*'CY '!C$13,AND($C37="Motorcycle",$D37=2),$E37*'CY '!C$14,AND($C37="Electric car",$D37=1),$E37*'CY '!C$16,AND($C37="Electric car",$D37=2),$E37*'CY '!C$17,AND($C37="Electric car",$D37=3),$E37*'CY '!C$18,AND($C37="Electric car",$D37=4),$E37*'CY '!C$19,AND($C37="Electric car",$D37=5),$E37*'CY '!C$20,AND($C37="Hybrid car",$D37=1),$E37*'CY '!C$22,AND($C37="Hybrid car",$D37=2),$E37*'CY '!C$23,AND($C37="Hybrid car",$D37=3),$E37*'CY '!C$24,AND($C37="Hybrid car",$D37=4),$E37*'CY '!C$25,AND($C37="Hybrid car",$D37=5),$E37*'CY '!C$26,AND($C37="Electric motorcycle",$D37=1),$E37*'CY '!C$28,AND($C37="Electric motorcycle",$D37=2),$E37*'CY '!C$29,AND($C37="Electric bike",$D37=1),$E37*'CY '!C$31,AND($C37="Electric scooter",$D37=1),$E37*'CY '!C$33,AND($C37="Bus",$D37="Almost empty"),$E37*'CY '!H$23,AND($C37="Bus",$D37="Average"),$E37*'CY '!H$24,AND($C37="Bus",$D37="Nearly full"),$E37*'CY '!H$25,AND($C37="Electric bus",$D37="Almost empty"),$E37*'CY '!H$7,AND($C37="Electric bus",$D37="Average"),$E37*'CY '!H$8,AND($C37="Electric bus",$D37="Nearly full"),$E37*'CY '!H$9,AND($C37="Diesel bus",$D37="Almost empty"),$E37*'CY '!H$19,AND($C37="Diesel bus",$D37="Average"),$E37*'CY '!H$20,AND($C37="Diesel bus",$D37="Nearly full"),$E37*'CY '!H$21,AND($C37="Hybrid-electric bus",$D37="Almost empty"),$E37*'CY '!H$11,AND($C37="Hybrid-electric bus",$D37="Average"),$E37*'CY '!H$12,AND($C37="Hybrid-electric bus",$D37="Nearly full"),$E37*'CY '!H$13,AND($C37="Alternative fuel bus",$D37="Almost empty"),$E37*'CY '!H$15,AND($C37="Alternative fuel bus",$D37="Average"),$E37*'CY '!H$16,AND($C37="Alternative fuel bus",$D37="Nearly full"),$E37*'CY '!H$17,AND($C37="Metro, tram, urban light train",$D37="Almost empty"),$E37*'CY '!C$35,AND($C37="Metro, tram, urban light train",$D37="Average"),$E37*'CY '!C$36,AND($C37="Metro, tram, urban light train",$D37="Nearly full"),$E37*'CY '!C$37,AND($C37="Electric passenger train",$D37="Almost empty"),$E37*'CY '!C$39,AND($C37="Electric passenger train",$D37="Average"),$E37*'CY '!C$40,AND($C37="Electric passenger train",$D37="Nearly full"),$E37*'CY '!C$41,AND($C37="Diesel passenger train",$D37="Almost empty"),$E37*'CY '!C$47,AND($C37="Diesel passenger train",$D37="Average"),$E37*'CY '!C$48,AND($C37="Diesel passenger train",$D37="Nearly full"),$E37*'CY '!C$49,AND($C37="Walking"),$E37*0,AND($C37="Bike"),$E37*0,AND($C37="Plane - domestic flight"),$E37*'CY '!$C61,AND($C37="Plane - international - intra EU"),$E37*'CY '!$C63,AND($C37="Plane - international (extra EU)"),$E37*'CY '!$C65)</f>
        <v>#N/A</v>
      </c>
      <c r="G37" s="31" t="e" cm="1">
        <f t="array" ref="G37">_xlfn.IFS(AND($C37="Fuel car",$D37=1),$E37*'CY '!D$7,AND($C37="Fuel car",$D37=2),$E37*'CY '!D$8,AND($C37="Fuel car",$D37=3),$E37*'CY '!D$9,AND($C37="Fuel car",$D37=4),$E37*'CY '!D$10,AND($C37="Fuel car",$D37=5),$E37*'CY '!D$11,AND($C37="Motorcycle",$D37=1),$E37*'CY '!D$13,AND($C37="Motorcycle",$D37=2),$E37*'CY '!D$14,AND($C37="Electric car",$D37=1),$E37*'CY '!D$16,AND($C37="Electric car",$D37=2),$E37*'CY '!D$17,AND($C37="Electric car",$D37=3),$E37*'CY '!D$18,AND($C37="Electric car",$D37=4),$E37*'CY '!D$19,AND($C37="Electric car",$D37=5),$E37*'CY '!D$20,AND($C37="Hybrid car",$D37=1),$E37*'CY '!D$22,AND($C37="Hybrid car",$D37=2),$E37*'CY '!D$23,AND($C37="Hybrid car",$D37=3),$E37*'CY '!D$24,AND($C37="Hybrid car",$D37=4),$E37*'CY '!D$25,AND($C37="Hybrid car",$D37=5),$E37*'CY '!D$26,AND($C37="Electric motorcycle",$D37=1),$E37*'CY '!D$28,AND($C37="Electric motorcycle",$D37=2),$E37*'CY '!D$29,AND($C37="Electric bike",$D37=1),$E37*'CY '!D$31,AND($C37="Electric scooter",$D37=1),$E37*'CY '!D$33,AND($C37="Bus",$D37="Almost empty"),$E37*'CY '!I$23,AND($C37="Bus",$D37="Average"),$E37*'CY '!I$24,AND($C37="Bus",$D37="Nearly full"),$E37*'CY '!I$25,AND($C37="Electric bus",$D37="Almost empty"),$E37*'CY '!I$7,AND($C37="Electric bus",$D37="Average"),$E37*'CY '!I$8,AND($C37="Electric bus",$D37="Nearly full"),$E37*'CY '!I$9,AND($C37="Diesel bus",$D37="Almost empty"),$E37*'CY '!I$19,AND($C37="Diesel bus",$D37="Average"),$E37*'CY '!I$20,AND($C37="Diesel bus",$D37="Nearly full"),$E37*'CY '!I$21,AND($C37="Hybrid-electric bus",$D37="Almost empty"),$E37*'CY '!I$11,AND($C37="Hybrid-electric bus",$D37="Average"),$E37*'CY '!I$12,AND($C37="Hybrid-electric bus",$D37="Nearly full"),$E37*'CY '!I$13,AND($C37="Alternative fuel bus",$D37="Almost empty"),$E37*'CY '!I$15,AND($C37="Alternative fuel bus",$D37="Average"),$E37*'CY '!I$16,AND($C37="Alternative fuel bus",$D37="Nearly full"),$E37*'CY '!I$17,AND($C37="Metro, tram, urban light train",$D37="Almost empty"),$E37*'CY '!D$35,AND($C37="Metro, tram, urban light train",$D37="Average"),$E37*'CY '!D$36,AND($C37="Metro, tram, urban light train",$D37="Nearly full"),$E37*'CY '!D$37,AND($C37="Electric passenger train",$D37="Almost empty"),$E37*'CY '!D$39,AND($C37="Electric passenger train",$D37="Average"),$E37*'CY '!D$40,AND($C37="Electric passenger train",$D37="Nearly full"),$E37*'CY '!D$41,AND($C37="Diesel passenger train",$D37="Almost empty"),$E37*'CY '!D$47,AND($C37="Diesel passenger train",$D37="Average"),$E37*'CY '!D$48,AND($C37="Diesel passenger train",$D37="Nearly full"),$E37*'CY '!D$49,AND($C37="Walking"),$E37*0,AND($C37="Bike"),$E37*0,AND($C37="Plane - domestic flight"),$E37*'CY '!$C61,AND($C37="Plane - international - intra EU"),$E37*'CY '!$C63,AND($C37="Plane - international (extra EU)"),$E37*'CY '!$C65)</f>
        <v>#N/A</v>
      </c>
      <c r="H37" s="145"/>
      <c r="I37" s="148">
        <f t="shared" si="6"/>
        <v>0</v>
      </c>
      <c r="J37" s="146" t="e" cm="1">
        <f t="array" ref="J37">_xlfn.IFS(Cyprus!C37="Fuel car",Cyprus!I37*DATA!$C$17,C37="Electric car",Cyprus!I37*DATA!$F$7,Cyprus!C37="Hybrid car",Cyprus!I37*(0.5*DATA!$C$17+0.5*DATA!$F$7))</f>
        <v>#N/A</v>
      </c>
      <c r="L37" s="215" t="s">
        <v>79</v>
      </c>
      <c r="M37" s="216"/>
      <c r="N37" s="217"/>
    </row>
    <row r="38" spans="1:14" ht="16" thickBot="1" x14ac:dyDescent="0.25">
      <c r="A38" s="222"/>
      <c r="B38" s="30"/>
      <c r="C38" s="15"/>
      <c r="D38" s="15"/>
      <c r="E38" s="15"/>
      <c r="F38" s="123" t="e" cm="1">
        <f t="array" ref="F38">_xlfn.IFS(AND($C38="Fuel car",$D38=1),$E38*'CY '!C$7,AND($C38="Fuel car",$D38=2),$E38*'CY '!C$8,AND($C38="Fuel car",$D38=3),$E38*'CY '!C$9,AND($C38="Fuel car",$D38=4),$E38*'CY '!C$10,AND($C38="Fuel car",$D38=5),$E38*'CY '!C$11,AND($C38="Motorcycle",$D38=1),$E38*'CY '!C$13,AND($C38="Motorcycle",$D38=2),$E38*'CY '!C$14,AND($C38="Electric car",$D38=1),$E38*'CY '!C$16,AND($C38="Electric car",$D38=2),$E38*'CY '!C$17,AND($C38="Electric car",$D38=3),$E38*'CY '!C$18,AND($C38="Electric car",$D38=4),$E38*'CY '!C$19,AND($C38="Electric car",$D38=5),$E38*'CY '!C$20,AND($C38="Hybrid car",$D38=1),$E38*'CY '!C$22,AND($C38="Hybrid car",$D38=2),$E38*'CY '!C$23,AND($C38="Hybrid car",$D38=3),$E38*'CY '!C$24,AND($C38="Hybrid car",$D38=4),$E38*'CY '!C$25,AND($C38="Hybrid car",$D38=5),$E38*'CY '!C$26,AND($C38="Electric motorcycle",$D38=1),$E38*'CY '!C$28,AND($C38="Electric motorcycle",$D38=2),$E38*'CY '!C$29,AND($C38="Electric bike",$D38=1),$E38*'CY '!C$31,AND($C38="Electric scooter",$D38=1),$E38*'CY '!C$33,AND($C38="Bus",$D38="Almost empty"),$E38*'CY '!H$23,AND($C38="Bus",$D38="Average"),$E38*'CY '!H$24,AND($C38="Bus",$D38="Nearly full"),$E38*'CY '!H$25,AND($C38="Electric bus",$D38="Almost empty"),$E38*'CY '!H$7,AND($C38="Electric bus",$D38="Average"),$E38*'CY '!H$8,AND($C38="Electric bus",$D38="Nearly full"),$E38*'CY '!H$9,AND($C38="Diesel bus",$D38="Almost empty"),$E38*'CY '!H$19,AND($C38="Diesel bus",$D38="Average"),$E38*'CY '!H$20,AND($C38="Diesel bus",$D38="Nearly full"),$E38*'CY '!H$21,AND($C38="Hybrid-electric bus",$D38="Almost empty"),$E38*'CY '!H$11,AND($C38="Hybrid-electric bus",$D38="Average"),$E38*'CY '!H$12,AND($C38="Hybrid-electric bus",$D38="Nearly full"),$E38*'CY '!H$13,AND($C38="Alternative fuel bus",$D38="Almost empty"),$E38*'CY '!H$15,AND($C38="Alternative fuel bus",$D38="Average"),$E38*'CY '!H$16,AND($C38="Alternative fuel bus",$D38="Nearly full"),$E38*'CY '!H$17,AND($C38="Metro, tram, urban light train",$D38="Almost empty"),$E38*'CY '!C$35,AND($C38="Metro, tram, urban light train",$D38="Average"),$E38*'CY '!C$36,AND($C38="Metro, tram, urban light train",$D38="Nearly full"),$E38*'CY '!C$37,AND($C38="Electric passenger train",$D38="Almost empty"),$E38*'CY '!C$39,AND($C38="Electric passenger train",$D38="Average"),$E38*'CY '!C$40,AND($C38="Electric passenger train",$D38="Nearly full"),$E38*'CY '!C$41,AND($C38="Diesel passenger train",$D38="Almost empty"),$E38*'CY '!C$47,AND($C38="Diesel passenger train",$D38="Average"),$E38*'CY '!C$48,AND($C38="Diesel passenger train",$D38="Nearly full"),$E38*'CY '!C$49,AND($C38="Walking"),$E38*0,AND($C38="Bike"),$E38*0,AND($C38="Plane - domestic flight"),$E38*'CY '!$C62,AND($C38="Plane - international - intra EU"),$E38*'CY '!$C64,AND($C38="Plane - international (extra EU)"),$E38*'CY '!$C66)</f>
        <v>#N/A</v>
      </c>
      <c r="G38" s="31" t="e" cm="1">
        <f t="array" ref="G38">_xlfn.IFS(AND($C38="Fuel car",$D38=1),$E38*'CY '!D$7,AND($C38="Fuel car",$D38=2),$E38*'CY '!D$8,AND($C38="Fuel car",$D38=3),$E38*'CY '!D$9,AND($C38="Fuel car",$D38=4),$E38*'CY '!D$10,AND($C38="Fuel car",$D38=5),$E38*'CY '!D$11,AND($C38="Motorcycle",$D38=1),$E38*'CY '!D$13,AND($C38="Motorcycle",$D38=2),$E38*'CY '!D$14,AND($C38="Electric car",$D38=1),$E38*'CY '!D$16,AND($C38="Electric car",$D38=2),$E38*'CY '!D$17,AND($C38="Electric car",$D38=3),$E38*'CY '!D$18,AND($C38="Electric car",$D38=4),$E38*'CY '!D$19,AND($C38="Electric car",$D38=5),$E38*'CY '!D$20,AND($C38="Hybrid car",$D38=1),$E38*'CY '!D$22,AND($C38="Hybrid car",$D38=2),$E38*'CY '!D$23,AND($C38="Hybrid car",$D38=3),$E38*'CY '!D$24,AND($C38="Hybrid car",$D38=4),$E38*'CY '!D$25,AND($C38="Hybrid car",$D38=5),$E38*'CY '!D$26,AND($C38="Electric motorcycle",$D38=1),$E38*'CY '!D$28,AND($C38="Electric motorcycle",$D38=2),$E38*'CY '!D$29,AND($C38="Electric bike",$D38=1),$E38*'CY '!D$31,AND($C38="Electric scooter",$D38=1),$E38*'CY '!D$33,AND($C38="Bus",$D38="Almost empty"),$E38*'CY '!I$23,AND($C38="Bus",$D38="Average"),$E38*'CY '!I$24,AND($C38="Bus",$D38="Nearly full"),$E38*'CY '!I$25,AND($C38="Electric bus",$D38="Almost empty"),$E38*'CY '!I$7,AND($C38="Electric bus",$D38="Average"),$E38*'CY '!I$8,AND($C38="Electric bus",$D38="Nearly full"),$E38*'CY '!I$9,AND($C38="Diesel bus",$D38="Almost empty"),$E38*'CY '!I$19,AND($C38="Diesel bus",$D38="Average"),$E38*'CY '!I$20,AND($C38="Diesel bus",$D38="Nearly full"),$E38*'CY '!I$21,AND($C38="Hybrid-electric bus",$D38="Almost empty"),$E38*'CY '!I$11,AND($C38="Hybrid-electric bus",$D38="Average"),$E38*'CY '!I$12,AND($C38="Hybrid-electric bus",$D38="Nearly full"),$E38*'CY '!I$13,AND($C38="Alternative fuel bus",$D38="Almost empty"),$E38*'CY '!I$15,AND($C38="Alternative fuel bus",$D38="Average"),$E38*'CY '!I$16,AND($C38="Alternative fuel bus",$D38="Nearly full"),$E38*'CY '!I$17,AND($C38="Metro, tram, urban light train",$D38="Almost empty"),$E38*'CY '!D$35,AND($C38="Metro, tram, urban light train",$D38="Average"),$E38*'CY '!D$36,AND($C38="Metro, tram, urban light train",$D38="Nearly full"),$E38*'CY '!D$37,AND($C38="Electric passenger train",$D38="Almost empty"),$E38*'CY '!D$39,AND($C38="Electric passenger train",$D38="Average"),$E38*'CY '!D$40,AND($C38="Electric passenger train",$D38="Nearly full"),$E38*'CY '!D$41,AND($C38="Diesel passenger train",$D38="Almost empty"),$E38*'CY '!D$47,AND($C38="Diesel passenger train",$D38="Average"),$E38*'CY '!D$48,AND($C38="Diesel passenger train",$D38="Nearly full"),$E38*'CY '!D$49,AND($C38="Walking"),$E38*0,AND($C38="Bike"),$E38*0,AND($C38="Plane - domestic flight"),$E38*'CY '!$C62,AND($C38="Plane - international - intra EU"),$E38*'CY '!$C64,AND($C38="Plane - international (extra EU)"),$E38*'CY '!$C66)</f>
        <v>#N/A</v>
      </c>
      <c r="H38" s="145"/>
      <c r="I38" s="148">
        <f t="shared" si="6"/>
        <v>0</v>
      </c>
      <c r="J38" s="146" t="e" cm="1">
        <f t="array" ref="J38">_xlfn.IFS(Cyprus!C38="Fuel car",Cyprus!I38*DATA!$C$17,C38="Electric car",Cyprus!I38*DATA!$F$7,Cyprus!C38="Hybrid car",Cyprus!I38*(0.5*DATA!$C$17+0.5*DATA!$F$7))</f>
        <v>#N/A</v>
      </c>
      <c r="L38" s="218"/>
      <c r="M38" s="219"/>
      <c r="N38" s="220"/>
    </row>
    <row r="39" spans="1:14" ht="14.5" customHeight="1" x14ac:dyDescent="0.2">
      <c r="A39" s="222"/>
      <c r="B39" s="30"/>
      <c r="C39" s="15"/>
      <c r="D39" s="15"/>
      <c r="E39" s="15"/>
      <c r="F39" s="123" t="e" cm="1">
        <f t="array" ref="F39">_xlfn.IFS(AND($C39="Fuel car",$D39=1),$E39*'CY '!C$7,AND($C39="Fuel car",$D39=2),$E39*'CY '!C$8,AND($C39="Fuel car",$D39=3),$E39*'CY '!C$9,AND($C39="Fuel car",$D39=4),$E39*'CY '!C$10,AND($C39="Fuel car",$D39=5),$E39*'CY '!C$11,AND($C39="Motorcycle",$D39=1),$E39*'CY '!C$13,AND($C39="Motorcycle",$D39=2),$E39*'CY '!C$14,AND($C39="Electric car",$D39=1),$E39*'CY '!C$16,AND($C39="Electric car",$D39=2),$E39*'CY '!C$17,AND($C39="Electric car",$D39=3),$E39*'CY '!C$18,AND($C39="Electric car",$D39=4),$E39*'CY '!C$19,AND($C39="Electric car",$D39=5),$E39*'CY '!C$20,AND($C39="Hybrid car",$D39=1),$E39*'CY '!C$22,AND($C39="Hybrid car",$D39=2),$E39*'CY '!C$23,AND($C39="Hybrid car",$D39=3),$E39*'CY '!C$24,AND($C39="Hybrid car",$D39=4),$E39*'CY '!C$25,AND($C39="Hybrid car",$D39=5),$E39*'CY '!C$26,AND($C39="Electric motorcycle",$D39=1),$E39*'CY '!C$28,AND($C39="Electric motorcycle",$D39=2),$E39*'CY '!C$29,AND($C39="Electric bike",$D39=1),$E39*'CY '!C$31,AND($C39="Electric scooter",$D39=1),$E39*'CY '!C$33,AND($C39="Bus",$D39="Almost empty"),$E39*'CY '!H$23,AND($C39="Bus",$D39="Average"),$E39*'CY '!H$24,AND($C39="Bus",$D39="Nearly full"),$E39*'CY '!H$25,AND($C39="Electric bus",$D39="Almost empty"),$E39*'CY '!H$7,AND($C39="Electric bus",$D39="Average"),$E39*'CY '!H$8,AND($C39="Electric bus",$D39="Nearly full"),$E39*'CY '!H$9,AND($C39="Diesel bus",$D39="Almost empty"),$E39*'CY '!H$19,AND($C39="Diesel bus",$D39="Average"),$E39*'CY '!H$20,AND($C39="Diesel bus",$D39="Nearly full"),$E39*'CY '!H$21,AND($C39="Hybrid-electric bus",$D39="Almost empty"),$E39*'CY '!H$11,AND($C39="Hybrid-electric bus",$D39="Average"),$E39*'CY '!H$12,AND($C39="Hybrid-electric bus",$D39="Nearly full"),$E39*'CY '!H$13,AND($C39="Alternative fuel bus",$D39="Almost empty"),$E39*'CY '!H$15,AND($C39="Alternative fuel bus",$D39="Average"),$E39*'CY '!H$16,AND($C39="Alternative fuel bus",$D39="Nearly full"),$E39*'CY '!H$17,AND($C39="Metro, tram, urban light train",$D39="Almost empty"),$E39*'CY '!C$35,AND($C39="Metro, tram, urban light train",$D39="Average"),$E39*'CY '!C$36,AND($C39="Metro, tram, urban light train",$D39="Nearly full"),$E39*'CY '!C$37,AND($C39="Electric passenger train",$D39="Almost empty"),$E39*'CY '!C$39,AND($C39="Electric passenger train",$D39="Average"),$E39*'CY '!C$40,AND($C39="Electric passenger train",$D39="Nearly full"),$E39*'CY '!C$41,AND($C39="Diesel passenger train",$D39="Almost empty"),$E39*'CY '!C$47,AND($C39="Diesel passenger train",$D39="Average"),$E39*'CY '!C$48,AND($C39="Diesel passenger train",$D39="Nearly full"),$E39*'CY '!C$49,AND($C39="Walking"),$E39*0,AND($C39="Bike"),$E39*0,AND($C39="Plane - domestic flight"),$E39*'CY '!$C63,AND($C39="Plane - international - intra EU"),$E39*'CY '!$C65,AND($C39="Plane - international (extra EU)"),$E39*'CY '!$C67)</f>
        <v>#N/A</v>
      </c>
      <c r="G39" s="31" t="e" cm="1">
        <f t="array" ref="G39">_xlfn.IFS(AND($C39="Fuel car",$D39=1),$E39*'CY '!D$7,AND($C39="Fuel car",$D39=2),$E39*'CY '!D$8,AND($C39="Fuel car",$D39=3),$E39*'CY '!D$9,AND($C39="Fuel car",$D39=4),$E39*'CY '!D$10,AND($C39="Fuel car",$D39=5),$E39*'CY '!D$11,AND($C39="Motorcycle",$D39=1),$E39*'CY '!D$13,AND($C39="Motorcycle",$D39=2),$E39*'CY '!D$14,AND($C39="Electric car",$D39=1),$E39*'CY '!D$16,AND($C39="Electric car",$D39=2),$E39*'CY '!D$17,AND($C39="Electric car",$D39=3),$E39*'CY '!D$18,AND($C39="Electric car",$D39=4),$E39*'CY '!D$19,AND($C39="Electric car",$D39=5),$E39*'CY '!D$20,AND($C39="Hybrid car",$D39=1),$E39*'CY '!D$22,AND($C39="Hybrid car",$D39=2),$E39*'CY '!D$23,AND($C39="Hybrid car",$D39=3),$E39*'CY '!D$24,AND($C39="Hybrid car",$D39=4),$E39*'CY '!D$25,AND($C39="Hybrid car",$D39=5),$E39*'CY '!D$26,AND($C39="Electric motorcycle",$D39=1),$E39*'CY '!D$28,AND($C39="Electric motorcycle",$D39=2),$E39*'CY '!D$29,AND($C39="Electric bike",$D39=1),$E39*'CY '!D$31,AND($C39="Electric scooter",$D39=1),$E39*'CY '!D$33,AND($C39="Bus",$D39="Almost empty"),$E39*'CY '!I$23,AND($C39="Bus",$D39="Average"),$E39*'CY '!I$24,AND($C39="Bus",$D39="Nearly full"),$E39*'CY '!I$25,AND($C39="Electric bus",$D39="Almost empty"),$E39*'CY '!I$7,AND($C39="Electric bus",$D39="Average"),$E39*'CY '!I$8,AND($C39="Electric bus",$D39="Nearly full"),$E39*'CY '!I$9,AND($C39="Diesel bus",$D39="Almost empty"),$E39*'CY '!I$19,AND($C39="Diesel bus",$D39="Average"),$E39*'CY '!I$20,AND($C39="Diesel bus",$D39="Nearly full"),$E39*'CY '!I$21,AND($C39="Hybrid-electric bus",$D39="Almost empty"),$E39*'CY '!I$11,AND($C39="Hybrid-electric bus",$D39="Average"),$E39*'CY '!I$12,AND($C39="Hybrid-electric bus",$D39="Nearly full"),$E39*'CY '!I$13,AND($C39="Alternative fuel bus",$D39="Almost empty"),$E39*'CY '!I$15,AND($C39="Alternative fuel bus",$D39="Average"),$E39*'CY '!I$16,AND($C39="Alternative fuel bus",$D39="Nearly full"),$E39*'CY '!I$17,AND($C39="Metro, tram, urban light train",$D39="Almost empty"),$E39*'CY '!D$35,AND($C39="Metro, tram, urban light train",$D39="Average"),$E39*'CY '!D$36,AND($C39="Metro, tram, urban light train",$D39="Nearly full"),$E39*'CY '!D$37,AND($C39="Electric passenger train",$D39="Almost empty"),$E39*'CY '!D$39,AND($C39="Electric passenger train",$D39="Average"),$E39*'CY '!D$40,AND($C39="Electric passenger train",$D39="Nearly full"),$E39*'CY '!D$41,AND($C39="Diesel passenger train",$D39="Almost empty"),$E39*'CY '!D$47,AND($C39="Diesel passenger train",$D39="Average"),$E39*'CY '!D$48,AND($C39="Diesel passenger train",$D39="Nearly full"),$E39*'CY '!D$49,AND($C39="Walking"),$E39*0,AND($C39="Bike"),$E39*0,AND($C39="Plane - domestic flight"),$E39*'CY '!$C63,AND($C39="Plane - international - intra EU"),$E39*'CY '!$C65,AND($C39="Plane - international (extra EU)"),$E39*'CY '!$C67)</f>
        <v>#N/A</v>
      </c>
      <c r="H39" s="145"/>
      <c r="I39" s="148">
        <f t="shared" si="6"/>
        <v>0</v>
      </c>
      <c r="J39" s="146" t="e" cm="1">
        <f t="array" ref="J39">_xlfn.IFS(Cyprus!C39="Fuel car",Cyprus!I39*DATA!$C$17,C39="Electric car",Cyprus!I39*DATA!$F$7,Cyprus!C39="Hybrid car",Cyprus!I39*(0.5*DATA!$C$17+0.5*DATA!$F$7))</f>
        <v>#N/A</v>
      </c>
      <c r="L39" s="226" t="s">
        <v>80</v>
      </c>
      <c r="M39" s="227"/>
      <c r="N39" s="228"/>
    </row>
    <row r="40" spans="1:14" x14ac:dyDescent="0.2">
      <c r="A40" s="222"/>
      <c r="B40" s="30"/>
      <c r="C40" s="15"/>
      <c r="D40" s="15"/>
      <c r="E40" s="15"/>
      <c r="F40" s="123" t="e" cm="1">
        <f t="array" ref="F40">_xlfn.IFS(AND($C40="Fuel car",$D40=1),$E40*'CY '!C$7,AND($C40="Fuel car",$D40=2),$E40*'CY '!C$8,AND($C40="Fuel car",$D40=3),$E40*'CY '!C$9,AND($C40="Fuel car",$D40=4),$E40*'CY '!C$10,AND($C40="Fuel car",$D40=5),$E40*'CY '!C$11,AND($C40="Motorcycle",$D40=1),$E40*'CY '!C$13,AND($C40="Motorcycle",$D40=2),$E40*'CY '!C$14,AND($C40="Electric car",$D40=1),$E40*'CY '!C$16,AND($C40="Electric car",$D40=2),$E40*'CY '!C$17,AND($C40="Electric car",$D40=3),$E40*'CY '!C$18,AND($C40="Electric car",$D40=4),$E40*'CY '!C$19,AND($C40="Electric car",$D40=5),$E40*'CY '!C$20,AND($C40="Hybrid car",$D40=1),$E40*'CY '!C$22,AND($C40="Hybrid car",$D40=2),$E40*'CY '!C$23,AND($C40="Hybrid car",$D40=3),$E40*'CY '!C$24,AND($C40="Hybrid car",$D40=4),$E40*'CY '!C$25,AND($C40="Hybrid car",$D40=5),$E40*'CY '!C$26,AND($C40="Electric motorcycle",$D40=1),$E40*'CY '!C$28,AND($C40="Electric motorcycle",$D40=2),$E40*'CY '!C$29,AND($C40="Electric bike",$D40=1),$E40*'CY '!C$31,AND($C40="Electric scooter",$D40=1),$E40*'CY '!C$33,AND($C40="Bus",$D40="Almost empty"),$E40*'CY '!H$23,AND($C40="Bus",$D40="Average"),$E40*'CY '!H$24,AND($C40="Bus",$D40="Nearly full"),$E40*'CY '!H$25,AND($C40="Electric bus",$D40="Almost empty"),$E40*'CY '!H$7,AND($C40="Electric bus",$D40="Average"),$E40*'CY '!H$8,AND($C40="Electric bus",$D40="Nearly full"),$E40*'CY '!H$9,AND($C40="Diesel bus",$D40="Almost empty"),$E40*'CY '!H$19,AND($C40="Diesel bus",$D40="Average"),$E40*'CY '!H$20,AND($C40="Diesel bus",$D40="Nearly full"),$E40*'CY '!H$21,AND($C40="Hybrid-electric bus",$D40="Almost empty"),$E40*'CY '!H$11,AND($C40="Hybrid-electric bus",$D40="Average"),$E40*'CY '!H$12,AND($C40="Hybrid-electric bus",$D40="Nearly full"),$E40*'CY '!H$13,AND($C40="Alternative fuel bus",$D40="Almost empty"),$E40*'CY '!H$15,AND($C40="Alternative fuel bus",$D40="Average"),$E40*'CY '!H$16,AND($C40="Alternative fuel bus",$D40="Nearly full"),$E40*'CY '!H$17,AND($C40="Metro, tram, urban light train",$D40="Almost empty"),$E40*'CY '!C$35,AND($C40="Metro, tram, urban light train",$D40="Average"),$E40*'CY '!C$36,AND($C40="Metro, tram, urban light train",$D40="Nearly full"),$E40*'CY '!C$37,AND($C40="Electric passenger train",$D40="Almost empty"),$E40*'CY '!C$39,AND($C40="Electric passenger train",$D40="Average"),$E40*'CY '!C$40,AND($C40="Electric passenger train",$D40="Nearly full"),$E40*'CY '!C$41,AND($C40="Diesel passenger train",$D40="Almost empty"),$E40*'CY '!C$47,AND($C40="Diesel passenger train",$D40="Average"),$E40*'CY '!C$48,AND($C40="Diesel passenger train",$D40="Nearly full"),$E40*'CY '!C$49,AND($C40="Walking"),$E40*0,AND($C40="Bike"),$E40*0,AND($C40="Plane - domestic flight"),$E40*'CY '!$C64,AND($C40="Plane - international - intra EU"),$E40*'CY '!$C66,AND($C40="Plane - international (extra EU)"),$E40*'CY '!$C68)</f>
        <v>#N/A</v>
      </c>
      <c r="G40" s="31" t="e" cm="1">
        <f t="array" ref="G40">_xlfn.IFS(AND($C40="Fuel car",$D40=1),$E40*'CY '!D$7,AND($C40="Fuel car",$D40=2),$E40*'CY '!D$8,AND($C40="Fuel car",$D40=3),$E40*'CY '!D$9,AND($C40="Fuel car",$D40=4),$E40*'CY '!D$10,AND($C40="Fuel car",$D40=5),$E40*'CY '!D$11,AND($C40="Motorcycle",$D40=1),$E40*'CY '!D$13,AND($C40="Motorcycle",$D40=2),$E40*'CY '!D$14,AND($C40="Electric car",$D40=1),$E40*'CY '!D$16,AND($C40="Electric car",$D40=2),$E40*'CY '!D$17,AND($C40="Electric car",$D40=3),$E40*'CY '!D$18,AND($C40="Electric car",$D40=4),$E40*'CY '!D$19,AND($C40="Electric car",$D40=5),$E40*'CY '!D$20,AND($C40="Hybrid car",$D40=1),$E40*'CY '!D$22,AND($C40="Hybrid car",$D40=2),$E40*'CY '!D$23,AND($C40="Hybrid car",$D40=3),$E40*'CY '!D$24,AND($C40="Hybrid car",$D40=4),$E40*'CY '!D$25,AND($C40="Hybrid car",$D40=5),$E40*'CY '!D$26,AND($C40="Electric motorcycle",$D40=1),$E40*'CY '!D$28,AND($C40="Electric motorcycle",$D40=2),$E40*'CY '!D$29,AND($C40="Electric bike",$D40=1),$E40*'CY '!D$31,AND($C40="Electric scooter",$D40=1),$E40*'CY '!D$33,AND($C40="Bus",$D40="Almost empty"),$E40*'CY '!I$23,AND($C40="Bus",$D40="Average"),$E40*'CY '!I$24,AND($C40="Bus",$D40="Nearly full"),$E40*'CY '!I$25,AND($C40="Electric bus",$D40="Almost empty"),$E40*'CY '!I$7,AND($C40="Electric bus",$D40="Average"),$E40*'CY '!I$8,AND($C40="Electric bus",$D40="Nearly full"),$E40*'CY '!I$9,AND($C40="Diesel bus",$D40="Almost empty"),$E40*'CY '!I$19,AND($C40="Diesel bus",$D40="Average"),$E40*'CY '!I$20,AND($C40="Diesel bus",$D40="Nearly full"),$E40*'CY '!I$21,AND($C40="Hybrid-electric bus",$D40="Almost empty"),$E40*'CY '!I$11,AND($C40="Hybrid-electric bus",$D40="Average"),$E40*'CY '!I$12,AND($C40="Hybrid-electric bus",$D40="Nearly full"),$E40*'CY '!I$13,AND($C40="Alternative fuel bus",$D40="Almost empty"),$E40*'CY '!I$15,AND($C40="Alternative fuel bus",$D40="Average"),$E40*'CY '!I$16,AND($C40="Alternative fuel bus",$D40="Nearly full"),$E40*'CY '!I$17,AND($C40="Metro, tram, urban light train",$D40="Almost empty"),$E40*'CY '!D$35,AND($C40="Metro, tram, urban light train",$D40="Average"),$E40*'CY '!D$36,AND($C40="Metro, tram, urban light train",$D40="Nearly full"),$E40*'CY '!D$37,AND($C40="Electric passenger train",$D40="Almost empty"),$E40*'CY '!D$39,AND($C40="Electric passenger train",$D40="Average"),$E40*'CY '!D$40,AND($C40="Electric passenger train",$D40="Nearly full"),$E40*'CY '!D$41,AND($C40="Diesel passenger train",$D40="Almost empty"),$E40*'CY '!D$47,AND($C40="Diesel passenger train",$D40="Average"),$E40*'CY '!D$48,AND($C40="Diesel passenger train",$D40="Nearly full"),$E40*'CY '!D$49,AND($C40="Walking"),$E40*0,AND($C40="Bike"),$E40*0,AND($C40="Plane - domestic flight"),$E40*'CY '!$C64,AND($C40="Plane - international - intra EU"),$E40*'CY '!$C66,AND($C40="Plane - international (extra EU)"),$E40*'CY '!$C68)</f>
        <v>#N/A</v>
      </c>
      <c r="H40" s="145"/>
      <c r="I40" s="148">
        <f t="shared" si="6"/>
        <v>0</v>
      </c>
      <c r="J40" s="146" t="e" cm="1">
        <f t="array" ref="J40">_xlfn.IFS(Cyprus!C40="Fuel car",Cyprus!I40*DATA!$C$17,C40="Electric car",Cyprus!I40*DATA!$F$7,Cyprus!C40="Hybrid car",Cyprus!I40*(0.5*DATA!$C$17+0.5*DATA!$F$7))</f>
        <v>#N/A</v>
      </c>
      <c r="L40" s="229"/>
      <c r="M40" s="230"/>
      <c r="N40" s="231"/>
    </row>
    <row r="41" spans="1:14" ht="14.5" customHeight="1" x14ac:dyDescent="0.2">
      <c r="A41" s="222"/>
      <c r="B41" s="30"/>
      <c r="C41" s="15"/>
      <c r="D41" s="15"/>
      <c r="E41" s="15"/>
      <c r="F41" s="123" t="e" cm="1">
        <f t="array" ref="F41">_xlfn.IFS(AND($C41="Fuel car",$D41=1),$E41*'CY '!C$7,AND($C41="Fuel car",$D41=2),$E41*'CY '!C$8,AND($C41="Fuel car",$D41=3),$E41*'CY '!C$9,AND($C41="Fuel car",$D41=4),$E41*'CY '!C$10,AND($C41="Fuel car",$D41=5),$E41*'CY '!C$11,AND($C41="Motorcycle",$D41=1),$E41*'CY '!C$13,AND($C41="Motorcycle",$D41=2),$E41*'CY '!C$14,AND($C41="Electric car",$D41=1),$E41*'CY '!C$16,AND($C41="Electric car",$D41=2),$E41*'CY '!C$17,AND($C41="Electric car",$D41=3),$E41*'CY '!C$18,AND($C41="Electric car",$D41=4),$E41*'CY '!C$19,AND($C41="Electric car",$D41=5),$E41*'CY '!C$20,AND($C41="Hybrid car",$D41=1),$E41*'CY '!C$22,AND($C41="Hybrid car",$D41=2),$E41*'CY '!C$23,AND($C41="Hybrid car",$D41=3),$E41*'CY '!C$24,AND($C41="Hybrid car",$D41=4),$E41*'CY '!C$25,AND($C41="Hybrid car",$D41=5),$E41*'CY '!C$26,AND($C41="Electric motorcycle",$D41=1),$E41*'CY '!C$28,AND($C41="Electric motorcycle",$D41=2),$E41*'CY '!C$29,AND($C41="Electric bike",$D41=1),$E41*'CY '!C$31,AND($C41="Electric scooter",$D41=1),$E41*'CY '!C$33,AND($C41="Bus",$D41="Almost empty"),$E41*'CY '!H$23,AND($C41="Bus",$D41="Average"),$E41*'CY '!H$24,AND($C41="Bus",$D41="Nearly full"),$E41*'CY '!H$25,AND($C41="Electric bus",$D41="Almost empty"),$E41*'CY '!H$7,AND($C41="Electric bus",$D41="Average"),$E41*'CY '!H$8,AND($C41="Electric bus",$D41="Nearly full"),$E41*'CY '!H$9,AND($C41="Diesel bus",$D41="Almost empty"),$E41*'CY '!H$19,AND($C41="Diesel bus",$D41="Average"),$E41*'CY '!H$20,AND($C41="Diesel bus",$D41="Nearly full"),$E41*'CY '!H$21,AND($C41="Hybrid-electric bus",$D41="Almost empty"),$E41*'CY '!H$11,AND($C41="Hybrid-electric bus",$D41="Average"),$E41*'CY '!H$12,AND($C41="Hybrid-electric bus",$D41="Nearly full"),$E41*'CY '!H$13,AND($C41="Alternative fuel bus",$D41="Almost empty"),$E41*'CY '!H$15,AND($C41="Alternative fuel bus",$D41="Average"),$E41*'CY '!H$16,AND($C41="Alternative fuel bus",$D41="Nearly full"),$E41*'CY '!H$17,AND($C41="Metro, tram, urban light train",$D41="Almost empty"),$E41*'CY '!C$35,AND($C41="Metro, tram, urban light train",$D41="Average"),$E41*'CY '!C$36,AND($C41="Metro, tram, urban light train",$D41="Nearly full"),$E41*'CY '!C$37,AND($C41="Electric passenger train",$D41="Almost empty"),$E41*'CY '!C$39,AND($C41="Electric passenger train",$D41="Average"),$E41*'CY '!C$40,AND($C41="Electric passenger train",$D41="Nearly full"),$E41*'CY '!C$41,AND($C41="Diesel passenger train",$D41="Almost empty"),$E41*'CY '!C$47,AND($C41="Diesel passenger train",$D41="Average"),$E41*'CY '!C$48,AND($C41="Diesel passenger train",$D41="Nearly full"),$E41*'CY '!C$49,AND($C41="Walking"),$E41*0,AND($C41="Bike"),$E41*0,AND($C41="Plane - domestic flight"),$E41*'CY '!$C65,AND($C41="Plane - international - intra EU"),$E41*'CY '!$C67,AND($C41="Plane - international (extra EU)"),$E41*'CY '!$C69)</f>
        <v>#N/A</v>
      </c>
      <c r="G41" s="31" t="e" cm="1">
        <f t="array" ref="G41">_xlfn.IFS(AND($C41="Fuel car",$D41=1),$E41*'CY '!D$7,AND($C41="Fuel car",$D41=2),$E41*'CY '!D$8,AND($C41="Fuel car",$D41=3),$E41*'CY '!D$9,AND($C41="Fuel car",$D41=4),$E41*'CY '!D$10,AND($C41="Fuel car",$D41=5),$E41*'CY '!D$11,AND($C41="Motorcycle",$D41=1),$E41*'CY '!D$13,AND($C41="Motorcycle",$D41=2),$E41*'CY '!D$14,AND($C41="Electric car",$D41=1),$E41*'CY '!D$16,AND($C41="Electric car",$D41=2),$E41*'CY '!D$17,AND($C41="Electric car",$D41=3),$E41*'CY '!D$18,AND($C41="Electric car",$D41=4),$E41*'CY '!D$19,AND($C41="Electric car",$D41=5),$E41*'CY '!D$20,AND($C41="Hybrid car",$D41=1),$E41*'CY '!D$22,AND($C41="Hybrid car",$D41=2),$E41*'CY '!D$23,AND($C41="Hybrid car",$D41=3),$E41*'CY '!D$24,AND($C41="Hybrid car",$D41=4),$E41*'CY '!D$25,AND($C41="Hybrid car",$D41=5),$E41*'CY '!D$26,AND($C41="Electric motorcycle",$D41=1),$E41*'CY '!D$28,AND($C41="Electric motorcycle",$D41=2),$E41*'CY '!D$29,AND($C41="Electric bike",$D41=1),$E41*'CY '!D$31,AND($C41="Electric scooter",$D41=1),$E41*'CY '!D$33,AND($C41="Bus",$D41="Almost empty"),$E41*'CY '!I$23,AND($C41="Bus",$D41="Average"),$E41*'CY '!I$24,AND($C41="Bus",$D41="Nearly full"),$E41*'CY '!I$25,AND($C41="Electric bus",$D41="Almost empty"),$E41*'CY '!I$7,AND($C41="Electric bus",$D41="Average"),$E41*'CY '!I$8,AND($C41="Electric bus",$D41="Nearly full"),$E41*'CY '!I$9,AND($C41="Diesel bus",$D41="Almost empty"),$E41*'CY '!I$19,AND($C41="Diesel bus",$D41="Average"),$E41*'CY '!I$20,AND($C41="Diesel bus",$D41="Nearly full"),$E41*'CY '!I$21,AND($C41="Hybrid-electric bus",$D41="Almost empty"),$E41*'CY '!I$11,AND($C41="Hybrid-electric bus",$D41="Average"),$E41*'CY '!I$12,AND($C41="Hybrid-electric bus",$D41="Nearly full"),$E41*'CY '!I$13,AND($C41="Alternative fuel bus",$D41="Almost empty"),$E41*'CY '!I$15,AND($C41="Alternative fuel bus",$D41="Average"),$E41*'CY '!I$16,AND($C41="Alternative fuel bus",$D41="Nearly full"),$E41*'CY '!I$17,AND($C41="Metro, tram, urban light train",$D41="Almost empty"),$E41*'CY '!D$35,AND($C41="Metro, tram, urban light train",$D41="Average"),$E41*'CY '!D$36,AND($C41="Metro, tram, urban light train",$D41="Nearly full"),$E41*'CY '!D$37,AND($C41="Electric passenger train",$D41="Almost empty"),$E41*'CY '!D$39,AND($C41="Electric passenger train",$D41="Average"),$E41*'CY '!D$40,AND($C41="Electric passenger train",$D41="Nearly full"),$E41*'CY '!D$41,AND($C41="Diesel passenger train",$D41="Almost empty"),$E41*'CY '!D$47,AND($C41="Diesel passenger train",$D41="Average"),$E41*'CY '!D$48,AND($C41="Diesel passenger train",$D41="Nearly full"),$E41*'CY '!D$49,AND($C41="Walking"),$E41*0,AND($C41="Bike"),$E41*0,AND($C41="Plane - domestic flight"),$E41*'CY '!$C65,AND($C41="Plane - international - intra EU"),$E41*'CY '!$C67,AND($C41="Plane - international (extra EU)"),$E41*'CY '!$C69)</f>
        <v>#N/A</v>
      </c>
      <c r="H41" s="145"/>
      <c r="I41" s="148">
        <f t="shared" si="6"/>
        <v>0</v>
      </c>
      <c r="J41" s="146" t="e" cm="1">
        <f t="array" ref="J41">_xlfn.IFS(Cyprus!C41="Fuel car",Cyprus!I41*DATA!$C$17,C41="Electric car",Cyprus!I41*DATA!$F$7,Cyprus!C41="Hybrid car",Cyprus!I41*(0.5*DATA!$C$17+0.5*DATA!$F$7))</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car",$D42=1),$E42*'CY '!C$7,AND($C42="Fuel car",$D42=2),$E42*'CY '!C$8,AND($C42="Fuel car",$D42=3),$E42*'CY '!C$9,AND($C42="Fuel car",$D42=4),$E42*'CY '!C$10,AND($C42="Fuel car",$D42=5),$E42*'CY '!C$11,AND($C42="Motorcycle",$D42=1),$E42*'CY '!C$13,AND($C42="Motorcycle",$D42=2),$E42*'CY '!C$14,AND($C42="Electric car",$D42=1),$E42*'CY '!C$16,AND($C42="Electric car",$D42=2),$E42*'CY '!C$17,AND($C42="Electric car",$D42=3),$E42*'CY '!C$18,AND($C42="Electric car",$D42=4),$E42*'CY '!C$19,AND($C42="Electric car",$D42=5),$E42*'CY '!C$20,AND($C42="Hybrid car",$D42=1),$E42*'CY '!C$22,AND($C42="Hybrid car",$D42=2),$E42*'CY '!C$23,AND($C42="Hybrid car",$D42=3),$E42*'CY '!C$24,AND($C42="Hybrid car",$D42=4),$E42*'CY '!C$25,AND($C42="Hybrid car",$D42=5),$E42*'CY '!C$26,AND($C42="Electric motorcycle",$D42=1),$E42*'CY '!C$28,AND($C42="Electric motorcycle",$D42=2),$E42*'CY '!C$29,AND($C42="Electric bike",$D42=1),$E42*'CY '!C$31,AND($C42="Electric scooter",$D42=1),$E42*'CY '!C$33,AND($C42="Bus",$D42="Almost empty"),$E42*'CY '!H$23,AND($C42="Bus",$D42="Average"),$E42*'CY '!H$24,AND($C42="Bus",$D42="Nearly full"),$E42*'CY '!H$25,AND($C42="Electric bus",$D42="Almost empty"),$E42*'CY '!H$7,AND($C42="Electric bus",$D42="Average"),$E42*'CY '!H$8,AND($C42="Electric bus",$D42="Nearly full"),$E42*'CY '!H$9,AND($C42="Diesel bus",$D42="Almost empty"),$E42*'CY '!H$19,AND($C42="Diesel bus",$D42="Average"),$E42*'CY '!H$20,AND($C42="Diesel bus",$D42="Nearly full"),$E42*'CY '!H$21,AND($C42="Hybrid-electric bus",$D42="Almost empty"),$E42*'CY '!H$11,AND($C42="Hybrid-electric bus",$D42="Average"),$E42*'CY '!H$12,AND($C42="Hybrid-electric bus",$D42="Nearly full"),$E42*'CY '!H$13,AND($C42="Alternative fuel bus",$D42="Almost empty"),$E42*'CY '!H$15,AND($C42="Alternative fuel bus",$D42="Average"),$E42*'CY '!H$16,AND($C42="Alternative fuel bus",$D42="Nearly full"),$E42*'CY '!H$17,AND($C42="Metro, tram, urban light train",$D42="Almost empty"),$E42*'CY '!C$35,AND($C42="Metro, tram, urban light train",$D42="Average"),$E42*'CY '!C$36,AND($C42="Metro, tram, urban light train",$D42="Nearly full"),$E42*'CY '!C$37,AND($C42="Electric passenger train",$D42="Almost empty"),$E42*'CY '!C$39,AND($C42="Electric passenger train",$D42="Average"),$E42*'CY '!C$40,AND($C42="Electric passenger train",$D42="Nearly full"),$E42*'CY '!C$41,AND($C42="Diesel passenger train",$D42="Almost empty"),$E42*'CY '!C$47,AND($C42="Diesel passenger train",$D42="Average"),$E42*'CY '!C$48,AND($C42="Diesel passenger train",$D42="Nearly full"),$E42*'CY '!C$49,AND($C42="Walking"),$E42*0,AND($C42="Bike"),$E42*0,AND($C42="Plane - domestic flight"),$E42*'CY '!$C66,AND($C42="Plane - international - intra EU"),$E42*'CY '!$C68,AND($C42="Plane - international (extra EU)"),$E42*'CY '!$C70)</f>
        <v>#N/A</v>
      </c>
      <c r="G42" s="31" t="e" cm="1">
        <f t="array" ref="G42">_xlfn.IFS(AND($C42="Fuel car",$D42=1),$E42*'CY '!D$7,AND($C42="Fuel car",$D42=2),$E42*'CY '!D$8,AND($C42="Fuel car",$D42=3),$E42*'CY '!D$9,AND($C42="Fuel car",$D42=4),$E42*'CY '!D$10,AND($C42="Fuel car",$D42=5),$E42*'CY '!D$11,AND($C42="Motorcycle",$D42=1),$E42*'CY '!D$13,AND($C42="Motorcycle",$D42=2),$E42*'CY '!D$14,AND($C42="Electric car",$D42=1),$E42*'CY '!D$16,AND($C42="Electric car",$D42=2),$E42*'CY '!D$17,AND($C42="Electric car",$D42=3),$E42*'CY '!D$18,AND($C42="Electric car",$D42=4),$E42*'CY '!D$19,AND($C42="Electric car",$D42=5),$E42*'CY '!D$20,AND($C42="Hybrid car",$D42=1),$E42*'CY '!D$22,AND($C42="Hybrid car",$D42=2),$E42*'CY '!D$23,AND($C42="Hybrid car",$D42=3),$E42*'CY '!D$24,AND($C42="Hybrid car",$D42=4),$E42*'CY '!D$25,AND($C42="Hybrid car",$D42=5),$E42*'CY '!D$26,AND($C42="Electric motorcycle",$D42=1),$E42*'CY '!D$28,AND($C42="Electric motorcycle",$D42=2),$E42*'CY '!D$29,AND($C42="Electric bike",$D42=1),$E42*'CY '!D$31,AND($C42="Electric scooter",$D42=1),$E42*'CY '!D$33,AND($C42="Bus",$D42="Almost empty"),$E42*'CY '!I$23,AND($C42="Bus",$D42="Average"),$E42*'CY '!I$24,AND($C42="Bus",$D42="Nearly full"),$E42*'CY '!I$25,AND($C42="Electric bus",$D42="Almost empty"),$E42*'CY '!I$7,AND($C42="Electric bus",$D42="Average"),$E42*'CY '!I$8,AND($C42="Electric bus",$D42="Nearly full"),$E42*'CY '!I$9,AND($C42="Diesel bus",$D42="Almost empty"),$E42*'CY '!I$19,AND($C42="Diesel bus",$D42="Average"),$E42*'CY '!I$20,AND($C42="Diesel bus",$D42="Nearly full"),$E42*'CY '!I$21,AND($C42="Hybrid-electric bus",$D42="Almost empty"),$E42*'CY '!I$11,AND($C42="Hybrid-electric bus",$D42="Average"),$E42*'CY '!I$12,AND($C42="Hybrid-electric bus",$D42="Nearly full"),$E42*'CY '!I$13,AND($C42="Alternative fuel bus",$D42="Almost empty"),$E42*'CY '!I$15,AND($C42="Alternative fuel bus",$D42="Average"),$E42*'CY '!I$16,AND($C42="Alternative fuel bus",$D42="Nearly full"),$E42*'CY '!I$17,AND($C42="Metro, tram, urban light train",$D42="Almost empty"),$E42*'CY '!D$35,AND($C42="Metro, tram, urban light train",$D42="Average"),$E42*'CY '!D$36,AND($C42="Metro, tram, urban light train",$D42="Nearly full"),$E42*'CY '!D$37,AND($C42="Electric passenger train",$D42="Almost empty"),$E42*'CY '!D$39,AND($C42="Electric passenger train",$D42="Average"),$E42*'CY '!D$40,AND($C42="Electric passenger train",$D42="Nearly full"),$E42*'CY '!D$41,AND($C42="Diesel passenger train",$D42="Almost empty"),$E42*'CY '!D$47,AND($C42="Diesel passenger train",$D42="Average"),$E42*'CY '!D$48,AND($C42="Diesel passenger train",$D42="Nearly full"),$E42*'CY '!D$49,AND($C42="Walking"),$E42*0,AND($C42="Bike"),$E42*0,AND($C42="Plane - domestic flight"),$E42*'CY '!$C66,AND($C42="Plane - international - intra EU"),$E42*'CY '!$C68,AND($C42="Plane - international (extra EU)"),$E42*'CY '!$C70)</f>
        <v>#N/A</v>
      </c>
      <c r="H42" s="145"/>
      <c r="I42" s="148">
        <f t="shared" si="6"/>
        <v>0</v>
      </c>
      <c r="J42" s="146" t="e" cm="1">
        <f t="array" ref="J42">_xlfn.IFS(Cyprus!C42="Fuel car",Cyprus!I42*DATA!$C$17,C42="Electric car",Cyprus!I42*DATA!$F$7,Cyprus!C42="Hybrid car",Cyprus!I42*(0.5*DATA!$C$17+0.5*DATA!$F$7))</f>
        <v>#N/A</v>
      </c>
      <c r="L42" s="235"/>
      <c r="M42" s="236"/>
      <c r="N42" s="237"/>
    </row>
    <row r="43" spans="1:14" ht="14.5" customHeight="1" thickBot="1" x14ac:dyDescent="0.25">
      <c r="A43" s="222"/>
      <c r="B43" s="30"/>
      <c r="C43" s="15"/>
      <c r="D43" s="15"/>
      <c r="E43" s="15"/>
      <c r="F43" s="123" t="e" cm="1">
        <f t="array" ref="F43">_xlfn.IFS(AND($C43="Fuel car",$D43=1),$E43*'CY '!C$7,AND($C43="Fuel car",$D43=2),$E43*'CY '!C$8,AND($C43="Fuel car",$D43=3),$E43*'CY '!C$9,AND($C43="Fuel car",$D43=4),$E43*'CY '!C$10,AND($C43="Fuel car",$D43=5),$E43*'CY '!C$11,AND($C43="Motorcycle",$D43=1),$E43*'CY '!C$13,AND($C43="Motorcycle",$D43=2),$E43*'CY '!C$14,AND($C43="Electric car",$D43=1),$E43*'CY '!C$16,AND($C43="Electric car",$D43=2),$E43*'CY '!C$17,AND($C43="Electric car",$D43=3),$E43*'CY '!C$18,AND($C43="Electric car",$D43=4),$E43*'CY '!C$19,AND($C43="Electric car",$D43=5),$E43*'CY '!C$20,AND($C43="Hybrid car",$D43=1),$E43*'CY '!C$22,AND($C43="Hybrid car",$D43=2),$E43*'CY '!C$23,AND($C43="Hybrid car",$D43=3),$E43*'CY '!C$24,AND($C43="Hybrid car",$D43=4),$E43*'CY '!C$25,AND($C43="Hybrid car",$D43=5),$E43*'CY '!C$26,AND($C43="Electric motorcycle",$D43=1),$E43*'CY '!C$28,AND($C43="Electric motorcycle",$D43=2),$E43*'CY '!C$29,AND($C43="Electric bike",$D43=1),$E43*'CY '!C$31,AND($C43="Electric scooter",$D43=1),$E43*'CY '!C$33,AND($C43="Bus",$D43="Almost empty"),$E43*'CY '!H$23,AND($C43="Bus",$D43="Average"),$E43*'CY '!H$24,AND($C43="Bus",$D43="Nearly full"),$E43*'CY '!H$25,AND($C43="Electric bus",$D43="Almost empty"),$E43*'CY '!H$7,AND($C43="Electric bus",$D43="Average"),$E43*'CY '!H$8,AND($C43="Electric bus",$D43="Nearly full"),$E43*'CY '!H$9,AND($C43="Diesel bus",$D43="Almost empty"),$E43*'CY '!H$19,AND($C43="Diesel bus",$D43="Average"),$E43*'CY '!H$20,AND($C43="Diesel bus",$D43="Nearly full"),$E43*'CY '!H$21,AND($C43="Hybrid-electric bus",$D43="Almost empty"),$E43*'CY '!H$11,AND($C43="Hybrid-electric bus",$D43="Average"),$E43*'CY '!H$12,AND($C43="Hybrid-electric bus",$D43="Nearly full"),$E43*'CY '!H$13,AND($C43="Alternative fuel bus",$D43="Almost empty"),$E43*'CY '!H$15,AND($C43="Alternative fuel bus",$D43="Average"),$E43*'CY '!H$16,AND($C43="Alternative fuel bus",$D43="Nearly full"),$E43*'CY '!H$17,AND($C43="Metro, tram, urban light train",$D43="Almost empty"),$E43*'CY '!C$35,AND($C43="Metro, tram, urban light train",$D43="Average"),$E43*'CY '!C$36,AND($C43="Metro, tram, urban light train",$D43="Nearly full"),$E43*'CY '!C$37,AND($C43="Electric passenger train",$D43="Almost empty"),$E43*'CY '!C$39,AND($C43="Electric passenger train",$D43="Average"),$E43*'CY '!C$40,AND($C43="Electric passenger train",$D43="Nearly full"),$E43*'CY '!C$41,AND($C43="Diesel passenger train",$D43="Almost empty"),$E43*'CY '!C$47,AND($C43="Diesel passenger train",$D43="Average"),$E43*'CY '!C$48,AND($C43="Diesel passenger train",$D43="Nearly full"),$E43*'CY '!C$49,AND($C43="Walking"),$E43*0,AND($C43="Bike"),$E43*0,AND($C43="Plane - domestic flight"),$E43*'CY '!$C67,AND($C43="Plane - international - intra EU"),$E43*'CY '!$C69,AND($C43="Plane - international (extra EU)"),$E43*'CY '!$C71)</f>
        <v>#N/A</v>
      </c>
      <c r="G43" s="31" t="e" cm="1">
        <f t="array" ref="G43">_xlfn.IFS(AND($C43="Fuel car",$D43=1),$E43*'CY '!D$7,AND($C43="Fuel car",$D43=2),$E43*'CY '!D$8,AND($C43="Fuel car",$D43=3),$E43*'CY '!D$9,AND($C43="Fuel car",$D43=4),$E43*'CY '!D$10,AND($C43="Fuel car",$D43=5),$E43*'CY '!D$11,AND($C43="Motorcycle",$D43=1),$E43*'CY '!D$13,AND($C43="Motorcycle",$D43=2),$E43*'CY '!D$14,AND($C43="Electric car",$D43=1),$E43*'CY '!D$16,AND($C43="Electric car",$D43=2),$E43*'CY '!D$17,AND($C43="Electric car",$D43=3),$E43*'CY '!D$18,AND($C43="Electric car",$D43=4),$E43*'CY '!D$19,AND($C43="Electric car",$D43=5),$E43*'CY '!D$20,AND($C43="Hybrid car",$D43=1),$E43*'CY '!D$22,AND($C43="Hybrid car",$D43=2),$E43*'CY '!D$23,AND($C43="Hybrid car",$D43=3),$E43*'CY '!D$24,AND($C43="Hybrid car",$D43=4),$E43*'CY '!D$25,AND($C43="Hybrid car",$D43=5),$E43*'CY '!D$26,AND($C43="Electric motorcycle",$D43=1),$E43*'CY '!D$28,AND($C43="Electric motorcycle",$D43=2),$E43*'CY '!D$29,AND($C43="Electric bike",$D43=1),$E43*'CY '!D$31,AND($C43="Electric scooter",$D43=1),$E43*'CY '!D$33,AND($C43="Bus",$D43="Almost empty"),$E43*'CY '!I$23,AND($C43="Bus",$D43="Average"),$E43*'CY '!I$24,AND($C43="Bus",$D43="Nearly full"),$E43*'CY '!I$25,AND($C43="Electric bus",$D43="Almost empty"),$E43*'CY '!I$7,AND($C43="Electric bus",$D43="Average"),$E43*'CY '!I$8,AND($C43="Electric bus",$D43="Nearly full"),$E43*'CY '!I$9,AND($C43="Diesel bus",$D43="Almost empty"),$E43*'CY '!I$19,AND($C43="Diesel bus",$D43="Average"),$E43*'CY '!I$20,AND($C43="Diesel bus",$D43="Nearly full"),$E43*'CY '!I$21,AND($C43="Hybrid-electric bus",$D43="Almost empty"),$E43*'CY '!I$11,AND($C43="Hybrid-electric bus",$D43="Average"),$E43*'CY '!I$12,AND($C43="Hybrid-electric bus",$D43="Nearly full"),$E43*'CY '!I$13,AND($C43="Alternative fuel bus",$D43="Almost empty"),$E43*'CY '!I$15,AND($C43="Alternative fuel bus",$D43="Average"),$E43*'CY '!I$16,AND($C43="Alternative fuel bus",$D43="Nearly full"),$E43*'CY '!I$17,AND($C43="Metro, tram, urban light train",$D43="Almost empty"),$E43*'CY '!D$35,AND($C43="Metro, tram, urban light train",$D43="Average"),$E43*'CY '!D$36,AND($C43="Metro, tram, urban light train",$D43="Nearly full"),$E43*'CY '!D$37,AND($C43="Electric passenger train",$D43="Almost empty"),$E43*'CY '!D$39,AND($C43="Electric passenger train",$D43="Average"),$E43*'CY '!D$40,AND($C43="Electric passenger train",$D43="Nearly full"),$E43*'CY '!D$41,AND($C43="Diesel passenger train",$D43="Almost empty"),$E43*'CY '!D$47,AND($C43="Diesel passenger train",$D43="Average"),$E43*'CY '!D$48,AND($C43="Diesel passenger train",$D43="Nearly full"),$E43*'CY '!D$49,AND($C43="Walking"),$E43*0,AND($C43="Bike"),$E43*0,AND($C43="Plane - domestic flight"),$E43*'CY '!$C67,AND($C43="Plane - international - intra EU"),$E43*'CY '!$C69,AND($C43="Plane - international (extra EU)"),$E43*'CY '!$C71)</f>
        <v>#N/A</v>
      </c>
      <c r="H43" s="109"/>
      <c r="I43" s="154">
        <f t="shared" si="6"/>
        <v>0</v>
      </c>
      <c r="J43" s="147" t="e" cm="1">
        <f t="array" ref="J43">_xlfn.IFS(Cyprus!C43="Fuel car",Cyprus!I43*DATA!$C$17,C43="Electric car",Cyprus!I43*DATA!$F$7,Cyprus!C43="Hybrid car",Cyprus!I43*(0.5*DATA!$C$17+0.5*DATA!$F$7))</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car",$D44=1),$E44*'CY '!C$7,AND($C44="Fuel car",$D44=2),$E44*'CY '!C$8,AND($C44="Fuel car",$D44=3),$E44*'CY '!C$9,AND($C44="Fuel car",$D44=4),$E44*'CY '!C$10,AND($C44="Fuel car",$D44=5),$E44*'CY '!C$11,AND($C44="Motorcycle",$D44=1),$E44*'CY '!C$13,AND($C44="Motorcycle",$D44=2),$E44*'CY '!C$14,AND($C44="Electric car",$D44=1),$E44*'CY '!C$16,AND($C44="Electric car",$D44=2),$E44*'CY '!C$17,AND($C44="Electric car",$D44=3),$E44*'CY '!C$18,AND($C44="Electric car",$D44=4),$E44*'CY '!C$19,AND($C44="Electric car",$D44=5),$E44*'CY '!C$20,AND($C44="Hybrid car",$D44=1),$E44*'CY '!C$22,AND($C44="Hybrid car",$D44=2),$E44*'CY '!C$23,AND($C44="Hybrid car",$D44=3),$E44*'CY '!C$24,AND($C44="Hybrid car",$D44=4),$E44*'CY '!C$25,AND($C44="Hybrid car",$D44=5),$E44*'CY '!C$26,AND($C44="Electric motorcycle",$D44=1),$E44*'CY '!C$28,AND($C44="Electric motorcycle",$D44=2),$E44*'CY '!C$29,AND($C44="Electric bike",$D44=1),$E44*'CY '!C$31,AND($C44="Electric scooter",$D44=1),$E44*'CY '!C$33,AND($C44="Bus",$D44="Almost empty"),$E44*'CY '!H$23,AND($C44="Bus",$D44="Average"),$E44*'CY '!H$24,AND($C44="Bus",$D44="Nearly full"),$E44*'CY '!H$25,AND($C44="Electric bus",$D44="Almost empty"),$E44*'CY '!H$7,AND($C44="Electric bus",$D44="Average"),$E44*'CY '!H$8,AND($C44="Electric bus",$D44="Nearly full"),$E44*'CY '!H$9,AND($C44="Diesel bus",$D44="Almost empty"),$E44*'CY '!H$19,AND($C44="Diesel bus",$D44="Average"),$E44*'CY '!H$20,AND($C44="Diesel bus",$D44="Nearly full"),$E44*'CY '!H$21,AND($C44="Hybrid-electric bus",$D44="Almost empty"),$E44*'CY '!H$11,AND($C44="Hybrid-electric bus",$D44="Average"),$E44*'CY '!H$12,AND($C44="Hybrid-electric bus",$D44="Nearly full"),$E44*'CY '!H$13,AND($C44="Alternative fuel bus",$D44="Almost empty"),$E44*'CY '!H$15,AND($C44="Alternative fuel bus",$D44="Average"),$E44*'CY '!H$16,AND($C44="Alternative fuel bus",$D44="Nearly full"),$E44*'CY '!H$17,AND($C44="Metro, tram, urban light train",$D44="Almost empty"),$E44*'CY '!C$35,AND($C44="Metro, tram, urban light train",$D44="Average"),$E44*'CY '!C$36,AND($C44="Metro, tram, urban light train",$D44="Nearly full"),$E44*'CY '!C$37,AND($C44="Electric passenger train",$D44="Almost empty"),$E44*'CY '!C$39,AND($C44="Electric passenger train",$D44="Average"),$E44*'CY '!C$40,AND($C44="Electric passenger train",$D44="Nearly full"),$E44*'CY '!C$41,AND($C44="Diesel passenger train",$D44="Almost empty"),$E44*'CY '!C$47,AND($C44="Diesel passenger train",$D44="Average"),$E44*'CY '!C$48,AND($C44="Diesel passenger train",$D44="Nearly full"),$E44*'CY '!C$49,AND($C44="Walking"),$E44*0,AND($C44="Bike"),$E44*0,AND($C44="Plane - domestic flight"),$E44*'CY '!$C68,AND($C44="Plane - international - intra EU"),$E44*'CY '!$C70,AND($C44="Plane - international (extra EU)"),$E44*'CY '!$C72)</f>
        <v>#N/A</v>
      </c>
      <c r="G44" s="31" t="e" cm="1">
        <f t="array" ref="G44">_xlfn.IFS(AND($C44="Fuel car",$D44=1),$E44*'CY '!D$7,AND($C44="Fuel car",$D44=2),$E44*'CY '!D$8,AND($C44="Fuel car",$D44=3),$E44*'CY '!D$9,AND($C44="Fuel car",$D44=4),$E44*'CY '!D$10,AND($C44="Fuel car",$D44=5),$E44*'CY '!D$11,AND($C44="Motorcycle",$D44=1),$E44*'CY '!D$13,AND($C44="Motorcycle",$D44=2),$E44*'CY '!D$14,AND($C44="Electric car",$D44=1),$E44*'CY '!D$16,AND($C44="Electric car",$D44=2),$E44*'CY '!D$17,AND($C44="Electric car",$D44=3),$E44*'CY '!D$18,AND($C44="Electric car",$D44=4),$E44*'CY '!D$19,AND($C44="Electric car",$D44=5),$E44*'CY '!D$20,AND($C44="Hybrid car",$D44=1),$E44*'CY '!D$22,AND($C44="Hybrid car",$D44=2),$E44*'CY '!D$23,AND($C44="Hybrid car",$D44=3),$E44*'CY '!D$24,AND($C44="Hybrid car",$D44=4),$E44*'CY '!D$25,AND($C44="Hybrid car",$D44=5),$E44*'CY '!D$26,AND($C44="Electric motorcycle",$D44=1),$E44*'CY '!D$28,AND($C44="Electric motorcycle",$D44=2),$E44*'CY '!D$29,AND($C44="Electric bike",$D44=1),$E44*'CY '!D$31,AND($C44="Electric scooter",$D44=1),$E44*'CY '!D$33,AND($C44="Bus",$D44="Almost empty"),$E44*'CY '!I$23,AND($C44="Bus",$D44="Average"),$E44*'CY '!I$24,AND($C44="Bus",$D44="Nearly full"),$E44*'CY '!I$25,AND($C44="Electric bus",$D44="Almost empty"),$E44*'CY '!I$7,AND($C44="Electric bus",$D44="Average"),$E44*'CY '!I$8,AND($C44="Electric bus",$D44="Nearly full"),$E44*'CY '!I$9,AND($C44="Diesel bus",$D44="Almost empty"),$E44*'CY '!I$19,AND($C44="Diesel bus",$D44="Average"),$E44*'CY '!I$20,AND($C44="Diesel bus",$D44="Nearly full"),$E44*'CY '!I$21,AND($C44="Hybrid-electric bus",$D44="Almost empty"),$E44*'CY '!I$11,AND($C44="Hybrid-electric bus",$D44="Average"),$E44*'CY '!I$12,AND($C44="Hybrid-electric bus",$D44="Nearly full"),$E44*'CY '!I$13,AND($C44="Alternative fuel bus",$D44="Almost empty"),$E44*'CY '!I$15,AND($C44="Alternative fuel bus",$D44="Average"),$E44*'CY '!I$16,AND($C44="Alternative fuel bus",$D44="Nearly full"),$E44*'CY '!I$17,AND($C44="Metro, tram, urban light train",$D44="Almost empty"),$E44*'CY '!D$35,AND($C44="Metro, tram, urban light train",$D44="Average"),$E44*'CY '!D$36,AND($C44="Metro, tram, urban light train",$D44="Nearly full"),$E44*'CY '!D$37,AND($C44="Electric passenger train",$D44="Almost empty"),$E44*'CY '!D$39,AND($C44="Electric passenger train",$D44="Average"),$E44*'CY '!D$40,AND($C44="Electric passenger train",$D44="Nearly full"),$E44*'CY '!D$41,AND($C44="Diesel passenger train",$D44="Almost empty"),$E44*'CY '!D$47,AND($C44="Diesel passenger train",$D44="Average"),$E44*'CY '!D$48,AND($C44="Diesel passenger train",$D44="Nearly full"),$E44*'CY '!D$49,AND($C44="Walking"),$E44*0,AND($C44="Bike"),$E44*0,AND($C44="Plane - domestic flight"),$E44*'CY '!$C68,AND($C44="Plane - international - intra EU"),$E44*'CY '!$C70,AND($C44="Plane - international (extra EU)"),$E44*'CY '!$C72)</f>
        <v>#N/A</v>
      </c>
      <c r="L44" s="218"/>
      <c r="M44" s="219"/>
      <c r="N44" s="220"/>
    </row>
    <row r="45" spans="1:14" ht="14.5" customHeight="1" x14ac:dyDescent="0.2">
      <c r="A45" s="222"/>
      <c r="B45" s="30"/>
      <c r="C45" s="15"/>
      <c r="D45" s="15"/>
      <c r="E45" s="15"/>
      <c r="F45" s="123" t="e" cm="1">
        <f t="array" ref="F45">_xlfn.IFS(AND($C45="Fuel car",$D45=1),$E45*'CY '!C$7,AND($C45="Fuel car",$D45=2),$E45*'CY '!C$8,AND($C45="Fuel car",$D45=3),$E45*'CY '!C$9,AND($C45="Fuel car",$D45=4),$E45*'CY '!C$10,AND($C45="Fuel car",$D45=5),$E45*'CY '!C$11,AND($C45="Motorcycle",$D45=1),$E45*'CY '!C$13,AND($C45="Motorcycle",$D45=2),$E45*'CY '!C$14,AND($C45="Electric car",$D45=1),$E45*'CY '!C$16,AND($C45="Electric car",$D45=2),$E45*'CY '!C$17,AND($C45="Electric car",$D45=3),$E45*'CY '!C$18,AND($C45="Electric car",$D45=4),$E45*'CY '!C$19,AND($C45="Electric car",$D45=5),$E45*'CY '!C$20,AND($C45="Hybrid car",$D45=1),$E45*'CY '!C$22,AND($C45="Hybrid car",$D45=2),$E45*'CY '!C$23,AND($C45="Hybrid car",$D45=3),$E45*'CY '!C$24,AND($C45="Hybrid car",$D45=4),$E45*'CY '!C$25,AND($C45="Hybrid car",$D45=5),$E45*'CY '!C$26,AND($C45="Electric motorcycle",$D45=1),$E45*'CY '!C$28,AND($C45="Electric motorcycle",$D45=2),$E45*'CY '!C$29,AND($C45="Electric bike",$D45=1),$E45*'CY '!C$31,AND($C45="Electric scooter",$D45=1),$E45*'CY '!C$33,AND($C45="Bus",$D45="Almost empty"),$E45*'CY '!H$23,AND($C45="Bus",$D45="Average"),$E45*'CY '!H$24,AND($C45="Bus",$D45="Nearly full"),$E45*'CY '!H$25,AND($C45="Electric bus",$D45="Almost empty"),$E45*'CY '!H$7,AND($C45="Electric bus",$D45="Average"),$E45*'CY '!H$8,AND($C45="Electric bus",$D45="Nearly full"),$E45*'CY '!H$9,AND($C45="Diesel bus",$D45="Almost empty"),$E45*'CY '!H$19,AND($C45="Diesel bus",$D45="Average"),$E45*'CY '!H$20,AND($C45="Diesel bus",$D45="Nearly full"),$E45*'CY '!H$21,AND($C45="Hybrid-electric bus",$D45="Almost empty"),$E45*'CY '!H$11,AND($C45="Hybrid-electric bus",$D45="Average"),$E45*'CY '!H$12,AND($C45="Hybrid-electric bus",$D45="Nearly full"),$E45*'CY '!H$13,AND($C45="Alternative fuel bus",$D45="Almost empty"),$E45*'CY '!H$15,AND($C45="Alternative fuel bus",$D45="Average"),$E45*'CY '!H$16,AND($C45="Alternative fuel bus",$D45="Nearly full"),$E45*'CY '!H$17,AND($C45="Metro, tram, urban light train",$D45="Almost empty"),$E45*'CY '!C$35,AND($C45="Metro, tram, urban light train",$D45="Average"),$E45*'CY '!C$36,AND($C45="Metro, tram, urban light train",$D45="Nearly full"),$E45*'CY '!C$37,AND($C45="Electric passenger train",$D45="Almost empty"),$E45*'CY '!C$39,AND($C45="Electric passenger train",$D45="Average"),$E45*'CY '!C$40,AND($C45="Electric passenger train",$D45="Nearly full"),$E45*'CY '!C$41,AND($C45="Diesel passenger train",$D45="Almost empty"),$E45*'CY '!C$47,AND($C45="Diesel passenger train",$D45="Average"),$E45*'CY '!C$48,AND($C45="Diesel passenger train",$D45="Nearly full"),$E45*'CY '!C$49,AND($C45="Walking"),$E45*0,AND($C45="Bike"),$E45*0,AND($C45="Plane - domestic flight"),$E45*'CY '!$C69,AND($C45="Plane - international - intra EU"),$E45*'CY '!$C71,AND($C45="Plane - international (extra EU)"),$E45*'CY '!$C73)</f>
        <v>#N/A</v>
      </c>
      <c r="G45" s="31" t="e" cm="1">
        <f t="array" ref="G45">_xlfn.IFS(AND($C45="Fuel car",$D45=1),$E45*'CY '!D$7,AND($C45="Fuel car",$D45=2),$E45*'CY '!D$8,AND($C45="Fuel car",$D45=3),$E45*'CY '!D$9,AND($C45="Fuel car",$D45=4),$E45*'CY '!D$10,AND($C45="Fuel car",$D45=5),$E45*'CY '!D$11,AND($C45="Motorcycle",$D45=1),$E45*'CY '!D$13,AND($C45="Motorcycle",$D45=2),$E45*'CY '!D$14,AND($C45="Electric car",$D45=1),$E45*'CY '!D$16,AND($C45="Electric car",$D45=2),$E45*'CY '!D$17,AND($C45="Electric car",$D45=3),$E45*'CY '!D$18,AND($C45="Electric car",$D45=4),$E45*'CY '!D$19,AND($C45="Electric car",$D45=5),$E45*'CY '!D$20,AND($C45="Hybrid car",$D45=1),$E45*'CY '!D$22,AND($C45="Hybrid car",$D45=2),$E45*'CY '!D$23,AND($C45="Hybrid car",$D45=3),$E45*'CY '!D$24,AND($C45="Hybrid car",$D45=4),$E45*'CY '!D$25,AND($C45="Hybrid car",$D45=5),$E45*'CY '!D$26,AND($C45="Electric motorcycle",$D45=1),$E45*'CY '!D$28,AND($C45="Electric motorcycle",$D45=2),$E45*'CY '!D$29,AND($C45="Electric bike",$D45=1),$E45*'CY '!D$31,AND($C45="Electric scooter",$D45=1),$E45*'CY '!D$33,AND($C45="Bus",$D45="Almost empty"),$E45*'CY '!I$23,AND($C45="Bus",$D45="Average"),$E45*'CY '!I$24,AND($C45="Bus",$D45="Nearly full"),$E45*'CY '!I$25,AND($C45="Electric bus",$D45="Almost empty"),$E45*'CY '!I$7,AND($C45="Electric bus",$D45="Average"),$E45*'CY '!I$8,AND($C45="Electric bus",$D45="Nearly full"),$E45*'CY '!I$9,AND($C45="Diesel bus",$D45="Almost empty"),$E45*'CY '!I$19,AND($C45="Diesel bus",$D45="Average"),$E45*'CY '!I$20,AND($C45="Diesel bus",$D45="Nearly full"),$E45*'CY '!I$21,AND($C45="Hybrid-electric bus",$D45="Almost empty"),$E45*'CY '!I$11,AND($C45="Hybrid-electric bus",$D45="Average"),$E45*'CY '!I$12,AND($C45="Hybrid-electric bus",$D45="Nearly full"),$E45*'CY '!I$13,AND($C45="Alternative fuel bus",$D45="Almost empty"),$E45*'CY '!I$15,AND($C45="Alternative fuel bus",$D45="Average"),$E45*'CY '!I$16,AND($C45="Alternative fuel bus",$D45="Nearly full"),$E45*'CY '!I$17,AND($C45="Metro, tram, urban light train",$D45="Almost empty"),$E45*'CY '!D$35,AND($C45="Metro, tram, urban light train",$D45="Average"),$E45*'CY '!D$36,AND($C45="Metro, tram, urban light train",$D45="Nearly full"),$E45*'CY '!D$37,AND($C45="Electric passenger train",$D45="Almost empty"),$E45*'CY '!D$39,AND($C45="Electric passenger train",$D45="Average"),$E45*'CY '!D$40,AND($C45="Electric passenger train",$D45="Nearly full"),$E45*'CY '!D$41,AND($C45="Diesel passenger train",$D45="Almost empty"),$E45*'CY '!D$47,AND($C45="Diesel passenger train",$D45="Average"),$E45*'CY '!D$48,AND($C45="Diesel passenger train",$D45="Nearly full"),$E45*'CY '!D$49,AND($C45="Walking"),$E45*0,AND($C45="Bike"),$E45*0,AND($C45="Plane - domestic flight"),$E45*'CY '!$C69,AND($C45="Plane - international - intra EU"),$E45*'CY '!$C71,AND($C45="Plane - international (extra EU)"),$E45*'CY '!$C73)</f>
        <v>#N/A</v>
      </c>
      <c r="L45" s="198" t="s">
        <v>256</v>
      </c>
      <c r="M45" s="199"/>
      <c r="N45" s="200"/>
    </row>
    <row r="46" spans="1:14" ht="16" thickBot="1" x14ac:dyDescent="0.25">
      <c r="A46" s="222"/>
      <c r="B46" s="30"/>
      <c r="C46" s="15"/>
      <c r="D46" s="15"/>
      <c r="E46" s="15"/>
      <c r="F46" s="123" t="e" cm="1">
        <f t="array" ref="F46">_xlfn.IFS(AND($C46="Fuel car",$D46=1),$E46*'CY '!C$7,AND($C46="Fuel car",$D46=2),$E46*'CY '!C$8,AND($C46="Fuel car",$D46=3),$E46*'CY '!C$9,AND($C46="Fuel car",$D46=4),$E46*'CY '!C$10,AND($C46="Fuel car",$D46=5),$E46*'CY '!C$11,AND($C46="Motorcycle",$D46=1),$E46*'CY '!C$13,AND($C46="Motorcycle",$D46=2),$E46*'CY '!C$14,AND($C46="Electric car",$D46=1),$E46*'CY '!C$16,AND($C46="Electric car",$D46=2),$E46*'CY '!C$17,AND($C46="Electric car",$D46=3),$E46*'CY '!C$18,AND($C46="Electric car",$D46=4),$E46*'CY '!C$19,AND($C46="Electric car",$D46=5),$E46*'CY '!C$20,AND($C46="Hybrid car",$D46=1),$E46*'CY '!C$22,AND($C46="Hybrid car",$D46=2),$E46*'CY '!C$23,AND($C46="Hybrid car",$D46=3),$E46*'CY '!C$24,AND($C46="Hybrid car",$D46=4),$E46*'CY '!C$25,AND($C46="Hybrid car",$D46=5),$E46*'CY '!C$26,AND($C46="Electric motorcycle",$D46=1),$E46*'CY '!C$28,AND($C46="Electric motorcycle",$D46=2),$E46*'CY '!C$29,AND($C46="Electric bike",$D46=1),$E46*'CY '!C$31,AND($C46="Electric scooter",$D46=1),$E46*'CY '!C$33,AND($C46="Bus",$D46="Almost empty"),$E46*'CY '!H$23,AND($C46="Bus",$D46="Average"),$E46*'CY '!H$24,AND($C46="Bus",$D46="Nearly full"),$E46*'CY '!H$25,AND($C46="Electric bus",$D46="Almost empty"),$E46*'CY '!H$7,AND($C46="Electric bus",$D46="Average"),$E46*'CY '!H$8,AND($C46="Electric bus",$D46="Nearly full"),$E46*'CY '!H$9,AND($C46="Diesel bus",$D46="Almost empty"),$E46*'CY '!H$19,AND($C46="Diesel bus",$D46="Average"),$E46*'CY '!H$20,AND($C46="Diesel bus",$D46="Nearly full"),$E46*'CY '!H$21,AND($C46="Hybrid-electric bus",$D46="Almost empty"),$E46*'CY '!H$11,AND($C46="Hybrid-electric bus",$D46="Average"),$E46*'CY '!H$12,AND($C46="Hybrid-electric bus",$D46="Nearly full"),$E46*'CY '!H$13,AND($C46="Alternative fuel bus",$D46="Almost empty"),$E46*'CY '!H$15,AND($C46="Alternative fuel bus",$D46="Average"),$E46*'CY '!H$16,AND($C46="Alternative fuel bus",$D46="Nearly full"),$E46*'CY '!H$17,AND($C46="Metro, tram, urban light train",$D46="Almost empty"),$E46*'CY '!C$35,AND($C46="Metro, tram, urban light train",$D46="Average"),$E46*'CY '!C$36,AND($C46="Metro, tram, urban light train",$D46="Nearly full"),$E46*'CY '!C$37,AND($C46="Electric passenger train",$D46="Almost empty"),$E46*'CY '!C$39,AND($C46="Electric passenger train",$D46="Average"),$E46*'CY '!C$40,AND($C46="Electric passenger train",$D46="Nearly full"),$E46*'CY '!C$41,AND($C46="Diesel passenger train",$D46="Almost empty"),$E46*'CY '!C$47,AND($C46="Diesel passenger train",$D46="Average"),$E46*'CY '!C$48,AND($C46="Diesel passenger train",$D46="Nearly full"),$E46*'CY '!C$49,AND($C46="Walking"),$E46*0,AND($C46="Bike"),$E46*0,AND($C46="Plane - domestic flight"),$E46*'CY '!$C70,AND($C46="Plane - international - intra EU"),$E46*'CY '!$C72,AND($C46="Plane - international (extra EU)"),$E46*'CY '!$C74)</f>
        <v>#N/A</v>
      </c>
      <c r="G46" s="31" t="e" cm="1">
        <f t="array" ref="G46">_xlfn.IFS(AND($C46="Fuel car",$D46=1),$E46*'CY '!D$7,AND($C46="Fuel car",$D46=2),$E46*'CY '!D$8,AND($C46="Fuel car",$D46=3),$E46*'CY '!D$9,AND($C46="Fuel car",$D46=4),$E46*'CY '!D$10,AND($C46="Fuel car",$D46=5),$E46*'CY '!D$11,AND($C46="Motorcycle",$D46=1),$E46*'CY '!D$13,AND($C46="Motorcycle",$D46=2),$E46*'CY '!D$14,AND($C46="Electric car",$D46=1),$E46*'CY '!D$16,AND($C46="Electric car",$D46=2),$E46*'CY '!D$17,AND($C46="Electric car",$D46=3),$E46*'CY '!D$18,AND($C46="Electric car",$D46=4),$E46*'CY '!D$19,AND($C46="Electric car",$D46=5),$E46*'CY '!D$20,AND($C46="Hybrid car",$D46=1),$E46*'CY '!D$22,AND($C46="Hybrid car",$D46=2),$E46*'CY '!D$23,AND($C46="Hybrid car",$D46=3),$E46*'CY '!D$24,AND($C46="Hybrid car",$D46=4),$E46*'CY '!D$25,AND($C46="Hybrid car",$D46=5),$E46*'CY '!D$26,AND($C46="Electric motorcycle",$D46=1),$E46*'CY '!D$28,AND($C46="Electric motorcycle",$D46=2),$E46*'CY '!D$29,AND($C46="Electric bike",$D46=1),$E46*'CY '!D$31,AND($C46="Electric scooter",$D46=1),$E46*'CY '!D$33,AND($C46="Bus",$D46="Almost empty"),$E46*'CY '!I$23,AND($C46="Bus",$D46="Average"),$E46*'CY '!I$24,AND($C46="Bus",$D46="Nearly full"),$E46*'CY '!I$25,AND($C46="Electric bus",$D46="Almost empty"),$E46*'CY '!I$7,AND($C46="Electric bus",$D46="Average"),$E46*'CY '!I$8,AND($C46="Electric bus",$D46="Nearly full"),$E46*'CY '!I$9,AND($C46="Diesel bus",$D46="Almost empty"),$E46*'CY '!I$19,AND($C46="Diesel bus",$D46="Average"),$E46*'CY '!I$20,AND($C46="Diesel bus",$D46="Nearly full"),$E46*'CY '!I$21,AND($C46="Hybrid-electric bus",$D46="Almost empty"),$E46*'CY '!I$11,AND($C46="Hybrid-electric bus",$D46="Average"),$E46*'CY '!I$12,AND($C46="Hybrid-electric bus",$D46="Nearly full"),$E46*'CY '!I$13,AND($C46="Alternative fuel bus",$D46="Almost empty"),$E46*'CY '!I$15,AND($C46="Alternative fuel bus",$D46="Average"),$E46*'CY '!I$16,AND($C46="Alternative fuel bus",$D46="Nearly full"),$E46*'CY '!I$17,AND($C46="Metro, tram, urban light train",$D46="Almost empty"),$E46*'CY '!D$35,AND($C46="Metro, tram, urban light train",$D46="Average"),$E46*'CY '!D$36,AND($C46="Metro, tram, urban light train",$D46="Nearly full"),$E46*'CY '!D$37,AND($C46="Electric passenger train",$D46="Almost empty"),$E46*'CY '!D$39,AND($C46="Electric passenger train",$D46="Average"),$E46*'CY '!D$40,AND($C46="Electric passenger train",$D46="Nearly full"),$E46*'CY '!D$41,AND($C46="Diesel passenger train",$D46="Almost empty"),$E46*'CY '!D$47,AND($C46="Diesel passenger train",$D46="Average"),$E46*'CY '!D$48,AND($C46="Diesel passenger train",$D46="Nearly full"),$E46*'CY '!D$49,AND($C46="Walking"),$E46*0,AND($C46="Bike"),$E46*0,AND($C46="Plane - domestic flight"),$E46*'CY '!$C70,AND($C46="Plane - international - intra EU"),$E46*'CY '!$C72,AND($C46="Plane - international (extra EU)"),$E46*'CY '!$C74)</f>
        <v>#N/A</v>
      </c>
      <c r="L46" s="246"/>
      <c r="M46" s="247"/>
      <c r="N46" s="248"/>
    </row>
    <row r="47" spans="1:14" ht="20" thickBot="1" x14ac:dyDescent="0.25">
      <c r="A47" s="222"/>
      <c r="B47" s="30"/>
      <c r="C47" s="15"/>
      <c r="D47" s="15"/>
      <c r="E47" s="15"/>
      <c r="F47" s="123" t="e" cm="1">
        <f t="array" ref="F47">_xlfn.IFS(AND($C47="Fuel car",$D47=1),$E47*'CY '!C$7,AND($C47="Fuel car",$D47=2),$E47*'CY '!C$8,AND($C47="Fuel car",$D47=3),$E47*'CY '!C$9,AND($C47="Fuel car",$D47=4),$E47*'CY '!C$10,AND($C47="Fuel car",$D47=5),$E47*'CY '!C$11,AND($C47="Motorcycle",$D47=1),$E47*'CY '!C$13,AND($C47="Motorcycle",$D47=2),$E47*'CY '!C$14,AND($C47="Electric car",$D47=1),$E47*'CY '!C$16,AND($C47="Electric car",$D47=2),$E47*'CY '!C$17,AND($C47="Electric car",$D47=3),$E47*'CY '!C$18,AND($C47="Electric car",$D47=4),$E47*'CY '!C$19,AND($C47="Electric car",$D47=5),$E47*'CY '!C$20,AND($C47="Hybrid car",$D47=1),$E47*'CY '!C$22,AND($C47="Hybrid car",$D47=2),$E47*'CY '!C$23,AND($C47="Hybrid car",$D47=3),$E47*'CY '!C$24,AND($C47="Hybrid car",$D47=4),$E47*'CY '!C$25,AND($C47="Hybrid car",$D47=5),$E47*'CY '!C$26,AND($C47="Electric motorcycle",$D47=1),$E47*'CY '!C$28,AND($C47="Electric motorcycle",$D47=2),$E47*'CY '!C$29,AND($C47="Electric bike",$D47=1),$E47*'CY '!C$31,AND($C47="Electric scooter",$D47=1),$E47*'CY '!C$33,AND($C47="Bus",$D47="Almost empty"),$E47*'CY '!H$23,AND($C47="Bus",$D47="Average"),$E47*'CY '!H$24,AND($C47="Bus",$D47="Nearly full"),$E47*'CY '!H$25,AND($C47="Electric bus",$D47="Almost empty"),$E47*'CY '!H$7,AND($C47="Electric bus",$D47="Average"),$E47*'CY '!H$8,AND($C47="Electric bus",$D47="Nearly full"),$E47*'CY '!H$9,AND($C47="Diesel bus",$D47="Almost empty"),$E47*'CY '!H$19,AND($C47="Diesel bus",$D47="Average"),$E47*'CY '!H$20,AND($C47="Diesel bus",$D47="Nearly full"),$E47*'CY '!H$21,AND($C47="Hybrid-electric bus",$D47="Almost empty"),$E47*'CY '!H$11,AND($C47="Hybrid-electric bus",$D47="Average"),$E47*'CY '!H$12,AND($C47="Hybrid-electric bus",$D47="Nearly full"),$E47*'CY '!H$13,AND($C47="Alternative fuel bus",$D47="Almost empty"),$E47*'CY '!H$15,AND($C47="Alternative fuel bus",$D47="Average"),$E47*'CY '!H$16,AND($C47="Alternative fuel bus",$D47="Nearly full"),$E47*'CY '!H$17,AND($C47="Metro, tram, urban light train",$D47="Almost empty"),$E47*'CY '!C$35,AND($C47="Metro, tram, urban light train",$D47="Average"),$E47*'CY '!C$36,AND($C47="Metro, tram, urban light train",$D47="Nearly full"),$E47*'CY '!C$37,AND($C47="Electric passenger train",$D47="Almost empty"),$E47*'CY '!C$39,AND($C47="Electric passenger train",$D47="Average"),$E47*'CY '!C$40,AND($C47="Electric passenger train",$D47="Nearly full"),$E47*'CY '!C$41,AND($C47="Diesel passenger train",$D47="Almost empty"),$E47*'CY '!C$47,AND($C47="Diesel passenger train",$D47="Average"),$E47*'CY '!C$48,AND($C47="Diesel passenger train",$D47="Nearly full"),$E47*'CY '!C$49,AND($C47="Walking"),$E47*0,AND($C47="Bike"),$E47*0,AND($C47="Plane - domestic flight"),$E47*'CY '!$C71,AND($C47="Plane - international - intra EU"),$E47*'CY '!$C73,AND($C47="Plane - international (extra EU)"),$E47*'CY '!$C75)</f>
        <v>#N/A</v>
      </c>
      <c r="G47" s="31" t="e" cm="1">
        <f t="array" ref="G47">_xlfn.IFS(AND($C47="Fuel car",$D47=1),$E47*'CY '!D$7,AND($C47="Fuel car",$D47=2),$E47*'CY '!D$8,AND($C47="Fuel car",$D47=3),$E47*'CY '!D$9,AND($C47="Fuel car",$D47=4),$E47*'CY '!D$10,AND($C47="Fuel car",$D47=5),$E47*'CY '!D$11,AND($C47="Motorcycle",$D47=1),$E47*'CY '!D$13,AND($C47="Motorcycle",$D47=2),$E47*'CY '!D$14,AND($C47="Electric car",$D47=1),$E47*'CY '!D$16,AND($C47="Electric car",$D47=2),$E47*'CY '!D$17,AND($C47="Electric car",$D47=3),$E47*'CY '!D$18,AND($C47="Electric car",$D47=4),$E47*'CY '!D$19,AND($C47="Electric car",$D47=5),$E47*'CY '!D$20,AND($C47="Hybrid car",$D47=1),$E47*'CY '!D$22,AND($C47="Hybrid car",$D47=2),$E47*'CY '!D$23,AND($C47="Hybrid car",$D47=3),$E47*'CY '!D$24,AND($C47="Hybrid car",$D47=4),$E47*'CY '!D$25,AND($C47="Hybrid car",$D47=5),$E47*'CY '!D$26,AND($C47="Electric motorcycle",$D47=1),$E47*'CY '!D$28,AND($C47="Electric motorcycle",$D47=2),$E47*'CY '!D$29,AND($C47="Electric bike",$D47=1),$E47*'CY '!D$31,AND($C47="Electric scooter",$D47=1),$E47*'CY '!D$33,AND($C47="Bus",$D47="Almost empty"),$E47*'CY '!I$23,AND($C47="Bus",$D47="Average"),$E47*'CY '!I$24,AND($C47="Bus",$D47="Nearly full"),$E47*'CY '!I$25,AND($C47="Electric bus",$D47="Almost empty"),$E47*'CY '!I$7,AND($C47="Electric bus",$D47="Average"),$E47*'CY '!I$8,AND($C47="Electric bus",$D47="Nearly full"),$E47*'CY '!I$9,AND($C47="Diesel bus",$D47="Almost empty"),$E47*'CY '!I$19,AND($C47="Diesel bus",$D47="Average"),$E47*'CY '!I$20,AND($C47="Diesel bus",$D47="Nearly full"),$E47*'CY '!I$21,AND($C47="Hybrid-electric bus",$D47="Almost empty"),$E47*'CY '!I$11,AND($C47="Hybrid-electric bus",$D47="Average"),$E47*'CY '!I$12,AND($C47="Hybrid-electric bus",$D47="Nearly full"),$E47*'CY '!I$13,AND($C47="Alternative fuel bus",$D47="Almost empty"),$E47*'CY '!I$15,AND($C47="Alternative fuel bus",$D47="Average"),$E47*'CY '!I$16,AND($C47="Alternative fuel bus",$D47="Nearly full"),$E47*'CY '!I$17,AND($C47="Metro, tram, urban light train",$D47="Almost empty"),$E47*'CY '!D$35,AND($C47="Metro, tram, urban light train",$D47="Average"),$E47*'CY '!D$36,AND($C47="Metro, tram, urban light train",$D47="Nearly full"),$E47*'CY '!D$37,AND($C47="Electric passenger train",$D47="Almost empty"),$E47*'CY '!D$39,AND($C47="Electric passenger train",$D47="Average"),$E47*'CY '!D$40,AND($C47="Electric passenger train",$D47="Nearly full"),$E47*'CY '!D$41,AND($C47="Diesel passenger train",$D47="Almost empty"),$E47*'CY '!D$47,AND($C47="Diesel passenger train",$D47="Average"),$E47*'CY '!D$48,AND($C47="Diesel passenger train",$D47="Nearly full"),$E47*'CY '!D$49,AND($C47="Walking"),$E47*0,AND($C47="Bike"),$E47*0,AND($C47="Plane - domestic flight"),$E47*'CY '!$C71,AND($C47="Plane - international - intra EU"),$E47*'CY '!$C73,AND($C47="Plane - international (extra EU)"),$E47*'CY '!$C75)</f>
        <v>#N/A</v>
      </c>
      <c r="L47" s="238" t="s">
        <v>56</v>
      </c>
      <c r="M47" s="239"/>
      <c r="N47" s="240"/>
    </row>
    <row r="48" spans="1:14" ht="16" thickBot="1" x14ac:dyDescent="0.25">
      <c r="A48" s="222"/>
      <c r="B48" s="30"/>
      <c r="C48" s="15"/>
      <c r="D48" s="15"/>
      <c r="E48" s="15"/>
      <c r="F48" s="123" t="e" cm="1">
        <f t="array" ref="F48">_xlfn.IFS(AND($C48="Fuel car",$D48=1),$E48*'CY '!C$7,AND($C48="Fuel car",$D48=2),$E48*'CY '!C$8,AND($C48="Fuel car",$D48=3),$E48*'CY '!C$9,AND($C48="Fuel car",$D48=4),$E48*'CY '!C$10,AND($C48="Fuel car",$D48=5),$E48*'CY '!C$11,AND($C48="Motorcycle",$D48=1),$E48*'CY '!C$13,AND($C48="Motorcycle",$D48=2),$E48*'CY '!C$14,AND($C48="Electric car",$D48=1),$E48*'CY '!C$16,AND($C48="Electric car",$D48=2),$E48*'CY '!C$17,AND($C48="Electric car",$D48=3),$E48*'CY '!C$18,AND($C48="Electric car",$D48=4),$E48*'CY '!C$19,AND($C48="Electric car",$D48=5),$E48*'CY '!C$20,AND($C48="Hybrid car",$D48=1),$E48*'CY '!C$22,AND($C48="Hybrid car",$D48=2),$E48*'CY '!C$23,AND($C48="Hybrid car",$D48=3),$E48*'CY '!C$24,AND($C48="Hybrid car",$D48=4),$E48*'CY '!C$25,AND($C48="Hybrid car",$D48=5),$E48*'CY '!C$26,AND($C48="Electric motorcycle",$D48=1),$E48*'CY '!C$28,AND($C48="Electric motorcycle",$D48=2),$E48*'CY '!C$29,AND($C48="Electric bike",$D48=1),$E48*'CY '!C$31,AND($C48="Electric scooter",$D48=1),$E48*'CY '!C$33,AND($C48="Bus",$D48="Almost empty"),$E48*'CY '!H$23,AND($C48="Bus",$D48="Average"),$E48*'CY '!H$24,AND($C48="Bus",$D48="Nearly full"),$E48*'CY '!H$25,AND($C48="Electric bus",$D48="Almost empty"),$E48*'CY '!H$7,AND($C48="Electric bus",$D48="Average"),$E48*'CY '!H$8,AND($C48="Electric bus",$D48="Nearly full"),$E48*'CY '!H$9,AND($C48="Diesel bus",$D48="Almost empty"),$E48*'CY '!H$19,AND($C48="Diesel bus",$D48="Average"),$E48*'CY '!H$20,AND($C48="Diesel bus",$D48="Nearly full"),$E48*'CY '!H$21,AND($C48="Hybrid-electric bus",$D48="Almost empty"),$E48*'CY '!H$11,AND($C48="Hybrid-electric bus",$D48="Average"),$E48*'CY '!H$12,AND($C48="Hybrid-electric bus",$D48="Nearly full"),$E48*'CY '!H$13,AND($C48="Alternative fuel bus",$D48="Almost empty"),$E48*'CY '!H$15,AND($C48="Alternative fuel bus",$D48="Average"),$E48*'CY '!H$16,AND($C48="Alternative fuel bus",$D48="Nearly full"),$E48*'CY '!H$17,AND($C48="Metro, tram, urban light train",$D48="Almost empty"),$E48*'CY '!C$35,AND($C48="Metro, tram, urban light train",$D48="Average"),$E48*'CY '!C$36,AND($C48="Metro, tram, urban light train",$D48="Nearly full"),$E48*'CY '!C$37,AND($C48="Electric passenger train",$D48="Almost empty"),$E48*'CY '!C$39,AND($C48="Electric passenger train",$D48="Average"),$E48*'CY '!C$40,AND($C48="Electric passenger train",$D48="Nearly full"),$E48*'CY '!C$41,AND($C48="Diesel passenger train",$D48="Almost empty"),$E48*'CY '!C$47,AND($C48="Diesel passenger train",$D48="Average"),$E48*'CY '!C$48,AND($C48="Diesel passenger train",$D48="Nearly full"),$E48*'CY '!C$49,AND($C48="Walking"),$E48*0,AND($C48="Bike"),$E48*0,AND($C48="Plane - domestic flight"),$E48*'CY '!$C72,AND($C48="Plane - international - intra EU"),$E48*'CY '!$C74,AND($C48="Plane - international (extra EU)"),$E48*'CY '!$C76)</f>
        <v>#N/A</v>
      </c>
      <c r="G48" s="31" t="e" cm="1">
        <f t="array" ref="G48">_xlfn.IFS(AND($C48="Fuel car",$D48=1),$E48*'CY '!D$7,AND($C48="Fuel car",$D48=2),$E48*'CY '!D$8,AND($C48="Fuel car",$D48=3),$E48*'CY '!D$9,AND($C48="Fuel car",$D48=4),$E48*'CY '!D$10,AND($C48="Fuel car",$D48=5),$E48*'CY '!D$11,AND($C48="Motorcycle",$D48=1),$E48*'CY '!D$13,AND($C48="Motorcycle",$D48=2),$E48*'CY '!D$14,AND($C48="Electric car",$D48=1),$E48*'CY '!D$16,AND($C48="Electric car",$D48=2),$E48*'CY '!D$17,AND($C48="Electric car",$D48=3),$E48*'CY '!D$18,AND($C48="Electric car",$D48=4),$E48*'CY '!D$19,AND($C48="Electric car",$D48=5),$E48*'CY '!D$20,AND($C48="Hybrid car",$D48=1),$E48*'CY '!D$22,AND($C48="Hybrid car",$D48=2),$E48*'CY '!D$23,AND($C48="Hybrid car",$D48=3),$E48*'CY '!D$24,AND($C48="Hybrid car",$D48=4),$E48*'CY '!D$25,AND($C48="Hybrid car",$D48=5),$E48*'CY '!D$26,AND($C48="Electric motorcycle",$D48=1),$E48*'CY '!D$28,AND($C48="Electric motorcycle",$D48=2),$E48*'CY '!D$29,AND($C48="Electric bike",$D48=1),$E48*'CY '!D$31,AND($C48="Electric scooter",$D48=1),$E48*'CY '!D$33,AND($C48="Bus",$D48="Almost empty"),$E48*'CY '!I$23,AND($C48="Bus",$D48="Average"),$E48*'CY '!I$24,AND($C48="Bus",$D48="Nearly full"),$E48*'CY '!I$25,AND($C48="Electric bus",$D48="Almost empty"),$E48*'CY '!I$7,AND($C48="Electric bus",$D48="Average"),$E48*'CY '!I$8,AND($C48="Electric bus",$D48="Nearly full"),$E48*'CY '!I$9,AND($C48="Diesel bus",$D48="Almost empty"),$E48*'CY '!I$19,AND($C48="Diesel bus",$D48="Average"),$E48*'CY '!I$20,AND($C48="Diesel bus",$D48="Nearly full"),$E48*'CY '!I$21,AND($C48="Hybrid-electric bus",$D48="Almost empty"),$E48*'CY '!I$11,AND($C48="Hybrid-electric bus",$D48="Average"),$E48*'CY '!I$12,AND($C48="Hybrid-electric bus",$D48="Nearly full"),$E48*'CY '!I$13,AND($C48="Alternative fuel bus",$D48="Almost empty"),$E48*'CY '!I$15,AND($C48="Alternative fuel bus",$D48="Average"),$E48*'CY '!I$16,AND($C48="Alternative fuel bus",$D48="Nearly full"),$E48*'CY '!I$17,AND($C48="Metro, tram, urban light train",$D48="Almost empty"),$E48*'CY '!D$35,AND($C48="Metro, tram, urban light train",$D48="Average"),$E48*'CY '!D$36,AND($C48="Metro, tram, urban light train",$D48="Nearly full"),$E48*'CY '!D$37,AND($C48="Electric passenger train",$D48="Almost empty"),$E48*'CY '!D$39,AND($C48="Electric passenger train",$D48="Average"),$E48*'CY '!D$40,AND($C48="Electric passenger train",$D48="Nearly full"),$E48*'CY '!D$41,AND($C48="Diesel passenger train",$D48="Almost empty"),$E48*'CY '!D$47,AND($C48="Diesel passenger train",$D48="Average"),$E48*'CY '!D$48,AND($C48="Diesel passenger train",$D48="Nearly full"),$E48*'CY '!D$49,AND($C48="Walking"),$E48*0,AND($C48="Bike"),$E48*0,AND($C48="Plane - domestic flight"),$E48*'CY '!$C72,AND($C48="Plane - international - intra EU"),$E48*'CY '!$C74,AND($C48="Plane - international (extra EU)"),$E48*'CY '!$C76)</f>
        <v>#N/A</v>
      </c>
      <c r="H48" s="196" t="s">
        <v>67</v>
      </c>
      <c r="I48" s="197"/>
      <c r="L48" s="249"/>
      <c r="M48" s="250"/>
      <c r="N48" s="251"/>
    </row>
    <row r="49" spans="1:14" x14ac:dyDescent="0.2">
      <c r="A49" s="222"/>
      <c r="B49" s="30"/>
      <c r="C49" s="15"/>
      <c r="D49" s="15"/>
      <c r="E49" s="15"/>
      <c r="F49" s="123" t="e" cm="1">
        <f t="array" ref="F49">_xlfn.IFS(AND($C49="Fuel car",$D49=1),$E49*'CY '!C$7,AND($C49="Fuel car",$D49=2),$E49*'CY '!C$8,AND($C49="Fuel car",$D49=3),$E49*'CY '!C$9,AND($C49="Fuel car",$D49=4),$E49*'CY '!C$10,AND($C49="Fuel car",$D49=5),$E49*'CY '!C$11,AND($C49="Motorcycle",$D49=1),$E49*'CY '!C$13,AND($C49="Motorcycle",$D49=2),$E49*'CY '!C$14,AND($C49="Electric car",$D49=1),$E49*'CY '!C$16,AND($C49="Electric car",$D49=2),$E49*'CY '!C$17,AND($C49="Electric car",$D49=3),$E49*'CY '!C$18,AND($C49="Electric car",$D49=4),$E49*'CY '!C$19,AND($C49="Electric car",$D49=5),$E49*'CY '!C$20,AND($C49="Hybrid car",$D49=1),$E49*'CY '!C$22,AND($C49="Hybrid car",$D49=2),$E49*'CY '!C$23,AND($C49="Hybrid car",$D49=3),$E49*'CY '!C$24,AND($C49="Hybrid car",$D49=4),$E49*'CY '!C$25,AND($C49="Hybrid car",$D49=5),$E49*'CY '!C$26,AND($C49="Electric motorcycle",$D49=1),$E49*'CY '!C$28,AND($C49="Electric motorcycle",$D49=2),$E49*'CY '!C$29,AND($C49="Electric bike",$D49=1),$E49*'CY '!C$31,AND($C49="Electric scooter",$D49=1),$E49*'CY '!C$33,AND($C49="Bus",$D49="Almost empty"),$E49*'CY '!H$23,AND($C49="Bus",$D49="Average"),$E49*'CY '!H$24,AND($C49="Bus",$D49="Nearly full"),$E49*'CY '!H$25,AND($C49="Electric bus",$D49="Almost empty"),$E49*'CY '!H$7,AND($C49="Electric bus",$D49="Average"),$E49*'CY '!H$8,AND($C49="Electric bus",$D49="Nearly full"),$E49*'CY '!H$9,AND($C49="Diesel bus",$D49="Almost empty"),$E49*'CY '!H$19,AND($C49="Diesel bus",$D49="Average"),$E49*'CY '!H$20,AND($C49="Diesel bus",$D49="Nearly full"),$E49*'CY '!H$21,AND($C49="Hybrid-electric bus",$D49="Almost empty"),$E49*'CY '!H$11,AND($C49="Hybrid-electric bus",$D49="Average"),$E49*'CY '!H$12,AND($C49="Hybrid-electric bus",$D49="Nearly full"),$E49*'CY '!H$13,AND($C49="Alternative fuel bus",$D49="Almost empty"),$E49*'CY '!H$15,AND($C49="Alternative fuel bus",$D49="Average"),$E49*'CY '!H$16,AND($C49="Alternative fuel bus",$D49="Nearly full"),$E49*'CY '!H$17,AND($C49="Metro, tram, urban light train",$D49="Almost empty"),$E49*'CY '!C$35,AND($C49="Metro, tram, urban light train",$D49="Average"),$E49*'CY '!C$36,AND($C49="Metro, tram, urban light train",$D49="Nearly full"),$E49*'CY '!C$37,AND($C49="Electric passenger train",$D49="Almost empty"),$E49*'CY '!C$39,AND($C49="Electric passenger train",$D49="Average"),$E49*'CY '!C$40,AND($C49="Electric passenger train",$D49="Nearly full"),$E49*'CY '!C$41,AND($C49="Diesel passenger train",$D49="Almost empty"),$E49*'CY '!C$47,AND($C49="Diesel passenger train",$D49="Average"),$E49*'CY '!C$48,AND($C49="Diesel passenger train",$D49="Nearly full"),$E49*'CY '!C$49,AND($C49="Walking"),$E49*0,AND($C49="Bike"),$E49*0,AND($C49="Plane - domestic flight"),$E49*'CY '!$C73,AND($C49="Plane - international - intra EU"),$E49*'CY '!$C75,AND($C49="Plane - international (extra EU)"),$E49*'CY '!$C77)</f>
        <v>#N/A</v>
      </c>
      <c r="G49" s="31" t="e" cm="1">
        <f t="array" ref="G49">_xlfn.IFS(AND($C49="Fuel car",$D49=1),$E49*'CY '!D$7,AND($C49="Fuel car",$D49=2),$E49*'CY '!D$8,AND($C49="Fuel car",$D49=3),$E49*'CY '!D$9,AND($C49="Fuel car",$D49=4),$E49*'CY '!D$10,AND($C49="Fuel car",$D49=5),$E49*'CY '!D$11,AND($C49="Motorcycle",$D49=1),$E49*'CY '!D$13,AND($C49="Motorcycle",$D49=2),$E49*'CY '!D$14,AND($C49="Electric car",$D49=1),$E49*'CY '!D$16,AND($C49="Electric car",$D49=2),$E49*'CY '!D$17,AND($C49="Electric car",$D49=3),$E49*'CY '!D$18,AND($C49="Electric car",$D49=4),$E49*'CY '!D$19,AND($C49="Electric car",$D49=5),$E49*'CY '!D$20,AND($C49="Hybrid car",$D49=1),$E49*'CY '!D$22,AND($C49="Hybrid car",$D49=2),$E49*'CY '!D$23,AND($C49="Hybrid car",$D49=3),$E49*'CY '!D$24,AND($C49="Hybrid car",$D49=4),$E49*'CY '!D$25,AND($C49="Hybrid car",$D49=5),$E49*'CY '!D$26,AND($C49="Electric motorcycle",$D49=1),$E49*'CY '!D$28,AND($C49="Electric motorcycle",$D49=2),$E49*'CY '!D$29,AND($C49="Electric bike",$D49=1),$E49*'CY '!D$31,AND($C49="Electric scooter",$D49=1),$E49*'CY '!D$33,AND($C49="Bus",$D49="Almost empty"),$E49*'CY '!I$23,AND($C49="Bus",$D49="Average"),$E49*'CY '!I$24,AND($C49="Bus",$D49="Nearly full"),$E49*'CY '!I$25,AND($C49="Electric bus",$D49="Almost empty"),$E49*'CY '!I$7,AND($C49="Electric bus",$D49="Average"),$E49*'CY '!I$8,AND($C49="Electric bus",$D49="Nearly full"),$E49*'CY '!I$9,AND($C49="Diesel bus",$D49="Almost empty"),$E49*'CY '!I$19,AND($C49="Diesel bus",$D49="Average"),$E49*'CY '!I$20,AND($C49="Diesel bus",$D49="Nearly full"),$E49*'CY '!I$21,AND($C49="Hybrid-electric bus",$D49="Almost empty"),$E49*'CY '!I$11,AND($C49="Hybrid-electric bus",$D49="Average"),$E49*'CY '!I$12,AND($C49="Hybrid-electric bus",$D49="Nearly full"),$E49*'CY '!I$13,AND($C49="Alternative fuel bus",$D49="Almost empty"),$E49*'CY '!I$15,AND($C49="Alternative fuel bus",$D49="Average"),$E49*'CY '!I$16,AND($C49="Alternative fuel bus",$D49="Nearly full"),$E49*'CY '!I$17,AND($C49="Metro, tram, urban light train",$D49="Almost empty"),$E49*'CY '!D$35,AND($C49="Metro, tram, urban light train",$D49="Average"),$E49*'CY '!D$36,AND($C49="Metro, tram, urban light train",$D49="Nearly full"),$E49*'CY '!D$37,AND($C49="Electric passenger train",$D49="Almost empty"),$E49*'CY '!D$39,AND($C49="Electric passenger train",$D49="Average"),$E49*'CY '!D$40,AND($C49="Electric passenger train",$D49="Nearly full"),$E49*'CY '!D$41,AND($C49="Diesel passenger train",$D49="Almost empty"),$E49*'CY '!D$47,AND($C49="Diesel passenger train",$D49="Average"),$E49*'CY '!D$48,AND($C49="Diesel passenger train",$D49="Nearly full"),$E49*'CY '!D$49,AND($C49="Walking"),$E49*0,AND($C49="Bike"),$E49*0,AND($C49="Plane - domestic flight"),$E49*'CY '!$C73,AND($C49="Plane - international - intra EU"),$E49*'CY '!$C75,AND($C49="Plane - international (extra EU)"),$E49*'CY '!$C77)</f>
        <v>#N/A</v>
      </c>
      <c r="H49" s="244" t="s">
        <v>74</v>
      </c>
      <c r="I49" s="141"/>
      <c r="L49" s="252"/>
      <c r="M49" s="253"/>
      <c r="N49" s="254"/>
    </row>
    <row r="50" spans="1:14" ht="16" thickBot="1" x14ac:dyDescent="0.25">
      <c r="A50" s="222"/>
      <c r="B50" s="51"/>
      <c r="C50" s="15"/>
      <c r="D50" s="15"/>
      <c r="E50" s="32"/>
      <c r="F50" s="123" t="e" cm="1">
        <f t="array" ref="F50">_xlfn.IFS(AND($C50="Fuel car",$D50=1),$E50*'CY '!C$7,AND($C50="Fuel car",$D50=2),$E50*'CY '!C$8,AND($C50="Fuel car",$D50=3),$E50*'CY '!C$9,AND($C50="Fuel car",$D50=4),$E50*'CY '!C$10,AND($C50="Fuel car",$D50=5),$E50*'CY '!C$11,AND($C50="Motorcycle",$D50=1),$E50*'CY '!C$13,AND($C50="Motorcycle",$D50=2),$E50*'CY '!C$14,AND($C50="Electric car",$D50=1),$E50*'CY '!C$16,AND($C50="Electric car",$D50=2),$E50*'CY '!C$17,AND($C50="Electric car",$D50=3),$E50*'CY '!C$18,AND($C50="Electric car",$D50=4),$E50*'CY '!C$19,AND($C50="Electric car",$D50=5),$E50*'CY '!C$20,AND($C50="Hybrid car",$D50=1),$E50*'CY '!C$22,AND($C50="Hybrid car",$D50=2),$E50*'CY '!C$23,AND($C50="Hybrid car",$D50=3),$E50*'CY '!C$24,AND($C50="Hybrid car",$D50=4),$E50*'CY '!C$25,AND($C50="Hybrid car",$D50=5),$E50*'CY '!C$26,AND($C50="Electric motorcycle",$D50=1),$E50*'CY '!C$28,AND($C50="Electric motorcycle",$D50=2),$E50*'CY '!C$29,AND($C50="Electric bike",$D50=1),$E50*'CY '!C$31,AND($C50="Electric scooter",$D50=1),$E50*'CY '!C$33,AND($C50="Bus",$D50="Almost empty"),$E50*'CY '!H$23,AND($C50="Bus",$D50="Average"),$E50*'CY '!H$24,AND($C50="Bus",$D50="Nearly full"),$E50*'CY '!H$25,AND($C50="Electric bus",$D50="Almost empty"),$E50*'CY '!H$7,AND($C50="Electric bus",$D50="Average"),$E50*'CY '!H$8,AND($C50="Electric bus",$D50="Nearly full"),$E50*'CY '!H$9,AND($C50="Diesel bus",$D50="Almost empty"),$E50*'CY '!H$19,AND($C50="Diesel bus",$D50="Average"),$E50*'CY '!H$20,AND($C50="Diesel bus",$D50="Nearly full"),$E50*'CY '!H$21,AND($C50="Hybrid-electric bus",$D50="Almost empty"),$E50*'CY '!H$11,AND($C50="Hybrid-electric bus",$D50="Average"),$E50*'CY '!H$12,AND($C50="Hybrid-electric bus",$D50="Nearly full"),$E50*'CY '!H$13,AND($C50="Alternative fuel bus",$D50="Almost empty"),$E50*'CY '!H$15,AND($C50="Alternative fuel bus",$D50="Average"),$E50*'CY '!H$16,AND($C50="Alternative fuel bus",$D50="Nearly full"),$E50*'CY '!H$17,AND($C50="Metro, tram, urban light train",$D50="Almost empty"),$E50*'CY '!C$35,AND($C50="Metro, tram, urban light train",$D50="Average"),$E50*'CY '!C$36,AND($C50="Metro, tram, urban light train",$D50="Nearly full"),$E50*'CY '!C$37,AND($C50="Electric passenger train",$D50="Almost empty"),$E50*'CY '!C$39,AND($C50="Electric passenger train",$D50="Average"),$E50*'CY '!C$40,AND($C50="Electric passenger train",$D50="Nearly full"),$E50*'CY '!C$41,AND($C50="Diesel passenger train",$D50="Almost empty"),$E50*'CY '!C$47,AND($C50="Diesel passenger train",$D50="Average"),$E50*'CY '!C$48,AND($C50="Diesel passenger train",$D50="Nearly full"),$E50*'CY '!C$49,AND($C50="Walking"),$E50*0,AND($C50="Bike"),$E50*0,AND($C50="Plane - domestic flight"),$E50*'CY '!$C74,AND($C50="Plane - international - intra EU"),$E50*'CY '!$C76,AND($C50="Plane - international (extra EU)"),$E50*'CY '!$C78)</f>
        <v>#N/A</v>
      </c>
      <c r="G50" s="31" t="e" cm="1">
        <f t="array" ref="G50">_xlfn.IFS(AND($C50="Fuel car",$D50=1),$E50*'CY '!D$7,AND($C50="Fuel car",$D50=2),$E50*'CY '!D$8,AND($C50="Fuel car",$D50=3),$E50*'CY '!D$9,AND($C50="Fuel car",$D50=4),$E50*'CY '!D$10,AND($C50="Fuel car",$D50=5),$E50*'CY '!D$11,AND($C50="Motorcycle",$D50=1),$E50*'CY '!D$13,AND($C50="Motorcycle",$D50=2),$E50*'CY '!D$14,AND($C50="Electric car",$D50=1),$E50*'CY '!D$16,AND($C50="Electric car",$D50=2),$E50*'CY '!D$17,AND($C50="Electric car",$D50=3),$E50*'CY '!D$18,AND($C50="Electric car",$D50=4),$E50*'CY '!D$19,AND($C50="Electric car",$D50=5),$E50*'CY '!D$20,AND($C50="Hybrid car",$D50=1),$E50*'CY '!D$22,AND($C50="Hybrid car",$D50=2),$E50*'CY '!D$23,AND($C50="Hybrid car",$D50=3),$E50*'CY '!D$24,AND($C50="Hybrid car",$D50=4),$E50*'CY '!D$25,AND($C50="Hybrid car",$D50=5),$E50*'CY '!D$26,AND($C50="Electric motorcycle",$D50=1),$E50*'CY '!D$28,AND($C50="Electric motorcycle",$D50=2),$E50*'CY '!D$29,AND($C50="Electric bike",$D50=1),$E50*'CY '!D$31,AND($C50="Electric scooter",$D50=1),$E50*'CY '!D$33,AND($C50="Bus",$D50="Almost empty"),$E50*'CY '!I$23,AND($C50="Bus",$D50="Average"),$E50*'CY '!I$24,AND($C50="Bus",$D50="Nearly full"),$E50*'CY '!I$25,AND($C50="Electric bus",$D50="Almost empty"),$E50*'CY '!I$7,AND($C50="Electric bus",$D50="Average"),$E50*'CY '!I$8,AND($C50="Electric bus",$D50="Nearly full"),$E50*'CY '!I$9,AND($C50="Diesel bus",$D50="Almost empty"),$E50*'CY '!I$19,AND($C50="Diesel bus",$D50="Average"),$E50*'CY '!I$20,AND($C50="Diesel bus",$D50="Nearly full"),$E50*'CY '!I$21,AND($C50="Hybrid-electric bus",$D50="Almost empty"),$E50*'CY '!I$11,AND($C50="Hybrid-electric bus",$D50="Average"),$E50*'CY '!I$12,AND($C50="Hybrid-electric bus",$D50="Nearly full"),$E50*'CY '!I$13,AND($C50="Alternative fuel bus",$D50="Almost empty"),$E50*'CY '!I$15,AND($C50="Alternative fuel bus",$D50="Average"),$E50*'CY '!I$16,AND($C50="Alternative fuel bus",$D50="Nearly full"),$E50*'CY '!I$17,AND($C50="Metro, tram, urban light train",$D50="Almost empty"),$E50*'CY '!D$35,AND($C50="Metro, tram, urban light train",$D50="Average"),$E50*'CY '!D$36,AND($C50="Metro, tram, urban light train",$D50="Nearly full"),$E50*'CY '!D$37,AND($C50="Electric passenger train",$D50="Almost empty"),$E50*'CY '!D$39,AND($C50="Electric passenger train",$D50="Average"),$E50*'CY '!D$40,AND($C50="Electric passenger train",$D50="Nearly full"),$E50*'CY '!D$41,AND($C50="Diesel passenger train",$D50="Almost empty"),$E50*'CY '!D$47,AND($C50="Diesel passenger train",$D50="Average"),$E50*'CY '!D$48,AND($C50="Diesel passenger train",$D50="Nearly full"),$E50*'CY '!D$49,AND($C50="Walking"),$E50*0,AND($C50="Bike"),$E50*0,AND($C50="Plane - domestic flight"),$E50*'CY '!$C74,AND($C50="Plane - international - intra EU"),$E50*'CY '!$C76,AND($C50="Plane - international (extra EU)"),$E50*'CY '!$C78)</f>
        <v>#N/A</v>
      </c>
      <c r="H50" s="245"/>
      <c r="I50" s="142"/>
      <c r="L50" s="252"/>
      <c r="M50" s="253"/>
      <c r="N50" s="254"/>
    </row>
    <row r="51" spans="1:14" ht="33" thickBot="1" x14ac:dyDescent="0.25">
      <c r="A51" s="222"/>
      <c r="B51" s="53"/>
      <c r="C51" s="32"/>
      <c r="D51" s="34"/>
      <c r="E51" s="34"/>
      <c r="F51" s="54" t="e" cm="1">
        <f t="array" ref="F51">_xlfn.IFS(AND($C51="Fuel car",$D51=1),$E51*'CY '!C$7,AND($C51="Fuel car",$D51=2),$E51*'CY '!C$8,AND($C51="Fuel car",$D51=3),$E51*'CY '!C$9,AND($C51="Fuel car",$D51=4),$E51*'CY '!C$10,AND($C51="Fuel car",$D51=5),$E51*'CY '!C$11,AND($C51="Motorcycle",$D51=1),$E51*'CY '!C$13,AND($C51="Motorcycle",$D51=2),$E51*'CY '!C$14,AND($C51="Electric car",$D51=1),$E51*'CY '!C$16,AND($C51="Electric car",$D51=2),$E51*'CY '!C$17,AND($C51="Electric car",$D51=3),$E51*'CY '!C$18,AND($C51="Electric car",$D51=4),$E51*'CY '!C$19,AND($C51="Electric car",$D51=5),$E51*'CY '!C$20,AND($C51="Hybrid car",$D51=1),$E51*'CY '!C$22,AND($C51="Hybrid car",$D51=2),$E51*'CY '!C$23,AND($C51="Hybrid car",$D51=3),$E51*'CY '!C$24,AND($C51="Hybrid car",$D51=4),$E51*'CY '!C$25,AND($C51="Hybrid car",$D51=5),$E51*'CY '!C$26,AND($C51="Electric motorcycle",$D51=1),$E51*'CY '!C$28,AND($C51="Electric motorcycle",$D51=2),$E51*'CY '!C$29,AND($C51="Electric bike",$D51=1),$E51*'CY '!C$31,AND($C51="Electric scooter",$D51=1),$E51*'CY '!C$33,AND($C51="Bus",$D51="Almost empty"),$E51*'CY '!H$23,AND($C51="Bus",$D51="Average"),$E51*'CY '!H$24,AND($C51="Bus",$D51="Nearly full"),$E51*'CY '!H$25,AND($C51="Electric bus",$D51="Almost empty"),$E51*'CY '!H$7,AND($C51="Electric bus",$D51="Average"),$E51*'CY '!H$8,AND($C51="Electric bus",$D51="Nearly full"),$E51*'CY '!H$9,AND($C51="Diesel bus",$D51="Almost empty"),$E51*'CY '!H$19,AND($C51="Diesel bus",$D51="Average"),$E51*'CY '!H$20,AND($C51="Diesel bus",$D51="Nearly full"),$E51*'CY '!H$21,AND($C51="Hybrid-electric bus",$D51="Almost empty"),$E51*'CY '!H$11,AND($C51="Hybrid-electric bus",$D51="Average"),$E51*'CY '!H$12,AND($C51="Hybrid-electric bus",$D51="Nearly full"),$E51*'CY '!H$13,AND($C51="Alternative fuel bus",$D51="Almost empty"),$E51*'CY '!H$15,AND($C51="Alternative fuel bus",$D51="Average"),$E51*'CY '!H$16,AND($C51="Alternative fuel bus",$D51="Nearly full"),$E51*'CY '!H$17,AND($C51="Metro, tram, urban light train",$D51="Almost empty"),$E51*'CY '!C$35,AND($C51="Metro, tram, urban light train",$D51="Average"),$E51*'CY '!C$36,AND($C51="Metro, tram, urban light train",$D51="Nearly full"),$E51*'CY '!C$37,AND($C51="Electric passenger train",$D51="Almost empty"),$E51*'CY '!C$39,AND($C51="Electric passenger train",$D51="Average"),$E51*'CY '!C$40,AND($C51="Electric passenger train",$D51="Nearly full"),$E51*'CY '!C$41,AND($C51="Diesel passenger train",$D51="Almost empty"),$E51*'CY '!C$47,AND($C51="Diesel passenger train",$D51="Average"),$E51*'CY '!C$48,AND($C51="Diesel passenger train",$D51="Nearly full"),$E51*'CY '!C$49,AND($C51="Walking"),$E51*0,AND($C51="Bike"),$E51*0,AND($C51="Plane - domestic flight"),$E51*'CY '!$C75,AND($C51="Plane - international - intra EU"),$E51*'CY '!$C77,AND($C51="Plane - international (extra EU)"),$E51*'CY '!$C79)</f>
        <v>#N/A</v>
      </c>
      <c r="G51" s="35" t="e" cm="1">
        <f t="array" ref="G51">_xlfn.IFS(AND($C51="Fuel car",$D51=1),$E51*'CY '!D$7,AND($C51="Fuel car",$D51=2),$E51*'CY '!D$8,AND($C51="Fuel car",$D51=3),$E51*'CY '!D$9,AND($C51="Fuel car",$D51=4),$E51*'CY '!D$10,AND($C51="Fuel car",$D51=5),$E51*'CY '!D$11,AND($C51="Motorcycle",$D51=1),$E51*'CY '!D$13,AND($C51="Motorcycle",$D51=2),$E51*'CY '!D$14,AND($C51="Electric car",$D51=1),$E51*'CY '!D$16,AND($C51="Electric car",$D51=2),$E51*'CY '!D$17,AND($C51="Electric car",$D51=3),$E51*'CY '!D$18,AND($C51="Electric car",$D51=4),$E51*'CY '!D$19,AND($C51="Electric car",$D51=5),$E51*'CY '!D$20,AND($C51="Hybrid car",$D51=1),$E51*'CY '!D$22,AND($C51="Hybrid car",$D51=2),$E51*'CY '!D$23,AND($C51="Hybrid car",$D51=3),$E51*'CY '!D$24,AND($C51="Hybrid car",$D51=4),$E51*'CY '!D$25,AND($C51="Hybrid car",$D51=5),$E51*'CY '!D$26,AND($C51="Electric motorcycle",$D51=1),$E51*'CY '!D$28,AND($C51="Electric motorcycle",$D51=2),$E51*'CY '!D$29,AND($C51="Electric bike",$D51=1),$E51*'CY '!D$31,AND($C51="Electric scooter",$D51=1),$E51*'CY '!D$33,AND($C51="Bus",$D51="Almost empty"),$E51*'CY '!I$23,AND($C51="Bus",$D51="Average"),$E51*'CY '!I$24,AND($C51="Bus",$D51="Nearly full"),$E51*'CY '!I$25,AND($C51="Electric bus",$D51="Almost empty"),$E51*'CY '!I$7,AND($C51="Electric bus",$D51="Average"),$E51*'CY '!I$8,AND($C51="Electric bus",$D51="Nearly full"),$E51*'CY '!I$9,AND($C51="Diesel bus",$D51="Almost empty"),$E51*'CY '!I$19,AND($C51="Diesel bus",$D51="Average"),$E51*'CY '!I$20,AND($C51="Diesel bus",$D51="Nearly full"),$E51*'CY '!I$21,AND($C51="Hybrid-electric bus",$D51="Almost empty"),$E51*'CY '!I$11,AND($C51="Hybrid-electric bus",$D51="Average"),$E51*'CY '!I$12,AND($C51="Hybrid-electric bus",$D51="Nearly full"),$E51*'CY '!I$13,AND($C51="Alternative fuel bus",$D51="Almost empty"),$E51*'CY '!I$15,AND($C51="Alternative fuel bus",$D51="Average"),$E51*'CY '!I$16,AND($C51="Alternative fuel bus",$D51="Nearly full"),$E51*'CY '!I$17,AND($C51="Metro, tram, urban light train",$D51="Almost empty"),$E51*'CY '!D$35,AND($C51="Metro, tram, urban light train",$D51="Average"),$E51*'CY '!D$36,AND($C51="Metro, tram, urban light train",$D51="Nearly full"),$E51*'CY '!D$37,AND($C51="Electric passenger train",$D51="Almost empty"),$E51*'CY '!D$39,AND($C51="Electric passenger train",$D51="Average"),$E51*'CY '!D$40,AND($C51="Electric passenger train",$D51="Nearly full"),$E51*'CY '!D$41,AND($C51="Diesel passenger train",$D51="Almost empty"),$E51*'CY '!D$47,AND($C51="Diesel passenger train",$D51="Average"),$E51*'CY '!D$48,AND($C51="Diesel passenger train",$D51="Nearly full"),$E51*'CY '!D$49,AND($C51="Walking"),$E51*0,AND($C51="Bike"),$E51*0,AND($C51="Plane - domestic flight"),$E51*'CY '!$C75,AND($C51="Plane - international - intra EU"),$E51*'CY '!$C77,AND($C51="Plane - international (extra EU)"),$E51*'CY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_xlfn.IFS(AND(D57&lt;='CY '!L4),"A+",AND(D57&lt;='CY '!M4,D57&gt;'CY '!L4),"A",AND(D57&lt;='CY '!N4,D57&gt;'CY '!M4),"B",AND(D57&lt;='CY '!O4,D57&gt;'CY '!N4),"C",AND(D57&lt;='CY '!P4,D57&gt;'CY '!O4),"D",AND(D57&lt;='CY '!Q4,D57&gt;'CY '!P4),"E",AND(D57&lt;='CY '!R4,D57&gt;'CY '!Q4),"F",AND(D57&gt;'CY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_xlfn.IFS(D58="#","#",AND(D58&lt;='CY '!L5),"A+",AND(D58&lt;='CY '!M5,D58&gt;'CY '!L5),"A",AND(D58&lt;='CY '!N5,D58&gt;'CY '!M5),"B",AND(D58&lt;='CY '!O5,D58&gt;'CY '!N5),"C",AND(D58&lt;='CY '!P5,D58&gt;'CY '!O5),"D",AND(D58&lt;='CY '!Q5,D58&gt;'CY '!P5),"E",AND(D58&lt;='CY '!R5,D58&gt;'CY '!Q5),"F",AND(D58&gt;'CY '!R5),"G")</f>
        <v>#</v>
      </c>
    </row>
    <row r="59" spans="1:14" ht="32" x14ac:dyDescent="0.2">
      <c r="A59" s="262"/>
      <c r="B59" s="264"/>
      <c r="C59" s="21" t="s">
        <v>88</v>
      </c>
      <c r="D59" s="47" t="e">
        <f>IF(ISNUMBER(D58), D57 + D58, D57)</f>
        <v>#DIV/0!</v>
      </c>
      <c r="E59" s="277"/>
      <c r="G59" s="264"/>
      <c r="H59" t="s">
        <v>88</v>
      </c>
      <c r="I59" s="56" t="e" cm="1">
        <f t="array" ref="I59">_xlfn.IFS(AND(D59&lt;='CY '!L6),"A+",AND(D59&lt;='CY '!M6,D59&gt;'CY '!L6),"A",AND(D59&lt;='CY '!N6,D59&gt;'CY '!M6),"B",AND(D59&lt;='CY '!O6,D59&gt;'CY '!N6),"C",AND(D59&lt;='CY '!P6,D59&gt;'CY '!O6),"D",AND(D59&lt;='CY '!Q6,D59&gt;'CY '!P6),"E",AND(D59&lt;='CY '!R6,D59&gt;'CY '!Q6),"F",AND(D59&gt;'CY '!R6),"G")</f>
        <v>#DIV/0!</v>
      </c>
    </row>
    <row r="60" spans="1:14" ht="16" x14ac:dyDescent="0.2">
      <c r="A60" s="262"/>
      <c r="B60" s="264"/>
      <c r="C60" s="21" t="s">
        <v>89</v>
      </c>
      <c r="D60" s="99">
        <f>I30</f>
        <v>0</v>
      </c>
      <c r="E60" s="277"/>
      <c r="G60" s="264"/>
      <c r="H60" t="s">
        <v>89</v>
      </c>
      <c r="I60" s="56" t="str" cm="1">
        <f t="array" ref="I60">_xlfn.IFS(AND(D60&lt;='CY '!L7),"A+",AND(D60&lt;='CY '!M7,D60&gt;'CY '!L7),"A",AND(D60&lt;='CY '!N7,D60&gt;'CY '!M7),"B",AND(D60&lt;='CY '!O7,D60&gt;'CY '!N7),"C",AND(D60&lt;='CY '!P7,D60&gt;'CY '!O7),"D",AND(D60&lt;='CY '!Q7,D60&gt;'CY '!P7),"E",AND(D60&lt;='CY '!R7,D60&gt;'CY '!Q7),"F",AND(D60&gt;'CY '!R7),"G")</f>
        <v>A+</v>
      </c>
    </row>
    <row r="61" spans="1:14" ht="16" thickBot="1" x14ac:dyDescent="0.25">
      <c r="A61" s="262"/>
      <c r="B61" s="265"/>
      <c r="C61" s="16" t="s">
        <v>57</v>
      </c>
      <c r="D61" s="58" t="e">
        <f>SUM(D59:D60)</f>
        <v>#DIV/0!</v>
      </c>
      <c r="E61" s="261"/>
      <c r="G61" s="265"/>
      <c r="H61" s="16" t="s">
        <v>57</v>
      </c>
      <c r="I61" s="1" t="e" cm="1">
        <f t="array" ref="I61">_xlfn.IFS(AND(D61&lt;='CY '!L8),"A+",AND(D61&lt;='CY '!M8,D61&gt;'CY '!L8),"A",AND(D61&lt;='CY '!N8,D61&gt;'CY '!M8),"B",AND(D61&lt;='CY '!O8,D61&gt;'CY '!N8),"C",AND(D61&lt;='CY '!P8,D61&gt;'CY '!O8),"D",AND(D61&lt;='CY '!Q8,D61&gt;'CY '!P8),"E",AND(D61&lt;='CY '!R8,D61&gt;'CY '!Q8),"F",AND(D61&gt;'CY '!R8),"G")</f>
        <v>#DIV/0!</v>
      </c>
    </row>
    <row r="62" spans="1:14" ht="32" x14ac:dyDescent="0.2">
      <c r="A62" s="262"/>
      <c r="B62" s="263" t="s">
        <v>90</v>
      </c>
      <c r="C62" s="57" t="s">
        <v>85</v>
      </c>
      <c r="D62" s="100" t="e">
        <f>I16</f>
        <v>#DIV/0!</v>
      </c>
      <c r="E62" s="266" t="s">
        <v>91</v>
      </c>
      <c r="G62" s="264" t="s">
        <v>90</v>
      </c>
      <c r="H62" t="s">
        <v>85</v>
      </c>
      <c r="I62" s="56" t="e" cm="1">
        <f t="array" ref="I62">_xlfn.IFS(AND(D62&lt;='CY '!L9),"A+",AND(D62&lt;='CY '!M9,D62&gt;'CY '!L9),"A",AND(D62&lt;='CY '!N9,D62&gt;'CY '!M9),"B",AND(D62&lt;='CY '!O9,D62&gt;'CY '!N9),"C",AND(D62&lt;='CY '!P9,D62&gt;'CY '!O9),"D",AND(D62&lt;='CY '!Q9,D62&gt;'CY '!P9),"E",AND(D62&lt;='CY '!R9,D62&gt;'CY '!Q9),"F",AND(D62&gt;'CY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_xlfn.IFS(D63="#","#",AND(D63&lt;='CY '!L10),"A+",AND(D63&lt;='CY '!M10,D63&gt;'CY '!L10),"A",AND(D63&lt;='CY '!N10,D63&gt;'CY '!M10),"B",AND(D63&lt;='CY '!O10,D63&gt;'CY '!N10),"C",AND(D63&lt;='CY '!P10,D63&gt;'CY '!O10),"D",AND(D63&lt;='CY '!Q10,D63&gt;'CY '!P10),"E",AND(D63&lt;='CY '!R10,D63&gt;'CY '!Q10),"F",AND(D63&gt;'CY '!R10),"G")</f>
        <v>#</v>
      </c>
    </row>
    <row r="64" spans="1:14" ht="32" x14ac:dyDescent="0.2">
      <c r="A64" s="262"/>
      <c r="B64" s="264"/>
      <c r="C64" s="21" t="s">
        <v>92</v>
      </c>
      <c r="D64" s="47" t="e">
        <f>IF(ISNUMBER(D63), D62 + D63, D62)</f>
        <v>#DIV/0!</v>
      </c>
      <c r="E64" s="202"/>
      <c r="G64" s="264"/>
      <c r="H64" t="s">
        <v>92</v>
      </c>
      <c r="I64" s="56" t="e" cm="1">
        <f t="array" ref="I64">_xlfn.IFS(AND(D64&lt;='CY '!L11),"A+",AND(D64&lt;='CY '!M11,D64&gt;'CY '!L11),"A",AND(D64&lt;='CY '!N11,D64&gt;'CY '!M11),"B",AND(D64&lt;='CY '!O11,D64&gt;'CY '!N11),"C",AND(D64&lt;='CY '!P11,D64&gt;'CY '!O11),"D",AND(D64&lt;='CY '!Q11,D64&gt;'CY '!P11),"E",AND(D64&lt;='CY '!R11,D64&gt;'CY '!Q11),"F",AND(D64&gt;'CY '!R11),"G")</f>
        <v>#DIV/0!</v>
      </c>
    </row>
    <row r="65" spans="1:9" x14ac:dyDescent="0.2">
      <c r="A65" s="262"/>
      <c r="B65" s="264"/>
      <c r="C65" t="s">
        <v>89</v>
      </c>
      <c r="D65" s="99">
        <f>I31</f>
        <v>0</v>
      </c>
      <c r="E65" s="202"/>
      <c r="G65" s="264"/>
      <c r="H65" t="s">
        <v>89</v>
      </c>
      <c r="I65" s="56" t="str" cm="1">
        <f t="array" ref="I65">_xlfn.IFS(AND(D65&lt;='CY '!L12),"A+",AND(D65&lt;='CY '!M12,D65&gt;'CY '!L12),"A",AND(D65&lt;='CY '!N12,D65&gt;'CY '!M12),"B",AND(D65&lt;='CY '!O12,D65&gt;'CY '!N12),"C",AND(D65&lt;='CY '!P12,D65&gt;'CY '!O12),"D",AND(D65&lt;='CY '!Q12,D65&gt;'CY '!P12),"E",AND(D65&lt;='CY '!R12,D65&gt;'CY '!Q12),"F",AND(D65&gt;'CY '!R12),"G")</f>
        <v>A+</v>
      </c>
    </row>
    <row r="66" spans="1:9" ht="16" thickBot="1" x14ac:dyDescent="0.25">
      <c r="A66" s="262"/>
      <c r="B66" s="265"/>
      <c r="C66" s="16" t="s">
        <v>57</v>
      </c>
      <c r="D66" s="16" t="e">
        <f>SUM(D64:D65)</f>
        <v>#DIV/0!</v>
      </c>
      <c r="E66" s="267"/>
      <c r="G66" s="265"/>
      <c r="H66" s="16" t="s">
        <v>57</v>
      </c>
      <c r="I66" s="1" t="e" cm="1">
        <f t="array" ref="I66">_xlfn.IFS(AND(D66&lt;='CY '!L13),"A+",AND(D66&lt;='CY '!M13,D66&gt;'CY '!L13),"A",AND(D66&lt;='CY '!N13,D66&gt;'CY '!M13),"B",AND(D66&lt;='CY '!O13,D66&gt;'CY '!N13),"C",AND(D66&lt;='CY '!P13,D66&gt;'CY '!O13),"D",AND(D66&lt;='CY '!Q13,D66&gt;'CY '!P13),"E",AND(D66&lt;='CY '!R13,D66&gt;'CY '!Q13),"F",AND(D66&gt;'CY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73" priority="7" operator="equal">
      <formula>"A+"</formula>
    </cfRule>
    <cfRule type="containsText" dxfId="372" priority="8" operator="containsText" text="A">
      <formula>NOT(ISERROR(SEARCH("A",I57)))</formula>
    </cfRule>
    <cfRule type="containsText" dxfId="371" priority="9" operator="containsText" text="B">
      <formula>NOT(ISERROR(SEARCH("B",I57)))</formula>
    </cfRule>
    <cfRule type="containsText" dxfId="370" priority="10" operator="containsText" text="C">
      <formula>NOT(ISERROR(SEARCH("C",I57)))</formula>
    </cfRule>
    <cfRule type="containsText" dxfId="369" priority="11" operator="containsText" text="D">
      <formula>NOT(ISERROR(SEARCH("D",I57)))</formula>
    </cfRule>
    <cfRule type="containsText" dxfId="368" priority="12" operator="containsText" text="E">
      <formula>NOT(ISERROR(SEARCH("E",I57)))</formula>
    </cfRule>
    <cfRule type="containsText" dxfId="367" priority="13" operator="containsText" text="F">
      <formula>NOT(ISERROR(SEARCH("F",I57)))</formula>
    </cfRule>
    <cfRule type="containsText" dxfId="366" priority="14" operator="containsText" text="G">
      <formula>NOT(ISERROR(SEARCH("G",I57)))</formula>
    </cfRule>
  </conditionalFormatting>
  <conditionalFormatting sqref="K5:K15">
    <cfRule type="expression" dxfId="9" priority="2" stopIfTrue="1">
      <formula>$O$19="No"</formula>
    </cfRule>
  </conditionalFormatting>
  <conditionalFormatting sqref="L5:L15">
    <cfRule type="expression" dxfId="8"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E3701378-C153-4A41-8816-587A69FCAE1A}">
      <formula1>AND(Q19="Yes", ISNUMBER(L5))</formula1>
    </dataValidation>
    <dataValidation type="custom" operator="lessThan" allowBlank="1" showErrorMessage="1" errorTitle="Error" error="You can only enter values if you have selected HOME PV. The value must be a number." sqref="K5:K15" xr:uid="{A9E07CB8-C308-8F44-ACBC-6C27DABC66BD}">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F08842B-CE35-4131-8692-E9EF2C7714EC}">
          <x14:formula1>
            <xm:f>DATA!$J$3:$J$10</xm:f>
          </x14:formula1>
          <xm:sqref>D29:D51</xm:sqref>
        </x14:dataValidation>
        <x14:dataValidation type="list" allowBlank="1" showInputMessage="1" showErrorMessage="1" xr:uid="{5C00B10E-AA6A-8043-A10A-2BD193D28E6B}">
          <x14:formula1>
            <xm:f>DATA!$B$15:$B$23</xm:f>
          </x14:formula1>
          <xm:sqref>J2</xm:sqref>
        </x14:dataValidation>
        <x14:dataValidation type="list" allowBlank="1" showInputMessage="1" showErrorMessage="1" xr:uid="{9E170DFF-C58B-4E15-A344-6E043150B583}">
          <x14:formula1>
            <xm:f>DATA!$H$3:$H$23</xm:f>
          </x14:formula1>
          <xm:sqref>C29:C51</xm:sqref>
        </x14:dataValidation>
        <x14:dataValidation type="list" allowBlank="1" showInputMessage="1" showErrorMessage="1" xr:uid="{D345622D-68FE-3A49-9263-7DE465886502}">
          <x14:formula1>
            <xm:f>DATA!$B$3:$B$13</xm:f>
          </x14:formula1>
          <xm:sqref>H2</xm:sqref>
        </x14:dataValidation>
        <x14:dataValidation type="list" allowBlank="1" showInputMessage="1" showErrorMessage="1" xr:uid="{7D544400-6DA9-2F4B-A59F-CF2098ACB43A}">
          <x14:formula1>
            <xm:f>DATA!$L$4:$L$5</xm:f>
          </x14:formula1>
          <xm:sqref>O18:O19 Q19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519B-B5CF-405D-AAE6-5DB2BAC60E42}">
  <dimension ref="A1:Q66"/>
  <sheetViews>
    <sheetView zoomScale="80" zoomScaleNormal="80" workbookViewId="0">
      <selection activeCell="I18" sqref="I18"/>
    </sheetView>
  </sheetViews>
  <sheetFormatPr baseColWidth="10" defaultColWidth="11.5" defaultRowHeight="15" x14ac:dyDescent="0.2"/>
  <cols>
    <col min="1" max="1" width="6.5" customWidth="1"/>
    <col min="4" max="4" width="15.5" customWidth="1"/>
    <col min="5" max="5" width="18.33203125" customWidth="1"/>
    <col min="6"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97</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IF($O$18="Yes",(E5/$F$2)*DATA!$C$9,(E5/$F$2)*DATA!F$8)+IF(ISBLANK(K5),0,K5/$F$2)*DATA!$C$9-IF(ISBLANK(L5),0,L5/$F$2)*DATA!F$8</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IF($O$18="Yes",(E6/$F$2)*DATA!$C$9,(E6/$F$2)*DATA!F$8)+IF(ISBLANK(K6),0,K6/$F$2)*DATA!$C$9-IF(ISBLANK(L6),0,L6/$F$2)*DATA!F$8</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IF($O$18="Yes",(E7/$F$2)*DATA!$C$9,(E7/$F$2)*DATA!F$8)+IF(ISBLANK(K7),0,K7/$F$2)*DATA!$C$9-IF(ISBLANK(L7),0,L7/$F$2)*DATA!F$8</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IF($O$18="Yes",(E8/$F$2)*DATA!$C$9,(E8/$F$2)*DATA!F$8)+IF(ISBLANK(K8),0,K8/$F$2)*DATA!$C$9-IF(ISBLANK(L8),0,L8/$F$2)*DATA!F$8</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IF($O$18="Yes",(E9/$F$2)*DATA!$C$9,(E9/$F$2)*DATA!F$8)+IF(ISBLANK(K9),0,K9/$F$2)*DATA!$C$9-IF(ISBLANK(L9),0,L9/$F$2)*DATA!F$8</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IF($O$18="Yes",(E10/$F$2)*DATA!$C$9,(E10/$F$2)*DATA!F$8)+IF(ISBLANK(K10),0,K10/$F$2)*DATA!$C$9-IF(ISBLANK(L10),0,L10/$F$2)*DATA!F$8</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IF($O$18="Yes",(E11/$F$2)*DATA!$C$9,(E11/$F$2)*DATA!F$8)+IF(ISBLANK(K11),0,K11/$F$2)*DATA!$C$9-IF(ISBLANK(L11),0,L11/$F$2)*DATA!F$8</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IF($O$18="Yes",(E12/$F$2)*DATA!$C$9,(E12/$F$2)*DATA!F$8)+IF(ISBLANK(K12),0,K12/$F$2)*DATA!$C$9-IF(ISBLANK(L12),0,L12/$F$2)*DATA!F$8</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IF($O$18="Yes",(E13/$F$2)*DATA!$C$9,(E13/$F$2)*DATA!F$8)+IF(ISBLANK(K13),0,K13/$F$2)*DATA!$C$9-IF(ISBLANK(L13),0,L13/$F$2)*DATA!F$8</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IF($O$18="Yes",(E14/$F$2)*DATA!$C$9,(E14/$F$2)*DATA!F$8)+IF(ISBLANK(K14),0,K14/$F$2)*DATA!$C$9-IF(ISBLANK(L14),0,L14/$F$2)*DATA!F$8</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IF($O$18="Yes",(E15/$F$2)*DATA!$C$9,(E15/$F$2)*DATA!F$8)+IF(ISBLANK(K15),0,K15/$F$2)*DATA!$C$9-IF(ISBLANK(L15),0,L15/$F$2)*DATA!F$8</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102"/>
      <c r="C29" s="15"/>
      <c r="D29" s="29"/>
      <c r="E29" s="29"/>
      <c r="F29" s="103" t="e" cm="1">
        <f t="array" ref="F29">_xlfn.IFS(AND($C29="Fuel car",$D29=1),$E29*'CZ '!C$7,AND($C29="Fuel car",$D29=2),$E29*'CZ '!C$8,AND($C29="Fuel car",$D29=3),$E29*'CZ '!C$9,AND($C29="Fuel car",$D29=4),$E29*'CZ '!C$10,AND($C29="Fuel car",$D29=5),$E29*'CZ '!C$11,AND($C29="Motorcycle",$D29=1),$E29*'CZ '!C$13,AND($C29="Motorcycle",$D29=2),$E29*'CZ '!C$14,AND($C29="Electric car",$D29=1),$E29*'CZ '!C$16,AND($C29="Electric car",$D29=2),$E29*'CZ '!C$17,AND($C29="Electric car",$D29=3),$E29*'CZ '!C$18,AND($C29="Electric car",$D29=4),$E29*'CZ '!C$19,AND($C29="Electric car",$D29=5),$E29*'CZ '!C$20,AND($C29="Hybrid car",$D29=1),$E29*'CZ '!C$22,AND($C29="Hybrid car",$D29=2),$E29*'CZ '!C$23,AND($C29="Hybrid car",$D29=3),$E29*'CZ '!C$24,AND($C29="Hybrid car",$D29=4),$E29*'CZ '!C$25,AND($C29="Hybrid car",$D29=5),$E29*'CZ '!C$26,AND($C29="Electric motorcycle",$D29=1),$E29*'CZ '!C$28,AND($C29="Electric motorcycle",$D29=2),$E29*'CZ '!C$29,AND($C29="Electric bike",$D29=1),$E29*'CZ '!C$31,AND($C29="Electric scooter",$D29=1),$E29*'CZ '!C$33,AND($C29="Bus",$D29="Almost empty"),$E29*'CZ '!H$23,AND($C29="Bus",$D29="Average"),$E29*'CZ '!H$24,AND($C29="Bus",$D29="Nearly full"),$E29*'CZ '!H$25,AND($C29="Electric bus",$D29="Almost empty"),$E29*'CZ '!H$7,AND($C29="Electric bus",$D29="Average"),$E29*'CZ '!H$8,AND($C29="Electric bus",$D29="Nearly full"),$E29*'CZ '!H$9,AND($C29="Diesel bus",$D29="Almost empty"),$E29*'CZ '!H$19,AND($C29="Diesel bus",$D29="Average"),$E29*'CZ '!H$20,AND($C29="Diesel bus",$D29="Nearly full"),$E29*'CZ '!H$21,AND($C29="Hybrid-electric bus",$D29="Almost empty"),$E29*'CZ '!H$11,AND($C29="Hybrid-electric bus",$D29="Average"),$E29*'CZ '!H$12,AND($C29="Hybrid-electric bus",$D29="Nearly full"),$E29*'CZ '!H$13,AND($C29="Alternative fuel bus",$D29="Almost empty"),$E29*'CZ '!H$15,AND($C29="Alternative fuel bus",$D29="Average"),$E29*'CZ '!H$16,AND($C29="Alternative fuel bus",$D29="Nearly full"),$E29*'CZ '!H$17,AND($C29="Metro, tram, urban light train",$D29="Almost empty"),$E29*'CZ '!C$35,AND($C29="Metro, tram, urban light train",$D29="Average"),$E29*'CZ '!C$36,AND($C29="Metro, tram, urban light train",$D29="Nearly full"),$E29*'CZ '!C$37,AND($C29="Electric passenger train",$D29="Almost empty"),$E29*'CZ '!C$39,AND($C29="Electric passenger train",$D29="Average"),$E29*'CZ '!C$40,AND($C29="Electric passenger train",$D29="Nearly full"),$E29*'CZ '!C$41,AND($C29="Diesel passenger train",$D29="Almost empty"),$E29*'CZ '!C$47,AND($C29="Diesel passenger train",$D29="Average"),$E29*'CZ '!C$48,AND($C29="Diesel passenger train",$D29="Nearly full"),$E29*'CZ '!C$49,AND($C29="Walking"),$E29*0,AND($C29="Bike"),$E29*0,AND($C29="Plane - domestic flight"),$E29*'CZ '!$C53,AND($C29="Plane - international - intra EU"),$E29*'CZ '!$C55,AND($C29="Plane - international (extra EU)"),$E29*'CZ '!$C57)</f>
        <v>#N/A</v>
      </c>
      <c r="G29" s="104" t="e" cm="1">
        <f t="array" ref="G29">_xlfn.IFS(AND($C29="Fuel car",$D29=1),$E29*'CZ '!D$7,AND($C29="Fuel car",$D29=2),$E29*'CZ '!D$8,AND($C29="Fuel car",$D29=3),$E29*'CZ '!D$9,AND($C29="Fuel car",$D29=4),$E29*'CZ '!D$10,AND($C29="Fuel car",$D29=5),$E29*'CZ '!D$11,AND($C29="Motorcycle",$D29=1),$E29*'CZ '!D$13,AND($C29="Motorcycle",$D29=2),$E29*'CZ '!D$14,AND($C29="Electric car",$D29=1),$E29*'CZ '!D$16,AND($C29="Electric car",$D29=2),$E29*'CZ '!D$17,AND($C29="Electric car",$D29=3),$E29*'CZ '!D$18,AND($C29="Electric car",$D29=4),$E29*'CZ '!D$19,AND($C29="Electric car",$D29=5),$E29*'CZ '!D$20,AND($C29="Hybrid car",$D29=1),$E29*'CZ '!D$22,AND($C29="Hybrid car",$D29=2),$E29*'CZ '!D$23,AND($C29="Hybrid car",$D29=3),$E29*'CZ '!D$24,AND($C29="Hybrid car",$D29=4),$E29*'CZ '!D$25,AND($C29="Hybrid car",$D29=5),$E29*'CZ '!D$26,AND($C29="Electric motorcycle",$D29=1),$E29*'CZ '!D$28,AND($C29="Electric motorcycle",$D29=2),$E29*'CZ '!D$29,AND($C29="Electric bike",$D29=1),$E29*'CZ '!D$31,AND($C29="Electric scooter",$D29=1),$E29*'CZ '!D$33,AND($C29="Bus",$D29="Almost empty"),$E29*'CZ '!I$23,AND($C29="Bus",$D29="Average"),$E29*'CZ '!I$24,AND($C29="Bus",$D29="Nearly full"),$E29*'CZ '!I$25,AND($C29="Electric bus",$D29="Almost empty"),$E29*'CZ '!I$7,AND($C29="Electric bus",$D29="Average"),$E29*'CZ '!I$8,AND($C29="Electric bus",$D29="Nearly full"),$E29*'CZ '!I$9,AND($C29="Diesel bus",$D29="Almost empty"),$E29*'CZ '!I$19,AND($C29="Diesel bus",$D29="Average"),$E29*'CZ '!I$20,AND($C29="Diesel bus",$D29="Nearly full"),$E29*'CZ '!I$21,AND($C29="Hybrid-electric bus",$D29="Almost empty"),$E29*'CZ '!I$11,AND($C29="Hybrid-electric bus",$D29="Average"),$E29*'CZ '!I$12,AND($C29="Hybrid-electric bus",$D29="Nearly full"),$E29*'CZ '!I$13,AND($C29="Alternative fuel bus",$D29="Almost empty"),$E29*'CZ '!I$15,AND($C29="Alternative fuel bus",$D29="Average"),$E29*'CZ '!I$16,AND($C29="Alternative fuel bus",$D29="Nearly full"),$E29*'CZ '!I$17,AND($C29="Metro, tram, urban light train",$D29="Almost empty"),$E29*'CZ '!D$35,AND($C29="Metro, tram, urban light train",$D29="Average"),$E29*'CZ '!D$36,AND($C29="Metro, tram, urban light train",$D29="Nearly full"),$E29*'CZ '!D$37,AND($C29="Electric passenger train",$D29="Almost empty"),$E29*'CZ '!D$39,AND($C29="Electric passenger train",$D29="Average"),$E29*'CZ '!D$40,AND($C29="Electric passenger train",$D29="Nearly full"),$E29*'CZ '!D$41,AND($C29="Diesel passenger train",$D29="Almost empty"),$E29*'CZ '!D$47,AND($C29="Diesel passenger train",$D29="Average"),$E29*'CZ '!D$48,AND($C29="Diesel passenger train",$D29="Nearly full"),$E29*'CZ '!D$49,AND($C29="Walking"),$E29*0,AND($C29="Bike"),$E29*0,AND($C29="Plane - domestic flight"),$E29*'CZ '!$C53,AND($C29="Plane - international - intra EU"),$E29*'CZ '!$C55,AND($C29="Plane - international (extra EU)"),$E29*'CZ '!$C57)</f>
        <v>#N/A</v>
      </c>
      <c r="H29" s="151"/>
      <c r="I29" s="152">
        <f>H29/10*E29</f>
        <v>0</v>
      </c>
      <c r="J29" s="146" t="e" cm="1">
        <f t="array" ref="J29">_xlfn.IFS(C29="Fuel car",C29*DATA!$C$17,C29="Electric car",C29*DATA!$F$8,C29="Hybrid car",I29*(0.5*DATA!$C$17+0.5*DATA!$F$8))</f>
        <v>#N/A</v>
      </c>
      <c r="L29" s="218"/>
      <c r="M29" s="219"/>
      <c r="N29" s="220"/>
    </row>
    <row r="30" spans="1:17" ht="32" customHeight="1" x14ac:dyDescent="0.2">
      <c r="A30" s="222"/>
      <c r="B30" s="30"/>
      <c r="C30" s="15"/>
      <c r="D30" s="15"/>
      <c r="E30" s="15"/>
      <c r="F30" s="123" t="e" cm="1">
        <f t="array" ref="F30">_xlfn.IFS(AND($C30="Fuel car",$D30=1),$E30*'CZ '!C$7,AND($C30="Fuel car",$D30=2),$E30*'CZ '!C$8,AND($C30="Fuel car",$D30=3),$E30*'CZ '!C$9,AND($C30="Fuel car",$D30=4),$E30*'CZ '!C$10,AND($C30="Fuel car",$D30=5),$E30*'CZ '!C$11,AND($C30="Motorcycle",$D30=1),$E30*'CZ '!C$13,AND($C30="Motorcycle",$D30=2),$E30*'CZ '!C$14,AND($C30="Electric car",$D30=1),$E30*'CZ '!C$16,AND($C30="Electric car",$D30=2),$E30*'CZ '!C$17,AND($C30="Electric car",$D30=3),$E30*'CZ '!C$18,AND($C30="Electric car",$D30=4),$E30*'CZ '!C$19,AND($C30="Electric car",$D30=5),$E30*'CZ '!C$20,AND($C30="Hybrid car",$D30=1),$E30*'CZ '!C$22,AND($C30="Hybrid car",$D30=2),$E30*'CZ '!C$23,AND($C30="Hybrid car",$D30=3),$E30*'CZ '!C$24,AND($C30="Hybrid car",$D30=4),$E30*'CZ '!C$25,AND($C30="Hybrid car",$D30=5),$E30*'CZ '!C$26,AND($C30="Electric motorcycle",$D30=1),$E30*'CZ '!C$28,AND($C30="Electric motorcycle",$D30=2),$E30*'CZ '!C$29,AND($C30="Electric bike",$D30=1),$E30*'CZ '!C$31,AND($C30="Electric scooter",$D30=1),$E30*'CZ '!C$33,AND($C30="Bus",$D30="Almost empty"),$E30*'CZ '!H$23,AND($C30="Bus",$D30="Average"),$E30*'CZ '!H$24,AND($C30="Bus",$D30="Nearly full"),$E30*'CZ '!H$25,AND($C30="Electric bus",$D30="Almost empty"),$E30*'CZ '!H$7,AND($C30="Electric bus",$D30="Average"),$E30*'CZ '!H$8,AND($C30="Electric bus",$D30="Nearly full"),$E30*'CZ '!H$9,AND($C30="Diesel bus",$D30="Almost empty"),$E30*'CZ '!H$19,AND($C30="Diesel bus",$D30="Average"),$E30*'CZ '!H$20,AND($C30="Diesel bus",$D30="Nearly full"),$E30*'CZ '!H$21,AND($C30="Hybrid-electric bus",$D30="Almost empty"),$E30*'CZ '!H$11,AND($C30="Hybrid-electric bus",$D30="Average"),$E30*'CZ '!H$12,AND($C30="Hybrid-electric bus",$D30="Nearly full"),$E30*'CZ '!H$13,AND($C30="Alternative fuel bus",$D30="Almost empty"),$E30*'CZ '!H$15,AND($C30="Alternative fuel bus",$D30="Average"),$E30*'CZ '!H$16,AND($C30="Alternative fuel bus",$D30="Nearly full"),$E30*'CZ '!H$17,AND($C30="Metro, tram, urban light train",$D30="Almost empty"),$E30*'CZ '!C$35,AND($C30="Metro, tram, urban light train",$D30="Average"),$E30*'CZ '!C$36,AND($C30="Metro, tram, urban light train",$D30="Nearly full"),$E30*'CZ '!C$37,AND($C30="Electric passenger train",$D30="Almost empty"),$E30*'CZ '!C$39,AND($C30="Electric passenger train",$D30="Average"),$E30*'CZ '!C$40,AND($C30="Electric passenger train",$D30="Nearly full"),$E30*'CZ '!C$41,AND($C30="Diesel passenger train",$D30="Almost empty"),$E30*'CZ '!C$47,AND($C30="Diesel passenger train",$D30="Average"),$E30*'CZ '!C$48,AND($C30="Diesel passenger train",$D30="Nearly full"),$E30*'CZ '!C$49,AND($C30="Walking"),$E30*0,AND($C30="Bike"),$E30*0,AND($C30="Plane - domestic flight"),$E30*'CZ '!$C54,AND($C30="Plane - international - intra EU"),$E30*'CZ '!$C56,AND($C30="Plane - international (extra EU)"),$E30*'CZ '!$C58)</f>
        <v>#N/A</v>
      </c>
      <c r="G30" s="31" t="e" cm="1">
        <f t="array" ref="G30">_xlfn.IFS(AND($C30="Fuel car",$D30=1),$E30*'CZ '!D$7,AND($C30="Fuel car",$D30=2),$E30*'CZ '!D$8,AND($C30="Fuel car",$D30=3),$E30*'CZ '!D$9,AND($C30="Fuel car",$D30=4),$E30*'CZ '!D$10,AND($C30="Fuel car",$D30=5),$E30*'CZ '!D$11,AND($C30="Motorcycle",$D30=1),$E30*'CZ '!D$13,AND($C30="Motorcycle",$D30=2),$E30*'CZ '!D$14,AND($C30="Electric car",$D30=1),$E30*'CZ '!D$16,AND($C30="Electric car",$D30=2),$E30*'CZ '!D$17,AND($C30="Electric car",$D30=3),$E30*'CZ '!D$18,AND($C30="Electric car",$D30=4),$E30*'CZ '!D$19,AND($C30="Electric car",$D30=5),$E30*'CZ '!D$20,AND($C30="Hybrid car",$D30=1),$E30*'CZ '!D$22,AND($C30="Hybrid car",$D30=2),$E30*'CZ '!D$23,AND($C30="Hybrid car",$D30=3),$E30*'CZ '!D$24,AND($C30="Hybrid car",$D30=4),$E30*'CZ '!D$25,AND($C30="Hybrid car",$D30=5),$E30*'CZ '!D$26,AND($C30="Electric motorcycle",$D30=1),$E30*'CZ '!D$28,AND($C30="Electric motorcycle",$D30=2),$E30*'CZ '!D$29,AND($C30="Electric bike",$D30=1),$E30*'CZ '!D$31,AND($C30="Electric scooter",$D30=1),$E30*'CZ '!D$33,AND($C30="Bus",$D30="Almost empty"),$E30*'CZ '!I$23,AND($C30="Bus",$D30="Average"),$E30*'CZ '!I$24,AND($C30="Bus",$D30="Nearly full"),$E30*'CZ '!I$25,AND($C30="Electric bus",$D30="Almost empty"),$E30*'CZ '!I$7,AND($C30="Electric bus",$D30="Average"),$E30*'CZ '!I$8,AND($C30="Electric bus",$D30="Nearly full"),$E30*'CZ '!I$9,AND($C30="Diesel bus",$D30="Almost empty"),$E30*'CZ '!I$19,AND($C30="Diesel bus",$D30="Average"),$E30*'CZ '!I$20,AND($C30="Diesel bus",$D30="Nearly full"),$E30*'CZ '!I$21,AND($C30="Hybrid-electric bus",$D30="Almost empty"),$E30*'CZ '!I$11,AND($C30="Hybrid-electric bus",$D30="Average"),$E30*'CZ '!I$12,AND($C30="Hybrid-electric bus",$D30="Nearly full"),$E30*'CZ '!I$13,AND($C30="Alternative fuel bus",$D30="Almost empty"),$E30*'CZ '!I$15,AND($C30="Alternative fuel bus",$D30="Average"),$E30*'CZ '!I$16,AND($C30="Alternative fuel bus",$D30="Nearly full"),$E30*'CZ '!I$17,AND($C30="Metro, tram, urban light train",$D30="Almost empty"),$E30*'CZ '!D$35,AND($C30="Metro, tram, urban light train",$D30="Average"),$E30*'CZ '!D$36,AND($C30="Metro, tram, urban light train",$D30="Nearly full"),$E30*'CZ '!D$37,AND($C30="Electric passenger train",$D30="Almost empty"),$E30*'CZ '!D$39,AND($C30="Electric passenger train",$D30="Average"),$E30*'CZ '!D$40,AND($C30="Electric passenger train",$D30="Nearly full"),$E30*'CZ '!D$41,AND($C30="Diesel passenger train",$D30="Almost empty"),$E30*'CZ '!D$47,AND($C30="Diesel passenger train",$D30="Average"),$E30*'CZ '!D$48,AND($C30="Diesel passenger train",$D30="Nearly full"),$E30*'CZ '!D$49,AND($C30="Walking"),$E30*0,AND($C30="Bike"),$E30*0,AND($C30="Plane - domestic flight"),$E30*'CZ '!$C54,AND($C30="Plane - international - intra EU"),$E30*'CZ '!$C56,AND($C30="Plane - international (extra EU)"),$E30*'CZ '!$C58)</f>
        <v>#N/A</v>
      </c>
      <c r="H30" s="145"/>
      <c r="I30" s="148">
        <f t="shared" ref="I30:I43" si="6">H30/10*E30</f>
        <v>0</v>
      </c>
      <c r="J30" s="146" t="e" cm="1">
        <f t="array" ref="J30">_xlfn.IFS(C30="Fuel car",C30*DATA!$C$17,C30="Electric car",C30*DATA!$F$8,C30="Hybrid car",I30*(0.5*DATA!$C$17+0.5*DATA!$F$8))</f>
        <v>#N/A</v>
      </c>
      <c r="L30" s="215" t="s">
        <v>76</v>
      </c>
      <c r="M30" s="216"/>
      <c r="N30" s="217"/>
    </row>
    <row r="31" spans="1:17" x14ac:dyDescent="0.2">
      <c r="A31" s="222"/>
      <c r="B31" s="30"/>
      <c r="C31" s="15"/>
      <c r="D31" s="15"/>
      <c r="E31" s="15"/>
      <c r="F31" s="123" t="e" cm="1">
        <f t="array" ref="F31">_xlfn.IFS(AND($C31="Fuel car",$D31=1),$E31*'CZ '!C$7,AND($C31="Fuel car",$D31=2),$E31*'CZ '!C$8,AND($C31="Fuel car",$D31=3),$E31*'CZ '!C$9,AND($C31="Fuel car",$D31=4),$E31*'CZ '!C$10,AND($C31="Fuel car",$D31=5),$E31*'CZ '!C$11,AND($C31="Motorcycle",$D31=1),$E31*'CZ '!C$13,AND($C31="Motorcycle",$D31=2),$E31*'CZ '!C$14,AND($C31="Electric car",$D31=1),$E31*'CZ '!C$16,AND($C31="Electric car",$D31=2),$E31*'CZ '!C$17,AND($C31="Electric car",$D31=3),$E31*'CZ '!C$18,AND($C31="Electric car",$D31=4),$E31*'CZ '!C$19,AND($C31="Electric car",$D31=5),$E31*'CZ '!C$20,AND($C31="Hybrid car",$D31=1),$E31*'CZ '!C$22,AND($C31="Hybrid car",$D31=2),$E31*'CZ '!C$23,AND($C31="Hybrid car",$D31=3),$E31*'CZ '!C$24,AND($C31="Hybrid car",$D31=4),$E31*'CZ '!C$25,AND($C31="Hybrid car",$D31=5),$E31*'CZ '!C$26,AND($C31="Electric motorcycle",$D31=1),$E31*'CZ '!C$28,AND($C31="Electric motorcycle",$D31=2),$E31*'CZ '!C$29,AND($C31="Electric bike",$D31=1),$E31*'CZ '!C$31,AND($C31="Electric scooter",$D31=1),$E31*'CZ '!C$33,AND($C31="Bus",$D31="Almost empty"),$E31*'CZ '!H$23,AND($C31="Bus",$D31="Average"),$E31*'CZ '!H$24,AND($C31="Bus",$D31="Nearly full"),$E31*'CZ '!H$25,AND($C31="Electric bus",$D31="Almost empty"),$E31*'CZ '!H$7,AND($C31="Electric bus",$D31="Average"),$E31*'CZ '!H$8,AND($C31="Electric bus",$D31="Nearly full"),$E31*'CZ '!H$9,AND($C31="Diesel bus",$D31="Almost empty"),$E31*'CZ '!H$19,AND($C31="Diesel bus",$D31="Average"),$E31*'CZ '!H$20,AND($C31="Diesel bus",$D31="Nearly full"),$E31*'CZ '!H$21,AND($C31="Hybrid-electric bus",$D31="Almost empty"),$E31*'CZ '!H$11,AND($C31="Hybrid-electric bus",$D31="Average"),$E31*'CZ '!H$12,AND($C31="Hybrid-electric bus",$D31="Nearly full"),$E31*'CZ '!H$13,AND($C31="Alternative fuel bus",$D31="Almost empty"),$E31*'CZ '!H$15,AND($C31="Alternative fuel bus",$D31="Average"),$E31*'CZ '!H$16,AND($C31="Alternative fuel bus",$D31="Nearly full"),$E31*'CZ '!H$17,AND($C31="Metro, tram, urban light train",$D31="Almost empty"),$E31*'CZ '!C$35,AND($C31="Metro, tram, urban light train",$D31="Average"),$E31*'CZ '!C$36,AND($C31="Metro, tram, urban light train",$D31="Nearly full"),$E31*'CZ '!C$37,AND($C31="Electric passenger train",$D31="Almost empty"),$E31*'CZ '!C$39,AND($C31="Electric passenger train",$D31="Average"),$E31*'CZ '!C$40,AND($C31="Electric passenger train",$D31="Nearly full"),$E31*'CZ '!C$41,AND($C31="Diesel passenger train",$D31="Almost empty"),$E31*'CZ '!C$47,AND($C31="Diesel passenger train",$D31="Average"),$E31*'CZ '!C$48,AND($C31="Diesel passenger train",$D31="Nearly full"),$E31*'CZ '!C$49,AND($C31="Walking"),$E31*0,AND($C31="Bike"),$E31*0,AND($C31="Plane - domestic flight"),$E31*'CZ '!$C55,AND($C31="Plane - international - intra EU"),$E31*'CZ '!$C57,AND($C31="Plane - international (extra EU)"),$E31*'CZ '!$C59)</f>
        <v>#N/A</v>
      </c>
      <c r="G31" s="31" t="e" cm="1">
        <f t="array" ref="G31">_xlfn.IFS(AND($C31="Fuel car",$D31=1),$E31*'CZ '!D$7,AND($C31="Fuel car",$D31=2),$E31*'CZ '!D$8,AND($C31="Fuel car",$D31=3),$E31*'CZ '!D$9,AND($C31="Fuel car",$D31=4),$E31*'CZ '!D$10,AND($C31="Fuel car",$D31=5),$E31*'CZ '!D$11,AND($C31="Motorcycle",$D31=1),$E31*'CZ '!D$13,AND($C31="Motorcycle",$D31=2),$E31*'CZ '!D$14,AND($C31="Electric car",$D31=1),$E31*'CZ '!D$16,AND($C31="Electric car",$D31=2),$E31*'CZ '!D$17,AND($C31="Electric car",$D31=3),$E31*'CZ '!D$18,AND($C31="Electric car",$D31=4),$E31*'CZ '!D$19,AND($C31="Electric car",$D31=5),$E31*'CZ '!D$20,AND($C31="Hybrid car",$D31=1),$E31*'CZ '!D$22,AND($C31="Hybrid car",$D31=2),$E31*'CZ '!D$23,AND($C31="Hybrid car",$D31=3),$E31*'CZ '!D$24,AND($C31="Hybrid car",$D31=4),$E31*'CZ '!D$25,AND($C31="Hybrid car",$D31=5),$E31*'CZ '!D$26,AND($C31="Electric motorcycle",$D31=1),$E31*'CZ '!D$28,AND($C31="Electric motorcycle",$D31=2),$E31*'CZ '!D$29,AND($C31="Electric bike",$D31=1),$E31*'CZ '!D$31,AND($C31="Electric scooter",$D31=1),$E31*'CZ '!D$33,AND($C31="Bus",$D31="Almost empty"),$E31*'CZ '!I$23,AND($C31="Bus",$D31="Average"),$E31*'CZ '!I$24,AND($C31="Bus",$D31="Nearly full"),$E31*'CZ '!I$25,AND($C31="Electric bus",$D31="Almost empty"),$E31*'CZ '!I$7,AND($C31="Electric bus",$D31="Average"),$E31*'CZ '!I$8,AND($C31="Electric bus",$D31="Nearly full"),$E31*'CZ '!I$9,AND($C31="Diesel bus",$D31="Almost empty"),$E31*'CZ '!I$19,AND($C31="Diesel bus",$D31="Average"),$E31*'CZ '!I$20,AND($C31="Diesel bus",$D31="Nearly full"),$E31*'CZ '!I$21,AND($C31="Hybrid-electric bus",$D31="Almost empty"),$E31*'CZ '!I$11,AND($C31="Hybrid-electric bus",$D31="Average"),$E31*'CZ '!I$12,AND($C31="Hybrid-electric bus",$D31="Nearly full"),$E31*'CZ '!I$13,AND($C31="Alternative fuel bus",$D31="Almost empty"),$E31*'CZ '!I$15,AND($C31="Alternative fuel bus",$D31="Average"),$E31*'CZ '!I$16,AND($C31="Alternative fuel bus",$D31="Nearly full"),$E31*'CZ '!I$17,AND($C31="Metro, tram, urban light train",$D31="Almost empty"),$E31*'CZ '!D$35,AND($C31="Metro, tram, urban light train",$D31="Average"),$E31*'CZ '!D$36,AND($C31="Metro, tram, urban light train",$D31="Nearly full"),$E31*'CZ '!D$37,AND($C31="Electric passenger train",$D31="Almost empty"),$E31*'CZ '!D$39,AND($C31="Electric passenger train",$D31="Average"),$E31*'CZ '!D$40,AND($C31="Electric passenger train",$D31="Nearly full"),$E31*'CZ '!D$41,AND($C31="Diesel passenger train",$D31="Almost empty"),$E31*'CZ '!D$47,AND($C31="Diesel passenger train",$D31="Average"),$E31*'CZ '!D$48,AND($C31="Diesel passenger train",$D31="Nearly full"),$E31*'CZ '!D$49,AND($C31="Walking"),$E31*0,AND($C31="Bike"),$E31*0,AND($C31="Plane - domestic flight"),$E31*'CZ '!$C55,AND($C31="Plane - international - intra EU"),$E31*'CZ '!$C57,AND($C31="Plane - international (extra EU)"),$E31*'CZ '!$C59)</f>
        <v>#N/A</v>
      </c>
      <c r="H31" s="145"/>
      <c r="I31" s="148">
        <f t="shared" si="6"/>
        <v>0</v>
      </c>
      <c r="J31" s="146" t="e" cm="1">
        <f t="array" ref="J31">_xlfn.IFS(C31="Fuel car",C31*DATA!$C$17,C31="Electric car",C31*DATA!$F$8,C31="Hybrid car",I31*(0.5*DATA!$C$17+0.5*DATA!$F$8))</f>
        <v>#N/A</v>
      </c>
      <c r="L31" s="223"/>
      <c r="M31" s="224"/>
      <c r="N31" s="225"/>
    </row>
    <row r="32" spans="1:17" ht="16" thickBot="1" x14ac:dyDescent="0.25">
      <c r="A32" s="222"/>
      <c r="B32" s="30"/>
      <c r="C32" s="15"/>
      <c r="D32" s="15"/>
      <c r="E32" s="15"/>
      <c r="F32" s="123" t="e" cm="1">
        <f t="array" ref="F32">_xlfn.IFS(AND($C32="Fuel car",$D32=1),$E32*'CZ '!C$7,AND($C32="Fuel car",$D32=2),$E32*'CZ '!C$8,AND($C32="Fuel car",$D32=3),$E32*'CZ '!C$9,AND($C32="Fuel car",$D32=4),$E32*'CZ '!C$10,AND($C32="Fuel car",$D32=5),$E32*'CZ '!C$11,AND($C32="Motorcycle",$D32=1),$E32*'CZ '!C$13,AND($C32="Motorcycle",$D32=2),$E32*'CZ '!C$14,AND($C32="Electric car",$D32=1),$E32*'CZ '!C$16,AND($C32="Electric car",$D32=2),$E32*'CZ '!C$17,AND($C32="Electric car",$D32=3),$E32*'CZ '!C$18,AND($C32="Electric car",$D32=4),$E32*'CZ '!C$19,AND($C32="Electric car",$D32=5),$E32*'CZ '!C$20,AND($C32="Hybrid car",$D32=1),$E32*'CZ '!C$22,AND($C32="Hybrid car",$D32=2),$E32*'CZ '!C$23,AND($C32="Hybrid car",$D32=3),$E32*'CZ '!C$24,AND($C32="Hybrid car",$D32=4),$E32*'CZ '!C$25,AND($C32="Hybrid car",$D32=5),$E32*'CZ '!C$26,AND($C32="Electric motorcycle",$D32=1),$E32*'CZ '!C$28,AND($C32="Electric motorcycle",$D32=2),$E32*'CZ '!C$29,AND($C32="Electric bike",$D32=1),$E32*'CZ '!C$31,AND($C32="Electric scooter",$D32=1),$E32*'CZ '!C$33,AND($C32="Bus",$D32="Almost empty"),$E32*'CZ '!H$23,AND($C32="Bus",$D32="Average"),$E32*'CZ '!H$24,AND($C32="Bus",$D32="Nearly full"),$E32*'CZ '!H$25,AND($C32="Electric bus",$D32="Almost empty"),$E32*'CZ '!H$7,AND($C32="Electric bus",$D32="Average"),$E32*'CZ '!H$8,AND($C32="Electric bus",$D32="Nearly full"),$E32*'CZ '!H$9,AND($C32="Diesel bus",$D32="Almost empty"),$E32*'CZ '!H$19,AND($C32="Diesel bus",$D32="Average"),$E32*'CZ '!H$20,AND($C32="Diesel bus",$D32="Nearly full"),$E32*'CZ '!H$21,AND($C32="Hybrid-electric bus",$D32="Almost empty"),$E32*'CZ '!H$11,AND($C32="Hybrid-electric bus",$D32="Average"),$E32*'CZ '!H$12,AND($C32="Hybrid-electric bus",$D32="Nearly full"),$E32*'CZ '!H$13,AND($C32="Alternative fuel bus",$D32="Almost empty"),$E32*'CZ '!H$15,AND($C32="Alternative fuel bus",$D32="Average"),$E32*'CZ '!H$16,AND($C32="Alternative fuel bus",$D32="Nearly full"),$E32*'CZ '!H$17,AND($C32="Metro, tram, urban light train",$D32="Almost empty"),$E32*'CZ '!C$35,AND($C32="Metro, tram, urban light train",$D32="Average"),$E32*'CZ '!C$36,AND($C32="Metro, tram, urban light train",$D32="Nearly full"),$E32*'CZ '!C$37,AND($C32="Electric passenger train",$D32="Almost empty"),$E32*'CZ '!C$39,AND($C32="Electric passenger train",$D32="Average"),$E32*'CZ '!C$40,AND($C32="Electric passenger train",$D32="Nearly full"),$E32*'CZ '!C$41,AND($C32="Diesel passenger train",$D32="Almost empty"),$E32*'CZ '!C$47,AND($C32="Diesel passenger train",$D32="Average"),$E32*'CZ '!C$48,AND($C32="Diesel passenger train",$D32="Nearly full"),$E32*'CZ '!C$49,AND($C32="Walking"),$E32*0,AND($C32="Bike"),$E32*0,AND($C32="Plane - domestic flight"),$E32*'CZ '!$C56,AND($C32="Plane - international - intra EU"),$E32*'CZ '!$C58,AND($C32="Plane - international (extra EU)"),$E32*'CZ '!$C60)</f>
        <v>#N/A</v>
      </c>
      <c r="G32" s="31" t="e" cm="1">
        <f t="array" ref="G32">_xlfn.IFS(AND($C32="Fuel car",$D32=1),$E32*'CZ '!D$7,AND($C32="Fuel car",$D32=2),$E32*'CZ '!D$8,AND($C32="Fuel car",$D32=3),$E32*'CZ '!D$9,AND($C32="Fuel car",$D32=4),$E32*'CZ '!D$10,AND($C32="Fuel car",$D32=5),$E32*'CZ '!D$11,AND($C32="Motorcycle",$D32=1),$E32*'CZ '!D$13,AND($C32="Motorcycle",$D32=2),$E32*'CZ '!D$14,AND($C32="Electric car",$D32=1),$E32*'CZ '!D$16,AND($C32="Electric car",$D32=2),$E32*'CZ '!D$17,AND($C32="Electric car",$D32=3),$E32*'CZ '!D$18,AND($C32="Electric car",$D32=4),$E32*'CZ '!D$19,AND($C32="Electric car",$D32=5),$E32*'CZ '!D$20,AND($C32="Hybrid car",$D32=1),$E32*'CZ '!D$22,AND($C32="Hybrid car",$D32=2),$E32*'CZ '!D$23,AND($C32="Hybrid car",$D32=3),$E32*'CZ '!D$24,AND($C32="Hybrid car",$D32=4),$E32*'CZ '!D$25,AND($C32="Hybrid car",$D32=5),$E32*'CZ '!D$26,AND($C32="Electric motorcycle",$D32=1),$E32*'CZ '!D$28,AND($C32="Electric motorcycle",$D32=2),$E32*'CZ '!D$29,AND($C32="Electric bike",$D32=1),$E32*'CZ '!D$31,AND($C32="Electric scooter",$D32=1),$E32*'CZ '!D$33,AND($C32="Bus",$D32="Almost empty"),$E32*'CZ '!I$23,AND($C32="Bus",$D32="Average"),$E32*'CZ '!I$24,AND($C32="Bus",$D32="Nearly full"),$E32*'CZ '!I$25,AND($C32="Electric bus",$D32="Almost empty"),$E32*'CZ '!I$7,AND($C32="Electric bus",$D32="Average"),$E32*'CZ '!I$8,AND($C32="Electric bus",$D32="Nearly full"),$E32*'CZ '!I$9,AND($C32="Diesel bus",$D32="Almost empty"),$E32*'CZ '!I$19,AND($C32="Diesel bus",$D32="Average"),$E32*'CZ '!I$20,AND($C32="Diesel bus",$D32="Nearly full"),$E32*'CZ '!I$21,AND($C32="Hybrid-electric bus",$D32="Almost empty"),$E32*'CZ '!I$11,AND($C32="Hybrid-electric bus",$D32="Average"),$E32*'CZ '!I$12,AND($C32="Hybrid-electric bus",$D32="Nearly full"),$E32*'CZ '!I$13,AND($C32="Alternative fuel bus",$D32="Almost empty"),$E32*'CZ '!I$15,AND($C32="Alternative fuel bus",$D32="Average"),$E32*'CZ '!I$16,AND($C32="Alternative fuel bus",$D32="Nearly full"),$E32*'CZ '!I$17,AND($C32="Metro, tram, urban light train",$D32="Almost empty"),$E32*'CZ '!D$35,AND($C32="Metro, tram, urban light train",$D32="Average"),$E32*'CZ '!D$36,AND($C32="Metro, tram, urban light train",$D32="Nearly full"),$E32*'CZ '!D$37,AND($C32="Electric passenger train",$D32="Almost empty"),$E32*'CZ '!D$39,AND($C32="Electric passenger train",$D32="Average"),$E32*'CZ '!D$40,AND($C32="Electric passenger train",$D32="Nearly full"),$E32*'CZ '!D$41,AND($C32="Diesel passenger train",$D32="Almost empty"),$E32*'CZ '!D$47,AND($C32="Diesel passenger train",$D32="Average"),$E32*'CZ '!D$48,AND($C32="Diesel passenger train",$D32="Nearly full"),$E32*'CZ '!D$49,AND($C32="Walking"),$E32*0,AND($C32="Bike"),$E32*0,AND($C32="Plane - domestic flight"),$E32*'CZ '!$C56,AND($C32="Plane - international - intra EU"),$E32*'CZ '!$C58,AND($C32="Plane - international (extra EU)"),$E32*'CZ '!$C60)</f>
        <v>#N/A</v>
      </c>
      <c r="H32" s="145"/>
      <c r="I32" s="148">
        <f t="shared" si="6"/>
        <v>0</v>
      </c>
      <c r="J32" s="146" t="e" cm="1">
        <f t="array" ref="J32">_xlfn.IFS(C32="Fuel car",C32*DATA!$C$17,C32="Electric car",C32*DATA!$F$8,C32="Hybrid car",I32*(0.5*DATA!$C$17+0.5*DATA!$F$8))</f>
        <v>#N/A</v>
      </c>
      <c r="L32" s="218"/>
      <c r="M32" s="219"/>
      <c r="N32" s="220"/>
    </row>
    <row r="33" spans="1:14" ht="14.5" customHeight="1" x14ac:dyDescent="0.2">
      <c r="A33" s="222"/>
      <c r="B33" s="30"/>
      <c r="C33" s="15"/>
      <c r="D33" s="15"/>
      <c r="E33" s="15"/>
      <c r="F33" s="123" t="e" cm="1">
        <f t="array" ref="F33">_xlfn.IFS(AND($C33="Fuel car",$D33=1),$E33*'CZ '!C$7,AND($C33="Fuel car",$D33=2),$E33*'CZ '!C$8,AND($C33="Fuel car",$D33=3),$E33*'CZ '!C$9,AND($C33="Fuel car",$D33=4),$E33*'CZ '!C$10,AND($C33="Fuel car",$D33=5),$E33*'CZ '!C$11,AND($C33="Motorcycle",$D33=1),$E33*'CZ '!C$13,AND($C33="Motorcycle",$D33=2),$E33*'CZ '!C$14,AND($C33="Electric car",$D33=1),$E33*'CZ '!C$16,AND($C33="Electric car",$D33=2),$E33*'CZ '!C$17,AND($C33="Electric car",$D33=3),$E33*'CZ '!C$18,AND($C33="Electric car",$D33=4),$E33*'CZ '!C$19,AND($C33="Electric car",$D33=5),$E33*'CZ '!C$20,AND($C33="Hybrid car",$D33=1),$E33*'CZ '!C$22,AND($C33="Hybrid car",$D33=2),$E33*'CZ '!C$23,AND($C33="Hybrid car",$D33=3),$E33*'CZ '!C$24,AND($C33="Hybrid car",$D33=4),$E33*'CZ '!C$25,AND($C33="Hybrid car",$D33=5),$E33*'CZ '!C$26,AND($C33="Electric motorcycle",$D33=1),$E33*'CZ '!C$28,AND($C33="Electric motorcycle",$D33=2),$E33*'CZ '!C$29,AND($C33="Electric bike",$D33=1),$E33*'CZ '!C$31,AND($C33="Electric scooter",$D33=1),$E33*'CZ '!C$33,AND($C33="Bus",$D33="Almost empty"),$E33*'CZ '!H$23,AND($C33="Bus",$D33="Average"),$E33*'CZ '!H$24,AND($C33="Bus",$D33="Nearly full"),$E33*'CZ '!H$25,AND($C33="Electric bus",$D33="Almost empty"),$E33*'CZ '!H$7,AND($C33="Electric bus",$D33="Average"),$E33*'CZ '!H$8,AND($C33="Electric bus",$D33="Nearly full"),$E33*'CZ '!H$9,AND($C33="Diesel bus",$D33="Almost empty"),$E33*'CZ '!H$19,AND($C33="Diesel bus",$D33="Average"),$E33*'CZ '!H$20,AND($C33="Diesel bus",$D33="Nearly full"),$E33*'CZ '!H$21,AND($C33="Hybrid-electric bus",$D33="Almost empty"),$E33*'CZ '!H$11,AND($C33="Hybrid-electric bus",$D33="Average"),$E33*'CZ '!H$12,AND($C33="Hybrid-electric bus",$D33="Nearly full"),$E33*'CZ '!H$13,AND($C33="Alternative fuel bus",$D33="Almost empty"),$E33*'CZ '!H$15,AND($C33="Alternative fuel bus",$D33="Average"),$E33*'CZ '!H$16,AND($C33="Alternative fuel bus",$D33="Nearly full"),$E33*'CZ '!H$17,AND($C33="Metro, tram, urban light train",$D33="Almost empty"),$E33*'CZ '!C$35,AND($C33="Metro, tram, urban light train",$D33="Average"),$E33*'CZ '!C$36,AND($C33="Metro, tram, urban light train",$D33="Nearly full"),$E33*'CZ '!C$37,AND($C33="Electric passenger train",$D33="Almost empty"),$E33*'CZ '!C$39,AND($C33="Electric passenger train",$D33="Average"),$E33*'CZ '!C$40,AND($C33="Electric passenger train",$D33="Nearly full"),$E33*'CZ '!C$41,AND($C33="Diesel passenger train",$D33="Almost empty"),$E33*'CZ '!C$47,AND($C33="Diesel passenger train",$D33="Average"),$E33*'CZ '!C$48,AND($C33="Diesel passenger train",$D33="Nearly full"),$E33*'CZ '!C$49,AND($C33="Walking"),$E33*0,AND($C33="Bike"),$E33*0,AND($C33="Plane - domestic flight"),$E33*'CZ '!$C57,AND($C33="Plane - international - intra EU"),$E33*'CZ '!$C59,AND($C33="Plane - international (extra EU)"),$E33*'CZ '!$C61)</f>
        <v>#N/A</v>
      </c>
      <c r="G33" s="31" t="e" cm="1">
        <f t="array" ref="G33">_xlfn.IFS(AND($C33="Fuel car",$D33=1),$E33*'CZ '!D$7,AND($C33="Fuel car",$D33=2),$E33*'CZ '!D$8,AND($C33="Fuel car",$D33=3),$E33*'CZ '!D$9,AND($C33="Fuel car",$D33=4),$E33*'CZ '!D$10,AND($C33="Fuel car",$D33=5),$E33*'CZ '!D$11,AND($C33="Motorcycle",$D33=1),$E33*'CZ '!D$13,AND($C33="Motorcycle",$D33=2),$E33*'CZ '!D$14,AND($C33="Electric car",$D33=1),$E33*'CZ '!D$16,AND($C33="Electric car",$D33=2),$E33*'CZ '!D$17,AND($C33="Electric car",$D33=3),$E33*'CZ '!D$18,AND($C33="Electric car",$D33=4),$E33*'CZ '!D$19,AND($C33="Electric car",$D33=5),$E33*'CZ '!D$20,AND($C33="Hybrid car",$D33=1),$E33*'CZ '!D$22,AND($C33="Hybrid car",$D33=2),$E33*'CZ '!D$23,AND($C33="Hybrid car",$D33=3),$E33*'CZ '!D$24,AND($C33="Hybrid car",$D33=4),$E33*'CZ '!D$25,AND($C33="Hybrid car",$D33=5),$E33*'CZ '!D$26,AND($C33="Electric motorcycle",$D33=1),$E33*'CZ '!D$28,AND($C33="Electric motorcycle",$D33=2),$E33*'CZ '!D$29,AND($C33="Electric bike",$D33=1),$E33*'CZ '!D$31,AND($C33="Electric scooter",$D33=1),$E33*'CZ '!D$33,AND($C33="Bus",$D33="Almost empty"),$E33*'CZ '!I$23,AND($C33="Bus",$D33="Average"),$E33*'CZ '!I$24,AND($C33="Bus",$D33="Nearly full"),$E33*'CZ '!I$25,AND($C33="Electric bus",$D33="Almost empty"),$E33*'CZ '!I$7,AND($C33="Electric bus",$D33="Average"),$E33*'CZ '!I$8,AND($C33="Electric bus",$D33="Nearly full"),$E33*'CZ '!I$9,AND($C33="Diesel bus",$D33="Almost empty"),$E33*'CZ '!I$19,AND($C33="Diesel bus",$D33="Average"),$E33*'CZ '!I$20,AND($C33="Diesel bus",$D33="Nearly full"),$E33*'CZ '!I$21,AND($C33="Hybrid-electric bus",$D33="Almost empty"),$E33*'CZ '!I$11,AND($C33="Hybrid-electric bus",$D33="Average"),$E33*'CZ '!I$12,AND($C33="Hybrid-electric bus",$D33="Nearly full"),$E33*'CZ '!I$13,AND($C33="Alternative fuel bus",$D33="Almost empty"),$E33*'CZ '!I$15,AND($C33="Alternative fuel bus",$D33="Average"),$E33*'CZ '!I$16,AND($C33="Alternative fuel bus",$D33="Nearly full"),$E33*'CZ '!I$17,AND($C33="Metro, tram, urban light train",$D33="Almost empty"),$E33*'CZ '!D$35,AND($C33="Metro, tram, urban light train",$D33="Average"),$E33*'CZ '!D$36,AND($C33="Metro, tram, urban light train",$D33="Nearly full"),$E33*'CZ '!D$37,AND($C33="Electric passenger train",$D33="Almost empty"),$E33*'CZ '!D$39,AND($C33="Electric passenger train",$D33="Average"),$E33*'CZ '!D$40,AND($C33="Electric passenger train",$D33="Nearly full"),$E33*'CZ '!D$41,AND($C33="Diesel passenger train",$D33="Almost empty"),$E33*'CZ '!D$47,AND($C33="Diesel passenger train",$D33="Average"),$E33*'CZ '!D$48,AND($C33="Diesel passenger train",$D33="Nearly full"),$E33*'CZ '!D$49,AND($C33="Walking"),$E33*0,AND($C33="Bike"),$E33*0,AND($C33="Plane - domestic flight"),$E33*'CZ '!$C57,AND($C33="Plane - international - intra EU"),$E33*'CZ '!$C59,AND($C33="Plane - international (extra EU)"),$E33*'CZ '!$C61)</f>
        <v>#N/A</v>
      </c>
      <c r="H33" s="145"/>
      <c r="I33" s="148">
        <f t="shared" si="6"/>
        <v>0</v>
      </c>
      <c r="J33" s="146" t="e" cm="1">
        <f t="array" ref="J33">_xlfn.IFS(C33="Fuel car",C33*DATA!$C$17,C33="Electric car",C33*DATA!$F$8,C33="Hybrid car",I33*(0.5*DATA!$C$17+0.5*DATA!$F$8))</f>
        <v>#N/A</v>
      </c>
      <c r="L33" s="223" t="s">
        <v>78</v>
      </c>
      <c r="M33" s="224"/>
      <c r="N33" s="225"/>
    </row>
    <row r="34" spans="1:14" x14ac:dyDescent="0.2">
      <c r="A34" s="222"/>
      <c r="B34" s="30"/>
      <c r="C34" s="15"/>
      <c r="D34" s="15"/>
      <c r="E34" s="15"/>
      <c r="F34" s="123" t="e" cm="1">
        <f t="array" ref="F34">_xlfn.IFS(AND($C34="Fuel car",$D34=1),$E34*'CZ '!C$7,AND($C34="Fuel car",$D34=2),$E34*'CZ '!C$8,AND($C34="Fuel car",$D34=3),$E34*'CZ '!C$9,AND($C34="Fuel car",$D34=4),$E34*'CZ '!C$10,AND($C34="Fuel car",$D34=5),$E34*'CZ '!C$11,AND($C34="Motorcycle",$D34=1),$E34*'CZ '!C$13,AND($C34="Motorcycle",$D34=2),$E34*'CZ '!C$14,AND($C34="Electric car",$D34=1),$E34*'CZ '!C$16,AND($C34="Electric car",$D34=2),$E34*'CZ '!C$17,AND($C34="Electric car",$D34=3),$E34*'CZ '!C$18,AND($C34="Electric car",$D34=4),$E34*'CZ '!C$19,AND($C34="Electric car",$D34=5),$E34*'CZ '!C$20,AND($C34="Hybrid car",$D34=1),$E34*'CZ '!C$22,AND($C34="Hybrid car",$D34=2),$E34*'CZ '!C$23,AND($C34="Hybrid car",$D34=3),$E34*'CZ '!C$24,AND($C34="Hybrid car",$D34=4),$E34*'CZ '!C$25,AND($C34="Hybrid car",$D34=5),$E34*'CZ '!C$26,AND($C34="Electric motorcycle",$D34=1),$E34*'CZ '!C$28,AND($C34="Electric motorcycle",$D34=2),$E34*'CZ '!C$29,AND($C34="Electric bike",$D34=1),$E34*'CZ '!C$31,AND($C34="Electric scooter",$D34=1),$E34*'CZ '!C$33,AND($C34="Bus",$D34="Almost empty"),$E34*'CZ '!H$23,AND($C34="Bus",$D34="Average"),$E34*'CZ '!H$24,AND($C34="Bus",$D34="Nearly full"),$E34*'CZ '!H$25,AND($C34="Electric bus",$D34="Almost empty"),$E34*'CZ '!H$7,AND($C34="Electric bus",$D34="Average"),$E34*'CZ '!H$8,AND($C34="Electric bus",$D34="Nearly full"),$E34*'CZ '!H$9,AND($C34="Diesel bus",$D34="Almost empty"),$E34*'CZ '!H$19,AND($C34="Diesel bus",$D34="Average"),$E34*'CZ '!H$20,AND($C34="Diesel bus",$D34="Nearly full"),$E34*'CZ '!H$21,AND($C34="Hybrid-electric bus",$D34="Almost empty"),$E34*'CZ '!H$11,AND($C34="Hybrid-electric bus",$D34="Average"),$E34*'CZ '!H$12,AND($C34="Hybrid-electric bus",$D34="Nearly full"),$E34*'CZ '!H$13,AND($C34="Alternative fuel bus",$D34="Almost empty"),$E34*'CZ '!H$15,AND($C34="Alternative fuel bus",$D34="Average"),$E34*'CZ '!H$16,AND($C34="Alternative fuel bus",$D34="Nearly full"),$E34*'CZ '!H$17,AND($C34="Metro, tram, urban light train",$D34="Almost empty"),$E34*'CZ '!C$35,AND($C34="Metro, tram, urban light train",$D34="Average"),$E34*'CZ '!C$36,AND($C34="Metro, tram, urban light train",$D34="Nearly full"),$E34*'CZ '!C$37,AND($C34="Electric passenger train",$D34="Almost empty"),$E34*'CZ '!C$39,AND($C34="Electric passenger train",$D34="Average"),$E34*'CZ '!C$40,AND($C34="Electric passenger train",$D34="Nearly full"),$E34*'CZ '!C$41,AND($C34="Diesel passenger train",$D34="Almost empty"),$E34*'CZ '!C$47,AND($C34="Diesel passenger train",$D34="Average"),$E34*'CZ '!C$48,AND($C34="Diesel passenger train",$D34="Nearly full"),$E34*'CZ '!C$49,AND($C34="Walking"),$E34*0,AND($C34="Bike"),$E34*0,AND($C34="Plane - domestic flight"),$E34*'CZ '!$C58,AND($C34="Plane - international - intra EU"),$E34*'CZ '!$C60,AND($C34="Plane - international (extra EU)"),$E34*'CZ '!$C62)</f>
        <v>#N/A</v>
      </c>
      <c r="G34" s="31" t="e" cm="1">
        <f t="array" ref="G34">_xlfn.IFS(AND($C34="Fuel car",$D34=1),$E34*'CZ '!D$7,AND($C34="Fuel car",$D34=2),$E34*'CZ '!D$8,AND($C34="Fuel car",$D34=3),$E34*'CZ '!D$9,AND($C34="Fuel car",$D34=4),$E34*'CZ '!D$10,AND($C34="Fuel car",$D34=5),$E34*'CZ '!D$11,AND($C34="Motorcycle",$D34=1),$E34*'CZ '!D$13,AND($C34="Motorcycle",$D34=2),$E34*'CZ '!D$14,AND($C34="Electric car",$D34=1),$E34*'CZ '!D$16,AND($C34="Electric car",$D34=2),$E34*'CZ '!D$17,AND($C34="Electric car",$D34=3),$E34*'CZ '!D$18,AND($C34="Electric car",$D34=4),$E34*'CZ '!D$19,AND($C34="Electric car",$D34=5),$E34*'CZ '!D$20,AND($C34="Hybrid car",$D34=1),$E34*'CZ '!D$22,AND($C34="Hybrid car",$D34=2),$E34*'CZ '!D$23,AND($C34="Hybrid car",$D34=3),$E34*'CZ '!D$24,AND($C34="Hybrid car",$D34=4),$E34*'CZ '!D$25,AND($C34="Hybrid car",$D34=5),$E34*'CZ '!D$26,AND($C34="Electric motorcycle",$D34=1),$E34*'CZ '!D$28,AND($C34="Electric motorcycle",$D34=2),$E34*'CZ '!D$29,AND($C34="Electric bike",$D34=1),$E34*'CZ '!D$31,AND($C34="Electric scooter",$D34=1),$E34*'CZ '!D$33,AND($C34="Bus",$D34="Almost empty"),$E34*'CZ '!I$23,AND($C34="Bus",$D34="Average"),$E34*'CZ '!I$24,AND($C34="Bus",$D34="Nearly full"),$E34*'CZ '!I$25,AND($C34="Electric bus",$D34="Almost empty"),$E34*'CZ '!I$7,AND($C34="Electric bus",$D34="Average"),$E34*'CZ '!I$8,AND($C34="Electric bus",$D34="Nearly full"),$E34*'CZ '!I$9,AND($C34="Diesel bus",$D34="Almost empty"),$E34*'CZ '!I$19,AND($C34="Diesel bus",$D34="Average"),$E34*'CZ '!I$20,AND($C34="Diesel bus",$D34="Nearly full"),$E34*'CZ '!I$21,AND($C34="Hybrid-electric bus",$D34="Almost empty"),$E34*'CZ '!I$11,AND($C34="Hybrid-electric bus",$D34="Average"),$E34*'CZ '!I$12,AND($C34="Hybrid-electric bus",$D34="Nearly full"),$E34*'CZ '!I$13,AND($C34="Alternative fuel bus",$D34="Almost empty"),$E34*'CZ '!I$15,AND($C34="Alternative fuel bus",$D34="Average"),$E34*'CZ '!I$16,AND($C34="Alternative fuel bus",$D34="Nearly full"),$E34*'CZ '!I$17,AND($C34="Metro, tram, urban light train",$D34="Almost empty"),$E34*'CZ '!D$35,AND($C34="Metro, tram, urban light train",$D34="Average"),$E34*'CZ '!D$36,AND($C34="Metro, tram, urban light train",$D34="Nearly full"),$E34*'CZ '!D$37,AND($C34="Electric passenger train",$D34="Almost empty"),$E34*'CZ '!D$39,AND($C34="Electric passenger train",$D34="Average"),$E34*'CZ '!D$40,AND($C34="Electric passenger train",$D34="Nearly full"),$E34*'CZ '!D$41,AND($C34="Diesel passenger train",$D34="Almost empty"),$E34*'CZ '!D$47,AND($C34="Diesel passenger train",$D34="Average"),$E34*'CZ '!D$48,AND($C34="Diesel passenger train",$D34="Nearly full"),$E34*'CZ '!D$49,AND($C34="Walking"),$E34*0,AND($C34="Bike"),$E34*0,AND($C34="Plane - domestic flight"),$E34*'CZ '!$C58,AND($C34="Plane - international - intra EU"),$E34*'CZ '!$C60,AND($C34="Plane - international (extra EU)"),$E34*'CZ '!$C62)</f>
        <v>#N/A</v>
      </c>
      <c r="H34" s="145"/>
      <c r="I34" s="148">
        <f t="shared" si="6"/>
        <v>0</v>
      </c>
      <c r="J34" s="146" t="e" cm="1">
        <f t="array" ref="J34">_xlfn.IFS(C34="Fuel car",C34*DATA!$C$17,C34="Electric car",C34*DATA!$F$8,C34="Hybrid car",I34*(0.5*DATA!$C$17+0.5*DATA!$F$8))</f>
        <v>#N/A</v>
      </c>
      <c r="L34" s="223"/>
      <c r="M34" s="224"/>
      <c r="N34" s="225"/>
    </row>
    <row r="35" spans="1:14" ht="14.5" customHeight="1" x14ac:dyDescent="0.2">
      <c r="A35" s="222"/>
      <c r="B35" s="30"/>
      <c r="C35" s="15"/>
      <c r="D35" s="15"/>
      <c r="E35" s="15"/>
      <c r="F35" s="123" t="e" cm="1">
        <f t="array" ref="F35">_xlfn.IFS(AND($C35="Fuel car",$D35=1),$E35*'CZ '!C$7,AND($C35="Fuel car",$D35=2),$E35*'CZ '!C$8,AND($C35="Fuel car",$D35=3),$E35*'CZ '!C$9,AND($C35="Fuel car",$D35=4),$E35*'CZ '!C$10,AND($C35="Fuel car",$D35=5),$E35*'CZ '!C$11,AND($C35="Motorcycle",$D35=1),$E35*'CZ '!C$13,AND($C35="Motorcycle",$D35=2),$E35*'CZ '!C$14,AND($C35="Electric car",$D35=1),$E35*'CZ '!C$16,AND($C35="Electric car",$D35=2),$E35*'CZ '!C$17,AND($C35="Electric car",$D35=3),$E35*'CZ '!C$18,AND($C35="Electric car",$D35=4),$E35*'CZ '!C$19,AND($C35="Electric car",$D35=5),$E35*'CZ '!C$20,AND($C35="Hybrid car",$D35=1),$E35*'CZ '!C$22,AND($C35="Hybrid car",$D35=2),$E35*'CZ '!C$23,AND($C35="Hybrid car",$D35=3),$E35*'CZ '!C$24,AND($C35="Hybrid car",$D35=4),$E35*'CZ '!C$25,AND($C35="Hybrid car",$D35=5),$E35*'CZ '!C$26,AND($C35="Electric motorcycle",$D35=1),$E35*'CZ '!C$28,AND($C35="Electric motorcycle",$D35=2),$E35*'CZ '!C$29,AND($C35="Electric bike",$D35=1),$E35*'CZ '!C$31,AND($C35="Electric scooter",$D35=1),$E35*'CZ '!C$33,AND($C35="Bus",$D35="Almost empty"),$E35*'CZ '!H$23,AND($C35="Bus",$D35="Average"),$E35*'CZ '!H$24,AND($C35="Bus",$D35="Nearly full"),$E35*'CZ '!H$25,AND($C35="Electric bus",$D35="Almost empty"),$E35*'CZ '!H$7,AND($C35="Electric bus",$D35="Average"),$E35*'CZ '!H$8,AND($C35="Electric bus",$D35="Nearly full"),$E35*'CZ '!H$9,AND($C35="Diesel bus",$D35="Almost empty"),$E35*'CZ '!H$19,AND($C35="Diesel bus",$D35="Average"),$E35*'CZ '!H$20,AND($C35="Diesel bus",$D35="Nearly full"),$E35*'CZ '!H$21,AND($C35="Hybrid-electric bus",$D35="Almost empty"),$E35*'CZ '!H$11,AND($C35="Hybrid-electric bus",$D35="Average"),$E35*'CZ '!H$12,AND($C35="Hybrid-electric bus",$D35="Nearly full"),$E35*'CZ '!H$13,AND($C35="Alternative fuel bus",$D35="Almost empty"),$E35*'CZ '!H$15,AND($C35="Alternative fuel bus",$D35="Average"),$E35*'CZ '!H$16,AND($C35="Alternative fuel bus",$D35="Nearly full"),$E35*'CZ '!H$17,AND($C35="Metro, tram, urban light train",$D35="Almost empty"),$E35*'CZ '!C$35,AND($C35="Metro, tram, urban light train",$D35="Average"),$E35*'CZ '!C$36,AND($C35="Metro, tram, urban light train",$D35="Nearly full"),$E35*'CZ '!C$37,AND($C35="Electric passenger train",$D35="Almost empty"),$E35*'CZ '!C$39,AND($C35="Electric passenger train",$D35="Average"),$E35*'CZ '!C$40,AND($C35="Electric passenger train",$D35="Nearly full"),$E35*'CZ '!C$41,AND($C35="Diesel passenger train",$D35="Almost empty"),$E35*'CZ '!C$47,AND($C35="Diesel passenger train",$D35="Average"),$E35*'CZ '!C$48,AND($C35="Diesel passenger train",$D35="Nearly full"),$E35*'CZ '!C$49,AND($C35="Walking"),$E35*0,AND($C35="Bike"),$E35*0,AND($C35="Plane - domestic flight"),$E35*'CZ '!$C59,AND($C35="Plane - international - intra EU"),$E35*'CZ '!$C61,AND($C35="Plane - international (extra EU)"),$E35*'CZ '!$C63)</f>
        <v>#N/A</v>
      </c>
      <c r="G35" s="31" t="e" cm="1">
        <f t="array" ref="G35">_xlfn.IFS(AND($C35="Fuel car",$D35=1),$E35*'CZ '!D$7,AND($C35="Fuel car",$D35=2),$E35*'CZ '!D$8,AND($C35="Fuel car",$D35=3),$E35*'CZ '!D$9,AND($C35="Fuel car",$D35=4),$E35*'CZ '!D$10,AND($C35="Fuel car",$D35=5),$E35*'CZ '!D$11,AND($C35="Motorcycle",$D35=1),$E35*'CZ '!D$13,AND($C35="Motorcycle",$D35=2),$E35*'CZ '!D$14,AND($C35="Electric car",$D35=1),$E35*'CZ '!D$16,AND($C35="Electric car",$D35=2),$E35*'CZ '!D$17,AND($C35="Electric car",$D35=3),$E35*'CZ '!D$18,AND($C35="Electric car",$D35=4),$E35*'CZ '!D$19,AND($C35="Electric car",$D35=5),$E35*'CZ '!D$20,AND($C35="Hybrid car",$D35=1),$E35*'CZ '!D$22,AND($C35="Hybrid car",$D35=2),$E35*'CZ '!D$23,AND($C35="Hybrid car",$D35=3),$E35*'CZ '!D$24,AND($C35="Hybrid car",$D35=4),$E35*'CZ '!D$25,AND($C35="Hybrid car",$D35=5),$E35*'CZ '!D$26,AND($C35="Electric motorcycle",$D35=1),$E35*'CZ '!D$28,AND($C35="Electric motorcycle",$D35=2),$E35*'CZ '!D$29,AND($C35="Electric bike",$D35=1),$E35*'CZ '!D$31,AND($C35="Electric scooter",$D35=1),$E35*'CZ '!D$33,AND($C35="Bus",$D35="Almost empty"),$E35*'CZ '!I$23,AND($C35="Bus",$D35="Average"),$E35*'CZ '!I$24,AND($C35="Bus",$D35="Nearly full"),$E35*'CZ '!I$25,AND($C35="Electric bus",$D35="Almost empty"),$E35*'CZ '!I$7,AND($C35="Electric bus",$D35="Average"),$E35*'CZ '!I$8,AND($C35="Electric bus",$D35="Nearly full"),$E35*'CZ '!I$9,AND($C35="Diesel bus",$D35="Almost empty"),$E35*'CZ '!I$19,AND($C35="Diesel bus",$D35="Average"),$E35*'CZ '!I$20,AND($C35="Diesel bus",$D35="Nearly full"),$E35*'CZ '!I$21,AND($C35="Hybrid-electric bus",$D35="Almost empty"),$E35*'CZ '!I$11,AND($C35="Hybrid-electric bus",$D35="Average"),$E35*'CZ '!I$12,AND($C35="Hybrid-electric bus",$D35="Nearly full"),$E35*'CZ '!I$13,AND($C35="Alternative fuel bus",$D35="Almost empty"),$E35*'CZ '!I$15,AND($C35="Alternative fuel bus",$D35="Average"),$E35*'CZ '!I$16,AND($C35="Alternative fuel bus",$D35="Nearly full"),$E35*'CZ '!I$17,AND($C35="Metro, tram, urban light train",$D35="Almost empty"),$E35*'CZ '!D$35,AND($C35="Metro, tram, urban light train",$D35="Average"),$E35*'CZ '!D$36,AND($C35="Metro, tram, urban light train",$D35="Nearly full"),$E35*'CZ '!D$37,AND($C35="Electric passenger train",$D35="Almost empty"),$E35*'CZ '!D$39,AND($C35="Electric passenger train",$D35="Average"),$E35*'CZ '!D$40,AND($C35="Electric passenger train",$D35="Nearly full"),$E35*'CZ '!D$41,AND($C35="Diesel passenger train",$D35="Almost empty"),$E35*'CZ '!D$47,AND($C35="Diesel passenger train",$D35="Average"),$E35*'CZ '!D$48,AND($C35="Diesel passenger train",$D35="Nearly full"),$E35*'CZ '!D$49,AND($C35="Walking"),$E35*0,AND($C35="Bike"),$E35*0,AND($C35="Plane - domestic flight"),$E35*'CZ '!$C59,AND($C35="Plane - international - intra EU"),$E35*'CZ '!$C61,AND($C35="Plane - international (extra EU)"),$E35*'CZ '!$C63)</f>
        <v>#N/A</v>
      </c>
      <c r="H35" s="145"/>
      <c r="I35" s="148">
        <f t="shared" si="6"/>
        <v>0</v>
      </c>
      <c r="J35" s="146" t="e" cm="1">
        <f t="array" ref="J35">_xlfn.IFS(C35="Fuel car",C35*DATA!$C$17,C35="Electric car",C35*DATA!$F$8,C35="Hybrid car",I35*(0.5*DATA!$C$17+0.5*DATA!$F$8))</f>
        <v>#N/A</v>
      </c>
      <c r="L35" s="223"/>
      <c r="M35" s="224"/>
      <c r="N35" s="225"/>
    </row>
    <row r="36" spans="1:14" ht="16" thickBot="1" x14ac:dyDescent="0.25">
      <c r="A36" s="222"/>
      <c r="B36" s="30"/>
      <c r="C36" s="15"/>
      <c r="D36" s="15"/>
      <c r="E36" s="15"/>
      <c r="F36" s="123" t="e" cm="1">
        <f t="array" ref="F36">_xlfn.IFS(AND($C36="Fuel car",$D36=1),$E36*'CZ '!C$7,AND($C36="Fuel car",$D36=2),$E36*'CZ '!C$8,AND($C36="Fuel car",$D36=3),$E36*'CZ '!C$9,AND($C36="Fuel car",$D36=4),$E36*'CZ '!C$10,AND($C36="Fuel car",$D36=5),$E36*'CZ '!C$11,AND($C36="Motorcycle",$D36=1),$E36*'CZ '!C$13,AND($C36="Motorcycle",$D36=2),$E36*'CZ '!C$14,AND($C36="Electric car",$D36=1),$E36*'CZ '!C$16,AND($C36="Electric car",$D36=2),$E36*'CZ '!C$17,AND($C36="Electric car",$D36=3),$E36*'CZ '!C$18,AND($C36="Electric car",$D36=4),$E36*'CZ '!C$19,AND($C36="Electric car",$D36=5),$E36*'CZ '!C$20,AND($C36="Hybrid car",$D36=1),$E36*'CZ '!C$22,AND($C36="Hybrid car",$D36=2),$E36*'CZ '!C$23,AND($C36="Hybrid car",$D36=3),$E36*'CZ '!C$24,AND($C36="Hybrid car",$D36=4),$E36*'CZ '!C$25,AND($C36="Hybrid car",$D36=5),$E36*'CZ '!C$26,AND($C36="Electric motorcycle",$D36=1),$E36*'CZ '!C$28,AND($C36="Electric motorcycle",$D36=2),$E36*'CZ '!C$29,AND($C36="Electric bike",$D36=1),$E36*'CZ '!C$31,AND($C36="Electric scooter",$D36=1),$E36*'CZ '!C$33,AND($C36="Bus",$D36="Almost empty"),$E36*'CZ '!H$23,AND($C36="Bus",$D36="Average"),$E36*'CZ '!H$24,AND($C36="Bus",$D36="Nearly full"),$E36*'CZ '!H$25,AND($C36="Electric bus",$D36="Almost empty"),$E36*'CZ '!H$7,AND($C36="Electric bus",$D36="Average"),$E36*'CZ '!H$8,AND($C36="Electric bus",$D36="Nearly full"),$E36*'CZ '!H$9,AND($C36="Diesel bus",$D36="Almost empty"),$E36*'CZ '!H$19,AND($C36="Diesel bus",$D36="Average"),$E36*'CZ '!H$20,AND($C36="Diesel bus",$D36="Nearly full"),$E36*'CZ '!H$21,AND($C36="Hybrid-electric bus",$D36="Almost empty"),$E36*'CZ '!H$11,AND($C36="Hybrid-electric bus",$D36="Average"),$E36*'CZ '!H$12,AND($C36="Hybrid-electric bus",$D36="Nearly full"),$E36*'CZ '!H$13,AND($C36="Alternative fuel bus",$D36="Almost empty"),$E36*'CZ '!H$15,AND($C36="Alternative fuel bus",$D36="Average"),$E36*'CZ '!H$16,AND($C36="Alternative fuel bus",$D36="Nearly full"),$E36*'CZ '!H$17,AND($C36="Metro, tram, urban light train",$D36="Almost empty"),$E36*'CZ '!C$35,AND($C36="Metro, tram, urban light train",$D36="Average"),$E36*'CZ '!C$36,AND($C36="Metro, tram, urban light train",$D36="Nearly full"),$E36*'CZ '!C$37,AND($C36="Electric passenger train",$D36="Almost empty"),$E36*'CZ '!C$39,AND($C36="Electric passenger train",$D36="Average"),$E36*'CZ '!C$40,AND($C36="Electric passenger train",$D36="Nearly full"),$E36*'CZ '!C$41,AND($C36="Diesel passenger train",$D36="Almost empty"),$E36*'CZ '!C$47,AND($C36="Diesel passenger train",$D36="Average"),$E36*'CZ '!C$48,AND($C36="Diesel passenger train",$D36="Nearly full"),$E36*'CZ '!C$49,AND($C36="Walking"),$E36*0,AND($C36="Bike"),$E36*0,AND($C36="Plane - domestic flight"),$E36*'CZ '!$C60,AND($C36="Plane - international - intra EU"),$E36*'CZ '!$C62,AND($C36="Plane - international (extra EU)"),$E36*'CZ '!$C64)</f>
        <v>#N/A</v>
      </c>
      <c r="G36" s="31" t="e" cm="1">
        <f t="array" ref="G36">_xlfn.IFS(AND($C36="Fuel car",$D36=1),$E36*'CZ '!D$7,AND($C36="Fuel car",$D36=2),$E36*'CZ '!D$8,AND($C36="Fuel car",$D36=3),$E36*'CZ '!D$9,AND($C36="Fuel car",$D36=4),$E36*'CZ '!D$10,AND($C36="Fuel car",$D36=5),$E36*'CZ '!D$11,AND($C36="Motorcycle",$D36=1),$E36*'CZ '!D$13,AND($C36="Motorcycle",$D36=2),$E36*'CZ '!D$14,AND($C36="Electric car",$D36=1),$E36*'CZ '!D$16,AND($C36="Electric car",$D36=2),$E36*'CZ '!D$17,AND($C36="Electric car",$D36=3),$E36*'CZ '!D$18,AND($C36="Electric car",$D36=4),$E36*'CZ '!D$19,AND($C36="Electric car",$D36=5),$E36*'CZ '!D$20,AND($C36="Hybrid car",$D36=1),$E36*'CZ '!D$22,AND($C36="Hybrid car",$D36=2),$E36*'CZ '!D$23,AND($C36="Hybrid car",$D36=3),$E36*'CZ '!D$24,AND($C36="Hybrid car",$D36=4),$E36*'CZ '!D$25,AND($C36="Hybrid car",$D36=5),$E36*'CZ '!D$26,AND($C36="Electric motorcycle",$D36=1),$E36*'CZ '!D$28,AND($C36="Electric motorcycle",$D36=2),$E36*'CZ '!D$29,AND($C36="Electric bike",$D36=1),$E36*'CZ '!D$31,AND($C36="Electric scooter",$D36=1),$E36*'CZ '!D$33,AND($C36="Bus",$D36="Almost empty"),$E36*'CZ '!I$23,AND($C36="Bus",$D36="Average"),$E36*'CZ '!I$24,AND($C36="Bus",$D36="Nearly full"),$E36*'CZ '!I$25,AND($C36="Electric bus",$D36="Almost empty"),$E36*'CZ '!I$7,AND($C36="Electric bus",$D36="Average"),$E36*'CZ '!I$8,AND($C36="Electric bus",$D36="Nearly full"),$E36*'CZ '!I$9,AND($C36="Diesel bus",$D36="Almost empty"),$E36*'CZ '!I$19,AND($C36="Diesel bus",$D36="Average"),$E36*'CZ '!I$20,AND($C36="Diesel bus",$D36="Nearly full"),$E36*'CZ '!I$21,AND($C36="Hybrid-electric bus",$D36="Almost empty"),$E36*'CZ '!I$11,AND($C36="Hybrid-electric bus",$D36="Average"),$E36*'CZ '!I$12,AND($C36="Hybrid-electric bus",$D36="Nearly full"),$E36*'CZ '!I$13,AND($C36="Alternative fuel bus",$D36="Almost empty"),$E36*'CZ '!I$15,AND($C36="Alternative fuel bus",$D36="Average"),$E36*'CZ '!I$16,AND($C36="Alternative fuel bus",$D36="Nearly full"),$E36*'CZ '!I$17,AND($C36="Metro, tram, urban light train",$D36="Almost empty"),$E36*'CZ '!D$35,AND($C36="Metro, tram, urban light train",$D36="Average"),$E36*'CZ '!D$36,AND($C36="Metro, tram, urban light train",$D36="Nearly full"),$E36*'CZ '!D$37,AND($C36="Electric passenger train",$D36="Almost empty"),$E36*'CZ '!D$39,AND($C36="Electric passenger train",$D36="Average"),$E36*'CZ '!D$40,AND($C36="Electric passenger train",$D36="Nearly full"),$E36*'CZ '!D$41,AND($C36="Diesel passenger train",$D36="Almost empty"),$E36*'CZ '!D$47,AND($C36="Diesel passenger train",$D36="Average"),$E36*'CZ '!D$48,AND($C36="Diesel passenger train",$D36="Nearly full"),$E36*'CZ '!D$49,AND($C36="Walking"),$E36*0,AND($C36="Bike"),$E36*0,AND($C36="Plane - domestic flight"),$E36*'CZ '!$C60,AND($C36="Plane - international - intra EU"),$E36*'CZ '!$C62,AND($C36="Plane - international (extra EU)"),$E36*'CZ '!$C64)</f>
        <v>#N/A</v>
      </c>
      <c r="H36" s="145"/>
      <c r="I36" s="148">
        <f t="shared" si="6"/>
        <v>0</v>
      </c>
      <c r="J36" s="146" t="e" cm="1">
        <f t="array" ref="J36">_xlfn.IFS(C36="Fuel car",C36*DATA!$C$17,C36="Electric car",C36*DATA!$F$8,C36="Hybrid car",I36*(0.5*DATA!$C$17+0.5*DATA!$F$8))</f>
        <v>#N/A</v>
      </c>
      <c r="L36" s="218"/>
      <c r="M36" s="219"/>
      <c r="N36" s="220"/>
    </row>
    <row r="37" spans="1:14" ht="14.5" customHeight="1" x14ac:dyDescent="0.2">
      <c r="A37" s="222"/>
      <c r="B37" s="30"/>
      <c r="C37" s="15"/>
      <c r="D37" s="15"/>
      <c r="E37" s="15"/>
      <c r="F37" s="123" t="e" cm="1">
        <f t="array" ref="F37">_xlfn.IFS(AND($C37="Fuel car",$D37=1),$E37*'CZ '!C$7,AND($C37="Fuel car",$D37=2),$E37*'CZ '!C$8,AND($C37="Fuel car",$D37=3),$E37*'CZ '!C$9,AND($C37="Fuel car",$D37=4),$E37*'CZ '!C$10,AND($C37="Fuel car",$D37=5),$E37*'CZ '!C$11,AND($C37="Motorcycle",$D37=1),$E37*'CZ '!C$13,AND($C37="Motorcycle",$D37=2),$E37*'CZ '!C$14,AND($C37="Electric car",$D37=1),$E37*'CZ '!C$16,AND($C37="Electric car",$D37=2),$E37*'CZ '!C$17,AND($C37="Electric car",$D37=3),$E37*'CZ '!C$18,AND($C37="Electric car",$D37=4),$E37*'CZ '!C$19,AND($C37="Electric car",$D37=5),$E37*'CZ '!C$20,AND($C37="Hybrid car",$D37=1),$E37*'CZ '!C$22,AND($C37="Hybrid car",$D37=2),$E37*'CZ '!C$23,AND($C37="Hybrid car",$D37=3),$E37*'CZ '!C$24,AND($C37="Hybrid car",$D37=4),$E37*'CZ '!C$25,AND($C37="Hybrid car",$D37=5),$E37*'CZ '!C$26,AND($C37="Electric motorcycle",$D37=1),$E37*'CZ '!C$28,AND($C37="Electric motorcycle",$D37=2),$E37*'CZ '!C$29,AND($C37="Electric bike",$D37=1),$E37*'CZ '!C$31,AND($C37="Electric scooter",$D37=1),$E37*'CZ '!C$33,AND($C37="Bus",$D37="Almost empty"),$E37*'CZ '!H$23,AND($C37="Bus",$D37="Average"),$E37*'CZ '!H$24,AND($C37="Bus",$D37="Nearly full"),$E37*'CZ '!H$25,AND($C37="Electric bus",$D37="Almost empty"),$E37*'CZ '!H$7,AND($C37="Electric bus",$D37="Average"),$E37*'CZ '!H$8,AND($C37="Electric bus",$D37="Nearly full"),$E37*'CZ '!H$9,AND($C37="Diesel bus",$D37="Almost empty"),$E37*'CZ '!H$19,AND($C37="Diesel bus",$D37="Average"),$E37*'CZ '!H$20,AND($C37="Diesel bus",$D37="Nearly full"),$E37*'CZ '!H$21,AND($C37="Hybrid-electric bus",$D37="Almost empty"),$E37*'CZ '!H$11,AND($C37="Hybrid-electric bus",$D37="Average"),$E37*'CZ '!H$12,AND($C37="Hybrid-electric bus",$D37="Nearly full"),$E37*'CZ '!H$13,AND($C37="Alternative fuel bus",$D37="Almost empty"),$E37*'CZ '!H$15,AND($C37="Alternative fuel bus",$D37="Average"),$E37*'CZ '!H$16,AND($C37="Alternative fuel bus",$D37="Nearly full"),$E37*'CZ '!H$17,AND($C37="Metro, tram, urban light train",$D37="Almost empty"),$E37*'CZ '!C$35,AND($C37="Metro, tram, urban light train",$D37="Average"),$E37*'CZ '!C$36,AND($C37="Metro, tram, urban light train",$D37="Nearly full"),$E37*'CZ '!C$37,AND($C37="Electric passenger train",$D37="Almost empty"),$E37*'CZ '!C$39,AND($C37="Electric passenger train",$D37="Average"),$E37*'CZ '!C$40,AND($C37="Electric passenger train",$D37="Nearly full"),$E37*'CZ '!C$41,AND($C37="Diesel passenger train",$D37="Almost empty"),$E37*'CZ '!C$47,AND($C37="Diesel passenger train",$D37="Average"),$E37*'CZ '!C$48,AND($C37="Diesel passenger train",$D37="Nearly full"),$E37*'CZ '!C$49,AND($C37="Walking"),$E37*0,AND($C37="Bike"),$E37*0,AND($C37="Plane - domestic flight"),$E37*'CZ '!$C61,AND($C37="Plane - international - intra EU"),$E37*'CZ '!$C63,AND($C37="Plane - international (extra EU)"),$E37*'CZ '!$C65)</f>
        <v>#N/A</v>
      </c>
      <c r="G37" s="31" t="e" cm="1">
        <f t="array" ref="G37">_xlfn.IFS(AND($C37="Fuel car",$D37=1),$E37*'CZ '!D$7,AND($C37="Fuel car",$D37=2),$E37*'CZ '!D$8,AND($C37="Fuel car",$D37=3),$E37*'CZ '!D$9,AND($C37="Fuel car",$D37=4),$E37*'CZ '!D$10,AND($C37="Fuel car",$D37=5),$E37*'CZ '!D$11,AND($C37="Motorcycle",$D37=1),$E37*'CZ '!D$13,AND($C37="Motorcycle",$D37=2),$E37*'CZ '!D$14,AND($C37="Electric car",$D37=1),$E37*'CZ '!D$16,AND($C37="Electric car",$D37=2),$E37*'CZ '!D$17,AND($C37="Electric car",$D37=3),$E37*'CZ '!D$18,AND($C37="Electric car",$D37=4),$E37*'CZ '!D$19,AND($C37="Electric car",$D37=5),$E37*'CZ '!D$20,AND($C37="Hybrid car",$D37=1),$E37*'CZ '!D$22,AND($C37="Hybrid car",$D37=2),$E37*'CZ '!D$23,AND($C37="Hybrid car",$D37=3),$E37*'CZ '!D$24,AND($C37="Hybrid car",$D37=4),$E37*'CZ '!D$25,AND($C37="Hybrid car",$D37=5),$E37*'CZ '!D$26,AND($C37="Electric motorcycle",$D37=1),$E37*'CZ '!D$28,AND($C37="Electric motorcycle",$D37=2),$E37*'CZ '!D$29,AND($C37="Electric bike",$D37=1),$E37*'CZ '!D$31,AND($C37="Electric scooter",$D37=1),$E37*'CZ '!D$33,AND($C37="Bus",$D37="Almost empty"),$E37*'CZ '!I$23,AND($C37="Bus",$D37="Average"),$E37*'CZ '!I$24,AND($C37="Bus",$D37="Nearly full"),$E37*'CZ '!I$25,AND($C37="Electric bus",$D37="Almost empty"),$E37*'CZ '!I$7,AND($C37="Electric bus",$D37="Average"),$E37*'CZ '!I$8,AND($C37="Electric bus",$D37="Nearly full"),$E37*'CZ '!I$9,AND($C37="Diesel bus",$D37="Almost empty"),$E37*'CZ '!I$19,AND($C37="Diesel bus",$D37="Average"),$E37*'CZ '!I$20,AND($C37="Diesel bus",$D37="Nearly full"),$E37*'CZ '!I$21,AND($C37="Hybrid-electric bus",$D37="Almost empty"),$E37*'CZ '!I$11,AND($C37="Hybrid-electric bus",$D37="Average"),$E37*'CZ '!I$12,AND($C37="Hybrid-electric bus",$D37="Nearly full"),$E37*'CZ '!I$13,AND($C37="Alternative fuel bus",$D37="Almost empty"),$E37*'CZ '!I$15,AND($C37="Alternative fuel bus",$D37="Average"),$E37*'CZ '!I$16,AND($C37="Alternative fuel bus",$D37="Nearly full"),$E37*'CZ '!I$17,AND($C37="Metro, tram, urban light train",$D37="Almost empty"),$E37*'CZ '!D$35,AND($C37="Metro, tram, urban light train",$D37="Average"),$E37*'CZ '!D$36,AND($C37="Metro, tram, urban light train",$D37="Nearly full"),$E37*'CZ '!D$37,AND($C37="Electric passenger train",$D37="Almost empty"),$E37*'CZ '!D$39,AND($C37="Electric passenger train",$D37="Average"),$E37*'CZ '!D$40,AND($C37="Electric passenger train",$D37="Nearly full"),$E37*'CZ '!D$41,AND($C37="Diesel passenger train",$D37="Almost empty"),$E37*'CZ '!D$47,AND($C37="Diesel passenger train",$D37="Average"),$E37*'CZ '!D$48,AND($C37="Diesel passenger train",$D37="Nearly full"),$E37*'CZ '!D$49,AND($C37="Walking"),$E37*0,AND($C37="Bike"),$E37*0,AND($C37="Plane - domestic flight"),$E37*'CZ '!$C61,AND($C37="Plane - international - intra EU"),$E37*'CZ '!$C63,AND($C37="Plane - international (extra EU)"),$E37*'CZ '!$C65)</f>
        <v>#N/A</v>
      </c>
      <c r="H37" s="145"/>
      <c r="I37" s="148">
        <f t="shared" si="6"/>
        <v>0</v>
      </c>
      <c r="J37" s="146" t="e" cm="1">
        <f t="array" ref="J37">_xlfn.IFS(C37="Fuel car",C37*DATA!$C$17,C37="Electric car",C37*DATA!$F$8,C37="Hybrid car",I37*(0.5*DATA!$C$17+0.5*DATA!$F$8))</f>
        <v>#N/A</v>
      </c>
      <c r="L37" s="215" t="s">
        <v>79</v>
      </c>
      <c r="M37" s="216"/>
      <c r="N37" s="217"/>
    </row>
    <row r="38" spans="1:14" ht="16" thickBot="1" x14ac:dyDescent="0.25">
      <c r="A38" s="222"/>
      <c r="B38" s="30"/>
      <c r="C38" s="15"/>
      <c r="D38" s="15"/>
      <c r="E38" s="15"/>
      <c r="F38" s="123" t="e" cm="1">
        <f t="array" ref="F38">_xlfn.IFS(AND($C38="Fuel car",$D38=1),$E38*'CZ '!C$7,AND($C38="Fuel car",$D38=2),$E38*'CZ '!C$8,AND($C38="Fuel car",$D38=3),$E38*'CZ '!C$9,AND($C38="Fuel car",$D38=4),$E38*'CZ '!C$10,AND($C38="Fuel car",$D38=5),$E38*'CZ '!C$11,AND($C38="Motorcycle",$D38=1),$E38*'CZ '!C$13,AND($C38="Motorcycle",$D38=2),$E38*'CZ '!C$14,AND($C38="Electric car",$D38=1),$E38*'CZ '!C$16,AND($C38="Electric car",$D38=2),$E38*'CZ '!C$17,AND($C38="Electric car",$D38=3),$E38*'CZ '!C$18,AND($C38="Electric car",$D38=4),$E38*'CZ '!C$19,AND($C38="Electric car",$D38=5),$E38*'CZ '!C$20,AND($C38="Hybrid car",$D38=1),$E38*'CZ '!C$22,AND($C38="Hybrid car",$D38=2),$E38*'CZ '!C$23,AND($C38="Hybrid car",$D38=3),$E38*'CZ '!C$24,AND($C38="Hybrid car",$D38=4),$E38*'CZ '!C$25,AND($C38="Hybrid car",$D38=5),$E38*'CZ '!C$26,AND($C38="Electric motorcycle",$D38=1),$E38*'CZ '!C$28,AND($C38="Electric motorcycle",$D38=2),$E38*'CZ '!C$29,AND($C38="Electric bike",$D38=1),$E38*'CZ '!C$31,AND($C38="Electric scooter",$D38=1),$E38*'CZ '!C$33,AND($C38="Bus",$D38="Almost empty"),$E38*'CZ '!H$23,AND($C38="Bus",$D38="Average"),$E38*'CZ '!H$24,AND($C38="Bus",$D38="Nearly full"),$E38*'CZ '!H$25,AND($C38="Electric bus",$D38="Almost empty"),$E38*'CZ '!H$7,AND($C38="Electric bus",$D38="Average"),$E38*'CZ '!H$8,AND($C38="Electric bus",$D38="Nearly full"),$E38*'CZ '!H$9,AND($C38="Diesel bus",$D38="Almost empty"),$E38*'CZ '!H$19,AND($C38="Diesel bus",$D38="Average"),$E38*'CZ '!H$20,AND($C38="Diesel bus",$D38="Nearly full"),$E38*'CZ '!H$21,AND($C38="Hybrid-electric bus",$D38="Almost empty"),$E38*'CZ '!H$11,AND($C38="Hybrid-electric bus",$D38="Average"),$E38*'CZ '!H$12,AND($C38="Hybrid-electric bus",$D38="Nearly full"),$E38*'CZ '!H$13,AND($C38="Alternative fuel bus",$D38="Almost empty"),$E38*'CZ '!H$15,AND($C38="Alternative fuel bus",$D38="Average"),$E38*'CZ '!H$16,AND($C38="Alternative fuel bus",$D38="Nearly full"),$E38*'CZ '!H$17,AND($C38="Metro, tram, urban light train",$D38="Almost empty"),$E38*'CZ '!C$35,AND($C38="Metro, tram, urban light train",$D38="Average"),$E38*'CZ '!C$36,AND($C38="Metro, tram, urban light train",$D38="Nearly full"),$E38*'CZ '!C$37,AND($C38="Electric passenger train",$D38="Almost empty"),$E38*'CZ '!C$39,AND($C38="Electric passenger train",$D38="Average"),$E38*'CZ '!C$40,AND($C38="Electric passenger train",$D38="Nearly full"),$E38*'CZ '!C$41,AND($C38="Diesel passenger train",$D38="Almost empty"),$E38*'CZ '!C$47,AND($C38="Diesel passenger train",$D38="Average"),$E38*'CZ '!C$48,AND($C38="Diesel passenger train",$D38="Nearly full"),$E38*'CZ '!C$49,AND($C38="Walking"),$E38*0,AND($C38="Bike"),$E38*0,AND($C38="Plane - domestic flight"),$E38*'CZ '!$C62,AND($C38="Plane - international - intra EU"),$E38*'CZ '!$C64,AND($C38="Plane - international (extra EU)"),$E38*'CZ '!$C66)</f>
        <v>#N/A</v>
      </c>
      <c r="G38" s="31" t="e" cm="1">
        <f t="array" ref="G38">_xlfn.IFS(AND($C38="Fuel car",$D38=1),$E38*'CZ '!D$7,AND($C38="Fuel car",$D38=2),$E38*'CZ '!D$8,AND($C38="Fuel car",$D38=3),$E38*'CZ '!D$9,AND($C38="Fuel car",$D38=4),$E38*'CZ '!D$10,AND($C38="Fuel car",$D38=5),$E38*'CZ '!D$11,AND($C38="Motorcycle",$D38=1),$E38*'CZ '!D$13,AND($C38="Motorcycle",$D38=2),$E38*'CZ '!D$14,AND($C38="Electric car",$D38=1),$E38*'CZ '!D$16,AND($C38="Electric car",$D38=2),$E38*'CZ '!D$17,AND($C38="Electric car",$D38=3),$E38*'CZ '!D$18,AND($C38="Electric car",$D38=4),$E38*'CZ '!D$19,AND($C38="Electric car",$D38=5),$E38*'CZ '!D$20,AND($C38="Hybrid car",$D38=1),$E38*'CZ '!D$22,AND($C38="Hybrid car",$D38=2),$E38*'CZ '!D$23,AND($C38="Hybrid car",$D38=3),$E38*'CZ '!D$24,AND($C38="Hybrid car",$D38=4),$E38*'CZ '!D$25,AND($C38="Hybrid car",$D38=5),$E38*'CZ '!D$26,AND($C38="Electric motorcycle",$D38=1),$E38*'CZ '!D$28,AND($C38="Electric motorcycle",$D38=2),$E38*'CZ '!D$29,AND($C38="Electric bike",$D38=1),$E38*'CZ '!D$31,AND($C38="Electric scooter",$D38=1),$E38*'CZ '!D$33,AND($C38="Bus",$D38="Almost empty"),$E38*'CZ '!I$23,AND($C38="Bus",$D38="Average"),$E38*'CZ '!I$24,AND($C38="Bus",$D38="Nearly full"),$E38*'CZ '!I$25,AND($C38="Electric bus",$D38="Almost empty"),$E38*'CZ '!I$7,AND($C38="Electric bus",$D38="Average"),$E38*'CZ '!I$8,AND($C38="Electric bus",$D38="Nearly full"),$E38*'CZ '!I$9,AND($C38="Diesel bus",$D38="Almost empty"),$E38*'CZ '!I$19,AND($C38="Diesel bus",$D38="Average"),$E38*'CZ '!I$20,AND($C38="Diesel bus",$D38="Nearly full"),$E38*'CZ '!I$21,AND($C38="Hybrid-electric bus",$D38="Almost empty"),$E38*'CZ '!I$11,AND($C38="Hybrid-electric bus",$D38="Average"),$E38*'CZ '!I$12,AND($C38="Hybrid-electric bus",$D38="Nearly full"),$E38*'CZ '!I$13,AND($C38="Alternative fuel bus",$D38="Almost empty"),$E38*'CZ '!I$15,AND($C38="Alternative fuel bus",$D38="Average"),$E38*'CZ '!I$16,AND($C38="Alternative fuel bus",$D38="Nearly full"),$E38*'CZ '!I$17,AND($C38="Metro, tram, urban light train",$D38="Almost empty"),$E38*'CZ '!D$35,AND($C38="Metro, tram, urban light train",$D38="Average"),$E38*'CZ '!D$36,AND($C38="Metro, tram, urban light train",$D38="Nearly full"),$E38*'CZ '!D$37,AND($C38="Electric passenger train",$D38="Almost empty"),$E38*'CZ '!D$39,AND($C38="Electric passenger train",$D38="Average"),$E38*'CZ '!D$40,AND($C38="Electric passenger train",$D38="Nearly full"),$E38*'CZ '!D$41,AND($C38="Diesel passenger train",$D38="Almost empty"),$E38*'CZ '!D$47,AND($C38="Diesel passenger train",$D38="Average"),$E38*'CZ '!D$48,AND($C38="Diesel passenger train",$D38="Nearly full"),$E38*'CZ '!D$49,AND($C38="Walking"),$E38*0,AND($C38="Bike"),$E38*0,AND($C38="Plane - domestic flight"),$E38*'CZ '!$C62,AND($C38="Plane - international - intra EU"),$E38*'CZ '!$C64,AND($C38="Plane - international (extra EU)"),$E38*'CZ '!$C66)</f>
        <v>#N/A</v>
      </c>
      <c r="H38" s="145"/>
      <c r="I38" s="148">
        <f t="shared" si="6"/>
        <v>0</v>
      </c>
      <c r="J38" s="146" t="e" cm="1">
        <f t="array" ref="J38">_xlfn.IFS(C38="Fuel car",C38*DATA!$C$17,C38="Electric car",C38*DATA!$F$8,C38="Hybrid car",I38*(0.5*DATA!$C$17+0.5*DATA!$F$8))</f>
        <v>#N/A</v>
      </c>
      <c r="L38" s="218"/>
      <c r="M38" s="219"/>
      <c r="N38" s="220"/>
    </row>
    <row r="39" spans="1:14" ht="14.5" customHeight="1" x14ac:dyDescent="0.2">
      <c r="A39" s="222"/>
      <c r="B39" s="30"/>
      <c r="C39" s="15"/>
      <c r="D39" s="15"/>
      <c r="E39" s="15"/>
      <c r="F39" s="123" t="e" cm="1">
        <f t="array" ref="F39">_xlfn.IFS(AND($C39="Fuel car",$D39=1),$E39*'CZ '!C$7,AND($C39="Fuel car",$D39=2),$E39*'CZ '!C$8,AND($C39="Fuel car",$D39=3),$E39*'CZ '!C$9,AND($C39="Fuel car",$D39=4),$E39*'CZ '!C$10,AND($C39="Fuel car",$D39=5),$E39*'CZ '!C$11,AND($C39="Motorcycle",$D39=1),$E39*'CZ '!C$13,AND($C39="Motorcycle",$D39=2),$E39*'CZ '!C$14,AND($C39="Electric car",$D39=1),$E39*'CZ '!C$16,AND($C39="Electric car",$D39=2),$E39*'CZ '!C$17,AND($C39="Electric car",$D39=3),$E39*'CZ '!C$18,AND($C39="Electric car",$D39=4),$E39*'CZ '!C$19,AND($C39="Electric car",$D39=5),$E39*'CZ '!C$20,AND($C39="Hybrid car",$D39=1),$E39*'CZ '!C$22,AND($C39="Hybrid car",$D39=2),$E39*'CZ '!C$23,AND($C39="Hybrid car",$D39=3),$E39*'CZ '!C$24,AND($C39="Hybrid car",$D39=4),$E39*'CZ '!C$25,AND($C39="Hybrid car",$D39=5),$E39*'CZ '!C$26,AND($C39="Electric motorcycle",$D39=1),$E39*'CZ '!C$28,AND($C39="Electric motorcycle",$D39=2),$E39*'CZ '!C$29,AND($C39="Electric bike",$D39=1),$E39*'CZ '!C$31,AND($C39="Electric scooter",$D39=1),$E39*'CZ '!C$33,AND($C39="Bus",$D39="Almost empty"),$E39*'CZ '!H$23,AND($C39="Bus",$D39="Average"),$E39*'CZ '!H$24,AND($C39="Bus",$D39="Nearly full"),$E39*'CZ '!H$25,AND($C39="Electric bus",$D39="Almost empty"),$E39*'CZ '!H$7,AND($C39="Electric bus",$D39="Average"),$E39*'CZ '!H$8,AND($C39="Electric bus",$D39="Nearly full"),$E39*'CZ '!H$9,AND($C39="Diesel bus",$D39="Almost empty"),$E39*'CZ '!H$19,AND($C39="Diesel bus",$D39="Average"),$E39*'CZ '!H$20,AND($C39="Diesel bus",$D39="Nearly full"),$E39*'CZ '!H$21,AND($C39="Hybrid-electric bus",$D39="Almost empty"),$E39*'CZ '!H$11,AND($C39="Hybrid-electric bus",$D39="Average"),$E39*'CZ '!H$12,AND($C39="Hybrid-electric bus",$D39="Nearly full"),$E39*'CZ '!H$13,AND($C39="Alternative fuel bus",$D39="Almost empty"),$E39*'CZ '!H$15,AND($C39="Alternative fuel bus",$D39="Average"),$E39*'CZ '!H$16,AND($C39="Alternative fuel bus",$D39="Nearly full"),$E39*'CZ '!H$17,AND($C39="Metro, tram, urban light train",$D39="Almost empty"),$E39*'CZ '!C$35,AND($C39="Metro, tram, urban light train",$D39="Average"),$E39*'CZ '!C$36,AND($C39="Metro, tram, urban light train",$D39="Nearly full"),$E39*'CZ '!C$37,AND($C39="Electric passenger train",$D39="Almost empty"),$E39*'CZ '!C$39,AND($C39="Electric passenger train",$D39="Average"),$E39*'CZ '!C$40,AND($C39="Electric passenger train",$D39="Nearly full"),$E39*'CZ '!C$41,AND($C39="Diesel passenger train",$D39="Almost empty"),$E39*'CZ '!C$47,AND($C39="Diesel passenger train",$D39="Average"),$E39*'CZ '!C$48,AND($C39="Diesel passenger train",$D39="Nearly full"),$E39*'CZ '!C$49,AND($C39="Walking"),$E39*0,AND($C39="Bike"),$E39*0,AND($C39="Plane - domestic flight"),$E39*'CZ '!$C63,AND($C39="Plane - international - intra EU"),$E39*'CZ '!$C65,AND($C39="Plane - international (extra EU)"),$E39*'CZ '!$C67)</f>
        <v>#N/A</v>
      </c>
      <c r="G39" s="31" t="e" cm="1">
        <f t="array" ref="G39">_xlfn.IFS(AND($C39="Fuel car",$D39=1),$E39*'CZ '!D$7,AND($C39="Fuel car",$D39=2),$E39*'CZ '!D$8,AND($C39="Fuel car",$D39=3),$E39*'CZ '!D$9,AND($C39="Fuel car",$D39=4),$E39*'CZ '!D$10,AND($C39="Fuel car",$D39=5),$E39*'CZ '!D$11,AND($C39="Motorcycle",$D39=1),$E39*'CZ '!D$13,AND($C39="Motorcycle",$D39=2),$E39*'CZ '!D$14,AND($C39="Electric car",$D39=1),$E39*'CZ '!D$16,AND($C39="Electric car",$D39=2),$E39*'CZ '!D$17,AND($C39="Electric car",$D39=3),$E39*'CZ '!D$18,AND($C39="Electric car",$D39=4),$E39*'CZ '!D$19,AND($C39="Electric car",$D39=5),$E39*'CZ '!D$20,AND($C39="Hybrid car",$D39=1),$E39*'CZ '!D$22,AND($C39="Hybrid car",$D39=2),$E39*'CZ '!D$23,AND($C39="Hybrid car",$D39=3),$E39*'CZ '!D$24,AND($C39="Hybrid car",$D39=4),$E39*'CZ '!D$25,AND($C39="Hybrid car",$D39=5),$E39*'CZ '!D$26,AND($C39="Electric motorcycle",$D39=1),$E39*'CZ '!D$28,AND($C39="Electric motorcycle",$D39=2),$E39*'CZ '!D$29,AND($C39="Electric bike",$D39=1),$E39*'CZ '!D$31,AND($C39="Electric scooter",$D39=1),$E39*'CZ '!D$33,AND($C39="Bus",$D39="Almost empty"),$E39*'CZ '!I$23,AND($C39="Bus",$D39="Average"),$E39*'CZ '!I$24,AND($C39="Bus",$D39="Nearly full"),$E39*'CZ '!I$25,AND($C39="Electric bus",$D39="Almost empty"),$E39*'CZ '!I$7,AND($C39="Electric bus",$D39="Average"),$E39*'CZ '!I$8,AND($C39="Electric bus",$D39="Nearly full"),$E39*'CZ '!I$9,AND($C39="Diesel bus",$D39="Almost empty"),$E39*'CZ '!I$19,AND($C39="Diesel bus",$D39="Average"),$E39*'CZ '!I$20,AND($C39="Diesel bus",$D39="Nearly full"),$E39*'CZ '!I$21,AND($C39="Hybrid-electric bus",$D39="Almost empty"),$E39*'CZ '!I$11,AND($C39="Hybrid-electric bus",$D39="Average"),$E39*'CZ '!I$12,AND($C39="Hybrid-electric bus",$D39="Nearly full"),$E39*'CZ '!I$13,AND($C39="Alternative fuel bus",$D39="Almost empty"),$E39*'CZ '!I$15,AND($C39="Alternative fuel bus",$D39="Average"),$E39*'CZ '!I$16,AND($C39="Alternative fuel bus",$D39="Nearly full"),$E39*'CZ '!I$17,AND($C39="Metro, tram, urban light train",$D39="Almost empty"),$E39*'CZ '!D$35,AND($C39="Metro, tram, urban light train",$D39="Average"),$E39*'CZ '!D$36,AND($C39="Metro, tram, urban light train",$D39="Nearly full"),$E39*'CZ '!D$37,AND($C39="Electric passenger train",$D39="Almost empty"),$E39*'CZ '!D$39,AND($C39="Electric passenger train",$D39="Average"),$E39*'CZ '!D$40,AND($C39="Electric passenger train",$D39="Nearly full"),$E39*'CZ '!D$41,AND($C39="Diesel passenger train",$D39="Almost empty"),$E39*'CZ '!D$47,AND($C39="Diesel passenger train",$D39="Average"),$E39*'CZ '!D$48,AND($C39="Diesel passenger train",$D39="Nearly full"),$E39*'CZ '!D$49,AND($C39="Walking"),$E39*0,AND($C39="Bike"),$E39*0,AND($C39="Plane - domestic flight"),$E39*'CZ '!$C63,AND($C39="Plane - international - intra EU"),$E39*'CZ '!$C65,AND($C39="Plane - international (extra EU)"),$E39*'CZ '!$C67)</f>
        <v>#N/A</v>
      </c>
      <c r="H39" s="145"/>
      <c r="I39" s="148">
        <f t="shared" si="6"/>
        <v>0</v>
      </c>
      <c r="J39" s="146" t="e" cm="1">
        <f t="array" ref="J39">_xlfn.IFS(C39="Fuel car",C39*DATA!$C$17,C39="Electric car",C39*DATA!$F$8,C39="Hybrid car",I39*(0.5*DATA!$C$17+0.5*DATA!$F$8))</f>
        <v>#N/A</v>
      </c>
      <c r="L39" s="226" t="s">
        <v>80</v>
      </c>
      <c r="M39" s="227"/>
      <c r="N39" s="228"/>
    </row>
    <row r="40" spans="1:14" x14ac:dyDescent="0.2">
      <c r="A40" s="222"/>
      <c r="B40" s="30"/>
      <c r="C40" s="15"/>
      <c r="D40" s="15"/>
      <c r="E40" s="15"/>
      <c r="F40" s="123" t="e" cm="1">
        <f t="array" ref="F40">_xlfn.IFS(AND($C40="Fuel car",$D40=1),$E40*'CZ '!C$7,AND($C40="Fuel car",$D40=2),$E40*'CZ '!C$8,AND($C40="Fuel car",$D40=3),$E40*'CZ '!C$9,AND($C40="Fuel car",$D40=4),$E40*'CZ '!C$10,AND($C40="Fuel car",$D40=5),$E40*'CZ '!C$11,AND($C40="Motorcycle",$D40=1),$E40*'CZ '!C$13,AND($C40="Motorcycle",$D40=2),$E40*'CZ '!C$14,AND($C40="Electric car",$D40=1),$E40*'CZ '!C$16,AND($C40="Electric car",$D40=2),$E40*'CZ '!C$17,AND($C40="Electric car",$D40=3),$E40*'CZ '!C$18,AND($C40="Electric car",$D40=4),$E40*'CZ '!C$19,AND($C40="Electric car",$D40=5),$E40*'CZ '!C$20,AND($C40="Hybrid car",$D40=1),$E40*'CZ '!C$22,AND($C40="Hybrid car",$D40=2),$E40*'CZ '!C$23,AND($C40="Hybrid car",$D40=3),$E40*'CZ '!C$24,AND($C40="Hybrid car",$D40=4),$E40*'CZ '!C$25,AND($C40="Hybrid car",$D40=5),$E40*'CZ '!C$26,AND($C40="Electric motorcycle",$D40=1),$E40*'CZ '!C$28,AND($C40="Electric motorcycle",$D40=2),$E40*'CZ '!C$29,AND($C40="Electric bike",$D40=1),$E40*'CZ '!C$31,AND($C40="Electric scooter",$D40=1),$E40*'CZ '!C$33,AND($C40="Bus",$D40="Almost empty"),$E40*'CZ '!H$23,AND($C40="Bus",$D40="Average"),$E40*'CZ '!H$24,AND($C40="Bus",$D40="Nearly full"),$E40*'CZ '!H$25,AND($C40="Electric bus",$D40="Almost empty"),$E40*'CZ '!H$7,AND($C40="Electric bus",$D40="Average"),$E40*'CZ '!H$8,AND($C40="Electric bus",$D40="Nearly full"),$E40*'CZ '!H$9,AND($C40="Diesel bus",$D40="Almost empty"),$E40*'CZ '!H$19,AND($C40="Diesel bus",$D40="Average"),$E40*'CZ '!H$20,AND($C40="Diesel bus",$D40="Nearly full"),$E40*'CZ '!H$21,AND($C40="Hybrid-electric bus",$D40="Almost empty"),$E40*'CZ '!H$11,AND($C40="Hybrid-electric bus",$D40="Average"),$E40*'CZ '!H$12,AND($C40="Hybrid-electric bus",$D40="Nearly full"),$E40*'CZ '!H$13,AND($C40="Alternative fuel bus",$D40="Almost empty"),$E40*'CZ '!H$15,AND($C40="Alternative fuel bus",$D40="Average"),$E40*'CZ '!H$16,AND($C40="Alternative fuel bus",$D40="Nearly full"),$E40*'CZ '!H$17,AND($C40="Metro, tram, urban light train",$D40="Almost empty"),$E40*'CZ '!C$35,AND($C40="Metro, tram, urban light train",$D40="Average"),$E40*'CZ '!C$36,AND($C40="Metro, tram, urban light train",$D40="Nearly full"),$E40*'CZ '!C$37,AND($C40="Electric passenger train",$D40="Almost empty"),$E40*'CZ '!C$39,AND($C40="Electric passenger train",$D40="Average"),$E40*'CZ '!C$40,AND($C40="Electric passenger train",$D40="Nearly full"),$E40*'CZ '!C$41,AND($C40="Diesel passenger train",$D40="Almost empty"),$E40*'CZ '!C$47,AND($C40="Diesel passenger train",$D40="Average"),$E40*'CZ '!C$48,AND($C40="Diesel passenger train",$D40="Nearly full"),$E40*'CZ '!C$49,AND($C40="Walking"),$E40*0,AND($C40="Bike"),$E40*0,AND($C40="Plane - domestic flight"),$E40*'CZ '!$C64,AND($C40="Plane - international - intra EU"),$E40*'CZ '!$C66,AND($C40="Plane - international (extra EU)"),$E40*'CZ '!$C68)</f>
        <v>#N/A</v>
      </c>
      <c r="G40" s="31" t="e" cm="1">
        <f t="array" ref="G40">_xlfn.IFS(AND($C40="Fuel car",$D40=1),$E40*'CZ '!D$7,AND($C40="Fuel car",$D40=2),$E40*'CZ '!D$8,AND($C40="Fuel car",$D40=3),$E40*'CZ '!D$9,AND($C40="Fuel car",$D40=4),$E40*'CZ '!D$10,AND($C40="Fuel car",$D40=5),$E40*'CZ '!D$11,AND($C40="Motorcycle",$D40=1),$E40*'CZ '!D$13,AND($C40="Motorcycle",$D40=2),$E40*'CZ '!D$14,AND($C40="Electric car",$D40=1),$E40*'CZ '!D$16,AND($C40="Electric car",$D40=2),$E40*'CZ '!D$17,AND($C40="Electric car",$D40=3),$E40*'CZ '!D$18,AND($C40="Electric car",$D40=4),$E40*'CZ '!D$19,AND($C40="Electric car",$D40=5),$E40*'CZ '!D$20,AND($C40="Hybrid car",$D40=1),$E40*'CZ '!D$22,AND($C40="Hybrid car",$D40=2),$E40*'CZ '!D$23,AND($C40="Hybrid car",$D40=3),$E40*'CZ '!D$24,AND($C40="Hybrid car",$D40=4),$E40*'CZ '!D$25,AND($C40="Hybrid car",$D40=5),$E40*'CZ '!D$26,AND($C40="Electric motorcycle",$D40=1),$E40*'CZ '!D$28,AND($C40="Electric motorcycle",$D40=2),$E40*'CZ '!D$29,AND($C40="Electric bike",$D40=1),$E40*'CZ '!D$31,AND($C40="Electric scooter",$D40=1),$E40*'CZ '!D$33,AND($C40="Bus",$D40="Almost empty"),$E40*'CZ '!I$23,AND($C40="Bus",$D40="Average"),$E40*'CZ '!I$24,AND($C40="Bus",$D40="Nearly full"),$E40*'CZ '!I$25,AND($C40="Electric bus",$D40="Almost empty"),$E40*'CZ '!I$7,AND($C40="Electric bus",$D40="Average"),$E40*'CZ '!I$8,AND($C40="Electric bus",$D40="Nearly full"),$E40*'CZ '!I$9,AND($C40="Diesel bus",$D40="Almost empty"),$E40*'CZ '!I$19,AND($C40="Diesel bus",$D40="Average"),$E40*'CZ '!I$20,AND($C40="Diesel bus",$D40="Nearly full"),$E40*'CZ '!I$21,AND($C40="Hybrid-electric bus",$D40="Almost empty"),$E40*'CZ '!I$11,AND($C40="Hybrid-electric bus",$D40="Average"),$E40*'CZ '!I$12,AND($C40="Hybrid-electric bus",$D40="Nearly full"),$E40*'CZ '!I$13,AND($C40="Alternative fuel bus",$D40="Almost empty"),$E40*'CZ '!I$15,AND($C40="Alternative fuel bus",$D40="Average"),$E40*'CZ '!I$16,AND($C40="Alternative fuel bus",$D40="Nearly full"),$E40*'CZ '!I$17,AND($C40="Metro, tram, urban light train",$D40="Almost empty"),$E40*'CZ '!D$35,AND($C40="Metro, tram, urban light train",$D40="Average"),$E40*'CZ '!D$36,AND($C40="Metro, tram, urban light train",$D40="Nearly full"),$E40*'CZ '!D$37,AND($C40="Electric passenger train",$D40="Almost empty"),$E40*'CZ '!D$39,AND($C40="Electric passenger train",$D40="Average"),$E40*'CZ '!D$40,AND($C40="Electric passenger train",$D40="Nearly full"),$E40*'CZ '!D$41,AND($C40="Diesel passenger train",$D40="Almost empty"),$E40*'CZ '!D$47,AND($C40="Diesel passenger train",$D40="Average"),$E40*'CZ '!D$48,AND($C40="Diesel passenger train",$D40="Nearly full"),$E40*'CZ '!D$49,AND($C40="Walking"),$E40*0,AND($C40="Bike"),$E40*0,AND($C40="Plane - domestic flight"),$E40*'CZ '!$C64,AND($C40="Plane - international - intra EU"),$E40*'CZ '!$C66,AND($C40="Plane - international (extra EU)"),$E40*'CZ '!$C68)</f>
        <v>#N/A</v>
      </c>
      <c r="H40" s="145"/>
      <c r="I40" s="148">
        <f t="shared" si="6"/>
        <v>0</v>
      </c>
      <c r="J40" s="146" t="e" cm="1">
        <f t="array" ref="J40">_xlfn.IFS(C40="Fuel car",C40*DATA!$C$17,C40="Electric car",C40*DATA!$F$8,C40="Hybrid car",I40*(0.5*DATA!$C$17+0.5*DATA!$F$8))</f>
        <v>#N/A</v>
      </c>
      <c r="L40" s="229"/>
      <c r="M40" s="230"/>
      <c r="N40" s="231"/>
    </row>
    <row r="41" spans="1:14" ht="14.5" customHeight="1" x14ac:dyDescent="0.2">
      <c r="A41" s="222"/>
      <c r="B41" s="30"/>
      <c r="C41" s="15"/>
      <c r="D41" s="15"/>
      <c r="E41" s="15"/>
      <c r="F41" s="123" t="e" cm="1">
        <f t="array" ref="F41">_xlfn.IFS(AND($C41="Fuel car",$D41=1),$E41*'CZ '!C$7,AND($C41="Fuel car",$D41=2),$E41*'CZ '!C$8,AND($C41="Fuel car",$D41=3),$E41*'CZ '!C$9,AND($C41="Fuel car",$D41=4),$E41*'CZ '!C$10,AND($C41="Fuel car",$D41=5),$E41*'CZ '!C$11,AND($C41="Motorcycle",$D41=1),$E41*'CZ '!C$13,AND($C41="Motorcycle",$D41=2),$E41*'CZ '!C$14,AND($C41="Electric car",$D41=1),$E41*'CZ '!C$16,AND($C41="Electric car",$D41=2),$E41*'CZ '!C$17,AND($C41="Electric car",$D41=3),$E41*'CZ '!C$18,AND($C41="Electric car",$D41=4),$E41*'CZ '!C$19,AND($C41="Electric car",$D41=5),$E41*'CZ '!C$20,AND($C41="Hybrid car",$D41=1),$E41*'CZ '!C$22,AND($C41="Hybrid car",$D41=2),$E41*'CZ '!C$23,AND($C41="Hybrid car",$D41=3),$E41*'CZ '!C$24,AND($C41="Hybrid car",$D41=4),$E41*'CZ '!C$25,AND($C41="Hybrid car",$D41=5),$E41*'CZ '!C$26,AND($C41="Electric motorcycle",$D41=1),$E41*'CZ '!C$28,AND($C41="Electric motorcycle",$D41=2),$E41*'CZ '!C$29,AND($C41="Electric bike",$D41=1),$E41*'CZ '!C$31,AND($C41="Electric scooter",$D41=1),$E41*'CZ '!C$33,AND($C41="Bus",$D41="Almost empty"),$E41*'CZ '!H$23,AND($C41="Bus",$D41="Average"),$E41*'CZ '!H$24,AND($C41="Bus",$D41="Nearly full"),$E41*'CZ '!H$25,AND($C41="Electric bus",$D41="Almost empty"),$E41*'CZ '!H$7,AND($C41="Electric bus",$D41="Average"),$E41*'CZ '!H$8,AND($C41="Electric bus",$D41="Nearly full"),$E41*'CZ '!H$9,AND($C41="Diesel bus",$D41="Almost empty"),$E41*'CZ '!H$19,AND($C41="Diesel bus",$D41="Average"),$E41*'CZ '!H$20,AND($C41="Diesel bus",$D41="Nearly full"),$E41*'CZ '!H$21,AND($C41="Hybrid-electric bus",$D41="Almost empty"),$E41*'CZ '!H$11,AND($C41="Hybrid-electric bus",$D41="Average"),$E41*'CZ '!H$12,AND($C41="Hybrid-electric bus",$D41="Nearly full"),$E41*'CZ '!H$13,AND($C41="Alternative fuel bus",$D41="Almost empty"),$E41*'CZ '!H$15,AND($C41="Alternative fuel bus",$D41="Average"),$E41*'CZ '!H$16,AND($C41="Alternative fuel bus",$D41="Nearly full"),$E41*'CZ '!H$17,AND($C41="Metro, tram, urban light train",$D41="Almost empty"),$E41*'CZ '!C$35,AND($C41="Metro, tram, urban light train",$D41="Average"),$E41*'CZ '!C$36,AND($C41="Metro, tram, urban light train",$D41="Nearly full"),$E41*'CZ '!C$37,AND($C41="Electric passenger train",$D41="Almost empty"),$E41*'CZ '!C$39,AND($C41="Electric passenger train",$D41="Average"),$E41*'CZ '!C$40,AND($C41="Electric passenger train",$D41="Nearly full"),$E41*'CZ '!C$41,AND($C41="Diesel passenger train",$D41="Almost empty"),$E41*'CZ '!C$47,AND($C41="Diesel passenger train",$D41="Average"),$E41*'CZ '!C$48,AND($C41="Diesel passenger train",$D41="Nearly full"),$E41*'CZ '!C$49,AND($C41="Walking"),$E41*0,AND($C41="Bike"),$E41*0,AND($C41="Plane - domestic flight"),$E41*'CZ '!$C65,AND($C41="Plane - international - intra EU"),$E41*'CZ '!$C67,AND($C41="Plane - international (extra EU)"),$E41*'CZ '!$C69)</f>
        <v>#N/A</v>
      </c>
      <c r="G41" s="31" t="e" cm="1">
        <f t="array" ref="G41">_xlfn.IFS(AND($C41="Fuel car",$D41=1),$E41*'CZ '!D$7,AND($C41="Fuel car",$D41=2),$E41*'CZ '!D$8,AND($C41="Fuel car",$D41=3),$E41*'CZ '!D$9,AND($C41="Fuel car",$D41=4),$E41*'CZ '!D$10,AND($C41="Fuel car",$D41=5),$E41*'CZ '!D$11,AND($C41="Motorcycle",$D41=1),$E41*'CZ '!D$13,AND($C41="Motorcycle",$D41=2),$E41*'CZ '!D$14,AND($C41="Electric car",$D41=1),$E41*'CZ '!D$16,AND($C41="Electric car",$D41=2),$E41*'CZ '!D$17,AND($C41="Electric car",$D41=3),$E41*'CZ '!D$18,AND($C41="Electric car",$D41=4),$E41*'CZ '!D$19,AND($C41="Electric car",$D41=5),$E41*'CZ '!D$20,AND($C41="Hybrid car",$D41=1),$E41*'CZ '!D$22,AND($C41="Hybrid car",$D41=2),$E41*'CZ '!D$23,AND($C41="Hybrid car",$D41=3),$E41*'CZ '!D$24,AND($C41="Hybrid car",$D41=4),$E41*'CZ '!D$25,AND($C41="Hybrid car",$D41=5),$E41*'CZ '!D$26,AND($C41="Electric motorcycle",$D41=1),$E41*'CZ '!D$28,AND($C41="Electric motorcycle",$D41=2),$E41*'CZ '!D$29,AND($C41="Electric bike",$D41=1),$E41*'CZ '!D$31,AND($C41="Electric scooter",$D41=1),$E41*'CZ '!D$33,AND($C41="Bus",$D41="Almost empty"),$E41*'CZ '!I$23,AND($C41="Bus",$D41="Average"),$E41*'CZ '!I$24,AND($C41="Bus",$D41="Nearly full"),$E41*'CZ '!I$25,AND($C41="Electric bus",$D41="Almost empty"),$E41*'CZ '!I$7,AND($C41="Electric bus",$D41="Average"),$E41*'CZ '!I$8,AND($C41="Electric bus",$D41="Nearly full"),$E41*'CZ '!I$9,AND($C41="Diesel bus",$D41="Almost empty"),$E41*'CZ '!I$19,AND($C41="Diesel bus",$D41="Average"),$E41*'CZ '!I$20,AND($C41="Diesel bus",$D41="Nearly full"),$E41*'CZ '!I$21,AND($C41="Hybrid-electric bus",$D41="Almost empty"),$E41*'CZ '!I$11,AND($C41="Hybrid-electric bus",$D41="Average"),$E41*'CZ '!I$12,AND($C41="Hybrid-electric bus",$D41="Nearly full"),$E41*'CZ '!I$13,AND($C41="Alternative fuel bus",$D41="Almost empty"),$E41*'CZ '!I$15,AND($C41="Alternative fuel bus",$D41="Average"),$E41*'CZ '!I$16,AND($C41="Alternative fuel bus",$D41="Nearly full"),$E41*'CZ '!I$17,AND($C41="Metro, tram, urban light train",$D41="Almost empty"),$E41*'CZ '!D$35,AND($C41="Metro, tram, urban light train",$D41="Average"),$E41*'CZ '!D$36,AND($C41="Metro, tram, urban light train",$D41="Nearly full"),$E41*'CZ '!D$37,AND($C41="Electric passenger train",$D41="Almost empty"),$E41*'CZ '!D$39,AND($C41="Electric passenger train",$D41="Average"),$E41*'CZ '!D$40,AND($C41="Electric passenger train",$D41="Nearly full"),$E41*'CZ '!D$41,AND($C41="Diesel passenger train",$D41="Almost empty"),$E41*'CZ '!D$47,AND($C41="Diesel passenger train",$D41="Average"),$E41*'CZ '!D$48,AND($C41="Diesel passenger train",$D41="Nearly full"),$E41*'CZ '!D$49,AND($C41="Walking"),$E41*0,AND($C41="Bike"),$E41*0,AND($C41="Plane - domestic flight"),$E41*'CZ '!$C65,AND($C41="Plane - international - intra EU"),$E41*'CZ '!$C67,AND($C41="Plane - international (extra EU)"),$E41*'CZ '!$C69)</f>
        <v>#N/A</v>
      </c>
      <c r="H41" s="145"/>
      <c r="I41" s="148">
        <f t="shared" si="6"/>
        <v>0</v>
      </c>
      <c r="J41" s="146" t="e" cm="1">
        <f t="array" ref="J41">_xlfn.IFS(C41="Fuel car",C41*DATA!$C$17,C41="Electric car",C41*DATA!$F$8,C41="Hybrid car",I41*(0.5*DATA!$C$17+0.5*DATA!$F$8))</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car",$D42=1),$E42*'CZ '!C$7,AND($C42="Fuel car",$D42=2),$E42*'CZ '!C$8,AND($C42="Fuel car",$D42=3),$E42*'CZ '!C$9,AND($C42="Fuel car",$D42=4),$E42*'CZ '!C$10,AND($C42="Fuel car",$D42=5),$E42*'CZ '!C$11,AND($C42="Motorcycle",$D42=1),$E42*'CZ '!C$13,AND($C42="Motorcycle",$D42=2),$E42*'CZ '!C$14,AND($C42="Electric car",$D42=1),$E42*'CZ '!C$16,AND($C42="Electric car",$D42=2),$E42*'CZ '!C$17,AND($C42="Electric car",$D42=3),$E42*'CZ '!C$18,AND($C42="Electric car",$D42=4),$E42*'CZ '!C$19,AND($C42="Electric car",$D42=5),$E42*'CZ '!C$20,AND($C42="Hybrid car",$D42=1),$E42*'CZ '!C$22,AND($C42="Hybrid car",$D42=2),$E42*'CZ '!C$23,AND($C42="Hybrid car",$D42=3),$E42*'CZ '!C$24,AND($C42="Hybrid car",$D42=4),$E42*'CZ '!C$25,AND($C42="Hybrid car",$D42=5),$E42*'CZ '!C$26,AND($C42="Electric motorcycle",$D42=1),$E42*'CZ '!C$28,AND($C42="Electric motorcycle",$D42=2),$E42*'CZ '!C$29,AND($C42="Electric bike",$D42=1),$E42*'CZ '!C$31,AND($C42="Electric scooter",$D42=1),$E42*'CZ '!C$33,AND($C42="Bus",$D42="Almost empty"),$E42*'CZ '!H$23,AND($C42="Bus",$D42="Average"),$E42*'CZ '!H$24,AND($C42="Bus",$D42="Nearly full"),$E42*'CZ '!H$25,AND($C42="Electric bus",$D42="Almost empty"),$E42*'CZ '!H$7,AND($C42="Electric bus",$D42="Average"),$E42*'CZ '!H$8,AND($C42="Electric bus",$D42="Nearly full"),$E42*'CZ '!H$9,AND($C42="Diesel bus",$D42="Almost empty"),$E42*'CZ '!H$19,AND($C42="Diesel bus",$D42="Average"),$E42*'CZ '!H$20,AND($C42="Diesel bus",$D42="Nearly full"),$E42*'CZ '!H$21,AND($C42="Hybrid-electric bus",$D42="Almost empty"),$E42*'CZ '!H$11,AND($C42="Hybrid-electric bus",$D42="Average"),$E42*'CZ '!H$12,AND($C42="Hybrid-electric bus",$D42="Nearly full"),$E42*'CZ '!H$13,AND($C42="Alternative fuel bus",$D42="Almost empty"),$E42*'CZ '!H$15,AND($C42="Alternative fuel bus",$D42="Average"),$E42*'CZ '!H$16,AND($C42="Alternative fuel bus",$D42="Nearly full"),$E42*'CZ '!H$17,AND($C42="Metro, tram, urban light train",$D42="Almost empty"),$E42*'CZ '!C$35,AND($C42="Metro, tram, urban light train",$D42="Average"),$E42*'CZ '!C$36,AND($C42="Metro, tram, urban light train",$D42="Nearly full"),$E42*'CZ '!C$37,AND($C42="Electric passenger train",$D42="Almost empty"),$E42*'CZ '!C$39,AND($C42="Electric passenger train",$D42="Average"),$E42*'CZ '!C$40,AND($C42="Electric passenger train",$D42="Nearly full"),$E42*'CZ '!C$41,AND($C42="Diesel passenger train",$D42="Almost empty"),$E42*'CZ '!C$47,AND($C42="Diesel passenger train",$D42="Average"),$E42*'CZ '!C$48,AND($C42="Diesel passenger train",$D42="Nearly full"),$E42*'CZ '!C$49,AND($C42="Walking"),$E42*0,AND($C42="Bike"),$E42*0,AND($C42="Plane - domestic flight"),$E42*'CZ '!$C66,AND($C42="Plane - international - intra EU"),$E42*'CZ '!$C68,AND($C42="Plane - international (extra EU)"),$E42*'CZ '!$C70)</f>
        <v>#N/A</v>
      </c>
      <c r="G42" s="31" t="e" cm="1">
        <f t="array" ref="G42">_xlfn.IFS(AND($C42="Fuel car",$D42=1),$E42*'CZ '!D$7,AND($C42="Fuel car",$D42=2),$E42*'CZ '!D$8,AND($C42="Fuel car",$D42=3),$E42*'CZ '!D$9,AND($C42="Fuel car",$D42=4),$E42*'CZ '!D$10,AND($C42="Fuel car",$D42=5),$E42*'CZ '!D$11,AND($C42="Motorcycle",$D42=1),$E42*'CZ '!D$13,AND($C42="Motorcycle",$D42=2),$E42*'CZ '!D$14,AND($C42="Electric car",$D42=1),$E42*'CZ '!D$16,AND($C42="Electric car",$D42=2),$E42*'CZ '!D$17,AND($C42="Electric car",$D42=3),$E42*'CZ '!D$18,AND($C42="Electric car",$D42=4),$E42*'CZ '!D$19,AND($C42="Electric car",$D42=5),$E42*'CZ '!D$20,AND($C42="Hybrid car",$D42=1),$E42*'CZ '!D$22,AND($C42="Hybrid car",$D42=2),$E42*'CZ '!D$23,AND($C42="Hybrid car",$D42=3),$E42*'CZ '!D$24,AND($C42="Hybrid car",$D42=4),$E42*'CZ '!D$25,AND($C42="Hybrid car",$D42=5),$E42*'CZ '!D$26,AND($C42="Electric motorcycle",$D42=1),$E42*'CZ '!D$28,AND($C42="Electric motorcycle",$D42=2),$E42*'CZ '!D$29,AND($C42="Electric bike",$D42=1),$E42*'CZ '!D$31,AND($C42="Electric scooter",$D42=1),$E42*'CZ '!D$33,AND($C42="Bus",$D42="Almost empty"),$E42*'CZ '!I$23,AND($C42="Bus",$D42="Average"),$E42*'CZ '!I$24,AND($C42="Bus",$D42="Nearly full"),$E42*'CZ '!I$25,AND($C42="Electric bus",$D42="Almost empty"),$E42*'CZ '!I$7,AND($C42="Electric bus",$D42="Average"),$E42*'CZ '!I$8,AND($C42="Electric bus",$D42="Nearly full"),$E42*'CZ '!I$9,AND($C42="Diesel bus",$D42="Almost empty"),$E42*'CZ '!I$19,AND($C42="Diesel bus",$D42="Average"),$E42*'CZ '!I$20,AND($C42="Diesel bus",$D42="Nearly full"),$E42*'CZ '!I$21,AND($C42="Hybrid-electric bus",$D42="Almost empty"),$E42*'CZ '!I$11,AND($C42="Hybrid-electric bus",$D42="Average"),$E42*'CZ '!I$12,AND($C42="Hybrid-electric bus",$D42="Nearly full"),$E42*'CZ '!I$13,AND($C42="Alternative fuel bus",$D42="Almost empty"),$E42*'CZ '!I$15,AND($C42="Alternative fuel bus",$D42="Average"),$E42*'CZ '!I$16,AND($C42="Alternative fuel bus",$D42="Nearly full"),$E42*'CZ '!I$17,AND($C42="Metro, tram, urban light train",$D42="Almost empty"),$E42*'CZ '!D$35,AND($C42="Metro, tram, urban light train",$D42="Average"),$E42*'CZ '!D$36,AND($C42="Metro, tram, urban light train",$D42="Nearly full"),$E42*'CZ '!D$37,AND($C42="Electric passenger train",$D42="Almost empty"),$E42*'CZ '!D$39,AND($C42="Electric passenger train",$D42="Average"),$E42*'CZ '!D$40,AND($C42="Electric passenger train",$D42="Nearly full"),$E42*'CZ '!D$41,AND($C42="Diesel passenger train",$D42="Almost empty"),$E42*'CZ '!D$47,AND($C42="Diesel passenger train",$D42="Average"),$E42*'CZ '!D$48,AND($C42="Diesel passenger train",$D42="Nearly full"),$E42*'CZ '!D$49,AND($C42="Walking"),$E42*0,AND($C42="Bike"),$E42*0,AND($C42="Plane - domestic flight"),$E42*'CZ '!$C66,AND($C42="Plane - international - intra EU"),$E42*'CZ '!$C68,AND($C42="Plane - international (extra EU)"),$E42*'CZ '!$C70)</f>
        <v>#N/A</v>
      </c>
      <c r="H42" s="145"/>
      <c r="I42" s="148">
        <f t="shared" si="6"/>
        <v>0</v>
      </c>
      <c r="J42" s="146" t="e" cm="1">
        <f t="array" ref="J42">_xlfn.IFS(C42="Fuel car",C42*DATA!$C$17,C42="Electric car",C42*DATA!$F$8,C42="Hybrid car",I42*(0.5*DATA!$C$17+0.5*DATA!$F$8))</f>
        <v>#N/A</v>
      </c>
      <c r="L42" s="235"/>
      <c r="M42" s="236"/>
      <c r="N42" s="237"/>
    </row>
    <row r="43" spans="1:14" ht="14.5" customHeight="1" thickBot="1" x14ac:dyDescent="0.25">
      <c r="A43" s="222"/>
      <c r="B43" s="30"/>
      <c r="C43" s="15"/>
      <c r="D43" s="15"/>
      <c r="E43" s="15"/>
      <c r="F43" s="123" t="e" cm="1">
        <f t="array" ref="F43">_xlfn.IFS(AND($C43="Fuel car",$D43=1),$E43*'CZ '!C$7,AND($C43="Fuel car",$D43=2),$E43*'CZ '!C$8,AND($C43="Fuel car",$D43=3),$E43*'CZ '!C$9,AND($C43="Fuel car",$D43=4),$E43*'CZ '!C$10,AND($C43="Fuel car",$D43=5),$E43*'CZ '!C$11,AND($C43="Motorcycle",$D43=1),$E43*'CZ '!C$13,AND($C43="Motorcycle",$D43=2),$E43*'CZ '!C$14,AND($C43="Electric car",$D43=1),$E43*'CZ '!C$16,AND($C43="Electric car",$D43=2),$E43*'CZ '!C$17,AND($C43="Electric car",$D43=3),$E43*'CZ '!C$18,AND($C43="Electric car",$D43=4),$E43*'CZ '!C$19,AND($C43="Electric car",$D43=5),$E43*'CZ '!C$20,AND($C43="Hybrid car",$D43=1),$E43*'CZ '!C$22,AND($C43="Hybrid car",$D43=2),$E43*'CZ '!C$23,AND($C43="Hybrid car",$D43=3),$E43*'CZ '!C$24,AND($C43="Hybrid car",$D43=4),$E43*'CZ '!C$25,AND($C43="Hybrid car",$D43=5),$E43*'CZ '!C$26,AND($C43="Electric motorcycle",$D43=1),$E43*'CZ '!C$28,AND($C43="Electric motorcycle",$D43=2),$E43*'CZ '!C$29,AND($C43="Electric bike",$D43=1),$E43*'CZ '!C$31,AND($C43="Electric scooter",$D43=1),$E43*'CZ '!C$33,AND($C43="Bus",$D43="Almost empty"),$E43*'CZ '!H$23,AND($C43="Bus",$D43="Average"),$E43*'CZ '!H$24,AND($C43="Bus",$D43="Nearly full"),$E43*'CZ '!H$25,AND($C43="Electric bus",$D43="Almost empty"),$E43*'CZ '!H$7,AND($C43="Electric bus",$D43="Average"),$E43*'CZ '!H$8,AND($C43="Electric bus",$D43="Nearly full"),$E43*'CZ '!H$9,AND($C43="Diesel bus",$D43="Almost empty"),$E43*'CZ '!H$19,AND($C43="Diesel bus",$D43="Average"),$E43*'CZ '!H$20,AND($C43="Diesel bus",$D43="Nearly full"),$E43*'CZ '!H$21,AND($C43="Hybrid-electric bus",$D43="Almost empty"),$E43*'CZ '!H$11,AND($C43="Hybrid-electric bus",$D43="Average"),$E43*'CZ '!H$12,AND($C43="Hybrid-electric bus",$D43="Nearly full"),$E43*'CZ '!H$13,AND($C43="Alternative fuel bus",$D43="Almost empty"),$E43*'CZ '!H$15,AND($C43="Alternative fuel bus",$D43="Average"),$E43*'CZ '!H$16,AND($C43="Alternative fuel bus",$D43="Nearly full"),$E43*'CZ '!H$17,AND($C43="Metro, tram, urban light train",$D43="Almost empty"),$E43*'CZ '!C$35,AND($C43="Metro, tram, urban light train",$D43="Average"),$E43*'CZ '!C$36,AND($C43="Metro, tram, urban light train",$D43="Nearly full"),$E43*'CZ '!C$37,AND($C43="Electric passenger train",$D43="Almost empty"),$E43*'CZ '!C$39,AND($C43="Electric passenger train",$D43="Average"),$E43*'CZ '!C$40,AND($C43="Electric passenger train",$D43="Nearly full"),$E43*'CZ '!C$41,AND($C43="Diesel passenger train",$D43="Almost empty"),$E43*'CZ '!C$47,AND($C43="Diesel passenger train",$D43="Average"),$E43*'CZ '!C$48,AND($C43="Diesel passenger train",$D43="Nearly full"),$E43*'CZ '!C$49,AND($C43="Walking"),$E43*0,AND($C43="Bike"),$E43*0,AND($C43="Plane - domestic flight"),$E43*'CZ '!$C67,AND($C43="Plane - international - intra EU"),$E43*'CZ '!$C69,AND($C43="Plane - international (extra EU)"),$E43*'CZ '!$C71)</f>
        <v>#N/A</v>
      </c>
      <c r="G43" s="31" t="e" cm="1">
        <f t="array" ref="G43">_xlfn.IFS(AND($C43="Fuel car",$D43=1),$E43*'CZ '!D$7,AND($C43="Fuel car",$D43=2),$E43*'CZ '!D$8,AND($C43="Fuel car",$D43=3),$E43*'CZ '!D$9,AND($C43="Fuel car",$D43=4),$E43*'CZ '!D$10,AND($C43="Fuel car",$D43=5),$E43*'CZ '!D$11,AND($C43="Motorcycle",$D43=1),$E43*'CZ '!D$13,AND($C43="Motorcycle",$D43=2),$E43*'CZ '!D$14,AND($C43="Electric car",$D43=1),$E43*'CZ '!D$16,AND($C43="Electric car",$D43=2),$E43*'CZ '!D$17,AND($C43="Electric car",$D43=3),$E43*'CZ '!D$18,AND($C43="Electric car",$D43=4),$E43*'CZ '!D$19,AND($C43="Electric car",$D43=5),$E43*'CZ '!D$20,AND($C43="Hybrid car",$D43=1),$E43*'CZ '!D$22,AND($C43="Hybrid car",$D43=2),$E43*'CZ '!D$23,AND($C43="Hybrid car",$D43=3),$E43*'CZ '!D$24,AND($C43="Hybrid car",$D43=4),$E43*'CZ '!D$25,AND($C43="Hybrid car",$D43=5),$E43*'CZ '!D$26,AND($C43="Electric motorcycle",$D43=1),$E43*'CZ '!D$28,AND($C43="Electric motorcycle",$D43=2),$E43*'CZ '!D$29,AND($C43="Electric bike",$D43=1),$E43*'CZ '!D$31,AND($C43="Electric scooter",$D43=1),$E43*'CZ '!D$33,AND($C43="Bus",$D43="Almost empty"),$E43*'CZ '!I$23,AND($C43="Bus",$D43="Average"),$E43*'CZ '!I$24,AND($C43="Bus",$D43="Nearly full"),$E43*'CZ '!I$25,AND($C43="Electric bus",$D43="Almost empty"),$E43*'CZ '!I$7,AND($C43="Electric bus",$D43="Average"),$E43*'CZ '!I$8,AND($C43="Electric bus",$D43="Nearly full"),$E43*'CZ '!I$9,AND($C43="Diesel bus",$D43="Almost empty"),$E43*'CZ '!I$19,AND($C43="Diesel bus",$D43="Average"),$E43*'CZ '!I$20,AND($C43="Diesel bus",$D43="Nearly full"),$E43*'CZ '!I$21,AND($C43="Hybrid-electric bus",$D43="Almost empty"),$E43*'CZ '!I$11,AND($C43="Hybrid-electric bus",$D43="Average"),$E43*'CZ '!I$12,AND($C43="Hybrid-electric bus",$D43="Nearly full"),$E43*'CZ '!I$13,AND($C43="Alternative fuel bus",$D43="Almost empty"),$E43*'CZ '!I$15,AND($C43="Alternative fuel bus",$D43="Average"),$E43*'CZ '!I$16,AND($C43="Alternative fuel bus",$D43="Nearly full"),$E43*'CZ '!I$17,AND($C43="Metro, tram, urban light train",$D43="Almost empty"),$E43*'CZ '!D$35,AND($C43="Metro, tram, urban light train",$D43="Average"),$E43*'CZ '!D$36,AND($C43="Metro, tram, urban light train",$D43="Nearly full"),$E43*'CZ '!D$37,AND($C43="Electric passenger train",$D43="Almost empty"),$E43*'CZ '!D$39,AND($C43="Electric passenger train",$D43="Average"),$E43*'CZ '!D$40,AND($C43="Electric passenger train",$D43="Nearly full"),$E43*'CZ '!D$41,AND($C43="Diesel passenger train",$D43="Almost empty"),$E43*'CZ '!D$47,AND($C43="Diesel passenger train",$D43="Average"),$E43*'CZ '!D$48,AND($C43="Diesel passenger train",$D43="Nearly full"),$E43*'CZ '!D$49,AND($C43="Walking"),$E43*0,AND($C43="Bike"),$E43*0,AND($C43="Plane - domestic flight"),$E43*'CZ '!$C67,AND($C43="Plane - international - intra EU"),$E43*'CZ '!$C69,AND($C43="Plane - international (extra EU)"),$E43*'CZ '!$C71)</f>
        <v>#N/A</v>
      </c>
      <c r="H43" s="109"/>
      <c r="I43" s="154">
        <f t="shared" si="6"/>
        <v>0</v>
      </c>
      <c r="J43" s="147" t="e" cm="1">
        <f t="array" ref="J43">_xlfn.IFS(C43="Fuel car",C43*DATA!$C$17,C43="Electric car",C43*DATA!$F$8,C43="Hybrid car",I43*(0.5*DATA!$C$17+0.5*DATA!$F$8))</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car",$D44=1),$E44*'CZ '!C$7,AND($C44="Fuel car",$D44=2),$E44*'CZ '!C$8,AND($C44="Fuel car",$D44=3),$E44*'CZ '!C$9,AND($C44="Fuel car",$D44=4),$E44*'CZ '!C$10,AND($C44="Fuel car",$D44=5),$E44*'CZ '!C$11,AND($C44="Motorcycle",$D44=1),$E44*'CZ '!C$13,AND($C44="Motorcycle",$D44=2),$E44*'CZ '!C$14,AND($C44="Electric car",$D44=1),$E44*'CZ '!C$16,AND($C44="Electric car",$D44=2),$E44*'CZ '!C$17,AND($C44="Electric car",$D44=3),$E44*'CZ '!C$18,AND($C44="Electric car",$D44=4),$E44*'CZ '!C$19,AND($C44="Electric car",$D44=5),$E44*'CZ '!C$20,AND($C44="Hybrid car",$D44=1),$E44*'CZ '!C$22,AND($C44="Hybrid car",$D44=2),$E44*'CZ '!C$23,AND($C44="Hybrid car",$D44=3),$E44*'CZ '!C$24,AND($C44="Hybrid car",$D44=4),$E44*'CZ '!C$25,AND($C44="Hybrid car",$D44=5),$E44*'CZ '!C$26,AND($C44="Electric motorcycle",$D44=1),$E44*'CZ '!C$28,AND($C44="Electric motorcycle",$D44=2),$E44*'CZ '!C$29,AND($C44="Electric bike",$D44=1),$E44*'CZ '!C$31,AND($C44="Electric scooter",$D44=1),$E44*'CZ '!C$33,AND($C44="Bus",$D44="Almost empty"),$E44*'CZ '!H$23,AND($C44="Bus",$D44="Average"),$E44*'CZ '!H$24,AND($C44="Bus",$D44="Nearly full"),$E44*'CZ '!H$25,AND($C44="Electric bus",$D44="Almost empty"),$E44*'CZ '!H$7,AND($C44="Electric bus",$D44="Average"),$E44*'CZ '!H$8,AND($C44="Electric bus",$D44="Nearly full"),$E44*'CZ '!H$9,AND($C44="Diesel bus",$D44="Almost empty"),$E44*'CZ '!H$19,AND($C44="Diesel bus",$D44="Average"),$E44*'CZ '!H$20,AND($C44="Diesel bus",$D44="Nearly full"),$E44*'CZ '!H$21,AND($C44="Hybrid-electric bus",$D44="Almost empty"),$E44*'CZ '!H$11,AND($C44="Hybrid-electric bus",$D44="Average"),$E44*'CZ '!H$12,AND($C44="Hybrid-electric bus",$D44="Nearly full"),$E44*'CZ '!H$13,AND($C44="Alternative fuel bus",$D44="Almost empty"),$E44*'CZ '!H$15,AND($C44="Alternative fuel bus",$D44="Average"),$E44*'CZ '!H$16,AND($C44="Alternative fuel bus",$D44="Nearly full"),$E44*'CZ '!H$17,AND($C44="Metro, tram, urban light train",$D44="Almost empty"),$E44*'CZ '!C$35,AND($C44="Metro, tram, urban light train",$D44="Average"),$E44*'CZ '!C$36,AND($C44="Metro, tram, urban light train",$D44="Nearly full"),$E44*'CZ '!C$37,AND($C44="Electric passenger train",$D44="Almost empty"),$E44*'CZ '!C$39,AND($C44="Electric passenger train",$D44="Average"),$E44*'CZ '!C$40,AND($C44="Electric passenger train",$D44="Nearly full"),$E44*'CZ '!C$41,AND($C44="Diesel passenger train",$D44="Almost empty"),$E44*'CZ '!C$47,AND($C44="Diesel passenger train",$D44="Average"),$E44*'CZ '!C$48,AND($C44="Diesel passenger train",$D44="Nearly full"),$E44*'CZ '!C$49,AND($C44="Walking"),$E44*0,AND($C44="Bike"),$E44*0,AND($C44="Plane - domestic flight"),$E44*'CZ '!$C68,AND($C44="Plane - international - intra EU"),$E44*'CZ '!$C70,AND($C44="Plane - international (extra EU)"),$E44*'CZ '!$C72)</f>
        <v>#N/A</v>
      </c>
      <c r="G44" s="31" t="e" cm="1">
        <f t="array" ref="G44">_xlfn.IFS(AND($C44="Fuel car",$D44=1),$E44*'CZ '!D$7,AND($C44="Fuel car",$D44=2),$E44*'CZ '!D$8,AND($C44="Fuel car",$D44=3),$E44*'CZ '!D$9,AND($C44="Fuel car",$D44=4),$E44*'CZ '!D$10,AND($C44="Fuel car",$D44=5),$E44*'CZ '!D$11,AND($C44="Motorcycle",$D44=1),$E44*'CZ '!D$13,AND($C44="Motorcycle",$D44=2),$E44*'CZ '!D$14,AND($C44="Electric car",$D44=1),$E44*'CZ '!D$16,AND($C44="Electric car",$D44=2),$E44*'CZ '!D$17,AND($C44="Electric car",$D44=3),$E44*'CZ '!D$18,AND($C44="Electric car",$D44=4),$E44*'CZ '!D$19,AND($C44="Electric car",$D44=5),$E44*'CZ '!D$20,AND($C44="Hybrid car",$D44=1),$E44*'CZ '!D$22,AND($C44="Hybrid car",$D44=2),$E44*'CZ '!D$23,AND($C44="Hybrid car",$D44=3),$E44*'CZ '!D$24,AND($C44="Hybrid car",$D44=4),$E44*'CZ '!D$25,AND($C44="Hybrid car",$D44=5),$E44*'CZ '!D$26,AND($C44="Electric motorcycle",$D44=1),$E44*'CZ '!D$28,AND($C44="Electric motorcycle",$D44=2),$E44*'CZ '!D$29,AND($C44="Electric bike",$D44=1),$E44*'CZ '!D$31,AND($C44="Electric scooter",$D44=1),$E44*'CZ '!D$33,AND($C44="Bus",$D44="Almost empty"),$E44*'CZ '!I$23,AND($C44="Bus",$D44="Average"),$E44*'CZ '!I$24,AND($C44="Bus",$D44="Nearly full"),$E44*'CZ '!I$25,AND($C44="Electric bus",$D44="Almost empty"),$E44*'CZ '!I$7,AND($C44="Electric bus",$D44="Average"),$E44*'CZ '!I$8,AND($C44="Electric bus",$D44="Nearly full"),$E44*'CZ '!I$9,AND($C44="Diesel bus",$D44="Almost empty"),$E44*'CZ '!I$19,AND($C44="Diesel bus",$D44="Average"),$E44*'CZ '!I$20,AND($C44="Diesel bus",$D44="Nearly full"),$E44*'CZ '!I$21,AND($C44="Hybrid-electric bus",$D44="Almost empty"),$E44*'CZ '!I$11,AND($C44="Hybrid-electric bus",$D44="Average"),$E44*'CZ '!I$12,AND($C44="Hybrid-electric bus",$D44="Nearly full"),$E44*'CZ '!I$13,AND($C44="Alternative fuel bus",$D44="Almost empty"),$E44*'CZ '!I$15,AND($C44="Alternative fuel bus",$D44="Average"),$E44*'CZ '!I$16,AND($C44="Alternative fuel bus",$D44="Nearly full"),$E44*'CZ '!I$17,AND($C44="Metro, tram, urban light train",$D44="Almost empty"),$E44*'CZ '!D$35,AND($C44="Metro, tram, urban light train",$D44="Average"),$E44*'CZ '!D$36,AND($C44="Metro, tram, urban light train",$D44="Nearly full"),$E44*'CZ '!D$37,AND($C44="Electric passenger train",$D44="Almost empty"),$E44*'CZ '!D$39,AND($C44="Electric passenger train",$D44="Average"),$E44*'CZ '!D$40,AND($C44="Electric passenger train",$D44="Nearly full"),$E44*'CZ '!D$41,AND($C44="Diesel passenger train",$D44="Almost empty"),$E44*'CZ '!D$47,AND($C44="Diesel passenger train",$D44="Average"),$E44*'CZ '!D$48,AND($C44="Diesel passenger train",$D44="Nearly full"),$E44*'CZ '!D$49,AND($C44="Walking"),$E44*0,AND($C44="Bike"),$E44*0,AND($C44="Plane - domestic flight"),$E44*'CZ '!$C68,AND($C44="Plane - international - intra EU"),$E44*'CZ '!$C70,AND($C44="Plane - international (extra EU)"),$E44*'CZ '!$C72)</f>
        <v>#N/A</v>
      </c>
      <c r="L44" s="218"/>
      <c r="M44" s="219"/>
      <c r="N44" s="220"/>
    </row>
    <row r="45" spans="1:14" ht="14.5" customHeight="1" x14ac:dyDescent="0.2">
      <c r="A45" s="222"/>
      <c r="B45" s="30"/>
      <c r="C45" s="15"/>
      <c r="D45" s="15"/>
      <c r="E45" s="15"/>
      <c r="F45" s="123" t="e" cm="1">
        <f t="array" ref="F45">_xlfn.IFS(AND($C45="Fuel car",$D45=1),$E45*'CZ '!C$7,AND($C45="Fuel car",$D45=2),$E45*'CZ '!C$8,AND($C45="Fuel car",$D45=3),$E45*'CZ '!C$9,AND($C45="Fuel car",$D45=4),$E45*'CZ '!C$10,AND($C45="Fuel car",$D45=5),$E45*'CZ '!C$11,AND($C45="Motorcycle",$D45=1),$E45*'CZ '!C$13,AND($C45="Motorcycle",$D45=2),$E45*'CZ '!C$14,AND($C45="Electric car",$D45=1),$E45*'CZ '!C$16,AND($C45="Electric car",$D45=2),$E45*'CZ '!C$17,AND($C45="Electric car",$D45=3),$E45*'CZ '!C$18,AND($C45="Electric car",$D45=4),$E45*'CZ '!C$19,AND($C45="Electric car",$D45=5),$E45*'CZ '!C$20,AND($C45="Hybrid car",$D45=1),$E45*'CZ '!C$22,AND($C45="Hybrid car",$D45=2),$E45*'CZ '!C$23,AND($C45="Hybrid car",$D45=3),$E45*'CZ '!C$24,AND($C45="Hybrid car",$D45=4),$E45*'CZ '!C$25,AND($C45="Hybrid car",$D45=5),$E45*'CZ '!C$26,AND($C45="Electric motorcycle",$D45=1),$E45*'CZ '!C$28,AND($C45="Electric motorcycle",$D45=2),$E45*'CZ '!C$29,AND($C45="Electric bike",$D45=1),$E45*'CZ '!C$31,AND($C45="Electric scooter",$D45=1),$E45*'CZ '!C$33,AND($C45="Bus",$D45="Almost empty"),$E45*'CZ '!H$23,AND($C45="Bus",$D45="Average"),$E45*'CZ '!H$24,AND($C45="Bus",$D45="Nearly full"),$E45*'CZ '!H$25,AND($C45="Electric bus",$D45="Almost empty"),$E45*'CZ '!H$7,AND($C45="Electric bus",$D45="Average"),$E45*'CZ '!H$8,AND($C45="Electric bus",$D45="Nearly full"),$E45*'CZ '!H$9,AND($C45="Diesel bus",$D45="Almost empty"),$E45*'CZ '!H$19,AND($C45="Diesel bus",$D45="Average"),$E45*'CZ '!H$20,AND($C45="Diesel bus",$D45="Nearly full"),$E45*'CZ '!H$21,AND($C45="Hybrid-electric bus",$D45="Almost empty"),$E45*'CZ '!H$11,AND($C45="Hybrid-electric bus",$D45="Average"),$E45*'CZ '!H$12,AND($C45="Hybrid-electric bus",$D45="Nearly full"),$E45*'CZ '!H$13,AND($C45="Alternative fuel bus",$D45="Almost empty"),$E45*'CZ '!H$15,AND($C45="Alternative fuel bus",$D45="Average"),$E45*'CZ '!H$16,AND($C45="Alternative fuel bus",$D45="Nearly full"),$E45*'CZ '!H$17,AND($C45="Metro, tram, urban light train",$D45="Almost empty"),$E45*'CZ '!C$35,AND($C45="Metro, tram, urban light train",$D45="Average"),$E45*'CZ '!C$36,AND($C45="Metro, tram, urban light train",$D45="Nearly full"),$E45*'CZ '!C$37,AND($C45="Electric passenger train",$D45="Almost empty"),$E45*'CZ '!C$39,AND($C45="Electric passenger train",$D45="Average"),$E45*'CZ '!C$40,AND($C45="Electric passenger train",$D45="Nearly full"),$E45*'CZ '!C$41,AND($C45="Diesel passenger train",$D45="Almost empty"),$E45*'CZ '!C$47,AND($C45="Diesel passenger train",$D45="Average"),$E45*'CZ '!C$48,AND($C45="Diesel passenger train",$D45="Nearly full"),$E45*'CZ '!C$49,AND($C45="Walking"),$E45*0,AND($C45="Bike"),$E45*0,AND($C45="Plane - domestic flight"),$E45*'CZ '!$C69,AND($C45="Plane - international - intra EU"),$E45*'CZ '!$C71,AND($C45="Plane - international (extra EU)"),$E45*'CZ '!$C73)</f>
        <v>#N/A</v>
      </c>
      <c r="G45" s="31" t="e" cm="1">
        <f t="array" ref="G45">_xlfn.IFS(AND($C45="Fuel car",$D45=1),$E45*'CZ '!D$7,AND($C45="Fuel car",$D45=2),$E45*'CZ '!D$8,AND($C45="Fuel car",$D45=3),$E45*'CZ '!D$9,AND($C45="Fuel car",$D45=4),$E45*'CZ '!D$10,AND($C45="Fuel car",$D45=5),$E45*'CZ '!D$11,AND($C45="Motorcycle",$D45=1),$E45*'CZ '!D$13,AND($C45="Motorcycle",$D45=2),$E45*'CZ '!D$14,AND($C45="Electric car",$D45=1),$E45*'CZ '!D$16,AND($C45="Electric car",$D45=2),$E45*'CZ '!D$17,AND($C45="Electric car",$D45=3),$E45*'CZ '!D$18,AND($C45="Electric car",$D45=4),$E45*'CZ '!D$19,AND($C45="Electric car",$D45=5),$E45*'CZ '!D$20,AND($C45="Hybrid car",$D45=1),$E45*'CZ '!D$22,AND($C45="Hybrid car",$D45=2),$E45*'CZ '!D$23,AND($C45="Hybrid car",$D45=3),$E45*'CZ '!D$24,AND($C45="Hybrid car",$D45=4),$E45*'CZ '!D$25,AND($C45="Hybrid car",$D45=5),$E45*'CZ '!D$26,AND($C45="Electric motorcycle",$D45=1),$E45*'CZ '!D$28,AND($C45="Electric motorcycle",$D45=2),$E45*'CZ '!D$29,AND($C45="Electric bike",$D45=1),$E45*'CZ '!D$31,AND($C45="Electric scooter",$D45=1),$E45*'CZ '!D$33,AND($C45="Bus",$D45="Almost empty"),$E45*'CZ '!I$23,AND($C45="Bus",$D45="Average"),$E45*'CZ '!I$24,AND($C45="Bus",$D45="Nearly full"),$E45*'CZ '!I$25,AND($C45="Electric bus",$D45="Almost empty"),$E45*'CZ '!I$7,AND($C45="Electric bus",$D45="Average"),$E45*'CZ '!I$8,AND($C45="Electric bus",$D45="Nearly full"),$E45*'CZ '!I$9,AND($C45="Diesel bus",$D45="Almost empty"),$E45*'CZ '!I$19,AND($C45="Diesel bus",$D45="Average"),$E45*'CZ '!I$20,AND($C45="Diesel bus",$D45="Nearly full"),$E45*'CZ '!I$21,AND($C45="Hybrid-electric bus",$D45="Almost empty"),$E45*'CZ '!I$11,AND($C45="Hybrid-electric bus",$D45="Average"),$E45*'CZ '!I$12,AND($C45="Hybrid-electric bus",$D45="Nearly full"),$E45*'CZ '!I$13,AND($C45="Alternative fuel bus",$D45="Almost empty"),$E45*'CZ '!I$15,AND($C45="Alternative fuel bus",$D45="Average"),$E45*'CZ '!I$16,AND($C45="Alternative fuel bus",$D45="Nearly full"),$E45*'CZ '!I$17,AND($C45="Metro, tram, urban light train",$D45="Almost empty"),$E45*'CZ '!D$35,AND($C45="Metro, tram, urban light train",$D45="Average"),$E45*'CZ '!D$36,AND($C45="Metro, tram, urban light train",$D45="Nearly full"),$E45*'CZ '!D$37,AND($C45="Electric passenger train",$D45="Almost empty"),$E45*'CZ '!D$39,AND($C45="Electric passenger train",$D45="Average"),$E45*'CZ '!D$40,AND($C45="Electric passenger train",$D45="Nearly full"),$E45*'CZ '!D$41,AND($C45="Diesel passenger train",$D45="Almost empty"),$E45*'CZ '!D$47,AND($C45="Diesel passenger train",$D45="Average"),$E45*'CZ '!D$48,AND($C45="Diesel passenger train",$D45="Nearly full"),$E45*'CZ '!D$49,AND($C45="Walking"),$E45*0,AND($C45="Bike"),$E45*0,AND($C45="Plane - domestic flight"),$E45*'CZ '!$C69,AND($C45="Plane - international - intra EU"),$E45*'CZ '!$C71,AND($C45="Plane - international (extra EU)"),$E45*'CZ '!$C73)</f>
        <v>#N/A</v>
      </c>
      <c r="L45" s="198" t="s">
        <v>256</v>
      </c>
      <c r="M45" s="199"/>
      <c r="N45" s="200"/>
    </row>
    <row r="46" spans="1:14" ht="16" thickBot="1" x14ac:dyDescent="0.25">
      <c r="A46" s="222"/>
      <c r="B46" s="30"/>
      <c r="C46" s="15"/>
      <c r="D46" s="15"/>
      <c r="E46" s="15"/>
      <c r="F46" s="123" t="e" cm="1">
        <f t="array" ref="F46">_xlfn.IFS(AND($C46="Fuel car",$D46=1),$E46*'CZ '!C$7,AND($C46="Fuel car",$D46=2),$E46*'CZ '!C$8,AND($C46="Fuel car",$D46=3),$E46*'CZ '!C$9,AND($C46="Fuel car",$D46=4),$E46*'CZ '!C$10,AND($C46="Fuel car",$D46=5),$E46*'CZ '!C$11,AND($C46="Motorcycle",$D46=1),$E46*'CZ '!C$13,AND($C46="Motorcycle",$D46=2),$E46*'CZ '!C$14,AND($C46="Electric car",$D46=1),$E46*'CZ '!C$16,AND($C46="Electric car",$D46=2),$E46*'CZ '!C$17,AND($C46="Electric car",$D46=3),$E46*'CZ '!C$18,AND($C46="Electric car",$D46=4),$E46*'CZ '!C$19,AND($C46="Electric car",$D46=5),$E46*'CZ '!C$20,AND($C46="Hybrid car",$D46=1),$E46*'CZ '!C$22,AND($C46="Hybrid car",$D46=2),$E46*'CZ '!C$23,AND($C46="Hybrid car",$D46=3),$E46*'CZ '!C$24,AND($C46="Hybrid car",$D46=4),$E46*'CZ '!C$25,AND($C46="Hybrid car",$D46=5),$E46*'CZ '!C$26,AND($C46="Electric motorcycle",$D46=1),$E46*'CZ '!C$28,AND($C46="Electric motorcycle",$D46=2),$E46*'CZ '!C$29,AND($C46="Electric bike",$D46=1),$E46*'CZ '!C$31,AND($C46="Electric scooter",$D46=1),$E46*'CZ '!C$33,AND($C46="Bus",$D46="Almost empty"),$E46*'CZ '!H$23,AND($C46="Bus",$D46="Average"),$E46*'CZ '!H$24,AND($C46="Bus",$D46="Nearly full"),$E46*'CZ '!H$25,AND($C46="Electric bus",$D46="Almost empty"),$E46*'CZ '!H$7,AND($C46="Electric bus",$D46="Average"),$E46*'CZ '!H$8,AND($C46="Electric bus",$D46="Nearly full"),$E46*'CZ '!H$9,AND($C46="Diesel bus",$D46="Almost empty"),$E46*'CZ '!H$19,AND($C46="Diesel bus",$D46="Average"),$E46*'CZ '!H$20,AND($C46="Diesel bus",$D46="Nearly full"),$E46*'CZ '!H$21,AND($C46="Hybrid-electric bus",$D46="Almost empty"),$E46*'CZ '!H$11,AND($C46="Hybrid-electric bus",$D46="Average"),$E46*'CZ '!H$12,AND($C46="Hybrid-electric bus",$D46="Nearly full"),$E46*'CZ '!H$13,AND($C46="Alternative fuel bus",$D46="Almost empty"),$E46*'CZ '!H$15,AND($C46="Alternative fuel bus",$D46="Average"),$E46*'CZ '!H$16,AND($C46="Alternative fuel bus",$D46="Nearly full"),$E46*'CZ '!H$17,AND($C46="Metro, tram, urban light train",$D46="Almost empty"),$E46*'CZ '!C$35,AND($C46="Metro, tram, urban light train",$D46="Average"),$E46*'CZ '!C$36,AND($C46="Metro, tram, urban light train",$D46="Nearly full"),$E46*'CZ '!C$37,AND($C46="Electric passenger train",$D46="Almost empty"),$E46*'CZ '!C$39,AND($C46="Electric passenger train",$D46="Average"),$E46*'CZ '!C$40,AND($C46="Electric passenger train",$D46="Nearly full"),$E46*'CZ '!C$41,AND($C46="Diesel passenger train",$D46="Almost empty"),$E46*'CZ '!C$47,AND($C46="Diesel passenger train",$D46="Average"),$E46*'CZ '!C$48,AND($C46="Diesel passenger train",$D46="Nearly full"),$E46*'CZ '!C$49,AND($C46="Walking"),$E46*0,AND($C46="Bike"),$E46*0,AND($C46="Plane - domestic flight"),$E46*'CZ '!$C70,AND($C46="Plane - international - intra EU"),$E46*'CZ '!$C72,AND($C46="Plane - international (extra EU)"),$E46*'CZ '!$C74)</f>
        <v>#N/A</v>
      </c>
      <c r="G46" s="31" t="e" cm="1">
        <f t="array" ref="G46">_xlfn.IFS(AND($C46="Fuel car",$D46=1),$E46*'CZ '!D$7,AND($C46="Fuel car",$D46=2),$E46*'CZ '!D$8,AND($C46="Fuel car",$D46=3),$E46*'CZ '!D$9,AND($C46="Fuel car",$D46=4),$E46*'CZ '!D$10,AND($C46="Fuel car",$D46=5),$E46*'CZ '!D$11,AND($C46="Motorcycle",$D46=1),$E46*'CZ '!D$13,AND($C46="Motorcycle",$D46=2),$E46*'CZ '!D$14,AND($C46="Electric car",$D46=1),$E46*'CZ '!D$16,AND($C46="Electric car",$D46=2),$E46*'CZ '!D$17,AND($C46="Electric car",$D46=3),$E46*'CZ '!D$18,AND($C46="Electric car",$D46=4),$E46*'CZ '!D$19,AND($C46="Electric car",$D46=5),$E46*'CZ '!D$20,AND($C46="Hybrid car",$D46=1),$E46*'CZ '!D$22,AND($C46="Hybrid car",$D46=2),$E46*'CZ '!D$23,AND($C46="Hybrid car",$D46=3),$E46*'CZ '!D$24,AND($C46="Hybrid car",$D46=4),$E46*'CZ '!D$25,AND($C46="Hybrid car",$D46=5),$E46*'CZ '!D$26,AND($C46="Electric motorcycle",$D46=1),$E46*'CZ '!D$28,AND($C46="Electric motorcycle",$D46=2),$E46*'CZ '!D$29,AND($C46="Electric bike",$D46=1),$E46*'CZ '!D$31,AND($C46="Electric scooter",$D46=1),$E46*'CZ '!D$33,AND($C46="Bus",$D46="Almost empty"),$E46*'CZ '!I$23,AND($C46="Bus",$D46="Average"),$E46*'CZ '!I$24,AND($C46="Bus",$D46="Nearly full"),$E46*'CZ '!I$25,AND($C46="Electric bus",$D46="Almost empty"),$E46*'CZ '!I$7,AND($C46="Electric bus",$D46="Average"),$E46*'CZ '!I$8,AND($C46="Electric bus",$D46="Nearly full"),$E46*'CZ '!I$9,AND($C46="Diesel bus",$D46="Almost empty"),$E46*'CZ '!I$19,AND($C46="Diesel bus",$D46="Average"),$E46*'CZ '!I$20,AND($C46="Diesel bus",$D46="Nearly full"),$E46*'CZ '!I$21,AND($C46="Hybrid-electric bus",$D46="Almost empty"),$E46*'CZ '!I$11,AND($C46="Hybrid-electric bus",$D46="Average"),$E46*'CZ '!I$12,AND($C46="Hybrid-electric bus",$D46="Nearly full"),$E46*'CZ '!I$13,AND($C46="Alternative fuel bus",$D46="Almost empty"),$E46*'CZ '!I$15,AND($C46="Alternative fuel bus",$D46="Average"),$E46*'CZ '!I$16,AND($C46="Alternative fuel bus",$D46="Nearly full"),$E46*'CZ '!I$17,AND($C46="Metro, tram, urban light train",$D46="Almost empty"),$E46*'CZ '!D$35,AND($C46="Metro, tram, urban light train",$D46="Average"),$E46*'CZ '!D$36,AND($C46="Metro, tram, urban light train",$D46="Nearly full"),$E46*'CZ '!D$37,AND($C46="Electric passenger train",$D46="Almost empty"),$E46*'CZ '!D$39,AND($C46="Electric passenger train",$D46="Average"),$E46*'CZ '!D$40,AND($C46="Electric passenger train",$D46="Nearly full"),$E46*'CZ '!D$41,AND($C46="Diesel passenger train",$D46="Almost empty"),$E46*'CZ '!D$47,AND($C46="Diesel passenger train",$D46="Average"),$E46*'CZ '!D$48,AND($C46="Diesel passenger train",$D46="Nearly full"),$E46*'CZ '!D$49,AND($C46="Walking"),$E46*0,AND($C46="Bike"),$E46*0,AND($C46="Plane - domestic flight"),$E46*'CZ '!$C70,AND($C46="Plane - international - intra EU"),$E46*'CZ '!$C72,AND($C46="Plane - international (extra EU)"),$E46*'CZ '!$C74)</f>
        <v>#N/A</v>
      </c>
      <c r="L46" s="246"/>
      <c r="M46" s="247"/>
      <c r="N46" s="248"/>
    </row>
    <row r="47" spans="1:14" ht="20" thickBot="1" x14ac:dyDescent="0.25">
      <c r="A47" s="222"/>
      <c r="B47" s="30"/>
      <c r="C47" s="15"/>
      <c r="D47" s="15"/>
      <c r="E47" s="15"/>
      <c r="F47" s="123" t="e" cm="1">
        <f t="array" ref="F47">_xlfn.IFS(AND($C47="Fuel car",$D47=1),$E47*'CZ '!C$7,AND($C47="Fuel car",$D47=2),$E47*'CZ '!C$8,AND($C47="Fuel car",$D47=3),$E47*'CZ '!C$9,AND($C47="Fuel car",$D47=4),$E47*'CZ '!C$10,AND($C47="Fuel car",$D47=5),$E47*'CZ '!C$11,AND($C47="Motorcycle",$D47=1),$E47*'CZ '!C$13,AND($C47="Motorcycle",$D47=2),$E47*'CZ '!C$14,AND($C47="Electric car",$D47=1),$E47*'CZ '!C$16,AND($C47="Electric car",$D47=2),$E47*'CZ '!C$17,AND($C47="Electric car",$D47=3),$E47*'CZ '!C$18,AND($C47="Electric car",$D47=4),$E47*'CZ '!C$19,AND($C47="Electric car",$D47=5),$E47*'CZ '!C$20,AND($C47="Hybrid car",$D47=1),$E47*'CZ '!C$22,AND($C47="Hybrid car",$D47=2),$E47*'CZ '!C$23,AND($C47="Hybrid car",$D47=3),$E47*'CZ '!C$24,AND($C47="Hybrid car",$D47=4),$E47*'CZ '!C$25,AND($C47="Hybrid car",$D47=5),$E47*'CZ '!C$26,AND($C47="Electric motorcycle",$D47=1),$E47*'CZ '!C$28,AND($C47="Electric motorcycle",$D47=2),$E47*'CZ '!C$29,AND($C47="Electric bike",$D47=1),$E47*'CZ '!C$31,AND($C47="Electric scooter",$D47=1),$E47*'CZ '!C$33,AND($C47="Bus",$D47="Almost empty"),$E47*'CZ '!H$23,AND($C47="Bus",$D47="Average"),$E47*'CZ '!H$24,AND($C47="Bus",$D47="Nearly full"),$E47*'CZ '!H$25,AND($C47="Electric bus",$D47="Almost empty"),$E47*'CZ '!H$7,AND($C47="Electric bus",$D47="Average"),$E47*'CZ '!H$8,AND($C47="Electric bus",$D47="Nearly full"),$E47*'CZ '!H$9,AND($C47="Diesel bus",$D47="Almost empty"),$E47*'CZ '!H$19,AND($C47="Diesel bus",$D47="Average"),$E47*'CZ '!H$20,AND($C47="Diesel bus",$D47="Nearly full"),$E47*'CZ '!H$21,AND($C47="Hybrid-electric bus",$D47="Almost empty"),$E47*'CZ '!H$11,AND($C47="Hybrid-electric bus",$D47="Average"),$E47*'CZ '!H$12,AND($C47="Hybrid-electric bus",$D47="Nearly full"),$E47*'CZ '!H$13,AND($C47="Alternative fuel bus",$D47="Almost empty"),$E47*'CZ '!H$15,AND($C47="Alternative fuel bus",$D47="Average"),$E47*'CZ '!H$16,AND($C47="Alternative fuel bus",$D47="Nearly full"),$E47*'CZ '!H$17,AND($C47="Metro, tram, urban light train",$D47="Almost empty"),$E47*'CZ '!C$35,AND($C47="Metro, tram, urban light train",$D47="Average"),$E47*'CZ '!C$36,AND($C47="Metro, tram, urban light train",$D47="Nearly full"),$E47*'CZ '!C$37,AND($C47="Electric passenger train",$D47="Almost empty"),$E47*'CZ '!C$39,AND($C47="Electric passenger train",$D47="Average"),$E47*'CZ '!C$40,AND($C47="Electric passenger train",$D47="Nearly full"),$E47*'CZ '!C$41,AND($C47="Diesel passenger train",$D47="Almost empty"),$E47*'CZ '!C$47,AND($C47="Diesel passenger train",$D47="Average"),$E47*'CZ '!C$48,AND($C47="Diesel passenger train",$D47="Nearly full"),$E47*'CZ '!C$49,AND($C47="Walking"),$E47*0,AND($C47="Bike"),$E47*0,AND($C47="Plane - domestic flight"),$E47*'CZ '!$C71,AND($C47="Plane - international - intra EU"),$E47*'CZ '!$C73,AND($C47="Plane - international (extra EU)"),$E47*'CZ '!$C75)</f>
        <v>#N/A</v>
      </c>
      <c r="G47" s="31" t="e" cm="1">
        <f t="array" ref="G47">_xlfn.IFS(AND($C47="Fuel car",$D47=1),$E47*'CZ '!D$7,AND($C47="Fuel car",$D47=2),$E47*'CZ '!D$8,AND($C47="Fuel car",$D47=3),$E47*'CZ '!D$9,AND($C47="Fuel car",$D47=4),$E47*'CZ '!D$10,AND($C47="Fuel car",$D47=5),$E47*'CZ '!D$11,AND($C47="Motorcycle",$D47=1),$E47*'CZ '!D$13,AND($C47="Motorcycle",$D47=2),$E47*'CZ '!D$14,AND($C47="Electric car",$D47=1),$E47*'CZ '!D$16,AND($C47="Electric car",$D47=2),$E47*'CZ '!D$17,AND($C47="Electric car",$D47=3),$E47*'CZ '!D$18,AND($C47="Electric car",$D47=4),$E47*'CZ '!D$19,AND($C47="Electric car",$D47=5),$E47*'CZ '!D$20,AND($C47="Hybrid car",$D47=1),$E47*'CZ '!D$22,AND($C47="Hybrid car",$D47=2),$E47*'CZ '!D$23,AND($C47="Hybrid car",$D47=3),$E47*'CZ '!D$24,AND($C47="Hybrid car",$D47=4),$E47*'CZ '!D$25,AND($C47="Hybrid car",$D47=5),$E47*'CZ '!D$26,AND($C47="Electric motorcycle",$D47=1),$E47*'CZ '!D$28,AND($C47="Electric motorcycle",$D47=2),$E47*'CZ '!D$29,AND($C47="Electric bike",$D47=1),$E47*'CZ '!D$31,AND($C47="Electric scooter",$D47=1),$E47*'CZ '!D$33,AND($C47="Bus",$D47="Almost empty"),$E47*'CZ '!I$23,AND($C47="Bus",$D47="Average"),$E47*'CZ '!I$24,AND($C47="Bus",$D47="Nearly full"),$E47*'CZ '!I$25,AND($C47="Electric bus",$D47="Almost empty"),$E47*'CZ '!I$7,AND($C47="Electric bus",$D47="Average"),$E47*'CZ '!I$8,AND($C47="Electric bus",$D47="Nearly full"),$E47*'CZ '!I$9,AND($C47="Diesel bus",$D47="Almost empty"),$E47*'CZ '!I$19,AND($C47="Diesel bus",$D47="Average"),$E47*'CZ '!I$20,AND($C47="Diesel bus",$D47="Nearly full"),$E47*'CZ '!I$21,AND($C47="Hybrid-electric bus",$D47="Almost empty"),$E47*'CZ '!I$11,AND($C47="Hybrid-electric bus",$D47="Average"),$E47*'CZ '!I$12,AND($C47="Hybrid-electric bus",$D47="Nearly full"),$E47*'CZ '!I$13,AND($C47="Alternative fuel bus",$D47="Almost empty"),$E47*'CZ '!I$15,AND($C47="Alternative fuel bus",$D47="Average"),$E47*'CZ '!I$16,AND($C47="Alternative fuel bus",$D47="Nearly full"),$E47*'CZ '!I$17,AND($C47="Metro, tram, urban light train",$D47="Almost empty"),$E47*'CZ '!D$35,AND($C47="Metro, tram, urban light train",$D47="Average"),$E47*'CZ '!D$36,AND($C47="Metro, tram, urban light train",$D47="Nearly full"),$E47*'CZ '!D$37,AND($C47="Electric passenger train",$D47="Almost empty"),$E47*'CZ '!D$39,AND($C47="Electric passenger train",$D47="Average"),$E47*'CZ '!D$40,AND($C47="Electric passenger train",$D47="Nearly full"),$E47*'CZ '!D$41,AND($C47="Diesel passenger train",$D47="Almost empty"),$E47*'CZ '!D$47,AND($C47="Diesel passenger train",$D47="Average"),$E47*'CZ '!D$48,AND($C47="Diesel passenger train",$D47="Nearly full"),$E47*'CZ '!D$49,AND($C47="Walking"),$E47*0,AND($C47="Bike"),$E47*0,AND($C47="Plane - domestic flight"),$E47*'CZ '!$C71,AND($C47="Plane - international - intra EU"),$E47*'CZ '!$C73,AND($C47="Plane - international (extra EU)"),$E47*'CZ '!$C75)</f>
        <v>#N/A</v>
      </c>
      <c r="L47" s="238" t="s">
        <v>56</v>
      </c>
      <c r="M47" s="239"/>
      <c r="N47" s="240"/>
    </row>
    <row r="48" spans="1:14" ht="16" thickBot="1" x14ac:dyDescent="0.25">
      <c r="A48" s="222"/>
      <c r="B48" s="30"/>
      <c r="C48" s="15"/>
      <c r="D48" s="15"/>
      <c r="E48" s="15"/>
      <c r="F48" s="123" t="e" cm="1">
        <f t="array" ref="F48">_xlfn.IFS(AND($C48="Fuel car",$D48=1),$E48*'CZ '!C$7,AND($C48="Fuel car",$D48=2),$E48*'CZ '!C$8,AND($C48="Fuel car",$D48=3),$E48*'CZ '!C$9,AND($C48="Fuel car",$D48=4),$E48*'CZ '!C$10,AND($C48="Fuel car",$D48=5),$E48*'CZ '!C$11,AND($C48="Motorcycle",$D48=1),$E48*'CZ '!C$13,AND($C48="Motorcycle",$D48=2),$E48*'CZ '!C$14,AND($C48="Electric car",$D48=1),$E48*'CZ '!C$16,AND($C48="Electric car",$D48=2),$E48*'CZ '!C$17,AND($C48="Electric car",$D48=3),$E48*'CZ '!C$18,AND($C48="Electric car",$D48=4),$E48*'CZ '!C$19,AND($C48="Electric car",$D48=5),$E48*'CZ '!C$20,AND($C48="Hybrid car",$D48=1),$E48*'CZ '!C$22,AND($C48="Hybrid car",$D48=2),$E48*'CZ '!C$23,AND($C48="Hybrid car",$D48=3),$E48*'CZ '!C$24,AND($C48="Hybrid car",$D48=4),$E48*'CZ '!C$25,AND($C48="Hybrid car",$D48=5),$E48*'CZ '!C$26,AND($C48="Electric motorcycle",$D48=1),$E48*'CZ '!C$28,AND($C48="Electric motorcycle",$D48=2),$E48*'CZ '!C$29,AND($C48="Electric bike",$D48=1),$E48*'CZ '!C$31,AND($C48="Electric scooter",$D48=1),$E48*'CZ '!C$33,AND($C48="Bus",$D48="Almost empty"),$E48*'CZ '!H$23,AND($C48="Bus",$D48="Average"),$E48*'CZ '!H$24,AND($C48="Bus",$D48="Nearly full"),$E48*'CZ '!H$25,AND($C48="Electric bus",$D48="Almost empty"),$E48*'CZ '!H$7,AND($C48="Electric bus",$D48="Average"),$E48*'CZ '!H$8,AND($C48="Electric bus",$D48="Nearly full"),$E48*'CZ '!H$9,AND($C48="Diesel bus",$D48="Almost empty"),$E48*'CZ '!H$19,AND($C48="Diesel bus",$D48="Average"),$E48*'CZ '!H$20,AND($C48="Diesel bus",$D48="Nearly full"),$E48*'CZ '!H$21,AND($C48="Hybrid-electric bus",$D48="Almost empty"),$E48*'CZ '!H$11,AND($C48="Hybrid-electric bus",$D48="Average"),$E48*'CZ '!H$12,AND($C48="Hybrid-electric bus",$D48="Nearly full"),$E48*'CZ '!H$13,AND($C48="Alternative fuel bus",$D48="Almost empty"),$E48*'CZ '!H$15,AND($C48="Alternative fuel bus",$D48="Average"),$E48*'CZ '!H$16,AND($C48="Alternative fuel bus",$D48="Nearly full"),$E48*'CZ '!H$17,AND($C48="Metro, tram, urban light train",$D48="Almost empty"),$E48*'CZ '!C$35,AND($C48="Metro, tram, urban light train",$D48="Average"),$E48*'CZ '!C$36,AND($C48="Metro, tram, urban light train",$D48="Nearly full"),$E48*'CZ '!C$37,AND($C48="Electric passenger train",$D48="Almost empty"),$E48*'CZ '!C$39,AND($C48="Electric passenger train",$D48="Average"),$E48*'CZ '!C$40,AND($C48="Electric passenger train",$D48="Nearly full"),$E48*'CZ '!C$41,AND($C48="Diesel passenger train",$D48="Almost empty"),$E48*'CZ '!C$47,AND($C48="Diesel passenger train",$D48="Average"),$E48*'CZ '!C$48,AND($C48="Diesel passenger train",$D48="Nearly full"),$E48*'CZ '!C$49,AND($C48="Walking"),$E48*0,AND($C48="Bike"),$E48*0,AND($C48="Plane - domestic flight"),$E48*'CZ '!$C72,AND($C48="Plane - international - intra EU"),$E48*'CZ '!$C74,AND($C48="Plane - international (extra EU)"),$E48*'CZ '!$C76)</f>
        <v>#N/A</v>
      </c>
      <c r="G48" s="31" t="e" cm="1">
        <f t="array" ref="G48">_xlfn.IFS(AND($C48="Fuel car",$D48=1),$E48*'CZ '!D$7,AND($C48="Fuel car",$D48=2),$E48*'CZ '!D$8,AND($C48="Fuel car",$D48=3),$E48*'CZ '!D$9,AND($C48="Fuel car",$D48=4),$E48*'CZ '!D$10,AND($C48="Fuel car",$D48=5),$E48*'CZ '!D$11,AND($C48="Motorcycle",$D48=1),$E48*'CZ '!D$13,AND($C48="Motorcycle",$D48=2),$E48*'CZ '!D$14,AND($C48="Electric car",$D48=1),$E48*'CZ '!D$16,AND($C48="Electric car",$D48=2),$E48*'CZ '!D$17,AND($C48="Electric car",$D48=3),$E48*'CZ '!D$18,AND($C48="Electric car",$D48=4),$E48*'CZ '!D$19,AND($C48="Electric car",$D48=5),$E48*'CZ '!D$20,AND($C48="Hybrid car",$D48=1),$E48*'CZ '!D$22,AND($C48="Hybrid car",$D48=2),$E48*'CZ '!D$23,AND($C48="Hybrid car",$D48=3),$E48*'CZ '!D$24,AND($C48="Hybrid car",$D48=4),$E48*'CZ '!D$25,AND($C48="Hybrid car",$D48=5),$E48*'CZ '!D$26,AND($C48="Electric motorcycle",$D48=1),$E48*'CZ '!D$28,AND($C48="Electric motorcycle",$D48=2),$E48*'CZ '!D$29,AND($C48="Electric bike",$D48=1),$E48*'CZ '!D$31,AND($C48="Electric scooter",$D48=1),$E48*'CZ '!D$33,AND($C48="Bus",$D48="Almost empty"),$E48*'CZ '!I$23,AND($C48="Bus",$D48="Average"),$E48*'CZ '!I$24,AND($C48="Bus",$D48="Nearly full"),$E48*'CZ '!I$25,AND($C48="Electric bus",$D48="Almost empty"),$E48*'CZ '!I$7,AND($C48="Electric bus",$D48="Average"),$E48*'CZ '!I$8,AND($C48="Electric bus",$D48="Nearly full"),$E48*'CZ '!I$9,AND($C48="Diesel bus",$D48="Almost empty"),$E48*'CZ '!I$19,AND($C48="Diesel bus",$D48="Average"),$E48*'CZ '!I$20,AND($C48="Diesel bus",$D48="Nearly full"),$E48*'CZ '!I$21,AND($C48="Hybrid-electric bus",$D48="Almost empty"),$E48*'CZ '!I$11,AND($C48="Hybrid-electric bus",$D48="Average"),$E48*'CZ '!I$12,AND($C48="Hybrid-electric bus",$D48="Nearly full"),$E48*'CZ '!I$13,AND($C48="Alternative fuel bus",$D48="Almost empty"),$E48*'CZ '!I$15,AND($C48="Alternative fuel bus",$D48="Average"),$E48*'CZ '!I$16,AND($C48="Alternative fuel bus",$D48="Nearly full"),$E48*'CZ '!I$17,AND($C48="Metro, tram, urban light train",$D48="Almost empty"),$E48*'CZ '!D$35,AND($C48="Metro, tram, urban light train",$D48="Average"),$E48*'CZ '!D$36,AND($C48="Metro, tram, urban light train",$D48="Nearly full"),$E48*'CZ '!D$37,AND($C48="Electric passenger train",$D48="Almost empty"),$E48*'CZ '!D$39,AND($C48="Electric passenger train",$D48="Average"),$E48*'CZ '!D$40,AND($C48="Electric passenger train",$D48="Nearly full"),$E48*'CZ '!D$41,AND($C48="Diesel passenger train",$D48="Almost empty"),$E48*'CZ '!D$47,AND($C48="Diesel passenger train",$D48="Average"),$E48*'CZ '!D$48,AND($C48="Diesel passenger train",$D48="Nearly full"),$E48*'CZ '!D$49,AND($C48="Walking"),$E48*0,AND($C48="Bike"),$E48*0,AND($C48="Plane - domestic flight"),$E48*'CZ '!$C72,AND($C48="Plane - international - intra EU"),$E48*'CZ '!$C74,AND($C48="Plane - international (extra EU)"),$E48*'CZ '!$C76)</f>
        <v>#N/A</v>
      </c>
      <c r="H48" s="196" t="s">
        <v>67</v>
      </c>
      <c r="I48" s="197"/>
      <c r="L48" s="249"/>
      <c r="M48" s="250"/>
      <c r="N48" s="251"/>
    </row>
    <row r="49" spans="1:14" x14ac:dyDescent="0.2">
      <c r="A49" s="222"/>
      <c r="B49" s="30"/>
      <c r="C49" s="15"/>
      <c r="D49" s="15"/>
      <c r="E49" s="15"/>
      <c r="F49" s="123" t="e" cm="1">
        <f t="array" ref="F49">_xlfn.IFS(AND($C49="Fuel car",$D49=1),$E49*'CZ '!C$7,AND($C49="Fuel car",$D49=2),$E49*'CZ '!C$8,AND($C49="Fuel car",$D49=3),$E49*'CZ '!C$9,AND($C49="Fuel car",$D49=4),$E49*'CZ '!C$10,AND($C49="Fuel car",$D49=5),$E49*'CZ '!C$11,AND($C49="Motorcycle",$D49=1),$E49*'CZ '!C$13,AND($C49="Motorcycle",$D49=2),$E49*'CZ '!C$14,AND($C49="Electric car",$D49=1),$E49*'CZ '!C$16,AND($C49="Electric car",$D49=2),$E49*'CZ '!C$17,AND($C49="Electric car",$D49=3),$E49*'CZ '!C$18,AND($C49="Electric car",$D49=4),$E49*'CZ '!C$19,AND($C49="Electric car",$D49=5),$E49*'CZ '!C$20,AND($C49="Hybrid car",$D49=1),$E49*'CZ '!C$22,AND($C49="Hybrid car",$D49=2),$E49*'CZ '!C$23,AND($C49="Hybrid car",$D49=3),$E49*'CZ '!C$24,AND($C49="Hybrid car",$D49=4),$E49*'CZ '!C$25,AND($C49="Hybrid car",$D49=5),$E49*'CZ '!C$26,AND($C49="Electric motorcycle",$D49=1),$E49*'CZ '!C$28,AND($C49="Electric motorcycle",$D49=2),$E49*'CZ '!C$29,AND($C49="Electric bike",$D49=1),$E49*'CZ '!C$31,AND($C49="Electric scooter",$D49=1),$E49*'CZ '!C$33,AND($C49="Bus",$D49="Almost empty"),$E49*'CZ '!H$23,AND($C49="Bus",$D49="Average"),$E49*'CZ '!H$24,AND($C49="Bus",$D49="Nearly full"),$E49*'CZ '!H$25,AND($C49="Electric bus",$D49="Almost empty"),$E49*'CZ '!H$7,AND($C49="Electric bus",$D49="Average"),$E49*'CZ '!H$8,AND($C49="Electric bus",$D49="Nearly full"),$E49*'CZ '!H$9,AND($C49="Diesel bus",$D49="Almost empty"),$E49*'CZ '!H$19,AND($C49="Diesel bus",$D49="Average"),$E49*'CZ '!H$20,AND($C49="Diesel bus",$D49="Nearly full"),$E49*'CZ '!H$21,AND($C49="Hybrid-electric bus",$D49="Almost empty"),$E49*'CZ '!H$11,AND($C49="Hybrid-electric bus",$D49="Average"),$E49*'CZ '!H$12,AND($C49="Hybrid-electric bus",$D49="Nearly full"),$E49*'CZ '!H$13,AND($C49="Alternative fuel bus",$D49="Almost empty"),$E49*'CZ '!H$15,AND($C49="Alternative fuel bus",$D49="Average"),$E49*'CZ '!H$16,AND($C49="Alternative fuel bus",$D49="Nearly full"),$E49*'CZ '!H$17,AND($C49="Metro, tram, urban light train",$D49="Almost empty"),$E49*'CZ '!C$35,AND($C49="Metro, tram, urban light train",$D49="Average"),$E49*'CZ '!C$36,AND($C49="Metro, tram, urban light train",$D49="Nearly full"),$E49*'CZ '!C$37,AND($C49="Electric passenger train",$D49="Almost empty"),$E49*'CZ '!C$39,AND($C49="Electric passenger train",$D49="Average"),$E49*'CZ '!C$40,AND($C49="Electric passenger train",$D49="Nearly full"),$E49*'CZ '!C$41,AND($C49="Diesel passenger train",$D49="Almost empty"),$E49*'CZ '!C$47,AND($C49="Diesel passenger train",$D49="Average"),$E49*'CZ '!C$48,AND($C49="Diesel passenger train",$D49="Nearly full"),$E49*'CZ '!C$49,AND($C49="Walking"),$E49*0,AND($C49="Bike"),$E49*0,AND($C49="Plane - domestic flight"),$E49*'CZ '!$C73,AND($C49="Plane - international - intra EU"),$E49*'CZ '!$C75,AND($C49="Plane - international (extra EU)"),$E49*'CZ '!$C77)</f>
        <v>#N/A</v>
      </c>
      <c r="G49" s="31" t="e" cm="1">
        <f t="array" ref="G49">_xlfn.IFS(AND($C49="Fuel car",$D49=1),$E49*'CZ '!D$7,AND($C49="Fuel car",$D49=2),$E49*'CZ '!D$8,AND($C49="Fuel car",$D49=3),$E49*'CZ '!D$9,AND($C49="Fuel car",$D49=4),$E49*'CZ '!D$10,AND($C49="Fuel car",$D49=5),$E49*'CZ '!D$11,AND($C49="Motorcycle",$D49=1),$E49*'CZ '!D$13,AND($C49="Motorcycle",$D49=2),$E49*'CZ '!D$14,AND($C49="Electric car",$D49=1),$E49*'CZ '!D$16,AND($C49="Electric car",$D49=2),$E49*'CZ '!D$17,AND($C49="Electric car",$D49=3),$E49*'CZ '!D$18,AND($C49="Electric car",$D49=4),$E49*'CZ '!D$19,AND($C49="Electric car",$D49=5),$E49*'CZ '!D$20,AND($C49="Hybrid car",$D49=1),$E49*'CZ '!D$22,AND($C49="Hybrid car",$D49=2),$E49*'CZ '!D$23,AND($C49="Hybrid car",$D49=3),$E49*'CZ '!D$24,AND($C49="Hybrid car",$D49=4),$E49*'CZ '!D$25,AND($C49="Hybrid car",$D49=5),$E49*'CZ '!D$26,AND($C49="Electric motorcycle",$D49=1),$E49*'CZ '!D$28,AND($C49="Electric motorcycle",$D49=2),$E49*'CZ '!D$29,AND($C49="Electric bike",$D49=1),$E49*'CZ '!D$31,AND($C49="Electric scooter",$D49=1),$E49*'CZ '!D$33,AND($C49="Bus",$D49="Almost empty"),$E49*'CZ '!I$23,AND($C49="Bus",$D49="Average"),$E49*'CZ '!I$24,AND($C49="Bus",$D49="Nearly full"),$E49*'CZ '!I$25,AND($C49="Electric bus",$D49="Almost empty"),$E49*'CZ '!I$7,AND($C49="Electric bus",$D49="Average"),$E49*'CZ '!I$8,AND($C49="Electric bus",$D49="Nearly full"),$E49*'CZ '!I$9,AND($C49="Diesel bus",$D49="Almost empty"),$E49*'CZ '!I$19,AND($C49="Diesel bus",$D49="Average"),$E49*'CZ '!I$20,AND($C49="Diesel bus",$D49="Nearly full"),$E49*'CZ '!I$21,AND($C49="Hybrid-electric bus",$D49="Almost empty"),$E49*'CZ '!I$11,AND($C49="Hybrid-electric bus",$D49="Average"),$E49*'CZ '!I$12,AND($C49="Hybrid-electric bus",$D49="Nearly full"),$E49*'CZ '!I$13,AND($C49="Alternative fuel bus",$D49="Almost empty"),$E49*'CZ '!I$15,AND($C49="Alternative fuel bus",$D49="Average"),$E49*'CZ '!I$16,AND($C49="Alternative fuel bus",$D49="Nearly full"),$E49*'CZ '!I$17,AND($C49="Metro, tram, urban light train",$D49="Almost empty"),$E49*'CZ '!D$35,AND($C49="Metro, tram, urban light train",$D49="Average"),$E49*'CZ '!D$36,AND($C49="Metro, tram, urban light train",$D49="Nearly full"),$E49*'CZ '!D$37,AND($C49="Electric passenger train",$D49="Almost empty"),$E49*'CZ '!D$39,AND($C49="Electric passenger train",$D49="Average"),$E49*'CZ '!D$40,AND($C49="Electric passenger train",$D49="Nearly full"),$E49*'CZ '!D$41,AND($C49="Diesel passenger train",$D49="Almost empty"),$E49*'CZ '!D$47,AND($C49="Diesel passenger train",$D49="Average"),$E49*'CZ '!D$48,AND($C49="Diesel passenger train",$D49="Nearly full"),$E49*'CZ '!D$49,AND($C49="Walking"),$E49*0,AND($C49="Bike"),$E49*0,AND($C49="Plane - domestic flight"),$E49*'CZ '!$C73,AND($C49="Plane - international - intra EU"),$E49*'CZ '!$C75,AND($C49="Plane - international (extra EU)"),$E49*'CZ '!$C77)</f>
        <v>#N/A</v>
      </c>
      <c r="H49" s="244" t="s">
        <v>74</v>
      </c>
      <c r="I49" s="141"/>
      <c r="L49" s="252"/>
      <c r="M49" s="253"/>
      <c r="N49" s="254"/>
    </row>
    <row r="50" spans="1:14" ht="16" thickBot="1" x14ac:dyDescent="0.25">
      <c r="A50" s="222"/>
      <c r="B50" s="51"/>
      <c r="C50" s="15"/>
      <c r="D50" s="15"/>
      <c r="E50" s="32"/>
      <c r="F50" s="123" t="e" cm="1">
        <f t="array" ref="F50">_xlfn.IFS(AND($C50="Fuel car",$D50=1),$E50*'CZ '!C$7,AND($C50="Fuel car",$D50=2),$E50*'CZ '!C$8,AND($C50="Fuel car",$D50=3),$E50*'CZ '!C$9,AND($C50="Fuel car",$D50=4),$E50*'CZ '!C$10,AND($C50="Fuel car",$D50=5),$E50*'CZ '!C$11,AND($C50="Motorcycle",$D50=1),$E50*'CZ '!C$13,AND($C50="Motorcycle",$D50=2),$E50*'CZ '!C$14,AND($C50="Electric car",$D50=1),$E50*'CZ '!C$16,AND($C50="Electric car",$D50=2),$E50*'CZ '!C$17,AND($C50="Electric car",$D50=3),$E50*'CZ '!C$18,AND($C50="Electric car",$D50=4),$E50*'CZ '!C$19,AND($C50="Electric car",$D50=5),$E50*'CZ '!C$20,AND($C50="Hybrid car",$D50=1),$E50*'CZ '!C$22,AND($C50="Hybrid car",$D50=2),$E50*'CZ '!C$23,AND($C50="Hybrid car",$D50=3),$E50*'CZ '!C$24,AND($C50="Hybrid car",$D50=4),$E50*'CZ '!C$25,AND($C50="Hybrid car",$D50=5),$E50*'CZ '!C$26,AND($C50="Electric motorcycle",$D50=1),$E50*'CZ '!C$28,AND($C50="Electric motorcycle",$D50=2),$E50*'CZ '!C$29,AND($C50="Electric bike",$D50=1),$E50*'CZ '!C$31,AND($C50="Electric scooter",$D50=1),$E50*'CZ '!C$33,AND($C50="Bus",$D50="Almost empty"),$E50*'CZ '!H$23,AND($C50="Bus",$D50="Average"),$E50*'CZ '!H$24,AND($C50="Bus",$D50="Nearly full"),$E50*'CZ '!H$25,AND($C50="Electric bus",$D50="Almost empty"),$E50*'CZ '!H$7,AND($C50="Electric bus",$D50="Average"),$E50*'CZ '!H$8,AND($C50="Electric bus",$D50="Nearly full"),$E50*'CZ '!H$9,AND($C50="Diesel bus",$D50="Almost empty"),$E50*'CZ '!H$19,AND($C50="Diesel bus",$D50="Average"),$E50*'CZ '!H$20,AND($C50="Diesel bus",$D50="Nearly full"),$E50*'CZ '!H$21,AND($C50="Hybrid-electric bus",$D50="Almost empty"),$E50*'CZ '!H$11,AND($C50="Hybrid-electric bus",$D50="Average"),$E50*'CZ '!H$12,AND($C50="Hybrid-electric bus",$D50="Nearly full"),$E50*'CZ '!H$13,AND($C50="Alternative fuel bus",$D50="Almost empty"),$E50*'CZ '!H$15,AND($C50="Alternative fuel bus",$D50="Average"),$E50*'CZ '!H$16,AND($C50="Alternative fuel bus",$D50="Nearly full"),$E50*'CZ '!H$17,AND($C50="Metro, tram, urban light train",$D50="Almost empty"),$E50*'CZ '!C$35,AND($C50="Metro, tram, urban light train",$D50="Average"),$E50*'CZ '!C$36,AND($C50="Metro, tram, urban light train",$D50="Nearly full"),$E50*'CZ '!C$37,AND($C50="Electric passenger train",$D50="Almost empty"),$E50*'CZ '!C$39,AND($C50="Electric passenger train",$D50="Average"),$E50*'CZ '!C$40,AND($C50="Electric passenger train",$D50="Nearly full"),$E50*'CZ '!C$41,AND($C50="Diesel passenger train",$D50="Almost empty"),$E50*'CZ '!C$47,AND($C50="Diesel passenger train",$D50="Average"),$E50*'CZ '!C$48,AND($C50="Diesel passenger train",$D50="Nearly full"),$E50*'CZ '!C$49,AND($C50="Walking"),$E50*0,AND($C50="Bike"),$E50*0,AND($C50="Plane - domestic flight"),$E50*'CZ '!$C74,AND($C50="Plane - international - intra EU"),$E50*'CZ '!$C76,AND($C50="Plane - international (extra EU)"),$E50*'CZ '!$C78)</f>
        <v>#N/A</v>
      </c>
      <c r="G50" s="31" t="e" cm="1">
        <f t="array" ref="G50">_xlfn.IFS(AND($C50="Fuel car",$D50=1),$E50*'CZ '!D$7,AND($C50="Fuel car",$D50=2),$E50*'CZ '!D$8,AND($C50="Fuel car",$D50=3),$E50*'CZ '!D$9,AND($C50="Fuel car",$D50=4),$E50*'CZ '!D$10,AND($C50="Fuel car",$D50=5),$E50*'CZ '!D$11,AND($C50="Motorcycle",$D50=1),$E50*'CZ '!D$13,AND($C50="Motorcycle",$D50=2),$E50*'CZ '!D$14,AND($C50="Electric car",$D50=1),$E50*'CZ '!D$16,AND($C50="Electric car",$D50=2),$E50*'CZ '!D$17,AND($C50="Electric car",$D50=3),$E50*'CZ '!D$18,AND($C50="Electric car",$D50=4),$E50*'CZ '!D$19,AND($C50="Electric car",$D50=5),$E50*'CZ '!D$20,AND($C50="Hybrid car",$D50=1),$E50*'CZ '!D$22,AND($C50="Hybrid car",$D50=2),$E50*'CZ '!D$23,AND($C50="Hybrid car",$D50=3),$E50*'CZ '!D$24,AND($C50="Hybrid car",$D50=4),$E50*'CZ '!D$25,AND($C50="Hybrid car",$D50=5),$E50*'CZ '!D$26,AND($C50="Electric motorcycle",$D50=1),$E50*'CZ '!D$28,AND($C50="Electric motorcycle",$D50=2),$E50*'CZ '!D$29,AND($C50="Electric bike",$D50=1),$E50*'CZ '!D$31,AND($C50="Electric scooter",$D50=1),$E50*'CZ '!D$33,AND($C50="Bus",$D50="Almost empty"),$E50*'CZ '!I$23,AND($C50="Bus",$D50="Average"),$E50*'CZ '!I$24,AND($C50="Bus",$D50="Nearly full"),$E50*'CZ '!I$25,AND($C50="Electric bus",$D50="Almost empty"),$E50*'CZ '!I$7,AND($C50="Electric bus",$D50="Average"),$E50*'CZ '!I$8,AND($C50="Electric bus",$D50="Nearly full"),$E50*'CZ '!I$9,AND($C50="Diesel bus",$D50="Almost empty"),$E50*'CZ '!I$19,AND($C50="Diesel bus",$D50="Average"),$E50*'CZ '!I$20,AND($C50="Diesel bus",$D50="Nearly full"),$E50*'CZ '!I$21,AND($C50="Hybrid-electric bus",$D50="Almost empty"),$E50*'CZ '!I$11,AND($C50="Hybrid-electric bus",$D50="Average"),$E50*'CZ '!I$12,AND($C50="Hybrid-electric bus",$D50="Nearly full"),$E50*'CZ '!I$13,AND($C50="Alternative fuel bus",$D50="Almost empty"),$E50*'CZ '!I$15,AND($C50="Alternative fuel bus",$D50="Average"),$E50*'CZ '!I$16,AND($C50="Alternative fuel bus",$D50="Nearly full"),$E50*'CZ '!I$17,AND($C50="Metro, tram, urban light train",$D50="Almost empty"),$E50*'CZ '!D$35,AND($C50="Metro, tram, urban light train",$D50="Average"),$E50*'CZ '!D$36,AND($C50="Metro, tram, urban light train",$D50="Nearly full"),$E50*'CZ '!D$37,AND($C50="Electric passenger train",$D50="Almost empty"),$E50*'CZ '!D$39,AND($C50="Electric passenger train",$D50="Average"),$E50*'CZ '!D$40,AND($C50="Electric passenger train",$D50="Nearly full"),$E50*'CZ '!D$41,AND($C50="Diesel passenger train",$D50="Almost empty"),$E50*'CZ '!D$47,AND($C50="Diesel passenger train",$D50="Average"),$E50*'CZ '!D$48,AND($C50="Diesel passenger train",$D50="Nearly full"),$E50*'CZ '!D$49,AND($C50="Walking"),$E50*0,AND($C50="Bike"),$E50*0,AND($C50="Plane - domestic flight"),$E50*'CZ '!$C74,AND($C50="Plane - international - intra EU"),$E50*'CZ '!$C76,AND($C50="Plane - international (extra EU)"),$E50*'CZ '!$C78)</f>
        <v>#N/A</v>
      </c>
      <c r="H50" s="245"/>
      <c r="I50" s="142"/>
      <c r="L50" s="252"/>
      <c r="M50" s="253"/>
      <c r="N50" s="254"/>
    </row>
    <row r="51" spans="1:14" ht="33" thickBot="1" x14ac:dyDescent="0.25">
      <c r="A51" s="222"/>
      <c r="B51" s="53"/>
      <c r="C51" s="32"/>
      <c r="D51" s="34"/>
      <c r="E51" s="34"/>
      <c r="F51" s="54" t="e" cm="1">
        <f t="array" ref="F51">_xlfn.IFS(AND($C51="Fuel car",$D51=1),$E51*'CZ '!C$7,AND($C51="Fuel car",$D51=2),$E51*'CZ '!C$8,AND($C51="Fuel car",$D51=3),$E51*'CZ '!C$9,AND($C51="Fuel car",$D51=4),$E51*'CZ '!C$10,AND($C51="Fuel car",$D51=5),$E51*'CZ '!C$11,AND($C51="Motorcycle",$D51=1),$E51*'CZ '!C$13,AND($C51="Motorcycle",$D51=2),$E51*'CZ '!C$14,AND($C51="Electric car",$D51=1),$E51*'CZ '!C$16,AND($C51="Electric car",$D51=2),$E51*'CZ '!C$17,AND($C51="Electric car",$D51=3),$E51*'CZ '!C$18,AND($C51="Electric car",$D51=4),$E51*'CZ '!C$19,AND($C51="Electric car",$D51=5),$E51*'CZ '!C$20,AND($C51="Hybrid car",$D51=1),$E51*'CZ '!C$22,AND($C51="Hybrid car",$D51=2),$E51*'CZ '!C$23,AND($C51="Hybrid car",$D51=3),$E51*'CZ '!C$24,AND($C51="Hybrid car",$D51=4),$E51*'CZ '!C$25,AND($C51="Hybrid car",$D51=5),$E51*'CZ '!C$26,AND($C51="Electric motorcycle",$D51=1),$E51*'CZ '!C$28,AND($C51="Electric motorcycle",$D51=2),$E51*'CZ '!C$29,AND($C51="Electric bike",$D51=1),$E51*'CZ '!C$31,AND($C51="Electric scooter",$D51=1),$E51*'CZ '!C$33,AND($C51="Bus",$D51="Almost empty"),$E51*'CZ '!H$23,AND($C51="Bus",$D51="Average"),$E51*'CZ '!H$24,AND($C51="Bus",$D51="Nearly full"),$E51*'CZ '!H$25,AND($C51="Electric bus",$D51="Almost empty"),$E51*'CZ '!H$7,AND($C51="Electric bus",$D51="Average"),$E51*'CZ '!H$8,AND($C51="Electric bus",$D51="Nearly full"),$E51*'CZ '!H$9,AND($C51="Diesel bus",$D51="Almost empty"),$E51*'CZ '!H$19,AND($C51="Diesel bus",$D51="Average"),$E51*'CZ '!H$20,AND($C51="Diesel bus",$D51="Nearly full"),$E51*'CZ '!H$21,AND($C51="Hybrid-electric bus",$D51="Almost empty"),$E51*'CZ '!H$11,AND($C51="Hybrid-electric bus",$D51="Average"),$E51*'CZ '!H$12,AND($C51="Hybrid-electric bus",$D51="Nearly full"),$E51*'CZ '!H$13,AND($C51="Alternative fuel bus",$D51="Almost empty"),$E51*'CZ '!H$15,AND($C51="Alternative fuel bus",$D51="Average"),$E51*'CZ '!H$16,AND($C51="Alternative fuel bus",$D51="Nearly full"),$E51*'CZ '!H$17,AND($C51="Metro, tram, urban light train",$D51="Almost empty"),$E51*'CZ '!C$35,AND($C51="Metro, tram, urban light train",$D51="Average"),$E51*'CZ '!C$36,AND($C51="Metro, tram, urban light train",$D51="Nearly full"),$E51*'CZ '!C$37,AND($C51="Electric passenger train",$D51="Almost empty"),$E51*'CZ '!C$39,AND($C51="Electric passenger train",$D51="Average"),$E51*'CZ '!C$40,AND($C51="Electric passenger train",$D51="Nearly full"),$E51*'CZ '!C$41,AND($C51="Diesel passenger train",$D51="Almost empty"),$E51*'CZ '!C$47,AND($C51="Diesel passenger train",$D51="Average"),$E51*'CZ '!C$48,AND($C51="Diesel passenger train",$D51="Nearly full"),$E51*'CZ '!C$49,AND($C51="Walking"),$E51*0,AND($C51="Bike"),$E51*0,AND($C51="Plane - domestic flight"),$E51*'CZ '!$C75,AND($C51="Plane - international - intra EU"),$E51*'CZ '!$C77,AND($C51="Plane - international (extra EU)"),$E51*'CZ '!$C79)</f>
        <v>#N/A</v>
      </c>
      <c r="G51" s="35" t="e" cm="1">
        <f t="array" ref="G51">_xlfn.IFS(AND($C51="Fuel car",$D51=1),$E51*'CZ '!D$7,AND($C51="Fuel car",$D51=2),$E51*'CZ '!D$8,AND($C51="Fuel car",$D51=3),$E51*'CZ '!D$9,AND($C51="Fuel car",$D51=4),$E51*'CZ '!D$10,AND($C51="Fuel car",$D51=5),$E51*'CZ '!D$11,AND($C51="Motorcycle",$D51=1),$E51*'CZ '!D$13,AND($C51="Motorcycle",$D51=2),$E51*'CZ '!D$14,AND($C51="Electric car",$D51=1),$E51*'CZ '!D$16,AND($C51="Electric car",$D51=2),$E51*'CZ '!D$17,AND($C51="Electric car",$D51=3),$E51*'CZ '!D$18,AND($C51="Electric car",$D51=4),$E51*'CZ '!D$19,AND($C51="Electric car",$D51=5),$E51*'CZ '!D$20,AND($C51="Hybrid car",$D51=1),$E51*'CZ '!D$22,AND($C51="Hybrid car",$D51=2),$E51*'CZ '!D$23,AND($C51="Hybrid car",$D51=3),$E51*'CZ '!D$24,AND($C51="Hybrid car",$D51=4),$E51*'CZ '!D$25,AND($C51="Hybrid car",$D51=5),$E51*'CZ '!D$26,AND($C51="Electric motorcycle",$D51=1),$E51*'CZ '!D$28,AND($C51="Electric motorcycle",$D51=2),$E51*'CZ '!D$29,AND($C51="Electric bike",$D51=1),$E51*'CZ '!D$31,AND($C51="Electric scooter",$D51=1),$E51*'CZ '!D$33,AND($C51="Bus",$D51="Almost empty"),$E51*'CZ '!I$23,AND($C51="Bus",$D51="Average"),$E51*'CZ '!I$24,AND($C51="Bus",$D51="Nearly full"),$E51*'CZ '!I$25,AND($C51="Electric bus",$D51="Almost empty"),$E51*'CZ '!I$7,AND($C51="Electric bus",$D51="Average"),$E51*'CZ '!I$8,AND($C51="Electric bus",$D51="Nearly full"),$E51*'CZ '!I$9,AND($C51="Diesel bus",$D51="Almost empty"),$E51*'CZ '!I$19,AND($C51="Diesel bus",$D51="Average"),$E51*'CZ '!I$20,AND($C51="Diesel bus",$D51="Nearly full"),$E51*'CZ '!I$21,AND($C51="Hybrid-electric bus",$D51="Almost empty"),$E51*'CZ '!I$11,AND($C51="Hybrid-electric bus",$D51="Average"),$E51*'CZ '!I$12,AND($C51="Hybrid-electric bus",$D51="Nearly full"),$E51*'CZ '!I$13,AND($C51="Alternative fuel bus",$D51="Almost empty"),$E51*'CZ '!I$15,AND($C51="Alternative fuel bus",$D51="Average"),$E51*'CZ '!I$16,AND($C51="Alternative fuel bus",$D51="Nearly full"),$E51*'CZ '!I$17,AND($C51="Metro, tram, urban light train",$D51="Almost empty"),$E51*'CZ '!D$35,AND($C51="Metro, tram, urban light train",$D51="Average"),$E51*'CZ '!D$36,AND($C51="Metro, tram, urban light train",$D51="Nearly full"),$E51*'CZ '!D$37,AND($C51="Electric passenger train",$D51="Almost empty"),$E51*'CZ '!D$39,AND($C51="Electric passenger train",$D51="Average"),$E51*'CZ '!D$40,AND($C51="Electric passenger train",$D51="Nearly full"),$E51*'CZ '!D$41,AND($C51="Diesel passenger train",$D51="Almost empty"),$E51*'CZ '!D$47,AND($C51="Diesel passenger train",$D51="Average"),$E51*'CZ '!D$48,AND($C51="Diesel passenger train",$D51="Nearly full"),$E51*'CZ '!D$49,AND($C51="Walking"),$E51*0,AND($C51="Bike"),$E51*0,AND($C51="Plane - domestic flight"),$E51*'CZ '!$C75,AND($C51="Plane - international - intra EU"),$E51*'CZ '!$C77,AND($C51="Plane - international (extra EU)"),$E51*'CZ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_xlfn.IFS(AND(D57&lt;='CZ '!L4),"A+",AND(D57&lt;='CZ '!M4,D57&gt;'CZ '!L4),"A",AND(D57&lt;='CZ '!N4,D57&gt;'CZ '!M4),"B",AND(D57&lt;='CZ '!O4,D57&gt;'CZ '!N4),"C",AND(D57&lt;='CZ '!P4,D57&gt;'CZ '!O4),"D",AND(D57&lt;='CZ '!Q4,D57&gt;'CZ '!P4),"E",AND(D57&lt;='CZ '!R4,D57&gt;'CZ '!Q4),"F",AND(D57&gt;'CZ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_xlfn.IFS(D58="#","#",AND(D58&lt;='CZ '!L5),"A+",AND(D58&lt;='CZ '!M5,D58&gt;'CZ '!L5),"A",AND(D58&lt;='CZ '!N5,D58&gt;'CZ '!M5),"B",AND(D58&lt;='CZ '!O5,D58&gt;'CZ '!N5),"C",AND(D58&lt;='CZ '!P5,D58&gt;'CZ '!O5),"D",AND(D58&lt;='CZ '!Q5,D58&gt;'CZ '!P5),"E",AND(D58&lt;='CZ '!R5,D58&gt;'CZ '!Q5),"F",AND(D58&gt;'CZ '!R5),"G")</f>
        <v>#</v>
      </c>
    </row>
    <row r="59" spans="1:14" ht="32" x14ac:dyDescent="0.2">
      <c r="A59" s="262"/>
      <c r="B59" s="264"/>
      <c r="C59" s="21" t="s">
        <v>88</v>
      </c>
      <c r="D59" s="47" t="e">
        <f>IF(ISNUMBER(D58), D57 + D58, D57)</f>
        <v>#DIV/0!</v>
      </c>
      <c r="E59" s="277"/>
      <c r="G59" s="264"/>
      <c r="H59" t="s">
        <v>88</v>
      </c>
      <c r="I59" s="56" t="e" cm="1">
        <f t="array" ref="I59">_xlfn.IFS(AND(D59&lt;='CZ '!L6),"A+",AND(D59&lt;='CZ '!M6,D59&gt;'CZ '!L6),"A",AND(D59&lt;='CZ '!N6,D59&gt;'CZ '!M6),"B",AND(D59&lt;='CZ '!O6,D59&gt;'CZ '!N6),"C",AND(D59&lt;='CZ '!P6,D59&gt;'CZ '!O6),"D",AND(D59&lt;='CZ '!Q6,D59&gt;'CZ '!P6),"E",AND(D59&lt;='CZ '!R6,D59&gt;'CZ '!Q6),"F",AND(D59&gt;'CZ '!R6),"G")</f>
        <v>#DIV/0!</v>
      </c>
    </row>
    <row r="60" spans="1:14" ht="16" x14ac:dyDescent="0.2">
      <c r="A60" s="262"/>
      <c r="B60" s="264"/>
      <c r="C60" s="21" t="s">
        <v>89</v>
      </c>
      <c r="D60" s="99">
        <f>I30</f>
        <v>0</v>
      </c>
      <c r="E60" s="277"/>
      <c r="G60" s="264"/>
      <c r="H60" t="s">
        <v>89</v>
      </c>
      <c r="I60" s="56" t="str" cm="1">
        <f t="array" ref="I60">_xlfn.IFS(AND(D60&lt;='CZ '!L7),"A+",AND(D60&lt;='CZ '!M7,D60&gt;'CZ '!L7),"A",AND(D60&lt;='CZ '!N7,D60&gt;'CZ '!M7),"B",AND(D60&lt;='CZ '!O7,D60&gt;'CZ '!N7),"C",AND(D60&lt;='CZ '!P7,D60&gt;'CZ '!O7),"D",AND(D60&lt;='CZ '!Q7,D60&gt;'CZ '!P7),"E",AND(D60&lt;='CZ '!R7,D60&gt;'CZ '!Q7),"F",AND(D60&gt;'CZ '!R7),"G")</f>
        <v>A+</v>
      </c>
    </row>
    <row r="61" spans="1:14" ht="16" thickBot="1" x14ac:dyDescent="0.25">
      <c r="A61" s="262"/>
      <c r="B61" s="265"/>
      <c r="C61" s="16" t="s">
        <v>57</v>
      </c>
      <c r="D61" s="58" t="e">
        <f>SUM(D59:D60)</f>
        <v>#DIV/0!</v>
      </c>
      <c r="E61" s="261"/>
      <c r="G61" s="265"/>
      <c r="H61" s="16" t="s">
        <v>57</v>
      </c>
      <c r="I61" s="1" t="e" cm="1">
        <f t="array" ref="I61">_xlfn.IFS(AND(D61&lt;='CZ '!L8),"A+",AND(D61&lt;='CZ '!M8,D61&gt;'CZ '!L8),"A",AND(D61&lt;='CZ '!N8,D61&gt;'CZ '!M8),"B",AND(D61&lt;='CZ '!O8,D61&gt;'CZ '!N8),"C",AND(D61&lt;='CZ '!P8,D61&gt;'CZ '!O8),"D",AND(D61&lt;='CZ '!Q8,D61&gt;'CZ '!P8),"E",AND(D61&lt;='CZ '!R8,D61&gt;'CZ '!Q8),"F",AND(D61&gt;'CZ '!R8),"G")</f>
        <v>#DIV/0!</v>
      </c>
    </row>
    <row r="62" spans="1:14" ht="32" x14ac:dyDescent="0.2">
      <c r="A62" s="262"/>
      <c r="B62" s="263" t="s">
        <v>90</v>
      </c>
      <c r="C62" s="57" t="s">
        <v>85</v>
      </c>
      <c r="D62" s="100" t="e">
        <f>I16</f>
        <v>#DIV/0!</v>
      </c>
      <c r="E62" s="266" t="s">
        <v>91</v>
      </c>
      <c r="G62" s="264" t="s">
        <v>90</v>
      </c>
      <c r="H62" t="s">
        <v>85</v>
      </c>
      <c r="I62" s="56" t="e" cm="1">
        <f t="array" ref="I62">_xlfn.IFS(AND(D62&lt;='CZ '!L9),"A+",AND(D62&lt;='CZ '!M9,D62&gt;'CZ '!L9),"A",AND(D62&lt;='CZ '!N9,D62&gt;'CZ '!M9),"B",AND(D62&lt;='CZ '!O9,D62&gt;'CZ '!N9),"C",AND(D62&lt;='CZ '!P9,D62&gt;'CZ '!O9),"D",AND(D62&lt;='CZ '!Q9,D62&gt;'CZ '!P9),"E",AND(D62&lt;='CZ '!R9,D62&gt;'CZ '!Q9),"F",AND(D62&gt;'CZ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_xlfn.IFS(D63="#","#",AND(D63&lt;='CZ '!L10),"A+",AND(D63&lt;='CZ '!M10,D63&gt;'CZ '!L10),"A",AND(D63&lt;='CZ '!N10,D63&gt;'CZ '!M10),"B",AND(D63&lt;='CZ '!O10,D63&gt;'CZ '!N10),"C",AND(D63&lt;='CZ '!P10,D63&gt;'CZ '!O10),"D",AND(D63&lt;='CZ '!Q10,D63&gt;'CZ '!P10),"E",AND(D63&lt;='CZ '!R10,D63&gt;'CZ '!Q10),"F",AND(D63&gt;'CZ '!R10),"G")</f>
        <v>#</v>
      </c>
    </row>
    <row r="64" spans="1:14" ht="32" x14ac:dyDescent="0.2">
      <c r="A64" s="262"/>
      <c r="B64" s="264"/>
      <c r="C64" s="21" t="s">
        <v>92</v>
      </c>
      <c r="D64" s="47" t="e">
        <f>IF(ISNUMBER(D63), D62 + D63, D62)</f>
        <v>#DIV/0!</v>
      </c>
      <c r="E64" s="202"/>
      <c r="G64" s="264"/>
      <c r="H64" t="s">
        <v>92</v>
      </c>
      <c r="I64" s="56" t="e" cm="1">
        <f t="array" ref="I64">_xlfn.IFS(AND(D64&lt;='CZ '!L11),"A+",AND(D64&lt;='CZ '!M11,D64&gt;'CZ '!L11),"A",AND(D64&lt;='CZ '!N11,D64&gt;'CZ '!M11),"B",AND(D64&lt;='CZ '!O11,D64&gt;'CZ '!N11),"C",AND(D64&lt;='CZ '!P11,D64&gt;'CZ '!O11),"D",AND(D64&lt;='CZ '!Q11,D64&gt;'CZ '!P11),"E",AND(D64&lt;='CZ '!R11,D64&gt;'CZ '!Q11),"F",AND(D64&gt;'CZ '!R11),"G")</f>
        <v>#DIV/0!</v>
      </c>
    </row>
    <row r="65" spans="1:9" x14ac:dyDescent="0.2">
      <c r="A65" s="262"/>
      <c r="B65" s="264"/>
      <c r="C65" t="s">
        <v>89</v>
      </c>
      <c r="D65" s="99">
        <f>I31</f>
        <v>0</v>
      </c>
      <c r="E65" s="202"/>
      <c r="G65" s="264"/>
      <c r="H65" t="s">
        <v>89</v>
      </c>
      <c r="I65" s="56" t="str" cm="1">
        <f t="array" ref="I65">_xlfn.IFS(AND(D65&lt;='CZ '!L12),"A+",AND(D65&lt;='CZ '!M12,D65&gt;'CZ '!L12),"A",AND(D65&lt;='CZ '!N12,D65&gt;'CZ '!M12),"B",AND(D65&lt;='CZ '!O12,D65&gt;'CZ '!N12),"C",AND(D65&lt;='CZ '!P12,D65&gt;'CZ '!O12),"D",AND(D65&lt;='CZ '!Q12,D65&gt;'CZ '!P12),"E",AND(D65&lt;='CZ '!R12,D65&gt;'CZ '!Q12),"F",AND(D65&gt;'CZ '!R12),"G")</f>
        <v>A+</v>
      </c>
    </row>
    <row r="66" spans="1:9" ht="16" thickBot="1" x14ac:dyDescent="0.25">
      <c r="A66" s="262"/>
      <c r="B66" s="265"/>
      <c r="C66" s="16" t="s">
        <v>57</v>
      </c>
      <c r="D66" s="16" t="e">
        <f>SUM(D64:D65)</f>
        <v>#DIV/0!</v>
      </c>
      <c r="E66" s="267"/>
      <c r="G66" s="265"/>
      <c r="H66" s="16" t="s">
        <v>57</v>
      </c>
      <c r="I66" s="1" t="e" cm="1">
        <f t="array" ref="I66">_xlfn.IFS(AND(D66&lt;='CZ '!L13),"A+",AND(D66&lt;='CZ '!M13,D66&gt;'CZ '!L13),"A",AND(D66&lt;='CZ '!N13,D66&gt;'CZ '!M13),"B",AND(D66&lt;='CZ '!O13,D66&gt;'CZ '!N13),"C",AND(D66&lt;='CZ '!P13,D66&gt;'CZ '!O13),"D",AND(D66&lt;='CZ '!Q13,D66&gt;'CZ '!P13),"E",AND(D66&lt;='CZ '!R13,D66&gt;'CZ '!Q13),"F",AND(D66&gt;'CZ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63" priority="7" operator="equal">
      <formula>"A+"</formula>
    </cfRule>
    <cfRule type="containsText" dxfId="362" priority="8" operator="containsText" text="A">
      <formula>NOT(ISERROR(SEARCH("A",I57)))</formula>
    </cfRule>
    <cfRule type="containsText" dxfId="361" priority="9" operator="containsText" text="B">
      <formula>NOT(ISERROR(SEARCH("B",I57)))</formula>
    </cfRule>
    <cfRule type="containsText" dxfId="360" priority="10" operator="containsText" text="C">
      <formula>NOT(ISERROR(SEARCH("C",I57)))</formula>
    </cfRule>
    <cfRule type="containsText" dxfId="359" priority="11" operator="containsText" text="D">
      <formula>NOT(ISERROR(SEARCH("D",I57)))</formula>
    </cfRule>
    <cfRule type="containsText" dxfId="358" priority="12" operator="containsText" text="E">
      <formula>NOT(ISERROR(SEARCH("E",I57)))</formula>
    </cfRule>
    <cfRule type="containsText" dxfId="357" priority="13" operator="containsText" text="F">
      <formula>NOT(ISERROR(SEARCH("F",I57)))</formula>
    </cfRule>
    <cfRule type="containsText" dxfId="356" priority="14" operator="containsText" text="G">
      <formula>NOT(ISERROR(SEARCH("G",I57)))</formula>
    </cfRule>
  </conditionalFormatting>
  <conditionalFormatting sqref="K5:K15">
    <cfRule type="expression" dxfId="11" priority="2" stopIfTrue="1">
      <formula>$O$19="No"</formula>
    </cfRule>
  </conditionalFormatting>
  <conditionalFormatting sqref="L5:L15">
    <cfRule type="expression" dxfId="1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41718C55-15AD-634E-A4C0-AF207C3D8ED2}">
      <formula1>AND(Q19="Yes", ISNUMBER(L5))</formula1>
    </dataValidation>
    <dataValidation type="custom" operator="lessThan" allowBlank="1" showErrorMessage="1" errorTitle="Error" error="You can only enter values if you have selected HOME PV. The value must be a number." sqref="K5:K15" xr:uid="{C264A4E8-06BE-464D-B6C6-FA162BF5E2EF}">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F9B3589E-F10F-4866-AC54-C39FD4193FB8}">
          <x14:formula1>
            <xm:f>DATA!$J$3:$J$10</xm:f>
          </x14:formula1>
          <xm:sqref>D29:D51</xm:sqref>
        </x14:dataValidation>
        <x14:dataValidation type="list" allowBlank="1" showInputMessage="1" showErrorMessage="1" xr:uid="{766CB434-87AF-064C-9B8D-AFCE364919B4}">
          <x14:formula1>
            <xm:f>DATA!$B$15:$B$23</xm:f>
          </x14:formula1>
          <xm:sqref>J2</xm:sqref>
        </x14:dataValidation>
        <x14:dataValidation type="list" allowBlank="1" showInputMessage="1" showErrorMessage="1" xr:uid="{A682149A-FED1-4E31-B5D6-329A0CDE6C41}">
          <x14:formula1>
            <xm:f>DATA!$H$3:$H$23</xm:f>
          </x14:formula1>
          <xm:sqref>C29:C51</xm:sqref>
        </x14:dataValidation>
        <x14:dataValidation type="list" allowBlank="1" showInputMessage="1" showErrorMessage="1" xr:uid="{F0CC0C50-44A9-0F45-B68F-F42AC25EF96F}">
          <x14:formula1>
            <xm:f>DATA!$B$3:$B$13</xm:f>
          </x14:formula1>
          <xm:sqref>H2</xm:sqref>
        </x14:dataValidation>
        <x14:dataValidation type="list" allowBlank="1" showInputMessage="1" showErrorMessage="1" xr:uid="{FAD0CE7C-7E06-4F4D-A5BA-3BE1479C0EBE}">
          <x14:formula1>
            <xm:f>DATA!$L$4:$L$5</xm:f>
          </x14:formula1>
          <xm:sqref>O18:O19 Q19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8474-49E2-4C7A-AB8A-C7C5D47F8755}">
  <dimension ref="A1:Q66"/>
  <sheetViews>
    <sheetView zoomScale="80" zoomScaleNormal="80" workbookViewId="0">
      <selection activeCell="I7" sqref="I7"/>
    </sheetView>
  </sheetViews>
  <sheetFormatPr baseColWidth="10" defaultColWidth="11.5" defaultRowHeight="15" x14ac:dyDescent="0.2"/>
  <cols>
    <col min="1" max="1" width="6.5" customWidth="1"/>
    <col min="4" max="4" width="15.5" customWidth="1"/>
    <col min="5" max="5" width="18.83203125" customWidth="1"/>
    <col min="6" max="6" width="16.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98</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IF($O$18="Yes",(E5/$F$2)*DATA!$C$9,(E5/$F$2)*DATA!F$9)+IF(ISBLANK(K5),0,K5/$F$2)*DATA!$C$9-IF(ISBLANK(L5),0,L5/$F$2)*DATA!F$9</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IF($O$18="Yes",(E6/$F$2)*DATA!$C$9,(E6/$F$2)*DATA!F$9)+IF(ISBLANK(K6),0,K6/$F$2)*DATA!$C$9-IF(ISBLANK(L6),0,L6/$F$2)*DATA!F$9</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IF($O$18="Yes",(E7/$F$2)*DATA!$C$9,(E7/$F$2)*DATA!F$9)+IF(ISBLANK(K7),0,K7/$F$2)*DATA!$C$9-IF(ISBLANK(L7),0,L7/$F$2)*DATA!F$9</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IF($O$18="Yes",(E8/$F$2)*DATA!$C$9,(E8/$F$2)*DATA!F$9)+IF(ISBLANK(K8),0,K8/$F$2)*DATA!$C$9-IF(ISBLANK(L8),0,L8/$F$2)*DATA!F$9</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IF($O$18="Yes",(E9/$F$2)*DATA!$C$9,(E9/$F$2)*DATA!F$9)+IF(ISBLANK(K9),0,K9/$F$2)*DATA!$C$9-IF(ISBLANK(L9),0,L9/$F$2)*DATA!F$9</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IF($O$18="Yes",(E10/$F$2)*DATA!$C$9,(E10/$F$2)*DATA!F$9)+IF(ISBLANK(K10),0,K10/$F$2)*DATA!$C$9-IF(ISBLANK(L10),0,L10/$F$2)*DATA!F$9</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IF($O$18="Yes",(E11/$F$2)*DATA!$C$9,(E11/$F$2)*DATA!F$9)+IF(ISBLANK(K11),0,K11/$F$2)*DATA!$C$9-IF(ISBLANK(L11),0,L11/$F$2)*DATA!F$9</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IF($O$18="Yes",(E12/$F$2)*DATA!$C$9,(E12/$F$2)*DATA!F$9)+IF(ISBLANK(K12),0,K12/$F$2)*DATA!$C$9-IF(ISBLANK(L12),0,L12/$F$2)*DATA!F$9</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IF($O$18="Yes",(E13/$F$2)*DATA!$C$9,(E13/$F$2)*DATA!F$9)+IF(ISBLANK(K13),0,K13/$F$2)*DATA!$C$9-IF(ISBLANK(L13),0,L13/$F$2)*DATA!F$9</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IF($O$18="Yes",(E14/$F$2)*DATA!$C$9,(E14/$F$2)*DATA!F$9)+IF(ISBLANK(K14),0,K14/$F$2)*DATA!$C$9-IF(ISBLANK(L14),0,L14/$F$2)*DATA!F$9</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IF($O$18="Yes",(E15/$F$2)*DATA!$C$9,(E15/$F$2)*DATA!F$9)+IF(ISBLANK(K15),0,K15/$F$2)*DATA!$C$9-IF(ISBLANK(L15),0,L15/$F$2)*DATA!F$9</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102"/>
      <c r="C29" s="15"/>
      <c r="D29" s="29"/>
      <c r="E29" s="29"/>
      <c r="F29" s="103" t="e" cm="1">
        <f t="array" ref="F29">_xlfn.IFS(AND($C29="Fuel car",$D29=1),$E29*'DK '!C$7,AND($C29="Fuel car",$D29=2),$E29*'DK '!C$8,AND($C29="Fuel car",$D29=3),$E29*'DK '!C$9,AND($C29="Fuel car",$D29=4),$E29*'DK '!C$10,AND($C29="Fuel car",$D29=5),$E29*'DK '!C$11,AND($C29="Motorcycle",$D29=1),$E29*'DK '!C$13,AND($C29="Motorcycle",$D29=2),$E29*'DK '!C$14,AND($C29="Electric car",$D29=1),$E29*'DK '!C$16,AND($C29="Electric car",$D29=2),$E29*'DK '!C$17,AND($C29="Electric car",$D29=3),$E29*'DK '!C$18,AND($C29="Electric car",$D29=4),$E29*'DK '!C$19,AND($C29="Electric car",$D29=5),$E29*'DK '!C$20,AND($C29="Hybrid car",$D29=1),$E29*'DK '!C$22,AND($C29="Hybrid car",$D29=2),$E29*'DK '!C$23,AND($C29="Hybrid car",$D29=3),$E29*'DK '!C$24,AND($C29="Hybrid car",$D29=4),$E29*'DK '!C$25,AND($C29="Hybrid car",$D29=5),$E29*'DK '!C$26,AND($C29="Electric motorcycle",$D29=1),$E29*'DK '!C$28,AND($C29="Electric motorcycle",$D29=2),$E29*'DK '!C$29,AND($C29="Electric bike",$D29=1),$E29*'DK '!C$31,AND($C29="Electric scooter",$D29=1),$E29*'DK '!C$33,AND($C29="Bus",$D29="Almost empty"),$E29*'DK '!H$23,AND($C29="Bus",$D29="Average"),$E29*'DK '!H$24,AND($C29="Bus",$D29="Nearly full"),$E29*'DK '!H$25,AND($C29="Electric bus",$D29="Almost empty"),$E29*'DK '!H$7,AND($C29="Electric bus",$D29="Average"),$E29*'DK '!H$8,AND($C29="Electric bus",$D29="Nearly full"),$E29*'DK '!H$9,AND($C29="Diesel bus",$D29="Almost empty"),$E29*'DK '!H$19,AND($C29="Diesel bus",$D29="Average"),$E29*'DK '!H$20,AND($C29="Diesel bus",$D29="Nearly full"),$E29*'DK '!H$21,AND($C29="Hybrid-electric bus",$D29="Almost empty"),$E29*'DK '!H$11,AND($C29="Hybrid-electric bus",$D29="Average"),$E29*'DK '!H$12,AND($C29="Hybrid-electric bus",$D29="Nearly full"),$E29*'DK '!H$13,AND($C29="Alternative fuel bus",$D29="Almost empty"),$E29*'DK '!H$15,AND($C29="Alternative fuel bus",$D29="Average"),$E29*'DK '!H$16,AND($C29="Alternative fuel bus",$D29="Nearly full"),$E29*'DK '!H$17,AND($C29="Metro, tram, urban light train",$D29="Almost empty"),$E29*'DK '!C$35,AND($C29="Metro, tram, urban light train",$D29="Average"),$E29*'DK '!C$36,AND($C29="Metro, tram, urban light train",$D29="Nearly full"),$E29*'DK '!C$37,AND($C29="Electric passenger train",$D29="Almost empty"),$E29*'DK '!C$39,AND($C29="Electric passenger train",$D29="Average"),$E29*'DK '!C$40,AND($C29="Electric passenger train",$D29="Nearly full"),$E29*'DK '!C$41,AND($C29="Diesel passenger train",$D29="Almost empty"),$E29*'DK '!C$47,AND($C29="Diesel passenger train",$D29="Average"),$E29*'DK '!C$48,AND($C29="Diesel passenger train",$D29="Nearly full"),$E29*'DK '!C$49,AND($C29="Walking"),$E29*0,AND($C29="Bike"),$E29*0,AND($C29="Plane - domestic flight"),$E29*'DK '!$C53,AND($C29="Plane - international - intra EU"),$E29*'DK '!$C55,AND($C29="Plane - international (extra EU)"),$E29*'DK '!$C57)</f>
        <v>#N/A</v>
      </c>
      <c r="G29" s="104" t="e" cm="1">
        <f t="array" ref="G29">_xlfn.IFS(AND($C29="Fuel car",$D29=1),$E29*'DK '!D$7,AND($C29="Fuel car",$D29=2),$E29*'DK '!D$8,AND($C29="Fuel car",$D29=3),$E29*'DK '!D$9,AND($C29="Fuel car",$D29=4),$E29*'DK '!D$10,AND($C29="Fuel car",$D29=5),$E29*'DK '!D$11,AND($C29="Motorcycle",$D29=1),$E29*'DK '!D$13,AND($C29="Motorcycle",$D29=2),$E29*'DK '!D$14,AND($C29="Electric car",$D29=1),$E29*'DK '!D$16,AND($C29="Electric car",$D29=2),$E29*'DK '!D$17,AND($C29="Electric car",$D29=3),$E29*'DK '!D$18,AND($C29="Electric car",$D29=4),$E29*'DK '!D$19,AND($C29="Electric car",$D29=5),$E29*'DK '!D$20,AND($C29="Hybrid car",$D29=1),$E29*'DK '!D$22,AND($C29="Hybrid car",$D29=2),$E29*'DK '!D$23,AND($C29="Hybrid car",$D29=3),$E29*'DK '!D$24,AND($C29="Hybrid car",$D29=4),$E29*'DK '!D$25,AND($C29="Hybrid car",$D29=5),$E29*'DK '!D$26,AND($C29="Electric motorcycle",$D29=1),$E29*'DK '!D$28,AND($C29="Electric motorcycle",$D29=2),$E29*'DK '!D$29,AND($C29="Electric bike",$D29=1),$E29*'DK '!D$31,AND($C29="Electric scooter",$D29=1),$E29*'DK '!D$33,AND($C29="Bus",$D29="Almost empty"),$E29*'DK '!I$23,AND($C29="Bus",$D29="Average"),$E29*'DK '!I$24,AND($C29="Bus",$D29="Nearly full"),$E29*'DK '!I$25,AND($C29="Electric bus",$D29="Almost empty"),$E29*'DK '!I$7,AND($C29="Electric bus",$D29="Average"),$E29*'DK '!I$8,AND($C29="Electric bus",$D29="Nearly full"),$E29*'DK '!I$9,AND($C29="Diesel bus",$D29="Almost empty"),$E29*'DK '!I$19,AND($C29="Diesel bus",$D29="Average"),$E29*'DK '!I$20,AND($C29="Diesel bus",$D29="Nearly full"),$E29*'DK '!I$21,AND($C29="Hybrid-electric bus",$D29="Almost empty"),$E29*'DK '!I$11,AND($C29="Hybrid-electric bus",$D29="Average"),$E29*'DK '!I$12,AND($C29="Hybrid-electric bus",$D29="Nearly full"),$E29*'DK '!I$13,AND($C29="Alternative fuel bus",$D29="Almost empty"),$E29*'DK '!I$15,AND($C29="Alternative fuel bus",$D29="Average"),$E29*'DK '!I$16,AND($C29="Alternative fuel bus",$D29="Nearly full"),$E29*'DK '!I$17,AND($C29="Metro, tram, urban light train",$D29="Almost empty"),$E29*'DK '!D$35,AND($C29="Metro, tram, urban light train",$D29="Average"),$E29*'DK '!D$36,AND($C29="Metro, tram, urban light train",$D29="Nearly full"),$E29*'DK '!D$37,AND($C29="Electric passenger train",$D29="Almost empty"),$E29*'DK '!D$39,AND($C29="Electric passenger train",$D29="Average"),$E29*'DK '!D$40,AND($C29="Electric passenger train",$D29="Nearly full"),$E29*'DK '!D$41,AND($C29="Diesel passenger train",$D29="Almost empty"),$E29*'DK '!D$47,AND($C29="Diesel passenger train",$D29="Average"),$E29*'DK '!D$48,AND($C29="Diesel passenger train",$D29="Nearly full"),$E29*'DK '!D$49,AND($C29="Walking"),$E29*0,AND($C29="Bike"),$E29*0,AND($C29="Plane - domestic flight"),$E29*'DK '!$C53,AND($C29="Plane - international - intra EU"),$E29*'DK '!$C55,AND($C29="Plane - international (extra EU)"),$E29*'DK '!$C57)</f>
        <v>#N/A</v>
      </c>
      <c r="H29" s="151"/>
      <c r="I29" s="152">
        <f>H29/10*E29</f>
        <v>0</v>
      </c>
      <c r="J29" s="146" t="e" cm="1">
        <f t="array" ref="J29">_xlfn.IFS(C29="Fuel car",C29*DATA!$C$17,C29="Electric car",C29*DATA!$F$9,C29="Hybrid car",I29*(0.5*DATA!$C$17+0.5*DATA!$F$9))</f>
        <v>#N/A</v>
      </c>
      <c r="L29" s="218"/>
      <c r="M29" s="219"/>
      <c r="N29" s="220"/>
    </row>
    <row r="30" spans="1:17" ht="32" customHeight="1" x14ac:dyDescent="0.2">
      <c r="A30" s="222"/>
      <c r="B30" s="30"/>
      <c r="C30" s="15"/>
      <c r="D30" s="15"/>
      <c r="E30" s="15"/>
      <c r="F30" s="123" t="e" cm="1">
        <f t="array" ref="F30">_xlfn.IFS(AND($C30="Fuel car",$D30=1),$E30*'DK '!C$7,AND($C30="Fuel car",$D30=2),$E30*'DK '!C$8,AND($C30="Fuel car",$D30=3),$E30*'DK '!C$9,AND($C30="Fuel car",$D30=4),$E30*'DK '!C$10,AND($C30="Fuel car",$D30=5),$E30*'DK '!C$11,AND($C30="Motorcycle",$D30=1),$E30*'DK '!C$13,AND($C30="Motorcycle",$D30=2),$E30*'DK '!C$14,AND($C30="Electric car",$D30=1),$E30*'DK '!C$16,AND($C30="Electric car",$D30=2),$E30*'DK '!C$17,AND($C30="Electric car",$D30=3),$E30*'DK '!C$18,AND($C30="Electric car",$D30=4),$E30*'DK '!C$19,AND($C30="Electric car",$D30=5),$E30*'DK '!C$20,AND($C30="Hybrid car",$D30=1),$E30*'DK '!C$22,AND($C30="Hybrid car",$D30=2),$E30*'DK '!C$23,AND($C30="Hybrid car",$D30=3),$E30*'DK '!C$24,AND($C30="Hybrid car",$D30=4),$E30*'DK '!C$25,AND($C30="Hybrid car",$D30=5),$E30*'DK '!C$26,AND($C30="Electric motorcycle",$D30=1),$E30*'DK '!C$28,AND($C30="Electric motorcycle",$D30=2),$E30*'DK '!C$29,AND($C30="Electric bike",$D30=1),$E30*'DK '!C$31,AND($C30="Electric scooter",$D30=1),$E30*'DK '!C$33,AND($C30="Bus",$D30="Almost empty"),$E30*'DK '!H$23,AND($C30="Bus",$D30="Average"),$E30*'DK '!H$24,AND($C30="Bus",$D30="Nearly full"),$E30*'DK '!H$25,AND($C30="Electric bus",$D30="Almost empty"),$E30*'DK '!H$7,AND($C30="Electric bus",$D30="Average"),$E30*'DK '!H$8,AND($C30="Electric bus",$D30="Nearly full"),$E30*'DK '!H$9,AND($C30="Diesel bus",$D30="Almost empty"),$E30*'DK '!H$19,AND($C30="Diesel bus",$D30="Average"),$E30*'DK '!H$20,AND($C30="Diesel bus",$D30="Nearly full"),$E30*'DK '!H$21,AND($C30="Hybrid-electric bus",$D30="Almost empty"),$E30*'DK '!H$11,AND($C30="Hybrid-electric bus",$D30="Average"),$E30*'DK '!H$12,AND($C30="Hybrid-electric bus",$D30="Nearly full"),$E30*'DK '!H$13,AND($C30="Alternative fuel bus",$D30="Almost empty"),$E30*'DK '!H$15,AND($C30="Alternative fuel bus",$D30="Average"),$E30*'DK '!H$16,AND($C30="Alternative fuel bus",$D30="Nearly full"),$E30*'DK '!H$17,AND($C30="Metro, tram, urban light train",$D30="Almost empty"),$E30*'DK '!C$35,AND($C30="Metro, tram, urban light train",$D30="Average"),$E30*'DK '!C$36,AND($C30="Metro, tram, urban light train",$D30="Nearly full"),$E30*'DK '!C$37,AND($C30="Electric passenger train",$D30="Almost empty"),$E30*'DK '!C$39,AND($C30="Electric passenger train",$D30="Average"),$E30*'DK '!C$40,AND($C30="Electric passenger train",$D30="Nearly full"),$E30*'DK '!C$41,AND($C30="Diesel passenger train",$D30="Almost empty"),$E30*'DK '!C$47,AND($C30="Diesel passenger train",$D30="Average"),$E30*'DK '!C$48,AND($C30="Diesel passenger train",$D30="Nearly full"),$E30*'DK '!C$49,AND($C30="Walking"),$E30*0,AND($C30="Bike"),$E30*0,AND($C30="Plane - domestic flight"),$E30*'DK '!$C54,AND($C30="Plane - international - intra EU"),$E30*'DK '!$C56,AND($C30="Plane - international (extra EU)"),$E30*'DK '!$C58)</f>
        <v>#N/A</v>
      </c>
      <c r="G30" s="31" t="e" cm="1">
        <f t="array" ref="G30">_xlfn.IFS(AND($C30="Fuel car",$D30=1),$E30*'DK '!D$7,AND($C30="Fuel car",$D30=2),$E30*'DK '!D$8,AND($C30="Fuel car",$D30=3),$E30*'DK '!D$9,AND($C30="Fuel car",$D30=4),$E30*'DK '!D$10,AND($C30="Fuel car",$D30=5),$E30*'DK '!D$11,AND($C30="Motorcycle",$D30=1),$E30*'DK '!D$13,AND($C30="Motorcycle",$D30=2),$E30*'DK '!D$14,AND($C30="Electric car",$D30=1),$E30*'DK '!D$16,AND($C30="Electric car",$D30=2),$E30*'DK '!D$17,AND($C30="Electric car",$D30=3),$E30*'DK '!D$18,AND($C30="Electric car",$D30=4),$E30*'DK '!D$19,AND($C30="Electric car",$D30=5),$E30*'DK '!D$20,AND($C30="Hybrid car",$D30=1),$E30*'DK '!D$22,AND($C30="Hybrid car",$D30=2),$E30*'DK '!D$23,AND($C30="Hybrid car",$D30=3),$E30*'DK '!D$24,AND($C30="Hybrid car",$D30=4),$E30*'DK '!D$25,AND($C30="Hybrid car",$D30=5),$E30*'DK '!D$26,AND($C30="Electric motorcycle",$D30=1),$E30*'DK '!D$28,AND($C30="Electric motorcycle",$D30=2),$E30*'DK '!D$29,AND($C30="Electric bike",$D30=1),$E30*'DK '!D$31,AND($C30="Electric scooter",$D30=1),$E30*'DK '!D$33,AND($C30="Bus",$D30="Almost empty"),$E30*'DK '!I$23,AND($C30="Bus",$D30="Average"),$E30*'DK '!I$24,AND($C30="Bus",$D30="Nearly full"),$E30*'DK '!I$25,AND($C30="Electric bus",$D30="Almost empty"),$E30*'DK '!I$7,AND($C30="Electric bus",$D30="Average"),$E30*'DK '!I$8,AND($C30="Electric bus",$D30="Nearly full"),$E30*'DK '!I$9,AND($C30="Diesel bus",$D30="Almost empty"),$E30*'DK '!I$19,AND($C30="Diesel bus",$D30="Average"),$E30*'DK '!I$20,AND($C30="Diesel bus",$D30="Nearly full"),$E30*'DK '!I$21,AND($C30="Hybrid-electric bus",$D30="Almost empty"),$E30*'DK '!I$11,AND($C30="Hybrid-electric bus",$D30="Average"),$E30*'DK '!I$12,AND($C30="Hybrid-electric bus",$D30="Nearly full"),$E30*'DK '!I$13,AND($C30="Alternative fuel bus",$D30="Almost empty"),$E30*'DK '!I$15,AND($C30="Alternative fuel bus",$D30="Average"),$E30*'DK '!I$16,AND($C30="Alternative fuel bus",$D30="Nearly full"),$E30*'DK '!I$17,AND($C30="Metro, tram, urban light train",$D30="Almost empty"),$E30*'DK '!D$35,AND($C30="Metro, tram, urban light train",$D30="Average"),$E30*'DK '!D$36,AND($C30="Metro, tram, urban light train",$D30="Nearly full"),$E30*'DK '!D$37,AND($C30="Electric passenger train",$D30="Almost empty"),$E30*'DK '!D$39,AND($C30="Electric passenger train",$D30="Average"),$E30*'DK '!D$40,AND($C30="Electric passenger train",$D30="Nearly full"),$E30*'DK '!D$41,AND($C30="Diesel passenger train",$D30="Almost empty"),$E30*'DK '!D$47,AND($C30="Diesel passenger train",$D30="Average"),$E30*'DK '!D$48,AND($C30="Diesel passenger train",$D30="Nearly full"),$E30*'DK '!D$49,AND($C30="Walking"),$E30*0,AND($C30="Bike"),$E30*0,AND($C30="Plane - domestic flight"),$E30*'DK '!$C54,AND($C30="Plane - international - intra EU"),$E30*'DK '!$C56,AND($C30="Plane - international (extra EU)"),$E30*'DK '!$C58)</f>
        <v>#N/A</v>
      </c>
      <c r="H30" s="145"/>
      <c r="I30" s="148">
        <f t="shared" ref="I30:I43" si="6">H30/10*E30</f>
        <v>0</v>
      </c>
      <c r="J30" s="146" t="e" cm="1">
        <f t="array" ref="J30">_xlfn.IFS(C30="Fuel car",C30*DATA!$C$17,C30="Electric car",C30*DATA!$F$9,C30="Hybrid car",I30*(0.5*DATA!$C$17+0.5*DATA!$F$9))</f>
        <v>#N/A</v>
      </c>
      <c r="L30" s="215" t="s">
        <v>76</v>
      </c>
      <c r="M30" s="216"/>
      <c r="N30" s="217"/>
    </row>
    <row r="31" spans="1:17" x14ac:dyDescent="0.2">
      <c r="A31" s="222"/>
      <c r="B31" s="30"/>
      <c r="C31" s="15"/>
      <c r="D31" s="15"/>
      <c r="E31" s="15"/>
      <c r="F31" s="123" t="e" cm="1">
        <f t="array" ref="F31">_xlfn.IFS(AND($C31="Fuel car",$D31=1),$E31*'DK '!C$7,AND($C31="Fuel car",$D31=2),$E31*'DK '!C$8,AND($C31="Fuel car",$D31=3),$E31*'DK '!C$9,AND($C31="Fuel car",$D31=4),$E31*'DK '!C$10,AND($C31="Fuel car",$D31=5),$E31*'DK '!C$11,AND($C31="Motorcycle",$D31=1),$E31*'DK '!C$13,AND($C31="Motorcycle",$D31=2),$E31*'DK '!C$14,AND($C31="Electric car",$D31=1),$E31*'DK '!C$16,AND($C31="Electric car",$D31=2),$E31*'DK '!C$17,AND($C31="Electric car",$D31=3),$E31*'DK '!C$18,AND($C31="Electric car",$D31=4),$E31*'DK '!C$19,AND($C31="Electric car",$D31=5),$E31*'DK '!C$20,AND($C31="Hybrid car",$D31=1),$E31*'DK '!C$22,AND($C31="Hybrid car",$D31=2),$E31*'DK '!C$23,AND($C31="Hybrid car",$D31=3),$E31*'DK '!C$24,AND($C31="Hybrid car",$D31=4),$E31*'DK '!C$25,AND($C31="Hybrid car",$D31=5),$E31*'DK '!C$26,AND($C31="Electric motorcycle",$D31=1),$E31*'DK '!C$28,AND($C31="Electric motorcycle",$D31=2),$E31*'DK '!C$29,AND($C31="Electric bike",$D31=1),$E31*'DK '!C$31,AND($C31="Electric scooter",$D31=1),$E31*'DK '!C$33,AND($C31="Bus",$D31="Almost empty"),$E31*'DK '!H$23,AND($C31="Bus",$D31="Average"),$E31*'DK '!H$24,AND($C31="Bus",$D31="Nearly full"),$E31*'DK '!H$25,AND($C31="Electric bus",$D31="Almost empty"),$E31*'DK '!H$7,AND($C31="Electric bus",$D31="Average"),$E31*'DK '!H$8,AND($C31="Electric bus",$D31="Nearly full"),$E31*'DK '!H$9,AND($C31="Diesel bus",$D31="Almost empty"),$E31*'DK '!H$19,AND($C31="Diesel bus",$D31="Average"),$E31*'DK '!H$20,AND($C31="Diesel bus",$D31="Nearly full"),$E31*'DK '!H$21,AND($C31="Hybrid-electric bus",$D31="Almost empty"),$E31*'DK '!H$11,AND($C31="Hybrid-electric bus",$D31="Average"),$E31*'DK '!H$12,AND($C31="Hybrid-electric bus",$D31="Nearly full"),$E31*'DK '!H$13,AND($C31="Alternative fuel bus",$D31="Almost empty"),$E31*'DK '!H$15,AND($C31="Alternative fuel bus",$D31="Average"),$E31*'DK '!H$16,AND($C31="Alternative fuel bus",$D31="Nearly full"),$E31*'DK '!H$17,AND($C31="Metro, tram, urban light train",$D31="Almost empty"),$E31*'DK '!C$35,AND($C31="Metro, tram, urban light train",$D31="Average"),$E31*'DK '!C$36,AND($C31="Metro, tram, urban light train",$D31="Nearly full"),$E31*'DK '!C$37,AND($C31="Electric passenger train",$D31="Almost empty"),$E31*'DK '!C$39,AND($C31="Electric passenger train",$D31="Average"),$E31*'DK '!C$40,AND($C31="Electric passenger train",$D31="Nearly full"),$E31*'DK '!C$41,AND($C31="Diesel passenger train",$D31="Almost empty"),$E31*'DK '!C$47,AND($C31="Diesel passenger train",$D31="Average"),$E31*'DK '!C$48,AND($C31="Diesel passenger train",$D31="Nearly full"),$E31*'DK '!C$49,AND($C31="Walking"),$E31*0,AND($C31="Bike"),$E31*0,AND($C31="Plane - domestic flight"),$E31*'DK '!$C55,AND($C31="Plane - international - intra EU"),$E31*'DK '!$C57,AND($C31="Plane - international (extra EU)"),$E31*'DK '!$C59)</f>
        <v>#N/A</v>
      </c>
      <c r="G31" s="31" t="e" cm="1">
        <f t="array" ref="G31">_xlfn.IFS(AND($C31="Fuel car",$D31=1),$E31*'DK '!D$7,AND($C31="Fuel car",$D31=2),$E31*'DK '!D$8,AND($C31="Fuel car",$D31=3),$E31*'DK '!D$9,AND($C31="Fuel car",$D31=4),$E31*'DK '!D$10,AND($C31="Fuel car",$D31=5),$E31*'DK '!D$11,AND($C31="Motorcycle",$D31=1),$E31*'DK '!D$13,AND($C31="Motorcycle",$D31=2),$E31*'DK '!D$14,AND($C31="Electric car",$D31=1),$E31*'DK '!D$16,AND($C31="Electric car",$D31=2),$E31*'DK '!D$17,AND($C31="Electric car",$D31=3),$E31*'DK '!D$18,AND($C31="Electric car",$D31=4),$E31*'DK '!D$19,AND($C31="Electric car",$D31=5),$E31*'DK '!D$20,AND($C31="Hybrid car",$D31=1),$E31*'DK '!D$22,AND($C31="Hybrid car",$D31=2),$E31*'DK '!D$23,AND($C31="Hybrid car",$D31=3),$E31*'DK '!D$24,AND($C31="Hybrid car",$D31=4),$E31*'DK '!D$25,AND($C31="Hybrid car",$D31=5),$E31*'DK '!D$26,AND($C31="Electric motorcycle",$D31=1),$E31*'DK '!D$28,AND($C31="Electric motorcycle",$D31=2),$E31*'DK '!D$29,AND($C31="Electric bike",$D31=1),$E31*'DK '!D$31,AND($C31="Electric scooter",$D31=1),$E31*'DK '!D$33,AND($C31="Bus",$D31="Almost empty"),$E31*'DK '!I$23,AND($C31="Bus",$D31="Average"),$E31*'DK '!I$24,AND($C31="Bus",$D31="Nearly full"),$E31*'DK '!I$25,AND($C31="Electric bus",$D31="Almost empty"),$E31*'DK '!I$7,AND($C31="Electric bus",$D31="Average"),$E31*'DK '!I$8,AND($C31="Electric bus",$D31="Nearly full"),$E31*'DK '!I$9,AND($C31="Diesel bus",$D31="Almost empty"),$E31*'DK '!I$19,AND($C31="Diesel bus",$D31="Average"),$E31*'DK '!I$20,AND($C31="Diesel bus",$D31="Nearly full"),$E31*'DK '!I$21,AND($C31="Hybrid-electric bus",$D31="Almost empty"),$E31*'DK '!I$11,AND($C31="Hybrid-electric bus",$D31="Average"),$E31*'DK '!I$12,AND($C31="Hybrid-electric bus",$D31="Nearly full"),$E31*'DK '!I$13,AND($C31="Alternative fuel bus",$D31="Almost empty"),$E31*'DK '!I$15,AND($C31="Alternative fuel bus",$D31="Average"),$E31*'DK '!I$16,AND($C31="Alternative fuel bus",$D31="Nearly full"),$E31*'DK '!I$17,AND($C31="Metro, tram, urban light train",$D31="Almost empty"),$E31*'DK '!D$35,AND($C31="Metro, tram, urban light train",$D31="Average"),$E31*'DK '!D$36,AND($C31="Metro, tram, urban light train",$D31="Nearly full"),$E31*'DK '!D$37,AND($C31="Electric passenger train",$D31="Almost empty"),$E31*'DK '!D$39,AND($C31="Electric passenger train",$D31="Average"),$E31*'DK '!D$40,AND($C31="Electric passenger train",$D31="Nearly full"),$E31*'DK '!D$41,AND($C31="Diesel passenger train",$D31="Almost empty"),$E31*'DK '!D$47,AND($C31="Diesel passenger train",$D31="Average"),$E31*'DK '!D$48,AND($C31="Diesel passenger train",$D31="Nearly full"),$E31*'DK '!D$49,AND($C31="Walking"),$E31*0,AND($C31="Bike"),$E31*0,AND($C31="Plane - domestic flight"),$E31*'DK '!$C55,AND($C31="Plane - international - intra EU"),$E31*'DK '!$C57,AND($C31="Plane - international (extra EU)"),$E31*'DK '!$C59)</f>
        <v>#N/A</v>
      </c>
      <c r="H31" s="145"/>
      <c r="I31" s="148">
        <f t="shared" si="6"/>
        <v>0</v>
      </c>
      <c r="J31" s="146" t="e" cm="1">
        <f t="array" ref="J31">_xlfn.IFS(C31="Fuel car",C31*DATA!$C$17,C31="Electric car",C31*DATA!$F$9,C31="Hybrid car",I31*(0.5*DATA!$C$17+0.5*DATA!$F$9))</f>
        <v>#N/A</v>
      </c>
      <c r="L31" s="223"/>
      <c r="M31" s="224"/>
      <c r="N31" s="225"/>
    </row>
    <row r="32" spans="1:17" ht="16" thickBot="1" x14ac:dyDescent="0.25">
      <c r="A32" s="222"/>
      <c r="B32" s="30"/>
      <c r="C32" s="15"/>
      <c r="D32" s="15"/>
      <c r="E32" s="15"/>
      <c r="F32" s="123" t="e" cm="1">
        <f t="array" ref="F32">_xlfn.IFS(AND($C32="Fuel car",$D32=1),$E32*'DK '!C$7,AND($C32="Fuel car",$D32=2),$E32*'DK '!C$8,AND($C32="Fuel car",$D32=3),$E32*'DK '!C$9,AND($C32="Fuel car",$D32=4),$E32*'DK '!C$10,AND($C32="Fuel car",$D32=5),$E32*'DK '!C$11,AND($C32="Motorcycle",$D32=1),$E32*'DK '!C$13,AND($C32="Motorcycle",$D32=2),$E32*'DK '!C$14,AND($C32="Electric car",$D32=1),$E32*'DK '!C$16,AND($C32="Electric car",$D32=2),$E32*'DK '!C$17,AND($C32="Electric car",$D32=3),$E32*'DK '!C$18,AND($C32="Electric car",$D32=4),$E32*'DK '!C$19,AND($C32="Electric car",$D32=5),$E32*'DK '!C$20,AND($C32="Hybrid car",$D32=1),$E32*'DK '!C$22,AND($C32="Hybrid car",$D32=2),$E32*'DK '!C$23,AND($C32="Hybrid car",$D32=3),$E32*'DK '!C$24,AND($C32="Hybrid car",$D32=4),$E32*'DK '!C$25,AND($C32="Hybrid car",$D32=5),$E32*'DK '!C$26,AND($C32="Electric motorcycle",$D32=1),$E32*'DK '!C$28,AND($C32="Electric motorcycle",$D32=2),$E32*'DK '!C$29,AND($C32="Electric bike",$D32=1),$E32*'DK '!C$31,AND($C32="Electric scooter",$D32=1),$E32*'DK '!C$33,AND($C32="Bus",$D32="Almost empty"),$E32*'DK '!H$23,AND($C32="Bus",$D32="Average"),$E32*'DK '!H$24,AND($C32="Bus",$D32="Nearly full"),$E32*'DK '!H$25,AND($C32="Electric bus",$D32="Almost empty"),$E32*'DK '!H$7,AND($C32="Electric bus",$D32="Average"),$E32*'DK '!H$8,AND($C32="Electric bus",$D32="Nearly full"),$E32*'DK '!H$9,AND($C32="Diesel bus",$D32="Almost empty"),$E32*'DK '!H$19,AND($C32="Diesel bus",$D32="Average"),$E32*'DK '!H$20,AND($C32="Diesel bus",$D32="Nearly full"),$E32*'DK '!H$21,AND($C32="Hybrid-electric bus",$D32="Almost empty"),$E32*'DK '!H$11,AND($C32="Hybrid-electric bus",$D32="Average"),$E32*'DK '!H$12,AND($C32="Hybrid-electric bus",$D32="Nearly full"),$E32*'DK '!H$13,AND($C32="Alternative fuel bus",$D32="Almost empty"),$E32*'DK '!H$15,AND($C32="Alternative fuel bus",$D32="Average"),$E32*'DK '!H$16,AND($C32="Alternative fuel bus",$D32="Nearly full"),$E32*'DK '!H$17,AND($C32="Metro, tram, urban light train",$D32="Almost empty"),$E32*'DK '!C$35,AND($C32="Metro, tram, urban light train",$D32="Average"),$E32*'DK '!C$36,AND($C32="Metro, tram, urban light train",$D32="Nearly full"),$E32*'DK '!C$37,AND($C32="Electric passenger train",$D32="Almost empty"),$E32*'DK '!C$39,AND($C32="Electric passenger train",$D32="Average"),$E32*'DK '!C$40,AND($C32="Electric passenger train",$D32="Nearly full"),$E32*'DK '!C$41,AND($C32="Diesel passenger train",$D32="Almost empty"),$E32*'DK '!C$47,AND($C32="Diesel passenger train",$D32="Average"),$E32*'DK '!C$48,AND($C32="Diesel passenger train",$D32="Nearly full"),$E32*'DK '!C$49,AND($C32="Walking"),$E32*0,AND($C32="Bike"),$E32*0,AND($C32="Plane - domestic flight"),$E32*'DK '!$C56,AND($C32="Plane - international - intra EU"),$E32*'DK '!$C58,AND($C32="Plane - international (extra EU)"),$E32*'DK '!$C60)</f>
        <v>#N/A</v>
      </c>
      <c r="G32" s="31" t="e" cm="1">
        <f t="array" ref="G32">_xlfn.IFS(AND($C32="Fuel car",$D32=1),$E32*'DK '!D$7,AND($C32="Fuel car",$D32=2),$E32*'DK '!D$8,AND($C32="Fuel car",$D32=3),$E32*'DK '!D$9,AND($C32="Fuel car",$D32=4),$E32*'DK '!D$10,AND($C32="Fuel car",$D32=5),$E32*'DK '!D$11,AND($C32="Motorcycle",$D32=1),$E32*'DK '!D$13,AND($C32="Motorcycle",$D32=2),$E32*'DK '!D$14,AND($C32="Electric car",$D32=1),$E32*'DK '!D$16,AND($C32="Electric car",$D32=2),$E32*'DK '!D$17,AND($C32="Electric car",$D32=3),$E32*'DK '!D$18,AND($C32="Electric car",$D32=4),$E32*'DK '!D$19,AND($C32="Electric car",$D32=5),$E32*'DK '!D$20,AND($C32="Hybrid car",$D32=1),$E32*'DK '!D$22,AND($C32="Hybrid car",$D32=2),$E32*'DK '!D$23,AND($C32="Hybrid car",$D32=3),$E32*'DK '!D$24,AND($C32="Hybrid car",$D32=4),$E32*'DK '!D$25,AND($C32="Hybrid car",$D32=5),$E32*'DK '!D$26,AND($C32="Electric motorcycle",$D32=1),$E32*'DK '!D$28,AND($C32="Electric motorcycle",$D32=2),$E32*'DK '!D$29,AND($C32="Electric bike",$D32=1),$E32*'DK '!D$31,AND($C32="Electric scooter",$D32=1),$E32*'DK '!D$33,AND($C32="Bus",$D32="Almost empty"),$E32*'DK '!I$23,AND($C32="Bus",$D32="Average"),$E32*'DK '!I$24,AND($C32="Bus",$D32="Nearly full"),$E32*'DK '!I$25,AND($C32="Electric bus",$D32="Almost empty"),$E32*'DK '!I$7,AND($C32="Electric bus",$D32="Average"),$E32*'DK '!I$8,AND($C32="Electric bus",$D32="Nearly full"),$E32*'DK '!I$9,AND($C32="Diesel bus",$D32="Almost empty"),$E32*'DK '!I$19,AND($C32="Diesel bus",$D32="Average"),$E32*'DK '!I$20,AND($C32="Diesel bus",$D32="Nearly full"),$E32*'DK '!I$21,AND($C32="Hybrid-electric bus",$D32="Almost empty"),$E32*'DK '!I$11,AND($C32="Hybrid-electric bus",$D32="Average"),$E32*'DK '!I$12,AND($C32="Hybrid-electric bus",$D32="Nearly full"),$E32*'DK '!I$13,AND($C32="Alternative fuel bus",$D32="Almost empty"),$E32*'DK '!I$15,AND($C32="Alternative fuel bus",$D32="Average"),$E32*'DK '!I$16,AND($C32="Alternative fuel bus",$D32="Nearly full"),$E32*'DK '!I$17,AND($C32="Metro, tram, urban light train",$D32="Almost empty"),$E32*'DK '!D$35,AND($C32="Metro, tram, urban light train",$D32="Average"),$E32*'DK '!D$36,AND($C32="Metro, tram, urban light train",$D32="Nearly full"),$E32*'DK '!D$37,AND($C32="Electric passenger train",$D32="Almost empty"),$E32*'DK '!D$39,AND($C32="Electric passenger train",$D32="Average"),$E32*'DK '!D$40,AND($C32="Electric passenger train",$D32="Nearly full"),$E32*'DK '!D$41,AND($C32="Diesel passenger train",$D32="Almost empty"),$E32*'DK '!D$47,AND($C32="Diesel passenger train",$D32="Average"),$E32*'DK '!D$48,AND($C32="Diesel passenger train",$D32="Nearly full"),$E32*'DK '!D$49,AND($C32="Walking"),$E32*0,AND($C32="Bike"),$E32*0,AND($C32="Plane - domestic flight"),$E32*'DK '!$C56,AND($C32="Plane - international - intra EU"),$E32*'DK '!$C58,AND($C32="Plane - international (extra EU)"),$E32*'DK '!$C60)</f>
        <v>#N/A</v>
      </c>
      <c r="H32" s="145"/>
      <c r="I32" s="148">
        <f t="shared" si="6"/>
        <v>0</v>
      </c>
      <c r="J32" s="146" t="e" cm="1">
        <f t="array" ref="J32">_xlfn.IFS(C32="Fuel car",C32*DATA!$C$17,C32="Electric car",C32*DATA!$F$9,C32="Hybrid car",I32*(0.5*DATA!$C$17+0.5*DATA!$F$9))</f>
        <v>#N/A</v>
      </c>
      <c r="L32" s="218"/>
      <c r="M32" s="219"/>
      <c r="N32" s="220"/>
    </row>
    <row r="33" spans="1:14" ht="14.5" customHeight="1" x14ac:dyDescent="0.2">
      <c r="A33" s="222"/>
      <c r="B33" s="30"/>
      <c r="C33" s="15"/>
      <c r="D33" s="15"/>
      <c r="E33" s="15"/>
      <c r="F33" s="123" t="e" cm="1">
        <f t="array" ref="F33">_xlfn.IFS(AND($C33="Fuel car",$D33=1),$E33*'DK '!C$7,AND($C33="Fuel car",$D33=2),$E33*'DK '!C$8,AND($C33="Fuel car",$D33=3),$E33*'DK '!C$9,AND($C33="Fuel car",$D33=4),$E33*'DK '!C$10,AND($C33="Fuel car",$D33=5),$E33*'DK '!C$11,AND($C33="Motorcycle",$D33=1),$E33*'DK '!C$13,AND($C33="Motorcycle",$D33=2),$E33*'DK '!C$14,AND($C33="Electric car",$D33=1),$E33*'DK '!C$16,AND($C33="Electric car",$D33=2),$E33*'DK '!C$17,AND($C33="Electric car",$D33=3),$E33*'DK '!C$18,AND($C33="Electric car",$D33=4),$E33*'DK '!C$19,AND($C33="Electric car",$D33=5),$E33*'DK '!C$20,AND($C33="Hybrid car",$D33=1),$E33*'DK '!C$22,AND($C33="Hybrid car",$D33=2),$E33*'DK '!C$23,AND($C33="Hybrid car",$D33=3),$E33*'DK '!C$24,AND($C33="Hybrid car",$D33=4),$E33*'DK '!C$25,AND($C33="Hybrid car",$D33=5),$E33*'DK '!C$26,AND($C33="Electric motorcycle",$D33=1),$E33*'DK '!C$28,AND($C33="Electric motorcycle",$D33=2),$E33*'DK '!C$29,AND($C33="Electric bike",$D33=1),$E33*'DK '!C$31,AND($C33="Electric scooter",$D33=1),$E33*'DK '!C$33,AND($C33="Bus",$D33="Almost empty"),$E33*'DK '!H$23,AND($C33="Bus",$D33="Average"),$E33*'DK '!H$24,AND($C33="Bus",$D33="Nearly full"),$E33*'DK '!H$25,AND($C33="Electric bus",$D33="Almost empty"),$E33*'DK '!H$7,AND($C33="Electric bus",$D33="Average"),$E33*'DK '!H$8,AND($C33="Electric bus",$D33="Nearly full"),$E33*'DK '!H$9,AND($C33="Diesel bus",$D33="Almost empty"),$E33*'DK '!H$19,AND($C33="Diesel bus",$D33="Average"),$E33*'DK '!H$20,AND($C33="Diesel bus",$D33="Nearly full"),$E33*'DK '!H$21,AND($C33="Hybrid-electric bus",$D33="Almost empty"),$E33*'DK '!H$11,AND($C33="Hybrid-electric bus",$D33="Average"),$E33*'DK '!H$12,AND($C33="Hybrid-electric bus",$D33="Nearly full"),$E33*'DK '!H$13,AND($C33="Alternative fuel bus",$D33="Almost empty"),$E33*'DK '!H$15,AND($C33="Alternative fuel bus",$D33="Average"),$E33*'DK '!H$16,AND($C33="Alternative fuel bus",$D33="Nearly full"),$E33*'DK '!H$17,AND($C33="Metro, tram, urban light train",$D33="Almost empty"),$E33*'DK '!C$35,AND($C33="Metro, tram, urban light train",$D33="Average"),$E33*'DK '!C$36,AND($C33="Metro, tram, urban light train",$D33="Nearly full"),$E33*'DK '!C$37,AND($C33="Electric passenger train",$D33="Almost empty"),$E33*'DK '!C$39,AND($C33="Electric passenger train",$D33="Average"),$E33*'DK '!C$40,AND($C33="Electric passenger train",$D33="Nearly full"),$E33*'DK '!C$41,AND($C33="Diesel passenger train",$D33="Almost empty"),$E33*'DK '!C$47,AND($C33="Diesel passenger train",$D33="Average"),$E33*'DK '!C$48,AND($C33="Diesel passenger train",$D33="Nearly full"),$E33*'DK '!C$49,AND($C33="Walking"),$E33*0,AND($C33="Bike"),$E33*0,AND($C33="Plane - domestic flight"),$E33*'DK '!$C57,AND($C33="Plane - international - intra EU"),$E33*'DK '!$C59,AND($C33="Plane - international (extra EU)"),$E33*'DK '!$C61)</f>
        <v>#N/A</v>
      </c>
      <c r="G33" s="31" t="e" cm="1">
        <f t="array" ref="G33">_xlfn.IFS(AND($C33="Fuel car",$D33=1),$E33*'DK '!D$7,AND($C33="Fuel car",$D33=2),$E33*'DK '!D$8,AND($C33="Fuel car",$D33=3),$E33*'DK '!D$9,AND($C33="Fuel car",$D33=4),$E33*'DK '!D$10,AND($C33="Fuel car",$D33=5),$E33*'DK '!D$11,AND($C33="Motorcycle",$D33=1),$E33*'DK '!D$13,AND($C33="Motorcycle",$D33=2),$E33*'DK '!D$14,AND($C33="Electric car",$D33=1),$E33*'DK '!D$16,AND($C33="Electric car",$D33=2),$E33*'DK '!D$17,AND($C33="Electric car",$D33=3),$E33*'DK '!D$18,AND($C33="Electric car",$D33=4),$E33*'DK '!D$19,AND($C33="Electric car",$D33=5),$E33*'DK '!D$20,AND($C33="Hybrid car",$D33=1),$E33*'DK '!D$22,AND($C33="Hybrid car",$D33=2),$E33*'DK '!D$23,AND($C33="Hybrid car",$D33=3),$E33*'DK '!D$24,AND($C33="Hybrid car",$D33=4),$E33*'DK '!D$25,AND($C33="Hybrid car",$D33=5),$E33*'DK '!D$26,AND($C33="Electric motorcycle",$D33=1),$E33*'DK '!D$28,AND($C33="Electric motorcycle",$D33=2),$E33*'DK '!D$29,AND($C33="Electric bike",$D33=1),$E33*'DK '!D$31,AND($C33="Electric scooter",$D33=1),$E33*'DK '!D$33,AND($C33="Bus",$D33="Almost empty"),$E33*'DK '!I$23,AND($C33="Bus",$D33="Average"),$E33*'DK '!I$24,AND($C33="Bus",$D33="Nearly full"),$E33*'DK '!I$25,AND($C33="Electric bus",$D33="Almost empty"),$E33*'DK '!I$7,AND($C33="Electric bus",$D33="Average"),$E33*'DK '!I$8,AND($C33="Electric bus",$D33="Nearly full"),$E33*'DK '!I$9,AND($C33="Diesel bus",$D33="Almost empty"),$E33*'DK '!I$19,AND($C33="Diesel bus",$D33="Average"),$E33*'DK '!I$20,AND($C33="Diesel bus",$D33="Nearly full"),$E33*'DK '!I$21,AND($C33="Hybrid-electric bus",$D33="Almost empty"),$E33*'DK '!I$11,AND($C33="Hybrid-electric bus",$D33="Average"),$E33*'DK '!I$12,AND($C33="Hybrid-electric bus",$D33="Nearly full"),$E33*'DK '!I$13,AND($C33="Alternative fuel bus",$D33="Almost empty"),$E33*'DK '!I$15,AND($C33="Alternative fuel bus",$D33="Average"),$E33*'DK '!I$16,AND($C33="Alternative fuel bus",$D33="Nearly full"),$E33*'DK '!I$17,AND($C33="Metro, tram, urban light train",$D33="Almost empty"),$E33*'DK '!D$35,AND($C33="Metro, tram, urban light train",$D33="Average"),$E33*'DK '!D$36,AND($C33="Metro, tram, urban light train",$D33="Nearly full"),$E33*'DK '!D$37,AND($C33="Electric passenger train",$D33="Almost empty"),$E33*'DK '!D$39,AND($C33="Electric passenger train",$D33="Average"),$E33*'DK '!D$40,AND($C33="Electric passenger train",$D33="Nearly full"),$E33*'DK '!D$41,AND($C33="Diesel passenger train",$D33="Almost empty"),$E33*'DK '!D$47,AND($C33="Diesel passenger train",$D33="Average"),$E33*'DK '!D$48,AND($C33="Diesel passenger train",$D33="Nearly full"),$E33*'DK '!D$49,AND($C33="Walking"),$E33*0,AND($C33="Bike"),$E33*0,AND($C33="Plane - domestic flight"),$E33*'DK '!$C57,AND($C33="Plane - international - intra EU"),$E33*'DK '!$C59,AND($C33="Plane - international (extra EU)"),$E33*'DK '!$C61)</f>
        <v>#N/A</v>
      </c>
      <c r="H33" s="145"/>
      <c r="I33" s="148">
        <f t="shared" si="6"/>
        <v>0</v>
      </c>
      <c r="J33" s="146" t="e" cm="1">
        <f t="array" ref="J33">_xlfn.IFS(C33="Fuel car",C33*DATA!$C$17,C33="Electric car",C33*DATA!$F$9,C33="Hybrid car",I33*(0.5*DATA!$C$17+0.5*DATA!$F$9))</f>
        <v>#N/A</v>
      </c>
      <c r="L33" s="223" t="s">
        <v>78</v>
      </c>
      <c r="M33" s="224"/>
      <c r="N33" s="225"/>
    </row>
    <row r="34" spans="1:14" x14ac:dyDescent="0.2">
      <c r="A34" s="222"/>
      <c r="B34" s="30"/>
      <c r="C34" s="15"/>
      <c r="D34" s="15"/>
      <c r="E34" s="15"/>
      <c r="F34" s="123" t="e" cm="1">
        <f t="array" ref="F34">_xlfn.IFS(AND($C34="Fuel car",$D34=1),$E34*'DK '!C$7,AND($C34="Fuel car",$D34=2),$E34*'DK '!C$8,AND($C34="Fuel car",$D34=3),$E34*'DK '!C$9,AND($C34="Fuel car",$D34=4),$E34*'DK '!C$10,AND($C34="Fuel car",$D34=5),$E34*'DK '!C$11,AND($C34="Motorcycle",$D34=1),$E34*'DK '!C$13,AND($C34="Motorcycle",$D34=2),$E34*'DK '!C$14,AND($C34="Electric car",$D34=1),$E34*'DK '!C$16,AND($C34="Electric car",$D34=2),$E34*'DK '!C$17,AND($C34="Electric car",$D34=3),$E34*'DK '!C$18,AND($C34="Electric car",$D34=4),$E34*'DK '!C$19,AND($C34="Electric car",$D34=5),$E34*'DK '!C$20,AND($C34="Hybrid car",$D34=1),$E34*'DK '!C$22,AND($C34="Hybrid car",$D34=2),$E34*'DK '!C$23,AND($C34="Hybrid car",$D34=3),$E34*'DK '!C$24,AND($C34="Hybrid car",$D34=4),$E34*'DK '!C$25,AND($C34="Hybrid car",$D34=5),$E34*'DK '!C$26,AND($C34="Electric motorcycle",$D34=1),$E34*'DK '!C$28,AND($C34="Electric motorcycle",$D34=2),$E34*'DK '!C$29,AND($C34="Electric bike",$D34=1),$E34*'DK '!C$31,AND($C34="Electric scooter",$D34=1),$E34*'DK '!C$33,AND($C34="Bus",$D34="Almost empty"),$E34*'DK '!H$23,AND($C34="Bus",$D34="Average"),$E34*'DK '!H$24,AND($C34="Bus",$D34="Nearly full"),$E34*'DK '!H$25,AND($C34="Electric bus",$D34="Almost empty"),$E34*'DK '!H$7,AND($C34="Electric bus",$D34="Average"),$E34*'DK '!H$8,AND($C34="Electric bus",$D34="Nearly full"),$E34*'DK '!H$9,AND($C34="Diesel bus",$D34="Almost empty"),$E34*'DK '!H$19,AND($C34="Diesel bus",$D34="Average"),$E34*'DK '!H$20,AND($C34="Diesel bus",$D34="Nearly full"),$E34*'DK '!H$21,AND($C34="Hybrid-electric bus",$D34="Almost empty"),$E34*'DK '!H$11,AND($C34="Hybrid-electric bus",$D34="Average"),$E34*'DK '!H$12,AND($C34="Hybrid-electric bus",$D34="Nearly full"),$E34*'DK '!H$13,AND($C34="Alternative fuel bus",$D34="Almost empty"),$E34*'DK '!H$15,AND($C34="Alternative fuel bus",$D34="Average"),$E34*'DK '!H$16,AND($C34="Alternative fuel bus",$D34="Nearly full"),$E34*'DK '!H$17,AND($C34="Metro, tram, urban light train",$D34="Almost empty"),$E34*'DK '!C$35,AND($C34="Metro, tram, urban light train",$D34="Average"),$E34*'DK '!C$36,AND($C34="Metro, tram, urban light train",$D34="Nearly full"),$E34*'DK '!C$37,AND($C34="Electric passenger train",$D34="Almost empty"),$E34*'DK '!C$39,AND($C34="Electric passenger train",$D34="Average"),$E34*'DK '!C$40,AND($C34="Electric passenger train",$D34="Nearly full"),$E34*'DK '!C$41,AND($C34="Diesel passenger train",$D34="Almost empty"),$E34*'DK '!C$47,AND($C34="Diesel passenger train",$D34="Average"),$E34*'DK '!C$48,AND($C34="Diesel passenger train",$D34="Nearly full"),$E34*'DK '!C$49,AND($C34="Walking"),$E34*0,AND($C34="Bike"),$E34*0,AND($C34="Plane - domestic flight"),$E34*'DK '!$C58,AND($C34="Plane - international - intra EU"),$E34*'DK '!$C60,AND($C34="Plane - international (extra EU)"),$E34*'DK '!$C62)</f>
        <v>#N/A</v>
      </c>
      <c r="G34" s="31" t="e" cm="1">
        <f t="array" ref="G34">_xlfn.IFS(AND($C34="Fuel car",$D34=1),$E34*'DK '!D$7,AND($C34="Fuel car",$D34=2),$E34*'DK '!D$8,AND($C34="Fuel car",$D34=3),$E34*'DK '!D$9,AND($C34="Fuel car",$D34=4),$E34*'DK '!D$10,AND($C34="Fuel car",$D34=5),$E34*'DK '!D$11,AND($C34="Motorcycle",$D34=1),$E34*'DK '!D$13,AND($C34="Motorcycle",$D34=2),$E34*'DK '!D$14,AND($C34="Electric car",$D34=1),$E34*'DK '!D$16,AND($C34="Electric car",$D34=2),$E34*'DK '!D$17,AND($C34="Electric car",$D34=3),$E34*'DK '!D$18,AND($C34="Electric car",$D34=4),$E34*'DK '!D$19,AND($C34="Electric car",$D34=5),$E34*'DK '!D$20,AND($C34="Hybrid car",$D34=1),$E34*'DK '!D$22,AND($C34="Hybrid car",$D34=2),$E34*'DK '!D$23,AND($C34="Hybrid car",$D34=3),$E34*'DK '!D$24,AND($C34="Hybrid car",$D34=4),$E34*'DK '!D$25,AND($C34="Hybrid car",$D34=5),$E34*'DK '!D$26,AND($C34="Electric motorcycle",$D34=1),$E34*'DK '!D$28,AND($C34="Electric motorcycle",$D34=2),$E34*'DK '!D$29,AND($C34="Electric bike",$D34=1),$E34*'DK '!D$31,AND($C34="Electric scooter",$D34=1),$E34*'DK '!D$33,AND($C34="Bus",$D34="Almost empty"),$E34*'DK '!I$23,AND($C34="Bus",$D34="Average"),$E34*'DK '!I$24,AND($C34="Bus",$D34="Nearly full"),$E34*'DK '!I$25,AND($C34="Electric bus",$D34="Almost empty"),$E34*'DK '!I$7,AND($C34="Electric bus",$D34="Average"),$E34*'DK '!I$8,AND($C34="Electric bus",$D34="Nearly full"),$E34*'DK '!I$9,AND($C34="Diesel bus",$D34="Almost empty"),$E34*'DK '!I$19,AND($C34="Diesel bus",$D34="Average"),$E34*'DK '!I$20,AND($C34="Diesel bus",$D34="Nearly full"),$E34*'DK '!I$21,AND($C34="Hybrid-electric bus",$D34="Almost empty"),$E34*'DK '!I$11,AND($C34="Hybrid-electric bus",$D34="Average"),$E34*'DK '!I$12,AND($C34="Hybrid-electric bus",$D34="Nearly full"),$E34*'DK '!I$13,AND($C34="Alternative fuel bus",$D34="Almost empty"),$E34*'DK '!I$15,AND($C34="Alternative fuel bus",$D34="Average"),$E34*'DK '!I$16,AND($C34="Alternative fuel bus",$D34="Nearly full"),$E34*'DK '!I$17,AND($C34="Metro, tram, urban light train",$D34="Almost empty"),$E34*'DK '!D$35,AND($C34="Metro, tram, urban light train",$D34="Average"),$E34*'DK '!D$36,AND($C34="Metro, tram, urban light train",$D34="Nearly full"),$E34*'DK '!D$37,AND($C34="Electric passenger train",$D34="Almost empty"),$E34*'DK '!D$39,AND($C34="Electric passenger train",$D34="Average"),$E34*'DK '!D$40,AND($C34="Electric passenger train",$D34="Nearly full"),$E34*'DK '!D$41,AND($C34="Diesel passenger train",$D34="Almost empty"),$E34*'DK '!D$47,AND($C34="Diesel passenger train",$D34="Average"),$E34*'DK '!D$48,AND($C34="Diesel passenger train",$D34="Nearly full"),$E34*'DK '!D$49,AND($C34="Walking"),$E34*0,AND($C34="Bike"),$E34*0,AND($C34="Plane - domestic flight"),$E34*'DK '!$C58,AND($C34="Plane - international - intra EU"),$E34*'DK '!$C60,AND($C34="Plane - international (extra EU)"),$E34*'DK '!$C62)</f>
        <v>#N/A</v>
      </c>
      <c r="H34" s="145"/>
      <c r="I34" s="148">
        <f t="shared" si="6"/>
        <v>0</v>
      </c>
      <c r="J34" s="146" t="e" cm="1">
        <f t="array" ref="J34">_xlfn.IFS(C34="Fuel car",C34*DATA!$C$17,C34="Electric car",C34*DATA!$F$9,C34="Hybrid car",I34*(0.5*DATA!$C$17+0.5*DATA!$F$9))</f>
        <v>#N/A</v>
      </c>
      <c r="L34" s="223"/>
      <c r="M34" s="224"/>
      <c r="N34" s="225"/>
    </row>
    <row r="35" spans="1:14" ht="14.5" customHeight="1" x14ac:dyDescent="0.2">
      <c r="A35" s="222"/>
      <c r="B35" s="30"/>
      <c r="C35" s="15"/>
      <c r="D35" s="15"/>
      <c r="E35" s="15"/>
      <c r="F35" s="123" t="e" cm="1">
        <f t="array" ref="F35">_xlfn.IFS(AND($C35="Fuel car",$D35=1),$E35*'DK '!C$7,AND($C35="Fuel car",$D35=2),$E35*'DK '!C$8,AND($C35="Fuel car",$D35=3),$E35*'DK '!C$9,AND($C35="Fuel car",$D35=4),$E35*'DK '!C$10,AND($C35="Fuel car",$D35=5),$E35*'DK '!C$11,AND($C35="Motorcycle",$D35=1),$E35*'DK '!C$13,AND($C35="Motorcycle",$D35=2),$E35*'DK '!C$14,AND($C35="Electric car",$D35=1),$E35*'DK '!C$16,AND($C35="Electric car",$D35=2),$E35*'DK '!C$17,AND($C35="Electric car",$D35=3),$E35*'DK '!C$18,AND($C35="Electric car",$D35=4),$E35*'DK '!C$19,AND($C35="Electric car",$D35=5),$E35*'DK '!C$20,AND($C35="Hybrid car",$D35=1),$E35*'DK '!C$22,AND($C35="Hybrid car",$D35=2),$E35*'DK '!C$23,AND($C35="Hybrid car",$D35=3),$E35*'DK '!C$24,AND($C35="Hybrid car",$D35=4),$E35*'DK '!C$25,AND($C35="Hybrid car",$D35=5),$E35*'DK '!C$26,AND($C35="Electric motorcycle",$D35=1),$E35*'DK '!C$28,AND($C35="Electric motorcycle",$D35=2),$E35*'DK '!C$29,AND($C35="Electric bike",$D35=1),$E35*'DK '!C$31,AND($C35="Electric scooter",$D35=1),$E35*'DK '!C$33,AND($C35="Bus",$D35="Almost empty"),$E35*'DK '!H$23,AND($C35="Bus",$D35="Average"),$E35*'DK '!H$24,AND($C35="Bus",$D35="Nearly full"),$E35*'DK '!H$25,AND($C35="Electric bus",$D35="Almost empty"),$E35*'DK '!H$7,AND($C35="Electric bus",$D35="Average"),$E35*'DK '!H$8,AND($C35="Electric bus",$D35="Nearly full"),$E35*'DK '!H$9,AND($C35="Diesel bus",$D35="Almost empty"),$E35*'DK '!H$19,AND($C35="Diesel bus",$D35="Average"),$E35*'DK '!H$20,AND($C35="Diesel bus",$D35="Nearly full"),$E35*'DK '!H$21,AND($C35="Hybrid-electric bus",$D35="Almost empty"),$E35*'DK '!H$11,AND($C35="Hybrid-electric bus",$D35="Average"),$E35*'DK '!H$12,AND($C35="Hybrid-electric bus",$D35="Nearly full"),$E35*'DK '!H$13,AND($C35="Alternative fuel bus",$D35="Almost empty"),$E35*'DK '!H$15,AND($C35="Alternative fuel bus",$D35="Average"),$E35*'DK '!H$16,AND($C35="Alternative fuel bus",$D35="Nearly full"),$E35*'DK '!H$17,AND($C35="Metro, tram, urban light train",$D35="Almost empty"),$E35*'DK '!C$35,AND($C35="Metro, tram, urban light train",$D35="Average"),$E35*'DK '!C$36,AND($C35="Metro, tram, urban light train",$D35="Nearly full"),$E35*'DK '!C$37,AND($C35="Electric passenger train",$D35="Almost empty"),$E35*'DK '!C$39,AND($C35="Electric passenger train",$D35="Average"),$E35*'DK '!C$40,AND($C35="Electric passenger train",$D35="Nearly full"),$E35*'DK '!C$41,AND($C35="Diesel passenger train",$D35="Almost empty"),$E35*'DK '!C$47,AND($C35="Diesel passenger train",$D35="Average"),$E35*'DK '!C$48,AND($C35="Diesel passenger train",$D35="Nearly full"),$E35*'DK '!C$49,AND($C35="Walking"),$E35*0,AND($C35="Bike"),$E35*0,AND($C35="Plane - domestic flight"),$E35*'DK '!$C59,AND($C35="Plane - international - intra EU"),$E35*'DK '!$C61,AND($C35="Plane - international (extra EU)"),$E35*'DK '!$C63)</f>
        <v>#N/A</v>
      </c>
      <c r="G35" s="31" t="e" cm="1">
        <f t="array" ref="G35">_xlfn.IFS(AND($C35="Fuel car",$D35=1),$E35*'DK '!D$7,AND($C35="Fuel car",$D35=2),$E35*'DK '!D$8,AND($C35="Fuel car",$D35=3),$E35*'DK '!D$9,AND($C35="Fuel car",$D35=4),$E35*'DK '!D$10,AND($C35="Fuel car",$D35=5),$E35*'DK '!D$11,AND($C35="Motorcycle",$D35=1),$E35*'DK '!D$13,AND($C35="Motorcycle",$D35=2),$E35*'DK '!D$14,AND($C35="Electric car",$D35=1),$E35*'DK '!D$16,AND($C35="Electric car",$D35=2),$E35*'DK '!D$17,AND($C35="Electric car",$D35=3),$E35*'DK '!D$18,AND($C35="Electric car",$D35=4),$E35*'DK '!D$19,AND($C35="Electric car",$D35=5),$E35*'DK '!D$20,AND($C35="Hybrid car",$D35=1),$E35*'DK '!D$22,AND($C35="Hybrid car",$D35=2),$E35*'DK '!D$23,AND($C35="Hybrid car",$D35=3),$E35*'DK '!D$24,AND($C35="Hybrid car",$D35=4),$E35*'DK '!D$25,AND($C35="Hybrid car",$D35=5),$E35*'DK '!D$26,AND($C35="Electric motorcycle",$D35=1),$E35*'DK '!D$28,AND($C35="Electric motorcycle",$D35=2),$E35*'DK '!D$29,AND($C35="Electric bike",$D35=1),$E35*'DK '!D$31,AND($C35="Electric scooter",$D35=1),$E35*'DK '!D$33,AND($C35="Bus",$D35="Almost empty"),$E35*'DK '!I$23,AND($C35="Bus",$D35="Average"),$E35*'DK '!I$24,AND($C35="Bus",$D35="Nearly full"),$E35*'DK '!I$25,AND($C35="Electric bus",$D35="Almost empty"),$E35*'DK '!I$7,AND($C35="Electric bus",$D35="Average"),$E35*'DK '!I$8,AND($C35="Electric bus",$D35="Nearly full"),$E35*'DK '!I$9,AND($C35="Diesel bus",$D35="Almost empty"),$E35*'DK '!I$19,AND($C35="Diesel bus",$D35="Average"),$E35*'DK '!I$20,AND($C35="Diesel bus",$D35="Nearly full"),$E35*'DK '!I$21,AND($C35="Hybrid-electric bus",$D35="Almost empty"),$E35*'DK '!I$11,AND($C35="Hybrid-electric bus",$D35="Average"),$E35*'DK '!I$12,AND($C35="Hybrid-electric bus",$D35="Nearly full"),$E35*'DK '!I$13,AND($C35="Alternative fuel bus",$D35="Almost empty"),$E35*'DK '!I$15,AND($C35="Alternative fuel bus",$D35="Average"),$E35*'DK '!I$16,AND($C35="Alternative fuel bus",$D35="Nearly full"),$E35*'DK '!I$17,AND($C35="Metro, tram, urban light train",$D35="Almost empty"),$E35*'DK '!D$35,AND($C35="Metro, tram, urban light train",$D35="Average"),$E35*'DK '!D$36,AND($C35="Metro, tram, urban light train",$D35="Nearly full"),$E35*'DK '!D$37,AND($C35="Electric passenger train",$D35="Almost empty"),$E35*'DK '!D$39,AND($C35="Electric passenger train",$D35="Average"),$E35*'DK '!D$40,AND($C35="Electric passenger train",$D35="Nearly full"),$E35*'DK '!D$41,AND($C35="Diesel passenger train",$D35="Almost empty"),$E35*'DK '!D$47,AND($C35="Diesel passenger train",$D35="Average"),$E35*'DK '!D$48,AND($C35="Diesel passenger train",$D35="Nearly full"),$E35*'DK '!D$49,AND($C35="Walking"),$E35*0,AND($C35="Bike"),$E35*0,AND($C35="Plane - domestic flight"),$E35*'DK '!$C59,AND($C35="Plane - international - intra EU"),$E35*'DK '!$C61,AND($C35="Plane - international (extra EU)"),$E35*'DK '!$C63)</f>
        <v>#N/A</v>
      </c>
      <c r="H35" s="145"/>
      <c r="I35" s="148">
        <f t="shared" si="6"/>
        <v>0</v>
      </c>
      <c r="J35" s="146" t="e" cm="1">
        <f t="array" ref="J35">_xlfn.IFS(C35="Fuel car",C35*DATA!$C$17,C35="Electric car",C35*DATA!$F$9,C35="Hybrid car",I35*(0.5*DATA!$C$17+0.5*DATA!$F$9))</f>
        <v>#N/A</v>
      </c>
      <c r="L35" s="223"/>
      <c r="M35" s="224"/>
      <c r="N35" s="225"/>
    </row>
    <row r="36" spans="1:14" ht="16" thickBot="1" x14ac:dyDescent="0.25">
      <c r="A36" s="222"/>
      <c r="B36" s="30"/>
      <c r="C36" s="15"/>
      <c r="D36" s="15"/>
      <c r="E36" s="15"/>
      <c r="F36" s="123" t="e" cm="1">
        <f t="array" ref="F36">_xlfn.IFS(AND($C36="Fuel car",$D36=1),$E36*'DK '!C$7,AND($C36="Fuel car",$D36=2),$E36*'DK '!C$8,AND($C36="Fuel car",$D36=3),$E36*'DK '!C$9,AND($C36="Fuel car",$D36=4),$E36*'DK '!C$10,AND($C36="Fuel car",$D36=5),$E36*'DK '!C$11,AND($C36="Motorcycle",$D36=1),$E36*'DK '!C$13,AND($C36="Motorcycle",$D36=2),$E36*'DK '!C$14,AND($C36="Electric car",$D36=1),$E36*'DK '!C$16,AND($C36="Electric car",$D36=2),$E36*'DK '!C$17,AND($C36="Electric car",$D36=3),$E36*'DK '!C$18,AND($C36="Electric car",$D36=4),$E36*'DK '!C$19,AND($C36="Electric car",$D36=5),$E36*'DK '!C$20,AND($C36="Hybrid car",$D36=1),$E36*'DK '!C$22,AND($C36="Hybrid car",$D36=2),$E36*'DK '!C$23,AND($C36="Hybrid car",$D36=3),$E36*'DK '!C$24,AND($C36="Hybrid car",$D36=4),$E36*'DK '!C$25,AND($C36="Hybrid car",$D36=5),$E36*'DK '!C$26,AND($C36="Electric motorcycle",$D36=1),$E36*'DK '!C$28,AND($C36="Electric motorcycle",$D36=2),$E36*'DK '!C$29,AND($C36="Electric bike",$D36=1),$E36*'DK '!C$31,AND($C36="Electric scooter",$D36=1),$E36*'DK '!C$33,AND($C36="Bus",$D36="Almost empty"),$E36*'DK '!H$23,AND($C36="Bus",$D36="Average"),$E36*'DK '!H$24,AND($C36="Bus",$D36="Nearly full"),$E36*'DK '!H$25,AND($C36="Electric bus",$D36="Almost empty"),$E36*'DK '!H$7,AND($C36="Electric bus",$D36="Average"),$E36*'DK '!H$8,AND($C36="Electric bus",$D36="Nearly full"),$E36*'DK '!H$9,AND($C36="Diesel bus",$D36="Almost empty"),$E36*'DK '!H$19,AND($C36="Diesel bus",$D36="Average"),$E36*'DK '!H$20,AND($C36="Diesel bus",$D36="Nearly full"),$E36*'DK '!H$21,AND($C36="Hybrid-electric bus",$D36="Almost empty"),$E36*'DK '!H$11,AND($C36="Hybrid-electric bus",$D36="Average"),$E36*'DK '!H$12,AND($C36="Hybrid-electric bus",$D36="Nearly full"),$E36*'DK '!H$13,AND($C36="Alternative fuel bus",$D36="Almost empty"),$E36*'DK '!H$15,AND($C36="Alternative fuel bus",$D36="Average"),$E36*'DK '!H$16,AND($C36="Alternative fuel bus",$D36="Nearly full"),$E36*'DK '!H$17,AND($C36="Metro, tram, urban light train",$D36="Almost empty"),$E36*'DK '!C$35,AND($C36="Metro, tram, urban light train",$D36="Average"),$E36*'DK '!C$36,AND($C36="Metro, tram, urban light train",$D36="Nearly full"),$E36*'DK '!C$37,AND($C36="Electric passenger train",$D36="Almost empty"),$E36*'DK '!C$39,AND($C36="Electric passenger train",$D36="Average"),$E36*'DK '!C$40,AND($C36="Electric passenger train",$D36="Nearly full"),$E36*'DK '!C$41,AND($C36="Diesel passenger train",$D36="Almost empty"),$E36*'DK '!C$47,AND($C36="Diesel passenger train",$D36="Average"),$E36*'DK '!C$48,AND($C36="Diesel passenger train",$D36="Nearly full"),$E36*'DK '!C$49,AND($C36="Walking"),$E36*0,AND($C36="Bike"),$E36*0,AND($C36="Plane - domestic flight"),$E36*'DK '!$C60,AND($C36="Plane - international - intra EU"),$E36*'DK '!$C62,AND($C36="Plane - international (extra EU)"),$E36*'DK '!$C64)</f>
        <v>#N/A</v>
      </c>
      <c r="G36" s="31" t="e" cm="1">
        <f t="array" ref="G36">_xlfn.IFS(AND($C36="Fuel car",$D36=1),$E36*'DK '!D$7,AND($C36="Fuel car",$D36=2),$E36*'DK '!D$8,AND($C36="Fuel car",$D36=3),$E36*'DK '!D$9,AND($C36="Fuel car",$D36=4),$E36*'DK '!D$10,AND($C36="Fuel car",$D36=5),$E36*'DK '!D$11,AND($C36="Motorcycle",$D36=1),$E36*'DK '!D$13,AND($C36="Motorcycle",$D36=2),$E36*'DK '!D$14,AND($C36="Electric car",$D36=1),$E36*'DK '!D$16,AND($C36="Electric car",$D36=2),$E36*'DK '!D$17,AND($C36="Electric car",$D36=3),$E36*'DK '!D$18,AND($C36="Electric car",$D36=4),$E36*'DK '!D$19,AND($C36="Electric car",$D36=5),$E36*'DK '!D$20,AND($C36="Hybrid car",$D36=1),$E36*'DK '!D$22,AND($C36="Hybrid car",$D36=2),$E36*'DK '!D$23,AND($C36="Hybrid car",$D36=3),$E36*'DK '!D$24,AND($C36="Hybrid car",$D36=4),$E36*'DK '!D$25,AND($C36="Hybrid car",$D36=5),$E36*'DK '!D$26,AND($C36="Electric motorcycle",$D36=1),$E36*'DK '!D$28,AND($C36="Electric motorcycle",$D36=2),$E36*'DK '!D$29,AND($C36="Electric bike",$D36=1),$E36*'DK '!D$31,AND($C36="Electric scooter",$D36=1),$E36*'DK '!D$33,AND($C36="Bus",$D36="Almost empty"),$E36*'DK '!I$23,AND($C36="Bus",$D36="Average"),$E36*'DK '!I$24,AND($C36="Bus",$D36="Nearly full"),$E36*'DK '!I$25,AND($C36="Electric bus",$D36="Almost empty"),$E36*'DK '!I$7,AND($C36="Electric bus",$D36="Average"),$E36*'DK '!I$8,AND($C36="Electric bus",$D36="Nearly full"),$E36*'DK '!I$9,AND($C36="Diesel bus",$D36="Almost empty"),$E36*'DK '!I$19,AND($C36="Diesel bus",$D36="Average"),$E36*'DK '!I$20,AND($C36="Diesel bus",$D36="Nearly full"),$E36*'DK '!I$21,AND($C36="Hybrid-electric bus",$D36="Almost empty"),$E36*'DK '!I$11,AND($C36="Hybrid-electric bus",$D36="Average"),$E36*'DK '!I$12,AND($C36="Hybrid-electric bus",$D36="Nearly full"),$E36*'DK '!I$13,AND($C36="Alternative fuel bus",$D36="Almost empty"),$E36*'DK '!I$15,AND($C36="Alternative fuel bus",$D36="Average"),$E36*'DK '!I$16,AND($C36="Alternative fuel bus",$D36="Nearly full"),$E36*'DK '!I$17,AND($C36="Metro, tram, urban light train",$D36="Almost empty"),$E36*'DK '!D$35,AND($C36="Metro, tram, urban light train",$D36="Average"),$E36*'DK '!D$36,AND($C36="Metro, tram, urban light train",$D36="Nearly full"),$E36*'DK '!D$37,AND($C36="Electric passenger train",$D36="Almost empty"),$E36*'DK '!D$39,AND($C36="Electric passenger train",$D36="Average"),$E36*'DK '!D$40,AND($C36="Electric passenger train",$D36="Nearly full"),$E36*'DK '!D$41,AND($C36="Diesel passenger train",$D36="Almost empty"),$E36*'DK '!D$47,AND($C36="Diesel passenger train",$D36="Average"),$E36*'DK '!D$48,AND($C36="Diesel passenger train",$D36="Nearly full"),$E36*'DK '!D$49,AND($C36="Walking"),$E36*0,AND($C36="Bike"),$E36*0,AND($C36="Plane - domestic flight"),$E36*'DK '!$C60,AND($C36="Plane - international - intra EU"),$E36*'DK '!$C62,AND($C36="Plane - international (extra EU)"),$E36*'DK '!$C64)</f>
        <v>#N/A</v>
      </c>
      <c r="H36" s="145"/>
      <c r="I36" s="148">
        <f t="shared" si="6"/>
        <v>0</v>
      </c>
      <c r="J36" s="146" t="e" cm="1">
        <f t="array" ref="J36">_xlfn.IFS(C36="Fuel car",C36*DATA!$C$17,C36="Electric car",C36*DATA!$F$9,C36="Hybrid car",I36*(0.5*DATA!$C$17+0.5*DATA!$F$9))</f>
        <v>#N/A</v>
      </c>
      <c r="L36" s="218"/>
      <c r="M36" s="219"/>
      <c r="N36" s="220"/>
    </row>
    <row r="37" spans="1:14" ht="14.5" customHeight="1" x14ac:dyDescent="0.2">
      <c r="A37" s="222"/>
      <c r="B37" s="30"/>
      <c r="C37" s="15"/>
      <c r="D37" s="15"/>
      <c r="E37" s="15"/>
      <c r="F37" s="123" t="e" cm="1">
        <f t="array" ref="F37">_xlfn.IFS(AND($C37="Fuel car",$D37=1),$E37*'DK '!C$7,AND($C37="Fuel car",$D37=2),$E37*'DK '!C$8,AND($C37="Fuel car",$D37=3),$E37*'DK '!C$9,AND($C37="Fuel car",$D37=4),$E37*'DK '!C$10,AND($C37="Fuel car",$D37=5),$E37*'DK '!C$11,AND($C37="Motorcycle",$D37=1),$E37*'DK '!C$13,AND($C37="Motorcycle",$D37=2),$E37*'DK '!C$14,AND($C37="Electric car",$D37=1),$E37*'DK '!C$16,AND($C37="Electric car",$D37=2),$E37*'DK '!C$17,AND($C37="Electric car",$D37=3),$E37*'DK '!C$18,AND($C37="Electric car",$D37=4),$E37*'DK '!C$19,AND($C37="Electric car",$D37=5),$E37*'DK '!C$20,AND($C37="Hybrid car",$D37=1),$E37*'DK '!C$22,AND($C37="Hybrid car",$D37=2),$E37*'DK '!C$23,AND($C37="Hybrid car",$D37=3),$E37*'DK '!C$24,AND($C37="Hybrid car",$D37=4),$E37*'DK '!C$25,AND($C37="Hybrid car",$D37=5),$E37*'DK '!C$26,AND($C37="Electric motorcycle",$D37=1),$E37*'DK '!C$28,AND($C37="Electric motorcycle",$D37=2),$E37*'DK '!C$29,AND($C37="Electric bike",$D37=1),$E37*'DK '!C$31,AND($C37="Electric scooter",$D37=1),$E37*'DK '!C$33,AND($C37="Bus",$D37="Almost empty"),$E37*'DK '!H$23,AND($C37="Bus",$D37="Average"),$E37*'DK '!H$24,AND($C37="Bus",$D37="Nearly full"),$E37*'DK '!H$25,AND($C37="Electric bus",$D37="Almost empty"),$E37*'DK '!H$7,AND($C37="Electric bus",$D37="Average"),$E37*'DK '!H$8,AND($C37="Electric bus",$D37="Nearly full"),$E37*'DK '!H$9,AND($C37="Diesel bus",$D37="Almost empty"),$E37*'DK '!H$19,AND($C37="Diesel bus",$D37="Average"),$E37*'DK '!H$20,AND($C37="Diesel bus",$D37="Nearly full"),$E37*'DK '!H$21,AND($C37="Hybrid-electric bus",$D37="Almost empty"),$E37*'DK '!H$11,AND($C37="Hybrid-electric bus",$D37="Average"),$E37*'DK '!H$12,AND($C37="Hybrid-electric bus",$D37="Nearly full"),$E37*'DK '!H$13,AND($C37="Alternative fuel bus",$D37="Almost empty"),$E37*'DK '!H$15,AND($C37="Alternative fuel bus",$D37="Average"),$E37*'DK '!H$16,AND($C37="Alternative fuel bus",$D37="Nearly full"),$E37*'DK '!H$17,AND($C37="Metro, tram, urban light train",$D37="Almost empty"),$E37*'DK '!C$35,AND($C37="Metro, tram, urban light train",$D37="Average"),$E37*'DK '!C$36,AND($C37="Metro, tram, urban light train",$D37="Nearly full"),$E37*'DK '!C$37,AND($C37="Electric passenger train",$D37="Almost empty"),$E37*'DK '!C$39,AND($C37="Electric passenger train",$D37="Average"),$E37*'DK '!C$40,AND($C37="Electric passenger train",$D37="Nearly full"),$E37*'DK '!C$41,AND($C37="Diesel passenger train",$D37="Almost empty"),$E37*'DK '!C$47,AND($C37="Diesel passenger train",$D37="Average"),$E37*'DK '!C$48,AND($C37="Diesel passenger train",$D37="Nearly full"),$E37*'DK '!C$49,AND($C37="Walking"),$E37*0,AND($C37="Bike"),$E37*0,AND($C37="Plane - domestic flight"),$E37*'DK '!$C61,AND($C37="Plane - international - intra EU"),$E37*'DK '!$C63,AND($C37="Plane - international (extra EU)"),$E37*'DK '!$C65)</f>
        <v>#N/A</v>
      </c>
      <c r="G37" s="31" t="e" cm="1">
        <f t="array" ref="G37">_xlfn.IFS(AND($C37="Fuel car",$D37=1),$E37*'DK '!D$7,AND($C37="Fuel car",$D37=2),$E37*'DK '!D$8,AND($C37="Fuel car",$D37=3),$E37*'DK '!D$9,AND($C37="Fuel car",$D37=4),$E37*'DK '!D$10,AND($C37="Fuel car",$D37=5),$E37*'DK '!D$11,AND($C37="Motorcycle",$D37=1),$E37*'DK '!D$13,AND($C37="Motorcycle",$D37=2),$E37*'DK '!D$14,AND($C37="Electric car",$D37=1),$E37*'DK '!D$16,AND($C37="Electric car",$D37=2),$E37*'DK '!D$17,AND($C37="Electric car",$D37=3),$E37*'DK '!D$18,AND($C37="Electric car",$D37=4),$E37*'DK '!D$19,AND($C37="Electric car",$D37=5),$E37*'DK '!D$20,AND($C37="Hybrid car",$D37=1),$E37*'DK '!D$22,AND($C37="Hybrid car",$D37=2),$E37*'DK '!D$23,AND($C37="Hybrid car",$D37=3),$E37*'DK '!D$24,AND($C37="Hybrid car",$D37=4),$E37*'DK '!D$25,AND($C37="Hybrid car",$D37=5),$E37*'DK '!D$26,AND($C37="Electric motorcycle",$D37=1),$E37*'DK '!D$28,AND($C37="Electric motorcycle",$D37=2),$E37*'DK '!D$29,AND($C37="Electric bike",$D37=1),$E37*'DK '!D$31,AND($C37="Electric scooter",$D37=1),$E37*'DK '!D$33,AND($C37="Bus",$D37="Almost empty"),$E37*'DK '!I$23,AND($C37="Bus",$D37="Average"),$E37*'DK '!I$24,AND($C37="Bus",$D37="Nearly full"),$E37*'DK '!I$25,AND($C37="Electric bus",$D37="Almost empty"),$E37*'DK '!I$7,AND($C37="Electric bus",$D37="Average"),$E37*'DK '!I$8,AND($C37="Electric bus",$D37="Nearly full"),$E37*'DK '!I$9,AND($C37="Diesel bus",$D37="Almost empty"),$E37*'DK '!I$19,AND($C37="Diesel bus",$D37="Average"),$E37*'DK '!I$20,AND($C37="Diesel bus",$D37="Nearly full"),$E37*'DK '!I$21,AND($C37="Hybrid-electric bus",$D37="Almost empty"),$E37*'DK '!I$11,AND($C37="Hybrid-electric bus",$D37="Average"),$E37*'DK '!I$12,AND($C37="Hybrid-electric bus",$D37="Nearly full"),$E37*'DK '!I$13,AND($C37="Alternative fuel bus",$D37="Almost empty"),$E37*'DK '!I$15,AND($C37="Alternative fuel bus",$D37="Average"),$E37*'DK '!I$16,AND($C37="Alternative fuel bus",$D37="Nearly full"),$E37*'DK '!I$17,AND($C37="Metro, tram, urban light train",$D37="Almost empty"),$E37*'DK '!D$35,AND($C37="Metro, tram, urban light train",$D37="Average"),$E37*'DK '!D$36,AND($C37="Metro, tram, urban light train",$D37="Nearly full"),$E37*'DK '!D$37,AND($C37="Electric passenger train",$D37="Almost empty"),$E37*'DK '!D$39,AND($C37="Electric passenger train",$D37="Average"),$E37*'DK '!D$40,AND($C37="Electric passenger train",$D37="Nearly full"),$E37*'DK '!D$41,AND($C37="Diesel passenger train",$D37="Almost empty"),$E37*'DK '!D$47,AND($C37="Diesel passenger train",$D37="Average"),$E37*'DK '!D$48,AND($C37="Diesel passenger train",$D37="Nearly full"),$E37*'DK '!D$49,AND($C37="Walking"),$E37*0,AND($C37="Bike"),$E37*0,AND($C37="Plane - domestic flight"),$E37*'DK '!$C61,AND($C37="Plane - international - intra EU"),$E37*'DK '!$C63,AND($C37="Plane - international (extra EU)"),$E37*'DK '!$C65)</f>
        <v>#N/A</v>
      </c>
      <c r="H37" s="145"/>
      <c r="I37" s="148">
        <f t="shared" si="6"/>
        <v>0</v>
      </c>
      <c r="J37" s="146" t="e" cm="1">
        <f t="array" ref="J37">_xlfn.IFS(C37="Fuel car",C37*DATA!$C$17,C37="Electric car",C37*DATA!$F$9,C37="Hybrid car",I37*(0.5*DATA!$C$17+0.5*DATA!$F$9))</f>
        <v>#N/A</v>
      </c>
      <c r="L37" s="215" t="s">
        <v>79</v>
      </c>
      <c r="M37" s="216"/>
      <c r="N37" s="217"/>
    </row>
    <row r="38" spans="1:14" ht="16" thickBot="1" x14ac:dyDescent="0.25">
      <c r="A38" s="222"/>
      <c r="B38" s="30"/>
      <c r="C38" s="15"/>
      <c r="D38" s="15"/>
      <c r="E38" s="15"/>
      <c r="F38" s="123" t="e" cm="1">
        <f t="array" ref="F38">_xlfn.IFS(AND($C38="Fuel car",$D38=1),$E38*'DK '!C$7,AND($C38="Fuel car",$D38=2),$E38*'DK '!C$8,AND($C38="Fuel car",$D38=3),$E38*'DK '!C$9,AND($C38="Fuel car",$D38=4),$E38*'DK '!C$10,AND($C38="Fuel car",$D38=5),$E38*'DK '!C$11,AND($C38="Motorcycle",$D38=1),$E38*'DK '!C$13,AND($C38="Motorcycle",$D38=2),$E38*'DK '!C$14,AND($C38="Electric car",$D38=1),$E38*'DK '!C$16,AND($C38="Electric car",$D38=2),$E38*'DK '!C$17,AND($C38="Electric car",$D38=3),$E38*'DK '!C$18,AND($C38="Electric car",$D38=4),$E38*'DK '!C$19,AND($C38="Electric car",$D38=5),$E38*'DK '!C$20,AND($C38="Hybrid car",$D38=1),$E38*'DK '!C$22,AND($C38="Hybrid car",$D38=2),$E38*'DK '!C$23,AND($C38="Hybrid car",$D38=3),$E38*'DK '!C$24,AND($C38="Hybrid car",$D38=4),$E38*'DK '!C$25,AND($C38="Hybrid car",$D38=5),$E38*'DK '!C$26,AND($C38="Electric motorcycle",$D38=1),$E38*'DK '!C$28,AND($C38="Electric motorcycle",$D38=2),$E38*'DK '!C$29,AND($C38="Electric bike",$D38=1),$E38*'DK '!C$31,AND($C38="Electric scooter",$D38=1),$E38*'DK '!C$33,AND($C38="Bus",$D38="Almost empty"),$E38*'DK '!H$23,AND($C38="Bus",$D38="Average"),$E38*'DK '!H$24,AND($C38="Bus",$D38="Nearly full"),$E38*'DK '!H$25,AND($C38="Electric bus",$D38="Almost empty"),$E38*'DK '!H$7,AND($C38="Electric bus",$D38="Average"),$E38*'DK '!H$8,AND($C38="Electric bus",$D38="Nearly full"),$E38*'DK '!H$9,AND($C38="Diesel bus",$D38="Almost empty"),$E38*'DK '!H$19,AND($C38="Diesel bus",$D38="Average"),$E38*'DK '!H$20,AND($C38="Diesel bus",$D38="Nearly full"),$E38*'DK '!H$21,AND($C38="Hybrid-electric bus",$D38="Almost empty"),$E38*'DK '!H$11,AND($C38="Hybrid-electric bus",$D38="Average"),$E38*'DK '!H$12,AND($C38="Hybrid-electric bus",$D38="Nearly full"),$E38*'DK '!H$13,AND($C38="Alternative fuel bus",$D38="Almost empty"),$E38*'DK '!H$15,AND($C38="Alternative fuel bus",$D38="Average"),$E38*'DK '!H$16,AND($C38="Alternative fuel bus",$D38="Nearly full"),$E38*'DK '!H$17,AND($C38="Metro, tram, urban light train",$D38="Almost empty"),$E38*'DK '!C$35,AND($C38="Metro, tram, urban light train",$D38="Average"),$E38*'DK '!C$36,AND($C38="Metro, tram, urban light train",$D38="Nearly full"),$E38*'DK '!C$37,AND($C38="Electric passenger train",$D38="Almost empty"),$E38*'DK '!C$39,AND($C38="Electric passenger train",$D38="Average"),$E38*'DK '!C$40,AND($C38="Electric passenger train",$D38="Nearly full"),$E38*'DK '!C$41,AND($C38="Diesel passenger train",$D38="Almost empty"),$E38*'DK '!C$47,AND($C38="Diesel passenger train",$D38="Average"),$E38*'DK '!C$48,AND($C38="Diesel passenger train",$D38="Nearly full"),$E38*'DK '!C$49,AND($C38="Walking"),$E38*0,AND($C38="Bike"),$E38*0,AND($C38="Plane - domestic flight"),$E38*'DK '!$C62,AND($C38="Plane - international - intra EU"),$E38*'DK '!$C64,AND($C38="Plane - international (extra EU)"),$E38*'DK '!$C66)</f>
        <v>#N/A</v>
      </c>
      <c r="G38" s="31" t="e" cm="1">
        <f t="array" ref="G38">_xlfn.IFS(AND($C38="Fuel car",$D38=1),$E38*'DK '!D$7,AND($C38="Fuel car",$D38=2),$E38*'DK '!D$8,AND($C38="Fuel car",$D38=3),$E38*'DK '!D$9,AND($C38="Fuel car",$D38=4),$E38*'DK '!D$10,AND($C38="Fuel car",$D38=5),$E38*'DK '!D$11,AND($C38="Motorcycle",$D38=1),$E38*'DK '!D$13,AND($C38="Motorcycle",$D38=2),$E38*'DK '!D$14,AND($C38="Electric car",$D38=1),$E38*'DK '!D$16,AND($C38="Electric car",$D38=2),$E38*'DK '!D$17,AND($C38="Electric car",$D38=3),$E38*'DK '!D$18,AND($C38="Electric car",$D38=4),$E38*'DK '!D$19,AND($C38="Electric car",$D38=5),$E38*'DK '!D$20,AND($C38="Hybrid car",$D38=1),$E38*'DK '!D$22,AND($C38="Hybrid car",$D38=2),$E38*'DK '!D$23,AND($C38="Hybrid car",$D38=3),$E38*'DK '!D$24,AND($C38="Hybrid car",$D38=4),$E38*'DK '!D$25,AND($C38="Hybrid car",$D38=5),$E38*'DK '!D$26,AND($C38="Electric motorcycle",$D38=1),$E38*'DK '!D$28,AND($C38="Electric motorcycle",$D38=2),$E38*'DK '!D$29,AND($C38="Electric bike",$D38=1),$E38*'DK '!D$31,AND($C38="Electric scooter",$D38=1),$E38*'DK '!D$33,AND($C38="Bus",$D38="Almost empty"),$E38*'DK '!I$23,AND($C38="Bus",$D38="Average"),$E38*'DK '!I$24,AND($C38="Bus",$D38="Nearly full"),$E38*'DK '!I$25,AND($C38="Electric bus",$D38="Almost empty"),$E38*'DK '!I$7,AND($C38="Electric bus",$D38="Average"),$E38*'DK '!I$8,AND($C38="Electric bus",$D38="Nearly full"),$E38*'DK '!I$9,AND($C38="Diesel bus",$D38="Almost empty"),$E38*'DK '!I$19,AND($C38="Diesel bus",$D38="Average"),$E38*'DK '!I$20,AND($C38="Diesel bus",$D38="Nearly full"),$E38*'DK '!I$21,AND($C38="Hybrid-electric bus",$D38="Almost empty"),$E38*'DK '!I$11,AND($C38="Hybrid-electric bus",$D38="Average"),$E38*'DK '!I$12,AND($C38="Hybrid-electric bus",$D38="Nearly full"),$E38*'DK '!I$13,AND($C38="Alternative fuel bus",$D38="Almost empty"),$E38*'DK '!I$15,AND($C38="Alternative fuel bus",$D38="Average"),$E38*'DK '!I$16,AND($C38="Alternative fuel bus",$D38="Nearly full"),$E38*'DK '!I$17,AND($C38="Metro, tram, urban light train",$D38="Almost empty"),$E38*'DK '!D$35,AND($C38="Metro, tram, urban light train",$D38="Average"),$E38*'DK '!D$36,AND($C38="Metro, tram, urban light train",$D38="Nearly full"),$E38*'DK '!D$37,AND($C38="Electric passenger train",$D38="Almost empty"),$E38*'DK '!D$39,AND($C38="Electric passenger train",$D38="Average"),$E38*'DK '!D$40,AND($C38="Electric passenger train",$D38="Nearly full"),$E38*'DK '!D$41,AND($C38="Diesel passenger train",$D38="Almost empty"),$E38*'DK '!D$47,AND($C38="Diesel passenger train",$D38="Average"),$E38*'DK '!D$48,AND($C38="Diesel passenger train",$D38="Nearly full"),$E38*'DK '!D$49,AND($C38="Walking"),$E38*0,AND($C38="Bike"),$E38*0,AND($C38="Plane - domestic flight"),$E38*'DK '!$C62,AND($C38="Plane - international - intra EU"),$E38*'DK '!$C64,AND($C38="Plane - international (extra EU)"),$E38*'DK '!$C66)</f>
        <v>#N/A</v>
      </c>
      <c r="H38" s="145"/>
      <c r="I38" s="148">
        <f t="shared" si="6"/>
        <v>0</v>
      </c>
      <c r="J38" s="146" t="e" cm="1">
        <f t="array" ref="J38">_xlfn.IFS(C38="Fuel car",C38*DATA!$C$17,C38="Electric car",C38*DATA!$F$9,C38="Hybrid car",I38*(0.5*DATA!$C$17+0.5*DATA!$F$9))</f>
        <v>#N/A</v>
      </c>
      <c r="L38" s="218"/>
      <c r="M38" s="219"/>
      <c r="N38" s="220"/>
    </row>
    <row r="39" spans="1:14" ht="14.5" customHeight="1" x14ac:dyDescent="0.2">
      <c r="A39" s="222"/>
      <c r="B39" s="30"/>
      <c r="C39" s="15"/>
      <c r="D39" s="15"/>
      <c r="E39" s="15"/>
      <c r="F39" s="123" t="e" cm="1">
        <f t="array" ref="F39">_xlfn.IFS(AND($C39="Fuel car",$D39=1),$E39*'DK '!C$7,AND($C39="Fuel car",$D39=2),$E39*'DK '!C$8,AND($C39="Fuel car",$D39=3),$E39*'DK '!C$9,AND($C39="Fuel car",$D39=4),$E39*'DK '!C$10,AND($C39="Fuel car",$D39=5),$E39*'DK '!C$11,AND($C39="Motorcycle",$D39=1),$E39*'DK '!C$13,AND($C39="Motorcycle",$D39=2),$E39*'DK '!C$14,AND($C39="Electric car",$D39=1),$E39*'DK '!C$16,AND($C39="Electric car",$D39=2),$E39*'DK '!C$17,AND($C39="Electric car",$D39=3),$E39*'DK '!C$18,AND($C39="Electric car",$D39=4),$E39*'DK '!C$19,AND($C39="Electric car",$D39=5),$E39*'DK '!C$20,AND($C39="Hybrid car",$D39=1),$E39*'DK '!C$22,AND($C39="Hybrid car",$D39=2),$E39*'DK '!C$23,AND($C39="Hybrid car",$D39=3),$E39*'DK '!C$24,AND($C39="Hybrid car",$D39=4),$E39*'DK '!C$25,AND($C39="Hybrid car",$D39=5),$E39*'DK '!C$26,AND($C39="Electric motorcycle",$D39=1),$E39*'DK '!C$28,AND($C39="Electric motorcycle",$D39=2),$E39*'DK '!C$29,AND($C39="Electric bike",$D39=1),$E39*'DK '!C$31,AND($C39="Electric scooter",$D39=1),$E39*'DK '!C$33,AND($C39="Bus",$D39="Almost empty"),$E39*'DK '!H$23,AND($C39="Bus",$D39="Average"),$E39*'DK '!H$24,AND($C39="Bus",$D39="Nearly full"),$E39*'DK '!H$25,AND($C39="Electric bus",$D39="Almost empty"),$E39*'DK '!H$7,AND($C39="Electric bus",$D39="Average"),$E39*'DK '!H$8,AND($C39="Electric bus",$D39="Nearly full"),$E39*'DK '!H$9,AND($C39="Diesel bus",$D39="Almost empty"),$E39*'DK '!H$19,AND($C39="Diesel bus",$D39="Average"),$E39*'DK '!H$20,AND($C39="Diesel bus",$D39="Nearly full"),$E39*'DK '!H$21,AND($C39="Hybrid-electric bus",$D39="Almost empty"),$E39*'DK '!H$11,AND($C39="Hybrid-electric bus",$D39="Average"),$E39*'DK '!H$12,AND($C39="Hybrid-electric bus",$D39="Nearly full"),$E39*'DK '!H$13,AND($C39="Alternative fuel bus",$D39="Almost empty"),$E39*'DK '!H$15,AND($C39="Alternative fuel bus",$D39="Average"),$E39*'DK '!H$16,AND($C39="Alternative fuel bus",$D39="Nearly full"),$E39*'DK '!H$17,AND($C39="Metro, tram, urban light train",$D39="Almost empty"),$E39*'DK '!C$35,AND($C39="Metro, tram, urban light train",$D39="Average"),$E39*'DK '!C$36,AND($C39="Metro, tram, urban light train",$D39="Nearly full"),$E39*'DK '!C$37,AND($C39="Electric passenger train",$D39="Almost empty"),$E39*'DK '!C$39,AND($C39="Electric passenger train",$D39="Average"),$E39*'DK '!C$40,AND($C39="Electric passenger train",$D39="Nearly full"),$E39*'DK '!C$41,AND($C39="Diesel passenger train",$D39="Almost empty"),$E39*'DK '!C$47,AND($C39="Diesel passenger train",$D39="Average"),$E39*'DK '!C$48,AND($C39="Diesel passenger train",$D39="Nearly full"),$E39*'DK '!C$49,AND($C39="Walking"),$E39*0,AND($C39="Bike"),$E39*0,AND($C39="Plane - domestic flight"),$E39*'DK '!$C63,AND($C39="Plane - international - intra EU"),$E39*'DK '!$C65,AND($C39="Plane - international (extra EU)"),$E39*'DK '!$C67)</f>
        <v>#N/A</v>
      </c>
      <c r="G39" s="31" t="e" cm="1">
        <f t="array" ref="G39">_xlfn.IFS(AND($C39="Fuel car",$D39=1),$E39*'DK '!D$7,AND($C39="Fuel car",$D39=2),$E39*'DK '!D$8,AND($C39="Fuel car",$D39=3),$E39*'DK '!D$9,AND($C39="Fuel car",$D39=4),$E39*'DK '!D$10,AND($C39="Fuel car",$D39=5),$E39*'DK '!D$11,AND($C39="Motorcycle",$D39=1),$E39*'DK '!D$13,AND($C39="Motorcycle",$D39=2),$E39*'DK '!D$14,AND($C39="Electric car",$D39=1),$E39*'DK '!D$16,AND($C39="Electric car",$D39=2),$E39*'DK '!D$17,AND($C39="Electric car",$D39=3),$E39*'DK '!D$18,AND($C39="Electric car",$D39=4),$E39*'DK '!D$19,AND($C39="Electric car",$D39=5),$E39*'DK '!D$20,AND($C39="Hybrid car",$D39=1),$E39*'DK '!D$22,AND($C39="Hybrid car",$D39=2),$E39*'DK '!D$23,AND($C39="Hybrid car",$D39=3),$E39*'DK '!D$24,AND($C39="Hybrid car",$D39=4),$E39*'DK '!D$25,AND($C39="Hybrid car",$D39=5),$E39*'DK '!D$26,AND($C39="Electric motorcycle",$D39=1),$E39*'DK '!D$28,AND($C39="Electric motorcycle",$D39=2),$E39*'DK '!D$29,AND($C39="Electric bike",$D39=1),$E39*'DK '!D$31,AND($C39="Electric scooter",$D39=1),$E39*'DK '!D$33,AND($C39="Bus",$D39="Almost empty"),$E39*'DK '!I$23,AND($C39="Bus",$D39="Average"),$E39*'DK '!I$24,AND($C39="Bus",$D39="Nearly full"),$E39*'DK '!I$25,AND($C39="Electric bus",$D39="Almost empty"),$E39*'DK '!I$7,AND($C39="Electric bus",$D39="Average"),$E39*'DK '!I$8,AND($C39="Electric bus",$D39="Nearly full"),$E39*'DK '!I$9,AND($C39="Diesel bus",$D39="Almost empty"),$E39*'DK '!I$19,AND($C39="Diesel bus",$D39="Average"),$E39*'DK '!I$20,AND($C39="Diesel bus",$D39="Nearly full"),$E39*'DK '!I$21,AND($C39="Hybrid-electric bus",$D39="Almost empty"),$E39*'DK '!I$11,AND($C39="Hybrid-electric bus",$D39="Average"),$E39*'DK '!I$12,AND($C39="Hybrid-electric bus",$D39="Nearly full"),$E39*'DK '!I$13,AND($C39="Alternative fuel bus",$D39="Almost empty"),$E39*'DK '!I$15,AND($C39="Alternative fuel bus",$D39="Average"),$E39*'DK '!I$16,AND($C39="Alternative fuel bus",$D39="Nearly full"),$E39*'DK '!I$17,AND($C39="Metro, tram, urban light train",$D39="Almost empty"),$E39*'DK '!D$35,AND($C39="Metro, tram, urban light train",$D39="Average"),$E39*'DK '!D$36,AND($C39="Metro, tram, urban light train",$D39="Nearly full"),$E39*'DK '!D$37,AND($C39="Electric passenger train",$D39="Almost empty"),$E39*'DK '!D$39,AND($C39="Electric passenger train",$D39="Average"),$E39*'DK '!D$40,AND($C39="Electric passenger train",$D39="Nearly full"),$E39*'DK '!D$41,AND($C39="Diesel passenger train",$D39="Almost empty"),$E39*'DK '!D$47,AND($C39="Diesel passenger train",$D39="Average"),$E39*'DK '!D$48,AND($C39="Diesel passenger train",$D39="Nearly full"),$E39*'DK '!D$49,AND($C39="Walking"),$E39*0,AND($C39="Bike"),$E39*0,AND($C39="Plane - domestic flight"),$E39*'DK '!$C63,AND($C39="Plane - international - intra EU"),$E39*'DK '!$C65,AND($C39="Plane - international (extra EU)"),$E39*'DK '!$C67)</f>
        <v>#N/A</v>
      </c>
      <c r="H39" s="145"/>
      <c r="I39" s="148">
        <f t="shared" si="6"/>
        <v>0</v>
      </c>
      <c r="J39" s="146" t="e" cm="1">
        <f t="array" ref="J39">_xlfn.IFS(C39="Fuel car",C39*DATA!$C$17,C39="Electric car",C39*DATA!$F$9,C39="Hybrid car",I39*(0.5*DATA!$C$17+0.5*DATA!$F$9))</f>
        <v>#N/A</v>
      </c>
      <c r="L39" s="226" t="s">
        <v>80</v>
      </c>
      <c r="M39" s="227"/>
      <c r="N39" s="228"/>
    </row>
    <row r="40" spans="1:14" x14ac:dyDescent="0.2">
      <c r="A40" s="222"/>
      <c r="B40" s="30"/>
      <c r="C40" s="15"/>
      <c r="D40" s="15"/>
      <c r="E40" s="15"/>
      <c r="F40" s="123" t="e" cm="1">
        <f t="array" ref="F40">_xlfn.IFS(AND($C40="Fuel car",$D40=1),$E40*'DK '!C$7,AND($C40="Fuel car",$D40=2),$E40*'DK '!C$8,AND($C40="Fuel car",$D40=3),$E40*'DK '!C$9,AND($C40="Fuel car",$D40=4),$E40*'DK '!C$10,AND($C40="Fuel car",$D40=5),$E40*'DK '!C$11,AND($C40="Motorcycle",$D40=1),$E40*'DK '!C$13,AND($C40="Motorcycle",$D40=2),$E40*'DK '!C$14,AND($C40="Electric car",$D40=1),$E40*'DK '!C$16,AND($C40="Electric car",$D40=2),$E40*'DK '!C$17,AND($C40="Electric car",$D40=3),$E40*'DK '!C$18,AND($C40="Electric car",$D40=4),$E40*'DK '!C$19,AND($C40="Electric car",$D40=5),$E40*'DK '!C$20,AND($C40="Hybrid car",$D40=1),$E40*'DK '!C$22,AND($C40="Hybrid car",$D40=2),$E40*'DK '!C$23,AND($C40="Hybrid car",$D40=3),$E40*'DK '!C$24,AND($C40="Hybrid car",$D40=4),$E40*'DK '!C$25,AND($C40="Hybrid car",$D40=5),$E40*'DK '!C$26,AND($C40="Electric motorcycle",$D40=1),$E40*'DK '!C$28,AND($C40="Electric motorcycle",$D40=2),$E40*'DK '!C$29,AND($C40="Electric bike",$D40=1),$E40*'DK '!C$31,AND($C40="Electric scooter",$D40=1),$E40*'DK '!C$33,AND($C40="Bus",$D40="Almost empty"),$E40*'DK '!H$23,AND($C40="Bus",$D40="Average"),$E40*'DK '!H$24,AND($C40="Bus",$D40="Nearly full"),$E40*'DK '!H$25,AND($C40="Electric bus",$D40="Almost empty"),$E40*'DK '!H$7,AND($C40="Electric bus",$D40="Average"),$E40*'DK '!H$8,AND($C40="Electric bus",$D40="Nearly full"),$E40*'DK '!H$9,AND($C40="Diesel bus",$D40="Almost empty"),$E40*'DK '!H$19,AND($C40="Diesel bus",$D40="Average"),$E40*'DK '!H$20,AND($C40="Diesel bus",$D40="Nearly full"),$E40*'DK '!H$21,AND($C40="Hybrid-electric bus",$D40="Almost empty"),$E40*'DK '!H$11,AND($C40="Hybrid-electric bus",$D40="Average"),$E40*'DK '!H$12,AND($C40="Hybrid-electric bus",$D40="Nearly full"),$E40*'DK '!H$13,AND($C40="Alternative fuel bus",$D40="Almost empty"),$E40*'DK '!H$15,AND($C40="Alternative fuel bus",$D40="Average"),$E40*'DK '!H$16,AND($C40="Alternative fuel bus",$D40="Nearly full"),$E40*'DK '!H$17,AND($C40="Metro, tram, urban light train",$D40="Almost empty"),$E40*'DK '!C$35,AND($C40="Metro, tram, urban light train",$D40="Average"),$E40*'DK '!C$36,AND($C40="Metro, tram, urban light train",$D40="Nearly full"),$E40*'DK '!C$37,AND($C40="Electric passenger train",$D40="Almost empty"),$E40*'DK '!C$39,AND($C40="Electric passenger train",$D40="Average"),$E40*'DK '!C$40,AND($C40="Electric passenger train",$D40="Nearly full"),$E40*'DK '!C$41,AND($C40="Diesel passenger train",$D40="Almost empty"),$E40*'DK '!C$47,AND($C40="Diesel passenger train",$D40="Average"),$E40*'DK '!C$48,AND($C40="Diesel passenger train",$D40="Nearly full"),$E40*'DK '!C$49,AND($C40="Walking"),$E40*0,AND($C40="Bike"),$E40*0,AND($C40="Plane - domestic flight"),$E40*'DK '!$C64,AND($C40="Plane - international - intra EU"),$E40*'DK '!$C66,AND($C40="Plane - international (extra EU)"),$E40*'DK '!$C68)</f>
        <v>#N/A</v>
      </c>
      <c r="G40" s="31" t="e" cm="1">
        <f t="array" ref="G40">_xlfn.IFS(AND($C40="Fuel car",$D40=1),$E40*'DK '!D$7,AND($C40="Fuel car",$D40=2),$E40*'DK '!D$8,AND($C40="Fuel car",$D40=3),$E40*'DK '!D$9,AND($C40="Fuel car",$D40=4),$E40*'DK '!D$10,AND($C40="Fuel car",$D40=5),$E40*'DK '!D$11,AND($C40="Motorcycle",$D40=1),$E40*'DK '!D$13,AND($C40="Motorcycle",$D40=2),$E40*'DK '!D$14,AND($C40="Electric car",$D40=1),$E40*'DK '!D$16,AND($C40="Electric car",$D40=2),$E40*'DK '!D$17,AND($C40="Electric car",$D40=3),$E40*'DK '!D$18,AND($C40="Electric car",$D40=4),$E40*'DK '!D$19,AND($C40="Electric car",$D40=5),$E40*'DK '!D$20,AND($C40="Hybrid car",$D40=1),$E40*'DK '!D$22,AND($C40="Hybrid car",$D40=2),$E40*'DK '!D$23,AND($C40="Hybrid car",$D40=3),$E40*'DK '!D$24,AND($C40="Hybrid car",$D40=4),$E40*'DK '!D$25,AND($C40="Hybrid car",$D40=5),$E40*'DK '!D$26,AND($C40="Electric motorcycle",$D40=1),$E40*'DK '!D$28,AND($C40="Electric motorcycle",$D40=2),$E40*'DK '!D$29,AND($C40="Electric bike",$D40=1),$E40*'DK '!D$31,AND($C40="Electric scooter",$D40=1),$E40*'DK '!D$33,AND($C40="Bus",$D40="Almost empty"),$E40*'DK '!I$23,AND($C40="Bus",$D40="Average"),$E40*'DK '!I$24,AND($C40="Bus",$D40="Nearly full"),$E40*'DK '!I$25,AND($C40="Electric bus",$D40="Almost empty"),$E40*'DK '!I$7,AND($C40="Electric bus",$D40="Average"),$E40*'DK '!I$8,AND($C40="Electric bus",$D40="Nearly full"),$E40*'DK '!I$9,AND($C40="Diesel bus",$D40="Almost empty"),$E40*'DK '!I$19,AND($C40="Diesel bus",$D40="Average"),$E40*'DK '!I$20,AND($C40="Diesel bus",$D40="Nearly full"),$E40*'DK '!I$21,AND($C40="Hybrid-electric bus",$D40="Almost empty"),$E40*'DK '!I$11,AND($C40="Hybrid-electric bus",$D40="Average"),$E40*'DK '!I$12,AND($C40="Hybrid-electric bus",$D40="Nearly full"),$E40*'DK '!I$13,AND($C40="Alternative fuel bus",$D40="Almost empty"),$E40*'DK '!I$15,AND($C40="Alternative fuel bus",$D40="Average"),$E40*'DK '!I$16,AND($C40="Alternative fuel bus",$D40="Nearly full"),$E40*'DK '!I$17,AND($C40="Metro, tram, urban light train",$D40="Almost empty"),$E40*'DK '!D$35,AND($C40="Metro, tram, urban light train",$D40="Average"),$E40*'DK '!D$36,AND($C40="Metro, tram, urban light train",$D40="Nearly full"),$E40*'DK '!D$37,AND($C40="Electric passenger train",$D40="Almost empty"),$E40*'DK '!D$39,AND($C40="Electric passenger train",$D40="Average"),$E40*'DK '!D$40,AND($C40="Electric passenger train",$D40="Nearly full"),$E40*'DK '!D$41,AND($C40="Diesel passenger train",$D40="Almost empty"),$E40*'DK '!D$47,AND($C40="Diesel passenger train",$D40="Average"),$E40*'DK '!D$48,AND($C40="Diesel passenger train",$D40="Nearly full"),$E40*'DK '!D$49,AND($C40="Walking"),$E40*0,AND($C40="Bike"),$E40*0,AND($C40="Plane - domestic flight"),$E40*'DK '!$C64,AND($C40="Plane - international - intra EU"),$E40*'DK '!$C66,AND($C40="Plane - international (extra EU)"),$E40*'DK '!$C68)</f>
        <v>#N/A</v>
      </c>
      <c r="H40" s="145"/>
      <c r="I40" s="148">
        <f t="shared" si="6"/>
        <v>0</v>
      </c>
      <c r="J40" s="146" t="e" cm="1">
        <f t="array" ref="J40">_xlfn.IFS(C40="Fuel car",C40*DATA!$C$17,C40="Electric car",C40*DATA!$F$9,C40="Hybrid car",I40*(0.5*DATA!$C$17+0.5*DATA!$F$9))</f>
        <v>#N/A</v>
      </c>
      <c r="L40" s="229"/>
      <c r="M40" s="230"/>
      <c r="N40" s="231"/>
    </row>
    <row r="41" spans="1:14" ht="14.5" customHeight="1" x14ac:dyDescent="0.2">
      <c r="A41" s="222"/>
      <c r="B41" s="30"/>
      <c r="C41" s="15"/>
      <c r="D41" s="15"/>
      <c r="E41" s="15"/>
      <c r="F41" s="123" t="e" cm="1">
        <f t="array" ref="F41">_xlfn.IFS(AND($C41="Fuel car",$D41=1),$E41*'DK '!C$7,AND($C41="Fuel car",$D41=2),$E41*'DK '!C$8,AND($C41="Fuel car",$D41=3),$E41*'DK '!C$9,AND($C41="Fuel car",$D41=4),$E41*'DK '!C$10,AND($C41="Fuel car",$D41=5),$E41*'DK '!C$11,AND($C41="Motorcycle",$D41=1),$E41*'DK '!C$13,AND($C41="Motorcycle",$D41=2),$E41*'DK '!C$14,AND($C41="Electric car",$D41=1),$E41*'DK '!C$16,AND($C41="Electric car",$D41=2),$E41*'DK '!C$17,AND($C41="Electric car",$D41=3),$E41*'DK '!C$18,AND($C41="Electric car",$D41=4),$E41*'DK '!C$19,AND($C41="Electric car",$D41=5),$E41*'DK '!C$20,AND($C41="Hybrid car",$D41=1),$E41*'DK '!C$22,AND($C41="Hybrid car",$D41=2),$E41*'DK '!C$23,AND($C41="Hybrid car",$D41=3),$E41*'DK '!C$24,AND($C41="Hybrid car",$D41=4),$E41*'DK '!C$25,AND($C41="Hybrid car",$D41=5),$E41*'DK '!C$26,AND($C41="Electric motorcycle",$D41=1),$E41*'DK '!C$28,AND($C41="Electric motorcycle",$D41=2),$E41*'DK '!C$29,AND($C41="Electric bike",$D41=1),$E41*'DK '!C$31,AND($C41="Electric scooter",$D41=1),$E41*'DK '!C$33,AND($C41="Bus",$D41="Almost empty"),$E41*'DK '!H$23,AND($C41="Bus",$D41="Average"),$E41*'DK '!H$24,AND($C41="Bus",$D41="Nearly full"),$E41*'DK '!H$25,AND($C41="Electric bus",$D41="Almost empty"),$E41*'DK '!H$7,AND($C41="Electric bus",$D41="Average"),$E41*'DK '!H$8,AND($C41="Electric bus",$D41="Nearly full"),$E41*'DK '!H$9,AND($C41="Diesel bus",$D41="Almost empty"),$E41*'DK '!H$19,AND($C41="Diesel bus",$D41="Average"),$E41*'DK '!H$20,AND($C41="Diesel bus",$D41="Nearly full"),$E41*'DK '!H$21,AND($C41="Hybrid-electric bus",$D41="Almost empty"),$E41*'DK '!H$11,AND($C41="Hybrid-electric bus",$D41="Average"),$E41*'DK '!H$12,AND($C41="Hybrid-electric bus",$D41="Nearly full"),$E41*'DK '!H$13,AND($C41="Alternative fuel bus",$D41="Almost empty"),$E41*'DK '!H$15,AND($C41="Alternative fuel bus",$D41="Average"),$E41*'DK '!H$16,AND($C41="Alternative fuel bus",$D41="Nearly full"),$E41*'DK '!H$17,AND($C41="Metro, tram, urban light train",$D41="Almost empty"),$E41*'DK '!C$35,AND($C41="Metro, tram, urban light train",$D41="Average"),$E41*'DK '!C$36,AND($C41="Metro, tram, urban light train",$D41="Nearly full"),$E41*'DK '!C$37,AND($C41="Electric passenger train",$D41="Almost empty"),$E41*'DK '!C$39,AND($C41="Electric passenger train",$D41="Average"),$E41*'DK '!C$40,AND($C41="Electric passenger train",$D41="Nearly full"),$E41*'DK '!C$41,AND($C41="Diesel passenger train",$D41="Almost empty"),$E41*'DK '!C$47,AND($C41="Diesel passenger train",$D41="Average"),$E41*'DK '!C$48,AND($C41="Diesel passenger train",$D41="Nearly full"),$E41*'DK '!C$49,AND($C41="Walking"),$E41*0,AND($C41="Bike"),$E41*0,AND($C41="Plane - domestic flight"),$E41*'DK '!$C65,AND($C41="Plane - international - intra EU"),$E41*'DK '!$C67,AND($C41="Plane - international (extra EU)"),$E41*'DK '!$C69)</f>
        <v>#N/A</v>
      </c>
      <c r="G41" s="31" t="e" cm="1">
        <f t="array" ref="G41">_xlfn.IFS(AND($C41="Fuel car",$D41=1),$E41*'DK '!D$7,AND($C41="Fuel car",$D41=2),$E41*'DK '!D$8,AND($C41="Fuel car",$D41=3),$E41*'DK '!D$9,AND($C41="Fuel car",$D41=4),$E41*'DK '!D$10,AND($C41="Fuel car",$D41=5),$E41*'DK '!D$11,AND($C41="Motorcycle",$D41=1),$E41*'DK '!D$13,AND($C41="Motorcycle",$D41=2),$E41*'DK '!D$14,AND($C41="Electric car",$D41=1),$E41*'DK '!D$16,AND($C41="Electric car",$D41=2),$E41*'DK '!D$17,AND($C41="Electric car",$D41=3),$E41*'DK '!D$18,AND($C41="Electric car",$D41=4),$E41*'DK '!D$19,AND($C41="Electric car",$D41=5),$E41*'DK '!D$20,AND($C41="Hybrid car",$D41=1),$E41*'DK '!D$22,AND($C41="Hybrid car",$D41=2),$E41*'DK '!D$23,AND($C41="Hybrid car",$D41=3),$E41*'DK '!D$24,AND($C41="Hybrid car",$D41=4),$E41*'DK '!D$25,AND($C41="Hybrid car",$D41=5),$E41*'DK '!D$26,AND($C41="Electric motorcycle",$D41=1),$E41*'DK '!D$28,AND($C41="Electric motorcycle",$D41=2),$E41*'DK '!D$29,AND($C41="Electric bike",$D41=1),$E41*'DK '!D$31,AND($C41="Electric scooter",$D41=1),$E41*'DK '!D$33,AND($C41="Bus",$D41="Almost empty"),$E41*'DK '!I$23,AND($C41="Bus",$D41="Average"),$E41*'DK '!I$24,AND($C41="Bus",$D41="Nearly full"),$E41*'DK '!I$25,AND($C41="Electric bus",$D41="Almost empty"),$E41*'DK '!I$7,AND($C41="Electric bus",$D41="Average"),$E41*'DK '!I$8,AND($C41="Electric bus",$D41="Nearly full"),$E41*'DK '!I$9,AND($C41="Diesel bus",$D41="Almost empty"),$E41*'DK '!I$19,AND($C41="Diesel bus",$D41="Average"),$E41*'DK '!I$20,AND($C41="Diesel bus",$D41="Nearly full"),$E41*'DK '!I$21,AND($C41="Hybrid-electric bus",$D41="Almost empty"),$E41*'DK '!I$11,AND($C41="Hybrid-electric bus",$D41="Average"),$E41*'DK '!I$12,AND($C41="Hybrid-electric bus",$D41="Nearly full"),$E41*'DK '!I$13,AND($C41="Alternative fuel bus",$D41="Almost empty"),$E41*'DK '!I$15,AND($C41="Alternative fuel bus",$D41="Average"),$E41*'DK '!I$16,AND($C41="Alternative fuel bus",$D41="Nearly full"),$E41*'DK '!I$17,AND($C41="Metro, tram, urban light train",$D41="Almost empty"),$E41*'DK '!D$35,AND($C41="Metro, tram, urban light train",$D41="Average"),$E41*'DK '!D$36,AND($C41="Metro, tram, urban light train",$D41="Nearly full"),$E41*'DK '!D$37,AND($C41="Electric passenger train",$D41="Almost empty"),$E41*'DK '!D$39,AND($C41="Electric passenger train",$D41="Average"),$E41*'DK '!D$40,AND($C41="Electric passenger train",$D41="Nearly full"),$E41*'DK '!D$41,AND($C41="Diesel passenger train",$D41="Almost empty"),$E41*'DK '!D$47,AND($C41="Diesel passenger train",$D41="Average"),$E41*'DK '!D$48,AND($C41="Diesel passenger train",$D41="Nearly full"),$E41*'DK '!D$49,AND($C41="Walking"),$E41*0,AND($C41="Bike"),$E41*0,AND($C41="Plane - domestic flight"),$E41*'DK '!$C65,AND($C41="Plane - international - intra EU"),$E41*'DK '!$C67,AND($C41="Plane - international (extra EU)"),$E41*'DK '!$C69)</f>
        <v>#N/A</v>
      </c>
      <c r="H41" s="145"/>
      <c r="I41" s="148">
        <f t="shared" si="6"/>
        <v>0</v>
      </c>
      <c r="J41" s="146" t="e" cm="1">
        <f t="array" ref="J41">_xlfn.IFS(C41="Fuel car",C41*DATA!$C$17,C41="Electric car",C41*DATA!$F$9,C41="Hybrid car",I41*(0.5*DATA!$C$17+0.5*DATA!$F$9))</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5"/>
      <c r="F42" s="123" t="e" cm="1">
        <f t="array" ref="F42">_xlfn.IFS(AND($C42="Fuel car",$D42=1),$E42*'DK '!C$7,AND($C42="Fuel car",$D42=2),$E42*'DK '!C$8,AND($C42="Fuel car",$D42=3),$E42*'DK '!C$9,AND($C42="Fuel car",$D42=4),$E42*'DK '!C$10,AND($C42="Fuel car",$D42=5),$E42*'DK '!C$11,AND($C42="Motorcycle",$D42=1),$E42*'DK '!C$13,AND($C42="Motorcycle",$D42=2),$E42*'DK '!C$14,AND($C42="Electric car",$D42=1),$E42*'DK '!C$16,AND($C42="Electric car",$D42=2),$E42*'DK '!C$17,AND($C42="Electric car",$D42=3),$E42*'DK '!C$18,AND($C42="Electric car",$D42=4),$E42*'DK '!C$19,AND($C42="Electric car",$D42=5),$E42*'DK '!C$20,AND($C42="Hybrid car",$D42=1),$E42*'DK '!C$22,AND($C42="Hybrid car",$D42=2),$E42*'DK '!C$23,AND($C42="Hybrid car",$D42=3),$E42*'DK '!C$24,AND($C42="Hybrid car",$D42=4),$E42*'DK '!C$25,AND($C42="Hybrid car",$D42=5),$E42*'DK '!C$26,AND($C42="Electric motorcycle",$D42=1),$E42*'DK '!C$28,AND($C42="Electric motorcycle",$D42=2),$E42*'DK '!C$29,AND($C42="Electric bike",$D42=1),$E42*'DK '!C$31,AND($C42="Electric scooter",$D42=1),$E42*'DK '!C$33,AND($C42="Bus",$D42="Almost empty"),$E42*'DK '!H$23,AND($C42="Bus",$D42="Average"),$E42*'DK '!H$24,AND($C42="Bus",$D42="Nearly full"),$E42*'DK '!H$25,AND($C42="Electric bus",$D42="Almost empty"),$E42*'DK '!H$7,AND($C42="Electric bus",$D42="Average"),$E42*'DK '!H$8,AND($C42="Electric bus",$D42="Nearly full"),$E42*'DK '!H$9,AND($C42="Diesel bus",$D42="Almost empty"),$E42*'DK '!H$19,AND($C42="Diesel bus",$D42="Average"),$E42*'DK '!H$20,AND($C42="Diesel bus",$D42="Nearly full"),$E42*'DK '!H$21,AND($C42="Hybrid-electric bus",$D42="Almost empty"),$E42*'DK '!H$11,AND($C42="Hybrid-electric bus",$D42="Average"),$E42*'DK '!H$12,AND($C42="Hybrid-electric bus",$D42="Nearly full"),$E42*'DK '!H$13,AND($C42="Alternative fuel bus",$D42="Almost empty"),$E42*'DK '!H$15,AND($C42="Alternative fuel bus",$D42="Average"),$E42*'DK '!H$16,AND($C42="Alternative fuel bus",$D42="Nearly full"),$E42*'DK '!H$17,AND($C42="Metro, tram, urban light train",$D42="Almost empty"),$E42*'DK '!C$35,AND($C42="Metro, tram, urban light train",$D42="Average"),$E42*'DK '!C$36,AND($C42="Metro, tram, urban light train",$D42="Nearly full"),$E42*'DK '!C$37,AND($C42="Electric passenger train",$D42="Almost empty"),$E42*'DK '!C$39,AND($C42="Electric passenger train",$D42="Average"),$E42*'DK '!C$40,AND($C42="Electric passenger train",$D42="Nearly full"),$E42*'DK '!C$41,AND($C42="Diesel passenger train",$D42="Almost empty"),$E42*'DK '!C$47,AND($C42="Diesel passenger train",$D42="Average"),$E42*'DK '!C$48,AND($C42="Diesel passenger train",$D42="Nearly full"),$E42*'DK '!C$49,AND($C42="Walking"),$E42*0,AND($C42="Bike"),$E42*0,AND($C42="Plane - domestic flight"),$E42*'DK '!$C66,AND($C42="Plane - international - intra EU"),$E42*'DK '!$C68,AND($C42="Plane - international (extra EU)"),$E42*'DK '!$C70)</f>
        <v>#N/A</v>
      </c>
      <c r="G42" s="31" t="e" cm="1">
        <f t="array" ref="G42">_xlfn.IFS(AND($C42="Fuel car",$D42=1),$E42*'DK '!D$7,AND($C42="Fuel car",$D42=2),$E42*'DK '!D$8,AND($C42="Fuel car",$D42=3),$E42*'DK '!D$9,AND($C42="Fuel car",$D42=4),$E42*'DK '!D$10,AND($C42="Fuel car",$D42=5),$E42*'DK '!D$11,AND($C42="Motorcycle",$D42=1),$E42*'DK '!D$13,AND($C42="Motorcycle",$D42=2),$E42*'DK '!D$14,AND($C42="Electric car",$D42=1),$E42*'DK '!D$16,AND($C42="Electric car",$D42=2),$E42*'DK '!D$17,AND($C42="Electric car",$D42=3),$E42*'DK '!D$18,AND($C42="Electric car",$D42=4),$E42*'DK '!D$19,AND($C42="Electric car",$D42=5),$E42*'DK '!D$20,AND($C42="Hybrid car",$D42=1),$E42*'DK '!D$22,AND($C42="Hybrid car",$D42=2),$E42*'DK '!D$23,AND($C42="Hybrid car",$D42=3),$E42*'DK '!D$24,AND($C42="Hybrid car",$D42=4),$E42*'DK '!D$25,AND($C42="Hybrid car",$D42=5),$E42*'DK '!D$26,AND($C42="Electric motorcycle",$D42=1),$E42*'DK '!D$28,AND($C42="Electric motorcycle",$D42=2),$E42*'DK '!D$29,AND($C42="Electric bike",$D42=1),$E42*'DK '!D$31,AND($C42="Electric scooter",$D42=1),$E42*'DK '!D$33,AND($C42="Bus",$D42="Almost empty"),$E42*'DK '!I$23,AND($C42="Bus",$D42="Average"),$E42*'DK '!I$24,AND($C42="Bus",$D42="Nearly full"),$E42*'DK '!I$25,AND($C42="Electric bus",$D42="Almost empty"),$E42*'DK '!I$7,AND($C42="Electric bus",$D42="Average"),$E42*'DK '!I$8,AND($C42="Electric bus",$D42="Nearly full"),$E42*'DK '!I$9,AND($C42="Diesel bus",$D42="Almost empty"),$E42*'DK '!I$19,AND($C42="Diesel bus",$D42="Average"),$E42*'DK '!I$20,AND($C42="Diesel bus",$D42="Nearly full"),$E42*'DK '!I$21,AND($C42="Hybrid-electric bus",$D42="Almost empty"),$E42*'DK '!I$11,AND($C42="Hybrid-electric bus",$D42="Average"),$E42*'DK '!I$12,AND($C42="Hybrid-electric bus",$D42="Nearly full"),$E42*'DK '!I$13,AND($C42="Alternative fuel bus",$D42="Almost empty"),$E42*'DK '!I$15,AND($C42="Alternative fuel bus",$D42="Average"),$E42*'DK '!I$16,AND($C42="Alternative fuel bus",$D42="Nearly full"),$E42*'DK '!I$17,AND($C42="Metro, tram, urban light train",$D42="Almost empty"),$E42*'DK '!D$35,AND($C42="Metro, tram, urban light train",$D42="Average"),$E42*'DK '!D$36,AND($C42="Metro, tram, urban light train",$D42="Nearly full"),$E42*'DK '!D$37,AND($C42="Electric passenger train",$D42="Almost empty"),$E42*'DK '!D$39,AND($C42="Electric passenger train",$D42="Average"),$E42*'DK '!D$40,AND($C42="Electric passenger train",$D42="Nearly full"),$E42*'DK '!D$41,AND($C42="Diesel passenger train",$D42="Almost empty"),$E42*'DK '!D$47,AND($C42="Diesel passenger train",$D42="Average"),$E42*'DK '!D$48,AND($C42="Diesel passenger train",$D42="Nearly full"),$E42*'DK '!D$49,AND($C42="Walking"),$E42*0,AND($C42="Bike"),$E42*0,AND($C42="Plane - domestic flight"),$E42*'DK '!$C66,AND($C42="Plane - international - intra EU"),$E42*'DK '!$C68,AND($C42="Plane - international (extra EU)"),$E42*'DK '!$C70)</f>
        <v>#N/A</v>
      </c>
      <c r="H42" s="145"/>
      <c r="I42" s="148">
        <f t="shared" si="6"/>
        <v>0</v>
      </c>
      <c r="J42" s="146" t="e" cm="1">
        <f t="array" ref="J42">_xlfn.IFS(C42="Fuel car",C42*DATA!$C$17,C42="Electric car",C42*DATA!$F$9,C42="Hybrid car",I42*(0.5*DATA!$C$17+0.5*DATA!$F$9))</f>
        <v>#N/A</v>
      </c>
      <c r="L42" s="235"/>
      <c r="M42" s="236"/>
      <c r="N42" s="237"/>
    </row>
    <row r="43" spans="1:14" ht="14.5" customHeight="1" thickBot="1" x14ac:dyDescent="0.25">
      <c r="A43" s="222"/>
      <c r="B43" s="30"/>
      <c r="C43" s="15"/>
      <c r="D43" s="15"/>
      <c r="E43" s="15"/>
      <c r="F43" s="123" t="e" cm="1">
        <f t="array" ref="F43">_xlfn.IFS(AND($C43="Fuel car",$D43=1),$E43*'DK '!C$7,AND($C43="Fuel car",$D43=2),$E43*'DK '!C$8,AND($C43="Fuel car",$D43=3),$E43*'DK '!C$9,AND($C43="Fuel car",$D43=4),$E43*'DK '!C$10,AND($C43="Fuel car",$D43=5),$E43*'DK '!C$11,AND($C43="Motorcycle",$D43=1),$E43*'DK '!C$13,AND($C43="Motorcycle",$D43=2),$E43*'DK '!C$14,AND($C43="Electric car",$D43=1),$E43*'DK '!C$16,AND($C43="Electric car",$D43=2),$E43*'DK '!C$17,AND($C43="Electric car",$D43=3),$E43*'DK '!C$18,AND($C43="Electric car",$D43=4),$E43*'DK '!C$19,AND($C43="Electric car",$D43=5),$E43*'DK '!C$20,AND($C43="Hybrid car",$D43=1),$E43*'DK '!C$22,AND($C43="Hybrid car",$D43=2),$E43*'DK '!C$23,AND($C43="Hybrid car",$D43=3),$E43*'DK '!C$24,AND($C43="Hybrid car",$D43=4),$E43*'DK '!C$25,AND($C43="Hybrid car",$D43=5),$E43*'DK '!C$26,AND($C43="Electric motorcycle",$D43=1),$E43*'DK '!C$28,AND($C43="Electric motorcycle",$D43=2),$E43*'DK '!C$29,AND($C43="Electric bike",$D43=1),$E43*'DK '!C$31,AND($C43="Electric scooter",$D43=1),$E43*'DK '!C$33,AND($C43="Bus",$D43="Almost empty"),$E43*'DK '!H$23,AND($C43="Bus",$D43="Average"),$E43*'DK '!H$24,AND($C43="Bus",$D43="Nearly full"),$E43*'DK '!H$25,AND($C43="Electric bus",$D43="Almost empty"),$E43*'DK '!H$7,AND($C43="Electric bus",$D43="Average"),$E43*'DK '!H$8,AND($C43="Electric bus",$D43="Nearly full"),$E43*'DK '!H$9,AND($C43="Diesel bus",$D43="Almost empty"),$E43*'DK '!H$19,AND($C43="Diesel bus",$D43="Average"),$E43*'DK '!H$20,AND($C43="Diesel bus",$D43="Nearly full"),$E43*'DK '!H$21,AND($C43="Hybrid-electric bus",$D43="Almost empty"),$E43*'DK '!H$11,AND($C43="Hybrid-electric bus",$D43="Average"),$E43*'DK '!H$12,AND($C43="Hybrid-electric bus",$D43="Nearly full"),$E43*'DK '!H$13,AND($C43="Alternative fuel bus",$D43="Almost empty"),$E43*'DK '!H$15,AND($C43="Alternative fuel bus",$D43="Average"),$E43*'DK '!H$16,AND($C43="Alternative fuel bus",$D43="Nearly full"),$E43*'DK '!H$17,AND($C43="Metro, tram, urban light train",$D43="Almost empty"),$E43*'DK '!C$35,AND($C43="Metro, tram, urban light train",$D43="Average"),$E43*'DK '!C$36,AND($C43="Metro, tram, urban light train",$D43="Nearly full"),$E43*'DK '!C$37,AND($C43="Electric passenger train",$D43="Almost empty"),$E43*'DK '!C$39,AND($C43="Electric passenger train",$D43="Average"),$E43*'DK '!C$40,AND($C43="Electric passenger train",$D43="Nearly full"),$E43*'DK '!C$41,AND($C43="Diesel passenger train",$D43="Almost empty"),$E43*'DK '!C$47,AND($C43="Diesel passenger train",$D43="Average"),$E43*'DK '!C$48,AND($C43="Diesel passenger train",$D43="Nearly full"),$E43*'DK '!C$49,AND($C43="Walking"),$E43*0,AND($C43="Bike"),$E43*0,AND($C43="Plane - domestic flight"),$E43*'DK '!$C67,AND($C43="Plane - international - intra EU"),$E43*'DK '!$C69,AND($C43="Plane - international (extra EU)"),$E43*'DK '!$C71)</f>
        <v>#N/A</v>
      </c>
      <c r="G43" s="31" t="e" cm="1">
        <f t="array" ref="G43">_xlfn.IFS(AND($C43="Fuel car",$D43=1),$E43*'DK '!D$7,AND($C43="Fuel car",$D43=2),$E43*'DK '!D$8,AND($C43="Fuel car",$D43=3),$E43*'DK '!D$9,AND($C43="Fuel car",$D43=4),$E43*'DK '!D$10,AND($C43="Fuel car",$D43=5),$E43*'DK '!D$11,AND($C43="Motorcycle",$D43=1),$E43*'DK '!D$13,AND($C43="Motorcycle",$D43=2),$E43*'DK '!D$14,AND($C43="Electric car",$D43=1),$E43*'DK '!D$16,AND($C43="Electric car",$D43=2),$E43*'DK '!D$17,AND($C43="Electric car",$D43=3),$E43*'DK '!D$18,AND($C43="Electric car",$D43=4),$E43*'DK '!D$19,AND($C43="Electric car",$D43=5),$E43*'DK '!D$20,AND($C43="Hybrid car",$D43=1),$E43*'DK '!D$22,AND($C43="Hybrid car",$D43=2),$E43*'DK '!D$23,AND($C43="Hybrid car",$D43=3),$E43*'DK '!D$24,AND($C43="Hybrid car",$D43=4),$E43*'DK '!D$25,AND($C43="Hybrid car",$D43=5),$E43*'DK '!D$26,AND($C43="Electric motorcycle",$D43=1),$E43*'DK '!D$28,AND($C43="Electric motorcycle",$D43=2),$E43*'DK '!D$29,AND($C43="Electric bike",$D43=1),$E43*'DK '!D$31,AND($C43="Electric scooter",$D43=1),$E43*'DK '!D$33,AND($C43="Bus",$D43="Almost empty"),$E43*'DK '!I$23,AND($C43="Bus",$D43="Average"),$E43*'DK '!I$24,AND($C43="Bus",$D43="Nearly full"),$E43*'DK '!I$25,AND($C43="Electric bus",$D43="Almost empty"),$E43*'DK '!I$7,AND($C43="Electric bus",$D43="Average"),$E43*'DK '!I$8,AND($C43="Electric bus",$D43="Nearly full"),$E43*'DK '!I$9,AND($C43="Diesel bus",$D43="Almost empty"),$E43*'DK '!I$19,AND($C43="Diesel bus",$D43="Average"),$E43*'DK '!I$20,AND($C43="Diesel bus",$D43="Nearly full"),$E43*'DK '!I$21,AND($C43="Hybrid-electric bus",$D43="Almost empty"),$E43*'DK '!I$11,AND($C43="Hybrid-electric bus",$D43="Average"),$E43*'DK '!I$12,AND($C43="Hybrid-electric bus",$D43="Nearly full"),$E43*'DK '!I$13,AND($C43="Alternative fuel bus",$D43="Almost empty"),$E43*'DK '!I$15,AND($C43="Alternative fuel bus",$D43="Average"),$E43*'DK '!I$16,AND($C43="Alternative fuel bus",$D43="Nearly full"),$E43*'DK '!I$17,AND($C43="Metro, tram, urban light train",$D43="Almost empty"),$E43*'DK '!D$35,AND($C43="Metro, tram, urban light train",$D43="Average"),$E43*'DK '!D$36,AND($C43="Metro, tram, urban light train",$D43="Nearly full"),$E43*'DK '!D$37,AND($C43="Electric passenger train",$D43="Almost empty"),$E43*'DK '!D$39,AND($C43="Electric passenger train",$D43="Average"),$E43*'DK '!D$40,AND($C43="Electric passenger train",$D43="Nearly full"),$E43*'DK '!D$41,AND($C43="Diesel passenger train",$D43="Almost empty"),$E43*'DK '!D$47,AND($C43="Diesel passenger train",$D43="Average"),$E43*'DK '!D$48,AND($C43="Diesel passenger train",$D43="Nearly full"),$E43*'DK '!D$49,AND($C43="Walking"),$E43*0,AND($C43="Bike"),$E43*0,AND($C43="Plane - domestic flight"),$E43*'DK '!$C67,AND($C43="Plane - international - intra EU"),$E43*'DK '!$C69,AND($C43="Plane - international (extra EU)"),$E43*'DK '!$C71)</f>
        <v>#N/A</v>
      </c>
      <c r="H43" s="109"/>
      <c r="I43" s="154">
        <f t="shared" si="6"/>
        <v>0</v>
      </c>
      <c r="J43" s="147" t="e" cm="1">
        <f t="array" ref="J43">_xlfn.IFS(C43="Fuel car",C43*DATA!$C$17,C43="Electric car",C43*DATA!$F$9,C43="Hybrid car",I43*(0.5*DATA!$C$17+0.5*DATA!$F$9))</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5"/>
      <c r="F44" s="123" t="e" cm="1">
        <f t="array" ref="F44">_xlfn.IFS(AND($C44="Fuel car",$D44=1),$E44*'DK '!C$7,AND($C44="Fuel car",$D44=2),$E44*'DK '!C$8,AND($C44="Fuel car",$D44=3),$E44*'DK '!C$9,AND($C44="Fuel car",$D44=4),$E44*'DK '!C$10,AND($C44="Fuel car",$D44=5),$E44*'DK '!C$11,AND($C44="Motorcycle",$D44=1),$E44*'DK '!C$13,AND($C44="Motorcycle",$D44=2),$E44*'DK '!C$14,AND($C44="Electric car",$D44=1),$E44*'DK '!C$16,AND($C44="Electric car",$D44=2),$E44*'DK '!C$17,AND($C44="Electric car",$D44=3),$E44*'DK '!C$18,AND($C44="Electric car",$D44=4),$E44*'DK '!C$19,AND($C44="Electric car",$D44=5),$E44*'DK '!C$20,AND($C44="Hybrid car",$D44=1),$E44*'DK '!C$22,AND($C44="Hybrid car",$D44=2),$E44*'DK '!C$23,AND($C44="Hybrid car",$D44=3),$E44*'DK '!C$24,AND($C44="Hybrid car",$D44=4),$E44*'DK '!C$25,AND($C44="Hybrid car",$D44=5),$E44*'DK '!C$26,AND($C44="Electric motorcycle",$D44=1),$E44*'DK '!C$28,AND($C44="Electric motorcycle",$D44=2),$E44*'DK '!C$29,AND($C44="Electric bike",$D44=1),$E44*'DK '!C$31,AND($C44="Electric scooter",$D44=1),$E44*'DK '!C$33,AND($C44="Bus",$D44="Almost empty"),$E44*'DK '!H$23,AND($C44="Bus",$D44="Average"),$E44*'DK '!H$24,AND($C44="Bus",$D44="Nearly full"),$E44*'DK '!H$25,AND($C44="Electric bus",$D44="Almost empty"),$E44*'DK '!H$7,AND($C44="Electric bus",$D44="Average"),$E44*'DK '!H$8,AND($C44="Electric bus",$D44="Nearly full"),$E44*'DK '!H$9,AND($C44="Diesel bus",$D44="Almost empty"),$E44*'DK '!H$19,AND($C44="Diesel bus",$D44="Average"),$E44*'DK '!H$20,AND($C44="Diesel bus",$D44="Nearly full"),$E44*'DK '!H$21,AND($C44="Hybrid-electric bus",$D44="Almost empty"),$E44*'DK '!H$11,AND($C44="Hybrid-electric bus",$D44="Average"),$E44*'DK '!H$12,AND($C44="Hybrid-electric bus",$D44="Nearly full"),$E44*'DK '!H$13,AND($C44="Alternative fuel bus",$D44="Almost empty"),$E44*'DK '!H$15,AND($C44="Alternative fuel bus",$D44="Average"),$E44*'DK '!H$16,AND($C44="Alternative fuel bus",$D44="Nearly full"),$E44*'DK '!H$17,AND($C44="Metro, tram, urban light train",$D44="Almost empty"),$E44*'DK '!C$35,AND($C44="Metro, tram, urban light train",$D44="Average"),$E44*'DK '!C$36,AND($C44="Metro, tram, urban light train",$D44="Nearly full"),$E44*'DK '!C$37,AND($C44="Electric passenger train",$D44="Almost empty"),$E44*'DK '!C$39,AND($C44="Electric passenger train",$D44="Average"),$E44*'DK '!C$40,AND($C44="Electric passenger train",$D44="Nearly full"),$E44*'DK '!C$41,AND($C44="Diesel passenger train",$D44="Almost empty"),$E44*'DK '!C$47,AND($C44="Diesel passenger train",$D44="Average"),$E44*'DK '!C$48,AND($C44="Diesel passenger train",$D44="Nearly full"),$E44*'DK '!C$49,AND($C44="Walking"),$E44*0,AND($C44="Bike"),$E44*0,AND($C44="Plane - domestic flight"),$E44*'DK '!$C68,AND($C44="Plane - international - intra EU"),$E44*'DK '!$C70,AND($C44="Plane - international (extra EU)"),$E44*'DK '!$C72)</f>
        <v>#N/A</v>
      </c>
      <c r="G44" s="31" t="e" cm="1">
        <f t="array" ref="G44">_xlfn.IFS(AND($C44="Fuel car",$D44=1),$E44*'DK '!D$7,AND($C44="Fuel car",$D44=2),$E44*'DK '!D$8,AND($C44="Fuel car",$D44=3),$E44*'DK '!D$9,AND($C44="Fuel car",$D44=4),$E44*'DK '!D$10,AND($C44="Fuel car",$D44=5),$E44*'DK '!D$11,AND($C44="Motorcycle",$D44=1),$E44*'DK '!D$13,AND($C44="Motorcycle",$D44=2),$E44*'DK '!D$14,AND($C44="Electric car",$D44=1),$E44*'DK '!D$16,AND($C44="Electric car",$D44=2),$E44*'DK '!D$17,AND($C44="Electric car",$D44=3),$E44*'DK '!D$18,AND($C44="Electric car",$D44=4),$E44*'DK '!D$19,AND($C44="Electric car",$D44=5),$E44*'DK '!D$20,AND($C44="Hybrid car",$D44=1),$E44*'DK '!D$22,AND($C44="Hybrid car",$D44=2),$E44*'DK '!D$23,AND($C44="Hybrid car",$D44=3),$E44*'DK '!D$24,AND($C44="Hybrid car",$D44=4),$E44*'DK '!D$25,AND($C44="Hybrid car",$D44=5),$E44*'DK '!D$26,AND($C44="Electric motorcycle",$D44=1),$E44*'DK '!D$28,AND($C44="Electric motorcycle",$D44=2),$E44*'DK '!D$29,AND($C44="Electric bike",$D44=1),$E44*'DK '!D$31,AND($C44="Electric scooter",$D44=1),$E44*'DK '!D$33,AND($C44="Bus",$D44="Almost empty"),$E44*'DK '!I$23,AND($C44="Bus",$D44="Average"),$E44*'DK '!I$24,AND($C44="Bus",$D44="Nearly full"),$E44*'DK '!I$25,AND($C44="Electric bus",$D44="Almost empty"),$E44*'DK '!I$7,AND($C44="Electric bus",$D44="Average"),$E44*'DK '!I$8,AND($C44="Electric bus",$D44="Nearly full"),$E44*'DK '!I$9,AND($C44="Diesel bus",$D44="Almost empty"),$E44*'DK '!I$19,AND($C44="Diesel bus",$D44="Average"),$E44*'DK '!I$20,AND($C44="Diesel bus",$D44="Nearly full"),$E44*'DK '!I$21,AND($C44="Hybrid-electric bus",$D44="Almost empty"),$E44*'DK '!I$11,AND($C44="Hybrid-electric bus",$D44="Average"),$E44*'DK '!I$12,AND($C44="Hybrid-electric bus",$D44="Nearly full"),$E44*'DK '!I$13,AND($C44="Alternative fuel bus",$D44="Almost empty"),$E44*'DK '!I$15,AND($C44="Alternative fuel bus",$D44="Average"),$E44*'DK '!I$16,AND($C44="Alternative fuel bus",$D44="Nearly full"),$E44*'DK '!I$17,AND($C44="Metro, tram, urban light train",$D44="Almost empty"),$E44*'DK '!D$35,AND($C44="Metro, tram, urban light train",$D44="Average"),$E44*'DK '!D$36,AND($C44="Metro, tram, urban light train",$D44="Nearly full"),$E44*'DK '!D$37,AND($C44="Electric passenger train",$D44="Almost empty"),$E44*'DK '!D$39,AND($C44="Electric passenger train",$D44="Average"),$E44*'DK '!D$40,AND($C44="Electric passenger train",$D44="Nearly full"),$E44*'DK '!D$41,AND($C44="Diesel passenger train",$D44="Almost empty"),$E44*'DK '!D$47,AND($C44="Diesel passenger train",$D44="Average"),$E44*'DK '!D$48,AND($C44="Diesel passenger train",$D44="Nearly full"),$E44*'DK '!D$49,AND($C44="Walking"),$E44*0,AND($C44="Bike"),$E44*0,AND($C44="Plane - domestic flight"),$E44*'DK '!$C68,AND($C44="Plane - international - intra EU"),$E44*'DK '!$C70,AND($C44="Plane - international (extra EU)"),$E44*'DK '!$C72)</f>
        <v>#N/A</v>
      </c>
      <c r="L44" s="218"/>
      <c r="M44" s="219"/>
      <c r="N44" s="220"/>
    </row>
    <row r="45" spans="1:14" ht="18.5" customHeight="1" x14ac:dyDescent="0.2">
      <c r="A45" s="222"/>
      <c r="B45" s="30"/>
      <c r="C45" s="15"/>
      <c r="D45" s="15"/>
      <c r="E45" s="15"/>
      <c r="F45" s="123" t="e" cm="1">
        <f t="array" ref="F45">_xlfn.IFS(AND($C45="Fuel car",$D45=1),$E45*'DK '!C$7,AND($C45="Fuel car",$D45=2),$E45*'DK '!C$8,AND($C45="Fuel car",$D45=3),$E45*'DK '!C$9,AND($C45="Fuel car",$D45=4),$E45*'DK '!C$10,AND($C45="Fuel car",$D45=5),$E45*'DK '!C$11,AND($C45="Motorcycle",$D45=1),$E45*'DK '!C$13,AND($C45="Motorcycle",$D45=2),$E45*'DK '!C$14,AND($C45="Electric car",$D45=1),$E45*'DK '!C$16,AND($C45="Electric car",$D45=2),$E45*'DK '!C$17,AND($C45="Electric car",$D45=3),$E45*'DK '!C$18,AND($C45="Electric car",$D45=4),$E45*'DK '!C$19,AND($C45="Electric car",$D45=5),$E45*'DK '!C$20,AND($C45="Hybrid car",$D45=1),$E45*'DK '!C$22,AND($C45="Hybrid car",$D45=2),$E45*'DK '!C$23,AND($C45="Hybrid car",$D45=3),$E45*'DK '!C$24,AND($C45="Hybrid car",$D45=4),$E45*'DK '!C$25,AND($C45="Hybrid car",$D45=5),$E45*'DK '!C$26,AND($C45="Electric motorcycle",$D45=1),$E45*'DK '!C$28,AND($C45="Electric motorcycle",$D45=2),$E45*'DK '!C$29,AND($C45="Electric bike",$D45=1),$E45*'DK '!C$31,AND($C45="Electric scooter",$D45=1),$E45*'DK '!C$33,AND($C45="Bus",$D45="Almost empty"),$E45*'DK '!H$23,AND($C45="Bus",$D45="Average"),$E45*'DK '!H$24,AND($C45="Bus",$D45="Nearly full"),$E45*'DK '!H$25,AND($C45="Electric bus",$D45="Almost empty"),$E45*'DK '!H$7,AND($C45="Electric bus",$D45="Average"),$E45*'DK '!H$8,AND($C45="Electric bus",$D45="Nearly full"),$E45*'DK '!H$9,AND($C45="Diesel bus",$D45="Almost empty"),$E45*'DK '!H$19,AND($C45="Diesel bus",$D45="Average"),$E45*'DK '!H$20,AND($C45="Diesel bus",$D45="Nearly full"),$E45*'DK '!H$21,AND($C45="Hybrid-electric bus",$D45="Almost empty"),$E45*'DK '!H$11,AND($C45="Hybrid-electric bus",$D45="Average"),$E45*'DK '!H$12,AND($C45="Hybrid-electric bus",$D45="Nearly full"),$E45*'DK '!H$13,AND($C45="Alternative fuel bus",$D45="Almost empty"),$E45*'DK '!H$15,AND($C45="Alternative fuel bus",$D45="Average"),$E45*'DK '!H$16,AND($C45="Alternative fuel bus",$D45="Nearly full"),$E45*'DK '!H$17,AND($C45="Metro, tram, urban light train",$D45="Almost empty"),$E45*'DK '!C$35,AND($C45="Metro, tram, urban light train",$D45="Average"),$E45*'DK '!C$36,AND($C45="Metro, tram, urban light train",$D45="Nearly full"),$E45*'DK '!C$37,AND($C45="Electric passenger train",$D45="Almost empty"),$E45*'DK '!C$39,AND($C45="Electric passenger train",$D45="Average"),$E45*'DK '!C$40,AND($C45="Electric passenger train",$D45="Nearly full"),$E45*'DK '!C$41,AND($C45="Diesel passenger train",$D45="Almost empty"),$E45*'DK '!C$47,AND($C45="Diesel passenger train",$D45="Average"),$E45*'DK '!C$48,AND($C45="Diesel passenger train",$D45="Nearly full"),$E45*'DK '!C$49,AND($C45="Walking"),$E45*0,AND($C45="Bike"),$E45*0,AND($C45="Plane - domestic flight"),$E45*'DK '!$C69,AND($C45="Plane - international - intra EU"),$E45*'DK '!$C71,AND($C45="Plane - international (extra EU)"),$E45*'DK '!$C73)</f>
        <v>#N/A</v>
      </c>
      <c r="G45" s="31" t="e" cm="1">
        <f t="array" ref="G45">_xlfn.IFS(AND($C45="Fuel car",$D45=1),$E45*'DK '!D$7,AND($C45="Fuel car",$D45=2),$E45*'DK '!D$8,AND($C45="Fuel car",$D45=3),$E45*'DK '!D$9,AND($C45="Fuel car",$D45=4),$E45*'DK '!D$10,AND($C45="Fuel car",$D45=5),$E45*'DK '!D$11,AND($C45="Motorcycle",$D45=1),$E45*'DK '!D$13,AND($C45="Motorcycle",$D45=2),$E45*'DK '!D$14,AND($C45="Electric car",$D45=1),$E45*'DK '!D$16,AND($C45="Electric car",$D45=2),$E45*'DK '!D$17,AND($C45="Electric car",$D45=3),$E45*'DK '!D$18,AND($C45="Electric car",$D45=4),$E45*'DK '!D$19,AND($C45="Electric car",$D45=5),$E45*'DK '!D$20,AND($C45="Hybrid car",$D45=1),$E45*'DK '!D$22,AND($C45="Hybrid car",$D45=2),$E45*'DK '!D$23,AND($C45="Hybrid car",$D45=3),$E45*'DK '!D$24,AND($C45="Hybrid car",$D45=4),$E45*'DK '!D$25,AND($C45="Hybrid car",$D45=5),$E45*'DK '!D$26,AND($C45="Electric motorcycle",$D45=1),$E45*'DK '!D$28,AND($C45="Electric motorcycle",$D45=2),$E45*'DK '!D$29,AND($C45="Electric bike",$D45=1),$E45*'DK '!D$31,AND($C45="Electric scooter",$D45=1),$E45*'DK '!D$33,AND($C45="Bus",$D45="Almost empty"),$E45*'DK '!I$23,AND($C45="Bus",$D45="Average"),$E45*'DK '!I$24,AND($C45="Bus",$D45="Nearly full"),$E45*'DK '!I$25,AND($C45="Electric bus",$D45="Almost empty"),$E45*'DK '!I$7,AND($C45="Electric bus",$D45="Average"),$E45*'DK '!I$8,AND($C45="Electric bus",$D45="Nearly full"),$E45*'DK '!I$9,AND($C45="Diesel bus",$D45="Almost empty"),$E45*'DK '!I$19,AND($C45="Diesel bus",$D45="Average"),$E45*'DK '!I$20,AND($C45="Diesel bus",$D45="Nearly full"),$E45*'DK '!I$21,AND($C45="Hybrid-electric bus",$D45="Almost empty"),$E45*'DK '!I$11,AND($C45="Hybrid-electric bus",$D45="Average"),$E45*'DK '!I$12,AND($C45="Hybrid-electric bus",$D45="Nearly full"),$E45*'DK '!I$13,AND($C45="Alternative fuel bus",$D45="Almost empty"),$E45*'DK '!I$15,AND($C45="Alternative fuel bus",$D45="Average"),$E45*'DK '!I$16,AND($C45="Alternative fuel bus",$D45="Nearly full"),$E45*'DK '!I$17,AND($C45="Metro, tram, urban light train",$D45="Almost empty"),$E45*'DK '!D$35,AND($C45="Metro, tram, urban light train",$D45="Average"),$E45*'DK '!D$36,AND($C45="Metro, tram, urban light train",$D45="Nearly full"),$E45*'DK '!D$37,AND($C45="Electric passenger train",$D45="Almost empty"),$E45*'DK '!D$39,AND($C45="Electric passenger train",$D45="Average"),$E45*'DK '!D$40,AND($C45="Electric passenger train",$D45="Nearly full"),$E45*'DK '!D$41,AND($C45="Diesel passenger train",$D45="Almost empty"),$E45*'DK '!D$47,AND($C45="Diesel passenger train",$D45="Average"),$E45*'DK '!D$48,AND($C45="Diesel passenger train",$D45="Nearly full"),$E45*'DK '!D$49,AND($C45="Walking"),$E45*0,AND($C45="Bike"),$E45*0,AND($C45="Plane - domestic flight"),$E45*'DK '!$C69,AND($C45="Plane - international - intra EU"),$E45*'DK '!$C71,AND($C45="Plane - international (extra EU)"),$E45*'DK '!$C73)</f>
        <v>#N/A</v>
      </c>
      <c r="L45" s="198" t="s">
        <v>256</v>
      </c>
      <c r="M45" s="199"/>
      <c r="N45" s="200"/>
    </row>
    <row r="46" spans="1:14" ht="16" thickBot="1" x14ac:dyDescent="0.25">
      <c r="A46" s="222"/>
      <c r="B46" s="30"/>
      <c r="C46" s="15"/>
      <c r="D46" s="15"/>
      <c r="E46" s="15"/>
      <c r="F46" s="123" t="e" cm="1">
        <f t="array" ref="F46">_xlfn.IFS(AND($C46="Fuel car",$D46=1),$E46*'DK '!C$7,AND($C46="Fuel car",$D46=2),$E46*'DK '!C$8,AND($C46="Fuel car",$D46=3),$E46*'DK '!C$9,AND($C46="Fuel car",$D46=4),$E46*'DK '!C$10,AND($C46="Fuel car",$D46=5),$E46*'DK '!C$11,AND($C46="Motorcycle",$D46=1),$E46*'DK '!C$13,AND($C46="Motorcycle",$D46=2),$E46*'DK '!C$14,AND($C46="Electric car",$D46=1),$E46*'DK '!C$16,AND($C46="Electric car",$D46=2),$E46*'DK '!C$17,AND($C46="Electric car",$D46=3),$E46*'DK '!C$18,AND($C46="Electric car",$D46=4),$E46*'DK '!C$19,AND($C46="Electric car",$D46=5),$E46*'DK '!C$20,AND($C46="Hybrid car",$D46=1),$E46*'DK '!C$22,AND($C46="Hybrid car",$D46=2),$E46*'DK '!C$23,AND($C46="Hybrid car",$D46=3),$E46*'DK '!C$24,AND($C46="Hybrid car",$D46=4),$E46*'DK '!C$25,AND($C46="Hybrid car",$D46=5),$E46*'DK '!C$26,AND($C46="Electric motorcycle",$D46=1),$E46*'DK '!C$28,AND($C46="Electric motorcycle",$D46=2),$E46*'DK '!C$29,AND($C46="Electric bike",$D46=1),$E46*'DK '!C$31,AND($C46="Electric scooter",$D46=1),$E46*'DK '!C$33,AND($C46="Bus",$D46="Almost empty"),$E46*'DK '!H$23,AND($C46="Bus",$D46="Average"),$E46*'DK '!H$24,AND($C46="Bus",$D46="Nearly full"),$E46*'DK '!H$25,AND($C46="Electric bus",$D46="Almost empty"),$E46*'DK '!H$7,AND($C46="Electric bus",$D46="Average"),$E46*'DK '!H$8,AND($C46="Electric bus",$D46="Nearly full"),$E46*'DK '!H$9,AND($C46="Diesel bus",$D46="Almost empty"),$E46*'DK '!H$19,AND($C46="Diesel bus",$D46="Average"),$E46*'DK '!H$20,AND($C46="Diesel bus",$D46="Nearly full"),$E46*'DK '!H$21,AND($C46="Hybrid-electric bus",$D46="Almost empty"),$E46*'DK '!H$11,AND($C46="Hybrid-electric bus",$D46="Average"),$E46*'DK '!H$12,AND($C46="Hybrid-electric bus",$D46="Nearly full"),$E46*'DK '!H$13,AND($C46="Alternative fuel bus",$D46="Almost empty"),$E46*'DK '!H$15,AND($C46="Alternative fuel bus",$D46="Average"),$E46*'DK '!H$16,AND($C46="Alternative fuel bus",$D46="Nearly full"),$E46*'DK '!H$17,AND($C46="Metro, tram, urban light train",$D46="Almost empty"),$E46*'DK '!C$35,AND($C46="Metro, tram, urban light train",$D46="Average"),$E46*'DK '!C$36,AND($C46="Metro, tram, urban light train",$D46="Nearly full"),$E46*'DK '!C$37,AND($C46="Electric passenger train",$D46="Almost empty"),$E46*'DK '!C$39,AND($C46="Electric passenger train",$D46="Average"),$E46*'DK '!C$40,AND($C46="Electric passenger train",$D46="Nearly full"),$E46*'DK '!C$41,AND($C46="Diesel passenger train",$D46="Almost empty"),$E46*'DK '!C$47,AND($C46="Diesel passenger train",$D46="Average"),$E46*'DK '!C$48,AND($C46="Diesel passenger train",$D46="Nearly full"),$E46*'DK '!C$49,AND($C46="Walking"),$E46*0,AND($C46="Bike"),$E46*0,AND($C46="Plane - domestic flight"),$E46*'DK '!$C70,AND($C46="Plane - international - intra EU"),$E46*'DK '!$C72,AND($C46="Plane - international (extra EU)"),$E46*'DK '!$C74)</f>
        <v>#N/A</v>
      </c>
      <c r="G46" s="31" t="e" cm="1">
        <f t="array" ref="G46">_xlfn.IFS(AND($C46="Fuel car",$D46=1),$E46*'DK '!D$7,AND($C46="Fuel car",$D46=2),$E46*'DK '!D$8,AND($C46="Fuel car",$D46=3),$E46*'DK '!D$9,AND($C46="Fuel car",$D46=4),$E46*'DK '!D$10,AND($C46="Fuel car",$D46=5),$E46*'DK '!D$11,AND($C46="Motorcycle",$D46=1),$E46*'DK '!D$13,AND($C46="Motorcycle",$D46=2),$E46*'DK '!D$14,AND($C46="Electric car",$D46=1),$E46*'DK '!D$16,AND($C46="Electric car",$D46=2),$E46*'DK '!D$17,AND($C46="Electric car",$D46=3),$E46*'DK '!D$18,AND($C46="Electric car",$D46=4),$E46*'DK '!D$19,AND($C46="Electric car",$D46=5),$E46*'DK '!D$20,AND($C46="Hybrid car",$D46=1),$E46*'DK '!D$22,AND($C46="Hybrid car",$D46=2),$E46*'DK '!D$23,AND($C46="Hybrid car",$D46=3),$E46*'DK '!D$24,AND($C46="Hybrid car",$D46=4),$E46*'DK '!D$25,AND($C46="Hybrid car",$D46=5),$E46*'DK '!D$26,AND($C46="Electric motorcycle",$D46=1),$E46*'DK '!D$28,AND($C46="Electric motorcycle",$D46=2),$E46*'DK '!D$29,AND($C46="Electric bike",$D46=1),$E46*'DK '!D$31,AND($C46="Electric scooter",$D46=1),$E46*'DK '!D$33,AND($C46="Bus",$D46="Almost empty"),$E46*'DK '!I$23,AND($C46="Bus",$D46="Average"),$E46*'DK '!I$24,AND($C46="Bus",$D46="Nearly full"),$E46*'DK '!I$25,AND($C46="Electric bus",$D46="Almost empty"),$E46*'DK '!I$7,AND($C46="Electric bus",$D46="Average"),$E46*'DK '!I$8,AND($C46="Electric bus",$D46="Nearly full"),$E46*'DK '!I$9,AND($C46="Diesel bus",$D46="Almost empty"),$E46*'DK '!I$19,AND($C46="Diesel bus",$D46="Average"),$E46*'DK '!I$20,AND($C46="Diesel bus",$D46="Nearly full"),$E46*'DK '!I$21,AND($C46="Hybrid-electric bus",$D46="Almost empty"),$E46*'DK '!I$11,AND($C46="Hybrid-electric bus",$D46="Average"),$E46*'DK '!I$12,AND($C46="Hybrid-electric bus",$D46="Nearly full"),$E46*'DK '!I$13,AND($C46="Alternative fuel bus",$D46="Almost empty"),$E46*'DK '!I$15,AND($C46="Alternative fuel bus",$D46="Average"),$E46*'DK '!I$16,AND($C46="Alternative fuel bus",$D46="Nearly full"),$E46*'DK '!I$17,AND($C46="Metro, tram, urban light train",$D46="Almost empty"),$E46*'DK '!D$35,AND($C46="Metro, tram, urban light train",$D46="Average"),$E46*'DK '!D$36,AND($C46="Metro, tram, urban light train",$D46="Nearly full"),$E46*'DK '!D$37,AND($C46="Electric passenger train",$D46="Almost empty"),$E46*'DK '!D$39,AND($C46="Electric passenger train",$D46="Average"),$E46*'DK '!D$40,AND($C46="Electric passenger train",$D46="Nearly full"),$E46*'DK '!D$41,AND($C46="Diesel passenger train",$D46="Almost empty"),$E46*'DK '!D$47,AND($C46="Diesel passenger train",$D46="Average"),$E46*'DK '!D$48,AND($C46="Diesel passenger train",$D46="Nearly full"),$E46*'DK '!D$49,AND($C46="Walking"),$E46*0,AND($C46="Bike"),$E46*0,AND($C46="Plane - domestic flight"),$E46*'DK '!$C70,AND($C46="Plane - international - intra EU"),$E46*'DK '!$C72,AND($C46="Plane - international (extra EU)"),$E46*'DK '!$C74)</f>
        <v>#N/A</v>
      </c>
      <c r="L46" s="246"/>
      <c r="M46" s="247"/>
      <c r="N46" s="248"/>
    </row>
    <row r="47" spans="1:14" ht="20" thickBot="1" x14ac:dyDescent="0.25">
      <c r="A47" s="222"/>
      <c r="B47" s="30"/>
      <c r="C47" s="15"/>
      <c r="D47" s="15"/>
      <c r="E47" s="15"/>
      <c r="F47" s="123" t="e" cm="1">
        <f t="array" ref="F47">_xlfn.IFS(AND($C47="Fuel car",$D47=1),$E47*'DK '!C$7,AND($C47="Fuel car",$D47=2),$E47*'DK '!C$8,AND($C47="Fuel car",$D47=3),$E47*'DK '!C$9,AND($C47="Fuel car",$D47=4),$E47*'DK '!C$10,AND($C47="Fuel car",$D47=5),$E47*'DK '!C$11,AND($C47="Motorcycle",$D47=1),$E47*'DK '!C$13,AND($C47="Motorcycle",$D47=2),$E47*'DK '!C$14,AND($C47="Electric car",$D47=1),$E47*'DK '!C$16,AND($C47="Electric car",$D47=2),$E47*'DK '!C$17,AND($C47="Electric car",$D47=3),$E47*'DK '!C$18,AND($C47="Electric car",$D47=4),$E47*'DK '!C$19,AND($C47="Electric car",$D47=5),$E47*'DK '!C$20,AND($C47="Hybrid car",$D47=1),$E47*'DK '!C$22,AND($C47="Hybrid car",$D47=2),$E47*'DK '!C$23,AND($C47="Hybrid car",$D47=3),$E47*'DK '!C$24,AND($C47="Hybrid car",$D47=4),$E47*'DK '!C$25,AND($C47="Hybrid car",$D47=5),$E47*'DK '!C$26,AND($C47="Electric motorcycle",$D47=1),$E47*'DK '!C$28,AND($C47="Electric motorcycle",$D47=2),$E47*'DK '!C$29,AND($C47="Electric bike",$D47=1),$E47*'DK '!C$31,AND($C47="Electric scooter",$D47=1),$E47*'DK '!C$33,AND($C47="Bus",$D47="Almost empty"),$E47*'DK '!H$23,AND($C47="Bus",$D47="Average"),$E47*'DK '!H$24,AND($C47="Bus",$D47="Nearly full"),$E47*'DK '!H$25,AND($C47="Electric bus",$D47="Almost empty"),$E47*'DK '!H$7,AND($C47="Electric bus",$D47="Average"),$E47*'DK '!H$8,AND($C47="Electric bus",$D47="Nearly full"),$E47*'DK '!H$9,AND($C47="Diesel bus",$D47="Almost empty"),$E47*'DK '!H$19,AND($C47="Diesel bus",$D47="Average"),$E47*'DK '!H$20,AND($C47="Diesel bus",$D47="Nearly full"),$E47*'DK '!H$21,AND($C47="Hybrid-electric bus",$D47="Almost empty"),$E47*'DK '!H$11,AND($C47="Hybrid-electric bus",$D47="Average"),$E47*'DK '!H$12,AND($C47="Hybrid-electric bus",$D47="Nearly full"),$E47*'DK '!H$13,AND($C47="Alternative fuel bus",$D47="Almost empty"),$E47*'DK '!H$15,AND($C47="Alternative fuel bus",$D47="Average"),$E47*'DK '!H$16,AND($C47="Alternative fuel bus",$D47="Nearly full"),$E47*'DK '!H$17,AND($C47="Metro, tram, urban light train",$D47="Almost empty"),$E47*'DK '!C$35,AND($C47="Metro, tram, urban light train",$D47="Average"),$E47*'DK '!C$36,AND($C47="Metro, tram, urban light train",$D47="Nearly full"),$E47*'DK '!C$37,AND($C47="Electric passenger train",$D47="Almost empty"),$E47*'DK '!C$39,AND($C47="Electric passenger train",$D47="Average"),$E47*'DK '!C$40,AND($C47="Electric passenger train",$D47="Nearly full"),$E47*'DK '!C$41,AND($C47="Diesel passenger train",$D47="Almost empty"),$E47*'DK '!C$47,AND($C47="Diesel passenger train",$D47="Average"),$E47*'DK '!C$48,AND($C47="Diesel passenger train",$D47="Nearly full"),$E47*'DK '!C$49,AND($C47="Walking"),$E47*0,AND($C47="Bike"),$E47*0,AND($C47="Plane - domestic flight"),$E47*'DK '!$C71,AND($C47="Plane - international - intra EU"),$E47*'DK '!$C73,AND($C47="Plane - international (extra EU)"),$E47*'DK '!$C75)</f>
        <v>#N/A</v>
      </c>
      <c r="G47" s="31" t="e" cm="1">
        <f t="array" ref="G47">_xlfn.IFS(AND($C47="Fuel car",$D47=1),$E47*'DK '!D$7,AND($C47="Fuel car",$D47=2),$E47*'DK '!D$8,AND($C47="Fuel car",$D47=3),$E47*'DK '!D$9,AND($C47="Fuel car",$D47=4),$E47*'DK '!D$10,AND($C47="Fuel car",$D47=5),$E47*'DK '!D$11,AND($C47="Motorcycle",$D47=1),$E47*'DK '!D$13,AND($C47="Motorcycle",$D47=2),$E47*'DK '!D$14,AND($C47="Electric car",$D47=1),$E47*'DK '!D$16,AND($C47="Electric car",$D47=2),$E47*'DK '!D$17,AND($C47="Electric car",$D47=3),$E47*'DK '!D$18,AND($C47="Electric car",$D47=4),$E47*'DK '!D$19,AND($C47="Electric car",$D47=5),$E47*'DK '!D$20,AND($C47="Hybrid car",$D47=1),$E47*'DK '!D$22,AND($C47="Hybrid car",$D47=2),$E47*'DK '!D$23,AND($C47="Hybrid car",$D47=3),$E47*'DK '!D$24,AND($C47="Hybrid car",$D47=4),$E47*'DK '!D$25,AND($C47="Hybrid car",$D47=5),$E47*'DK '!D$26,AND($C47="Electric motorcycle",$D47=1),$E47*'DK '!D$28,AND($C47="Electric motorcycle",$D47=2),$E47*'DK '!D$29,AND($C47="Electric bike",$D47=1),$E47*'DK '!D$31,AND($C47="Electric scooter",$D47=1),$E47*'DK '!D$33,AND($C47="Bus",$D47="Almost empty"),$E47*'DK '!I$23,AND($C47="Bus",$D47="Average"),$E47*'DK '!I$24,AND($C47="Bus",$D47="Nearly full"),$E47*'DK '!I$25,AND($C47="Electric bus",$D47="Almost empty"),$E47*'DK '!I$7,AND($C47="Electric bus",$D47="Average"),$E47*'DK '!I$8,AND($C47="Electric bus",$D47="Nearly full"),$E47*'DK '!I$9,AND($C47="Diesel bus",$D47="Almost empty"),$E47*'DK '!I$19,AND($C47="Diesel bus",$D47="Average"),$E47*'DK '!I$20,AND($C47="Diesel bus",$D47="Nearly full"),$E47*'DK '!I$21,AND($C47="Hybrid-electric bus",$D47="Almost empty"),$E47*'DK '!I$11,AND($C47="Hybrid-electric bus",$D47="Average"),$E47*'DK '!I$12,AND($C47="Hybrid-electric bus",$D47="Nearly full"),$E47*'DK '!I$13,AND($C47="Alternative fuel bus",$D47="Almost empty"),$E47*'DK '!I$15,AND($C47="Alternative fuel bus",$D47="Average"),$E47*'DK '!I$16,AND($C47="Alternative fuel bus",$D47="Nearly full"),$E47*'DK '!I$17,AND($C47="Metro, tram, urban light train",$D47="Almost empty"),$E47*'DK '!D$35,AND($C47="Metro, tram, urban light train",$D47="Average"),$E47*'DK '!D$36,AND($C47="Metro, tram, urban light train",$D47="Nearly full"),$E47*'DK '!D$37,AND($C47="Electric passenger train",$D47="Almost empty"),$E47*'DK '!D$39,AND($C47="Electric passenger train",$D47="Average"),$E47*'DK '!D$40,AND($C47="Electric passenger train",$D47="Nearly full"),$E47*'DK '!D$41,AND($C47="Diesel passenger train",$D47="Almost empty"),$E47*'DK '!D$47,AND($C47="Diesel passenger train",$D47="Average"),$E47*'DK '!D$48,AND($C47="Diesel passenger train",$D47="Nearly full"),$E47*'DK '!D$49,AND($C47="Walking"),$E47*0,AND($C47="Bike"),$E47*0,AND($C47="Plane - domestic flight"),$E47*'DK '!$C71,AND($C47="Plane - international - intra EU"),$E47*'DK '!$C73,AND($C47="Plane - international (extra EU)"),$E47*'DK '!$C75)</f>
        <v>#N/A</v>
      </c>
      <c r="L47" s="238" t="s">
        <v>56</v>
      </c>
      <c r="M47" s="239"/>
      <c r="N47" s="240"/>
    </row>
    <row r="48" spans="1:14" ht="16" thickBot="1" x14ac:dyDescent="0.25">
      <c r="A48" s="222"/>
      <c r="B48" s="30"/>
      <c r="C48" s="15"/>
      <c r="D48" s="15"/>
      <c r="E48" s="15"/>
      <c r="F48" s="123" t="e" cm="1">
        <f t="array" ref="F48">_xlfn.IFS(AND($C48="Fuel car",$D48=1),$E48*'DK '!C$7,AND($C48="Fuel car",$D48=2),$E48*'DK '!C$8,AND($C48="Fuel car",$D48=3),$E48*'DK '!C$9,AND($C48="Fuel car",$D48=4),$E48*'DK '!C$10,AND($C48="Fuel car",$D48=5),$E48*'DK '!C$11,AND($C48="Motorcycle",$D48=1),$E48*'DK '!C$13,AND($C48="Motorcycle",$D48=2),$E48*'DK '!C$14,AND($C48="Electric car",$D48=1),$E48*'DK '!C$16,AND($C48="Electric car",$D48=2),$E48*'DK '!C$17,AND($C48="Electric car",$D48=3),$E48*'DK '!C$18,AND($C48="Electric car",$D48=4),$E48*'DK '!C$19,AND($C48="Electric car",$D48=5),$E48*'DK '!C$20,AND($C48="Hybrid car",$D48=1),$E48*'DK '!C$22,AND($C48="Hybrid car",$D48=2),$E48*'DK '!C$23,AND($C48="Hybrid car",$D48=3),$E48*'DK '!C$24,AND($C48="Hybrid car",$D48=4),$E48*'DK '!C$25,AND($C48="Hybrid car",$D48=5),$E48*'DK '!C$26,AND($C48="Electric motorcycle",$D48=1),$E48*'DK '!C$28,AND($C48="Electric motorcycle",$D48=2),$E48*'DK '!C$29,AND($C48="Electric bike",$D48=1),$E48*'DK '!C$31,AND($C48="Electric scooter",$D48=1),$E48*'DK '!C$33,AND($C48="Bus",$D48="Almost empty"),$E48*'DK '!H$23,AND($C48="Bus",$D48="Average"),$E48*'DK '!H$24,AND($C48="Bus",$D48="Nearly full"),$E48*'DK '!H$25,AND($C48="Electric bus",$D48="Almost empty"),$E48*'DK '!H$7,AND($C48="Electric bus",$D48="Average"),$E48*'DK '!H$8,AND($C48="Electric bus",$D48="Nearly full"),$E48*'DK '!H$9,AND($C48="Diesel bus",$D48="Almost empty"),$E48*'DK '!H$19,AND($C48="Diesel bus",$D48="Average"),$E48*'DK '!H$20,AND($C48="Diesel bus",$D48="Nearly full"),$E48*'DK '!H$21,AND($C48="Hybrid-electric bus",$D48="Almost empty"),$E48*'DK '!H$11,AND($C48="Hybrid-electric bus",$D48="Average"),$E48*'DK '!H$12,AND($C48="Hybrid-electric bus",$D48="Nearly full"),$E48*'DK '!H$13,AND($C48="Alternative fuel bus",$D48="Almost empty"),$E48*'DK '!H$15,AND($C48="Alternative fuel bus",$D48="Average"),$E48*'DK '!H$16,AND($C48="Alternative fuel bus",$D48="Nearly full"),$E48*'DK '!H$17,AND($C48="Metro, tram, urban light train",$D48="Almost empty"),$E48*'DK '!C$35,AND($C48="Metro, tram, urban light train",$D48="Average"),$E48*'DK '!C$36,AND($C48="Metro, tram, urban light train",$D48="Nearly full"),$E48*'DK '!C$37,AND($C48="Electric passenger train",$D48="Almost empty"),$E48*'DK '!C$39,AND($C48="Electric passenger train",$D48="Average"),$E48*'DK '!C$40,AND($C48="Electric passenger train",$D48="Nearly full"),$E48*'DK '!C$41,AND($C48="Diesel passenger train",$D48="Almost empty"),$E48*'DK '!C$47,AND($C48="Diesel passenger train",$D48="Average"),$E48*'DK '!C$48,AND($C48="Diesel passenger train",$D48="Nearly full"),$E48*'DK '!C$49,AND($C48="Walking"),$E48*0,AND($C48="Bike"),$E48*0,AND($C48="Plane - domestic flight"),$E48*'DK '!$C72,AND($C48="Plane - international - intra EU"),$E48*'DK '!$C74,AND($C48="Plane - international (extra EU)"),$E48*'DK '!$C76)</f>
        <v>#N/A</v>
      </c>
      <c r="G48" s="31" t="e" cm="1">
        <f t="array" ref="G48">_xlfn.IFS(AND($C48="Fuel car",$D48=1),$E48*'DK '!D$7,AND($C48="Fuel car",$D48=2),$E48*'DK '!D$8,AND($C48="Fuel car",$D48=3),$E48*'DK '!D$9,AND($C48="Fuel car",$D48=4),$E48*'DK '!D$10,AND($C48="Fuel car",$D48=5),$E48*'DK '!D$11,AND($C48="Motorcycle",$D48=1),$E48*'DK '!D$13,AND($C48="Motorcycle",$D48=2),$E48*'DK '!D$14,AND($C48="Electric car",$D48=1),$E48*'DK '!D$16,AND($C48="Electric car",$D48=2),$E48*'DK '!D$17,AND($C48="Electric car",$D48=3),$E48*'DK '!D$18,AND($C48="Electric car",$D48=4),$E48*'DK '!D$19,AND($C48="Electric car",$D48=5),$E48*'DK '!D$20,AND($C48="Hybrid car",$D48=1),$E48*'DK '!D$22,AND($C48="Hybrid car",$D48=2),$E48*'DK '!D$23,AND($C48="Hybrid car",$D48=3),$E48*'DK '!D$24,AND($C48="Hybrid car",$D48=4),$E48*'DK '!D$25,AND($C48="Hybrid car",$D48=5),$E48*'DK '!D$26,AND($C48="Electric motorcycle",$D48=1),$E48*'DK '!D$28,AND($C48="Electric motorcycle",$D48=2),$E48*'DK '!D$29,AND($C48="Electric bike",$D48=1),$E48*'DK '!D$31,AND($C48="Electric scooter",$D48=1),$E48*'DK '!D$33,AND($C48="Bus",$D48="Almost empty"),$E48*'DK '!I$23,AND($C48="Bus",$D48="Average"),$E48*'DK '!I$24,AND($C48="Bus",$D48="Nearly full"),$E48*'DK '!I$25,AND($C48="Electric bus",$D48="Almost empty"),$E48*'DK '!I$7,AND($C48="Electric bus",$D48="Average"),$E48*'DK '!I$8,AND($C48="Electric bus",$D48="Nearly full"),$E48*'DK '!I$9,AND($C48="Diesel bus",$D48="Almost empty"),$E48*'DK '!I$19,AND($C48="Diesel bus",$D48="Average"),$E48*'DK '!I$20,AND($C48="Diesel bus",$D48="Nearly full"),$E48*'DK '!I$21,AND($C48="Hybrid-electric bus",$D48="Almost empty"),$E48*'DK '!I$11,AND($C48="Hybrid-electric bus",$D48="Average"),$E48*'DK '!I$12,AND($C48="Hybrid-electric bus",$D48="Nearly full"),$E48*'DK '!I$13,AND($C48="Alternative fuel bus",$D48="Almost empty"),$E48*'DK '!I$15,AND($C48="Alternative fuel bus",$D48="Average"),$E48*'DK '!I$16,AND($C48="Alternative fuel bus",$D48="Nearly full"),$E48*'DK '!I$17,AND($C48="Metro, tram, urban light train",$D48="Almost empty"),$E48*'DK '!D$35,AND($C48="Metro, tram, urban light train",$D48="Average"),$E48*'DK '!D$36,AND($C48="Metro, tram, urban light train",$D48="Nearly full"),$E48*'DK '!D$37,AND($C48="Electric passenger train",$D48="Almost empty"),$E48*'DK '!D$39,AND($C48="Electric passenger train",$D48="Average"),$E48*'DK '!D$40,AND($C48="Electric passenger train",$D48="Nearly full"),$E48*'DK '!D$41,AND($C48="Diesel passenger train",$D48="Almost empty"),$E48*'DK '!D$47,AND($C48="Diesel passenger train",$D48="Average"),$E48*'DK '!D$48,AND($C48="Diesel passenger train",$D48="Nearly full"),$E48*'DK '!D$49,AND($C48="Walking"),$E48*0,AND($C48="Bike"),$E48*0,AND($C48="Plane - domestic flight"),$E48*'DK '!$C72,AND($C48="Plane - international - intra EU"),$E48*'DK '!$C74,AND($C48="Plane - international (extra EU)"),$E48*'DK '!$C76)</f>
        <v>#N/A</v>
      </c>
      <c r="H48" s="196" t="s">
        <v>67</v>
      </c>
      <c r="I48" s="197"/>
      <c r="L48" s="249"/>
      <c r="M48" s="250"/>
      <c r="N48" s="251"/>
    </row>
    <row r="49" spans="1:14" x14ac:dyDescent="0.2">
      <c r="A49" s="222"/>
      <c r="B49" s="30"/>
      <c r="C49" s="15"/>
      <c r="D49" s="15"/>
      <c r="E49" s="15"/>
      <c r="F49" s="123" t="e" cm="1">
        <f t="array" ref="F49">_xlfn.IFS(AND($C49="Fuel car",$D49=1),$E49*'DK '!C$7,AND($C49="Fuel car",$D49=2),$E49*'DK '!C$8,AND($C49="Fuel car",$D49=3),$E49*'DK '!C$9,AND($C49="Fuel car",$D49=4),$E49*'DK '!C$10,AND($C49="Fuel car",$D49=5),$E49*'DK '!C$11,AND($C49="Motorcycle",$D49=1),$E49*'DK '!C$13,AND($C49="Motorcycle",$D49=2),$E49*'DK '!C$14,AND($C49="Electric car",$D49=1),$E49*'DK '!C$16,AND($C49="Electric car",$D49=2),$E49*'DK '!C$17,AND($C49="Electric car",$D49=3),$E49*'DK '!C$18,AND($C49="Electric car",$D49=4),$E49*'DK '!C$19,AND($C49="Electric car",$D49=5),$E49*'DK '!C$20,AND($C49="Hybrid car",$D49=1),$E49*'DK '!C$22,AND($C49="Hybrid car",$D49=2),$E49*'DK '!C$23,AND($C49="Hybrid car",$D49=3),$E49*'DK '!C$24,AND($C49="Hybrid car",$D49=4),$E49*'DK '!C$25,AND($C49="Hybrid car",$D49=5),$E49*'DK '!C$26,AND($C49="Electric motorcycle",$D49=1),$E49*'DK '!C$28,AND($C49="Electric motorcycle",$D49=2),$E49*'DK '!C$29,AND($C49="Electric bike",$D49=1),$E49*'DK '!C$31,AND($C49="Electric scooter",$D49=1),$E49*'DK '!C$33,AND($C49="Bus",$D49="Almost empty"),$E49*'DK '!H$23,AND($C49="Bus",$D49="Average"),$E49*'DK '!H$24,AND($C49="Bus",$D49="Nearly full"),$E49*'DK '!H$25,AND($C49="Electric bus",$D49="Almost empty"),$E49*'DK '!H$7,AND($C49="Electric bus",$D49="Average"),$E49*'DK '!H$8,AND($C49="Electric bus",$D49="Nearly full"),$E49*'DK '!H$9,AND($C49="Diesel bus",$D49="Almost empty"),$E49*'DK '!H$19,AND($C49="Diesel bus",$D49="Average"),$E49*'DK '!H$20,AND($C49="Diesel bus",$D49="Nearly full"),$E49*'DK '!H$21,AND($C49="Hybrid-electric bus",$D49="Almost empty"),$E49*'DK '!H$11,AND($C49="Hybrid-electric bus",$D49="Average"),$E49*'DK '!H$12,AND($C49="Hybrid-electric bus",$D49="Nearly full"),$E49*'DK '!H$13,AND($C49="Alternative fuel bus",$D49="Almost empty"),$E49*'DK '!H$15,AND($C49="Alternative fuel bus",$D49="Average"),$E49*'DK '!H$16,AND($C49="Alternative fuel bus",$D49="Nearly full"),$E49*'DK '!H$17,AND($C49="Metro, tram, urban light train",$D49="Almost empty"),$E49*'DK '!C$35,AND($C49="Metro, tram, urban light train",$D49="Average"),$E49*'DK '!C$36,AND($C49="Metro, tram, urban light train",$D49="Nearly full"),$E49*'DK '!C$37,AND($C49="Electric passenger train",$D49="Almost empty"),$E49*'DK '!C$39,AND($C49="Electric passenger train",$D49="Average"),$E49*'DK '!C$40,AND($C49="Electric passenger train",$D49="Nearly full"),$E49*'DK '!C$41,AND($C49="Diesel passenger train",$D49="Almost empty"),$E49*'DK '!C$47,AND($C49="Diesel passenger train",$D49="Average"),$E49*'DK '!C$48,AND($C49="Diesel passenger train",$D49="Nearly full"),$E49*'DK '!C$49,AND($C49="Walking"),$E49*0,AND($C49="Bike"),$E49*0,AND($C49="Plane - domestic flight"),$E49*'DK '!$C73,AND($C49="Plane - international - intra EU"),$E49*'DK '!$C75,AND($C49="Plane - international (extra EU)"),$E49*'DK '!$C77)</f>
        <v>#N/A</v>
      </c>
      <c r="G49" s="31" t="e" cm="1">
        <f t="array" ref="G49">_xlfn.IFS(AND($C49="Fuel car",$D49=1),$E49*'DK '!D$7,AND($C49="Fuel car",$D49=2),$E49*'DK '!D$8,AND($C49="Fuel car",$D49=3),$E49*'DK '!D$9,AND($C49="Fuel car",$D49=4),$E49*'DK '!D$10,AND($C49="Fuel car",$D49=5),$E49*'DK '!D$11,AND($C49="Motorcycle",$D49=1),$E49*'DK '!D$13,AND($C49="Motorcycle",$D49=2),$E49*'DK '!D$14,AND($C49="Electric car",$D49=1),$E49*'DK '!D$16,AND($C49="Electric car",$D49=2),$E49*'DK '!D$17,AND($C49="Electric car",$D49=3),$E49*'DK '!D$18,AND($C49="Electric car",$D49=4),$E49*'DK '!D$19,AND($C49="Electric car",$D49=5),$E49*'DK '!D$20,AND($C49="Hybrid car",$D49=1),$E49*'DK '!D$22,AND($C49="Hybrid car",$D49=2),$E49*'DK '!D$23,AND($C49="Hybrid car",$D49=3),$E49*'DK '!D$24,AND($C49="Hybrid car",$D49=4),$E49*'DK '!D$25,AND($C49="Hybrid car",$D49=5),$E49*'DK '!D$26,AND($C49="Electric motorcycle",$D49=1),$E49*'DK '!D$28,AND($C49="Electric motorcycle",$D49=2),$E49*'DK '!D$29,AND($C49="Electric bike",$D49=1),$E49*'DK '!D$31,AND($C49="Electric scooter",$D49=1),$E49*'DK '!D$33,AND($C49="Bus",$D49="Almost empty"),$E49*'DK '!I$23,AND($C49="Bus",$D49="Average"),$E49*'DK '!I$24,AND($C49="Bus",$D49="Nearly full"),$E49*'DK '!I$25,AND($C49="Electric bus",$D49="Almost empty"),$E49*'DK '!I$7,AND($C49="Electric bus",$D49="Average"),$E49*'DK '!I$8,AND($C49="Electric bus",$D49="Nearly full"),$E49*'DK '!I$9,AND($C49="Diesel bus",$D49="Almost empty"),$E49*'DK '!I$19,AND($C49="Diesel bus",$D49="Average"),$E49*'DK '!I$20,AND($C49="Diesel bus",$D49="Nearly full"),$E49*'DK '!I$21,AND($C49="Hybrid-electric bus",$D49="Almost empty"),$E49*'DK '!I$11,AND($C49="Hybrid-electric bus",$D49="Average"),$E49*'DK '!I$12,AND($C49="Hybrid-electric bus",$D49="Nearly full"),$E49*'DK '!I$13,AND($C49="Alternative fuel bus",$D49="Almost empty"),$E49*'DK '!I$15,AND($C49="Alternative fuel bus",$D49="Average"),$E49*'DK '!I$16,AND($C49="Alternative fuel bus",$D49="Nearly full"),$E49*'DK '!I$17,AND($C49="Metro, tram, urban light train",$D49="Almost empty"),$E49*'DK '!D$35,AND($C49="Metro, tram, urban light train",$D49="Average"),$E49*'DK '!D$36,AND($C49="Metro, tram, urban light train",$D49="Nearly full"),$E49*'DK '!D$37,AND($C49="Electric passenger train",$D49="Almost empty"),$E49*'DK '!D$39,AND($C49="Electric passenger train",$D49="Average"),$E49*'DK '!D$40,AND($C49="Electric passenger train",$D49="Nearly full"),$E49*'DK '!D$41,AND($C49="Diesel passenger train",$D49="Almost empty"),$E49*'DK '!D$47,AND($C49="Diesel passenger train",$D49="Average"),$E49*'DK '!D$48,AND($C49="Diesel passenger train",$D49="Nearly full"),$E49*'DK '!D$49,AND($C49="Walking"),$E49*0,AND($C49="Bike"),$E49*0,AND($C49="Plane - domestic flight"),$E49*'DK '!$C73,AND($C49="Plane - international - intra EU"),$E49*'DK '!$C75,AND($C49="Plane - international (extra EU)"),$E49*'DK '!$C77)</f>
        <v>#N/A</v>
      </c>
      <c r="H49" s="244" t="s">
        <v>74</v>
      </c>
      <c r="I49" s="141"/>
      <c r="L49" s="252"/>
      <c r="M49" s="253"/>
      <c r="N49" s="254"/>
    </row>
    <row r="50" spans="1:14" ht="16" thickBot="1" x14ac:dyDescent="0.25">
      <c r="A50" s="222"/>
      <c r="B50" s="51"/>
      <c r="C50" s="15"/>
      <c r="D50" s="15"/>
      <c r="E50" s="32"/>
      <c r="F50" s="123" t="e" cm="1">
        <f t="array" ref="F50">_xlfn.IFS(AND($C50="Fuel car",$D50=1),$E50*'DK '!C$7,AND($C50="Fuel car",$D50=2),$E50*'DK '!C$8,AND($C50="Fuel car",$D50=3),$E50*'DK '!C$9,AND($C50="Fuel car",$D50=4),$E50*'DK '!C$10,AND($C50="Fuel car",$D50=5),$E50*'DK '!C$11,AND($C50="Motorcycle",$D50=1),$E50*'DK '!C$13,AND($C50="Motorcycle",$D50=2),$E50*'DK '!C$14,AND($C50="Electric car",$D50=1),$E50*'DK '!C$16,AND($C50="Electric car",$D50=2),$E50*'DK '!C$17,AND($C50="Electric car",$D50=3),$E50*'DK '!C$18,AND($C50="Electric car",$D50=4),$E50*'DK '!C$19,AND($C50="Electric car",$D50=5),$E50*'DK '!C$20,AND($C50="Hybrid car",$D50=1),$E50*'DK '!C$22,AND($C50="Hybrid car",$D50=2),$E50*'DK '!C$23,AND($C50="Hybrid car",$D50=3),$E50*'DK '!C$24,AND($C50="Hybrid car",$D50=4),$E50*'DK '!C$25,AND($C50="Hybrid car",$D50=5),$E50*'DK '!C$26,AND($C50="Electric motorcycle",$D50=1),$E50*'DK '!C$28,AND($C50="Electric motorcycle",$D50=2),$E50*'DK '!C$29,AND($C50="Electric bike",$D50=1),$E50*'DK '!C$31,AND($C50="Electric scooter",$D50=1),$E50*'DK '!C$33,AND($C50="Bus",$D50="Almost empty"),$E50*'DK '!H$23,AND($C50="Bus",$D50="Average"),$E50*'DK '!H$24,AND($C50="Bus",$D50="Nearly full"),$E50*'DK '!H$25,AND($C50="Electric bus",$D50="Almost empty"),$E50*'DK '!H$7,AND($C50="Electric bus",$D50="Average"),$E50*'DK '!H$8,AND($C50="Electric bus",$D50="Nearly full"),$E50*'DK '!H$9,AND($C50="Diesel bus",$D50="Almost empty"),$E50*'DK '!H$19,AND($C50="Diesel bus",$D50="Average"),$E50*'DK '!H$20,AND($C50="Diesel bus",$D50="Nearly full"),$E50*'DK '!H$21,AND($C50="Hybrid-electric bus",$D50="Almost empty"),$E50*'DK '!H$11,AND($C50="Hybrid-electric bus",$D50="Average"),$E50*'DK '!H$12,AND($C50="Hybrid-electric bus",$D50="Nearly full"),$E50*'DK '!H$13,AND($C50="Alternative fuel bus",$D50="Almost empty"),$E50*'DK '!H$15,AND($C50="Alternative fuel bus",$D50="Average"),$E50*'DK '!H$16,AND($C50="Alternative fuel bus",$D50="Nearly full"),$E50*'DK '!H$17,AND($C50="Metro, tram, urban light train",$D50="Almost empty"),$E50*'DK '!C$35,AND($C50="Metro, tram, urban light train",$D50="Average"),$E50*'DK '!C$36,AND($C50="Metro, tram, urban light train",$D50="Nearly full"),$E50*'DK '!C$37,AND($C50="Electric passenger train",$D50="Almost empty"),$E50*'DK '!C$39,AND($C50="Electric passenger train",$D50="Average"),$E50*'DK '!C$40,AND($C50="Electric passenger train",$D50="Nearly full"),$E50*'DK '!C$41,AND($C50="Diesel passenger train",$D50="Almost empty"),$E50*'DK '!C$47,AND($C50="Diesel passenger train",$D50="Average"),$E50*'DK '!C$48,AND($C50="Diesel passenger train",$D50="Nearly full"),$E50*'DK '!C$49,AND($C50="Walking"),$E50*0,AND($C50="Bike"),$E50*0,AND($C50="Plane - domestic flight"),$E50*'DK '!$C74,AND($C50="Plane - international - intra EU"),$E50*'DK '!$C76,AND($C50="Plane - international (extra EU)"),$E50*'DK '!$C78)</f>
        <v>#N/A</v>
      </c>
      <c r="G50" s="31" t="e" cm="1">
        <f t="array" ref="G50">_xlfn.IFS(AND($C50="Fuel car",$D50=1),$E50*'DK '!D$7,AND($C50="Fuel car",$D50=2),$E50*'DK '!D$8,AND($C50="Fuel car",$D50=3),$E50*'DK '!D$9,AND($C50="Fuel car",$D50=4),$E50*'DK '!D$10,AND($C50="Fuel car",$D50=5),$E50*'DK '!D$11,AND($C50="Motorcycle",$D50=1),$E50*'DK '!D$13,AND($C50="Motorcycle",$D50=2),$E50*'DK '!D$14,AND($C50="Electric car",$D50=1),$E50*'DK '!D$16,AND($C50="Electric car",$D50=2),$E50*'DK '!D$17,AND($C50="Electric car",$D50=3),$E50*'DK '!D$18,AND($C50="Electric car",$D50=4),$E50*'DK '!D$19,AND($C50="Electric car",$D50=5),$E50*'DK '!D$20,AND($C50="Hybrid car",$D50=1),$E50*'DK '!D$22,AND($C50="Hybrid car",$D50=2),$E50*'DK '!D$23,AND($C50="Hybrid car",$D50=3),$E50*'DK '!D$24,AND($C50="Hybrid car",$D50=4),$E50*'DK '!D$25,AND($C50="Hybrid car",$D50=5),$E50*'DK '!D$26,AND($C50="Electric motorcycle",$D50=1),$E50*'DK '!D$28,AND($C50="Electric motorcycle",$D50=2),$E50*'DK '!D$29,AND($C50="Electric bike",$D50=1),$E50*'DK '!D$31,AND($C50="Electric scooter",$D50=1),$E50*'DK '!D$33,AND($C50="Bus",$D50="Almost empty"),$E50*'DK '!I$23,AND($C50="Bus",$D50="Average"),$E50*'DK '!I$24,AND($C50="Bus",$D50="Nearly full"),$E50*'DK '!I$25,AND($C50="Electric bus",$D50="Almost empty"),$E50*'DK '!I$7,AND($C50="Electric bus",$D50="Average"),$E50*'DK '!I$8,AND($C50="Electric bus",$D50="Nearly full"),$E50*'DK '!I$9,AND($C50="Diesel bus",$D50="Almost empty"),$E50*'DK '!I$19,AND($C50="Diesel bus",$D50="Average"),$E50*'DK '!I$20,AND($C50="Diesel bus",$D50="Nearly full"),$E50*'DK '!I$21,AND($C50="Hybrid-electric bus",$D50="Almost empty"),$E50*'DK '!I$11,AND($C50="Hybrid-electric bus",$D50="Average"),$E50*'DK '!I$12,AND($C50="Hybrid-electric bus",$D50="Nearly full"),$E50*'DK '!I$13,AND($C50="Alternative fuel bus",$D50="Almost empty"),$E50*'DK '!I$15,AND($C50="Alternative fuel bus",$D50="Average"),$E50*'DK '!I$16,AND($C50="Alternative fuel bus",$D50="Nearly full"),$E50*'DK '!I$17,AND($C50="Metro, tram, urban light train",$D50="Almost empty"),$E50*'DK '!D$35,AND($C50="Metro, tram, urban light train",$D50="Average"),$E50*'DK '!D$36,AND($C50="Metro, tram, urban light train",$D50="Nearly full"),$E50*'DK '!D$37,AND($C50="Electric passenger train",$D50="Almost empty"),$E50*'DK '!D$39,AND($C50="Electric passenger train",$D50="Average"),$E50*'DK '!D$40,AND($C50="Electric passenger train",$D50="Nearly full"),$E50*'DK '!D$41,AND($C50="Diesel passenger train",$D50="Almost empty"),$E50*'DK '!D$47,AND($C50="Diesel passenger train",$D50="Average"),$E50*'DK '!D$48,AND($C50="Diesel passenger train",$D50="Nearly full"),$E50*'DK '!D$49,AND($C50="Walking"),$E50*0,AND($C50="Bike"),$E50*0,AND($C50="Plane - domestic flight"),$E50*'DK '!$C74,AND($C50="Plane - international - intra EU"),$E50*'DK '!$C76,AND($C50="Plane - international (extra EU)"),$E50*'DK '!$C78)</f>
        <v>#N/A</v>
      </c>
      <c r="H50" s="245"/>
      <c r="I50" s="142"/>
      <c r="L50" s="252"/>
      <c r="M50" s="253"/>
      <c r="N50" s="254"/>
    </row>
    <row r="51" spans="1:14" ht="33" thickBot="1" x14ac:dyDescent="0.25">
      <c r="A51" s="222"/>
      <c r="B51" s="53"/>
      <c r="C51" s="32"/>
      <c r="D51" s="34"/>
      <c r="E51" s="34"/>
      <c r="F51" s="54" t="e" cm="1">
        <f t="array" ref="F51">_xlfn.IFS(AND($C51="Fuel car",$D51=1),$E51*'DK '!C$7,AND($C51="Fuel car",$D51=2),$E51*'DK '!C$8,AND($C51="Fuel car",$D51=3),$E51*'DK '!C$9,AND($C51="Fuel car",$D51=4),$E51*'DK '!C$10,AND($C51="Fuel car",$D51=5),$E51*'DK '!C$11,AND($C51="Motorcycle",$D51=1),$E51*'DK '!C$13,AND($C51="Motorcycle",$D51=2),$E51*'DK '!C$14,AND($C51="Electric car",$D51=1),$E51*'DK '!C$16,AND($C51="Electric car",$D51=2),$E51*'DK '!C$17,AND($C51="Electric car",$D51=3),$E51*'DK '!C$18,AND($C51="Electric car",$D51=4),$E51*'DK '!C$19,AND($C51="Electric car",$D51=5),$E51*'DK '!C$20,AND($C51="Hybrid car",$D51=1),$E51*'DK '!C$22,AND($C51="Hybrid car",$D51=2),$E51*'DK '!C$23,AND($C51="Hybrid car",$D51=3),$E51*'DK '!C$24,AND($C51="Hybrid car",$D51=4),$E51*'DK '!C$25,AND($C51="Hybrid car",$D51=5),$E51*'DK '!C$26,AND($C51="Electric motorcycle",$D51=1),$E51*'DK '!C$28,AND($C51="Electric motorcycle",$D51=2),$E51*'DK '!C$29,AND($C51="Electric bike",$D51=1),$E51*'DK '!C$31,AND($C51="Electric scooter",$D51=1),$E51*'DK '!C$33,AND($C51="Bus",$D51="Almost empty"),$E51*'DK '!H$23,AND($C51="Bus",$D51="Average"),$E51*'DK '!H$24,AND($C51="Bus",$D51="Nearly full"),$E51*'DK '!H$25,AND($C51="Electric bus",$D51="Almost empty"),$E51*'DK '!H$7,AND($C51="Electric bus",$D51="Average"),$E51*'DK '!H$8,AND($C51="Electric bus",$D51="Nearly full"),$E51*'DK '!H$9,AND($C51="Diesel bus",$D51="Almost empty"),$E51*'DK '!H$19,AND($C51="Diesel bus",$D51="Average"),$E51*'DK '!H$20,AND($C51="Diesel bus",$D51="Nearly full"),$E51*'DK '!H$21,AND($C51="Hybrid-electric bus",$D51="Almost empty"),$E51*'DK '!H$11,AND($C51="Hybrid-electric bus",$D51="Average"),$E51*'DK '!H$12,AND($C51="Hybrid-electric bus",$D51="Nearly full"),$E51*'DK '!H$13,AND($C51="Alternative fuel bus",$D51="Almost empty"),$E51*'DK '!H$15,AND($C51="Alternative fuel bus",$D51="Average"),$E51*'DK '!H$16,AND($C51="Alternative fuel bus",$D51="Nearly full"),$E51*'DK '!H$17,AND($C51="Metro, tram, urban light train",$D51="Almost empty"),$E51*'DK '!C$35,AND($C51="Metro, tram, urban light train",$D51="Average"),$E51*'DK '!C$36,AND($C51="Metro, tram, urban light train",$D51="Nearly full"),$E51*'DK '!C$37,AND($C51="Electric passenger train",$D51="Almost empty"),$E51*'DK '!C$39,AND($C51="Electric passenger train",$D51="Average"),$E51*'DK '!C$40,AND($C51="Electric passenger train",$D51="Nearly full"),$E51*'DK '!C$41,AND($C51="Diesel passenger train",$D51="Almost empty"),$E51*'DK '!C$47,AND($C51="Diesel passenger train",$D51="Average"),$E51*'DK '!C$48,AND($C51="Diesel passenger train",$D51="Nearly full"),$E51*'DK '!C$49,AND($C51="Walking"),$E51*0,AND($C51="Bike"),$E51*0,AND($C51="Plane - domestic flight"),$E51*'DK '!$C75,AND($C51="Plane - international - intra EU"),$E51*'DK '!$C77,AND($C51="Plane - international (extra EU)"),$E51*'DK '!$C79)</f>
        <v>#N/A</v>
      </c>
      <c r="G51" s="35" t="e" cm="1">
        <f t="array" ref="G51">_xlfn.IFS(AND($C51="Fuel car",$D51=1),$E51*'DK '!D$7,AND($C51="Fuel car",$D51=2),$E51*'DK '!D$8,AND($C51="Fuel car",$D51=3),$E51*'DK '!D$9,AND($C51="Fuel car",$D51=4),$E51*'DK '!D$10,AND($C51="Fuel car",$D51=5),$E51*'DK '!D$11,AND($C51="Motorcycle",$D51=1),$E51*'DK '!D$13,AND($C51="Motorcycle",$D51=2),$E51*'DK '!D$14,AND($C51="Electric car",$D51=1),$E51*'DK '!D$16,AND($C51="Electric car",$D51=2),$E51*'DK '!D$17,AND($C51="Electric car",$D51=3),$E51*'DK '!D$18,AND($C51="Electric car",$D51=4),$E51*'DK '!D$19,AND($C51="Electric car",$D51=5),$E51*'DK '!D$20,AND($C51="Hybrid car",$D51=1),$E51*'DK '!D$22,AND($C51="Hybrid car",$D51=2),$E51*'DK '!D$23,AND($C51="Hybrid car",$D51=3),$E51*'DK '!D$24,AND($C51="Hybrid car",$D51=4),$E51*'DK '!D$25,AND($C51="Hybrid car",$D51=5),$E51*'DK '!D$26,AND($C51="Electric motorcycle",$D51=1),$E51*'DK '!D$28,AND($C51="Electric motorcycle",$D51=2),$E51*'DK '!D$29,AND($C51="Electric bike",$D51=1),$E51*'DK '!D$31,AND($C51="Electric scooter",$D51=1),$E51*'DK '!D$33,AND($C51="Bus",$D51="Almost empty"),$E51*'DK '!I$23,AND($C51="Bus",$D51="Average"),$E51*'DK '!I$24,AND($C51="Bus",$D51="Nearly full"),$E51*'DK '!I$25,AND($C51="Electric bus",$D51="Almost empty"),$E51*'DK '!I$7,AND($C51="Electric bus",$D51="Average"),$E51*'DK '!I$8,AND($C51="Electric bus",$D51="Nearly full"),$E51*'DK '!I$9,AND($C51="Diesel bus",$D51="Almost empty"),$E51*'DK '!I$19,AND($C51="Diesel bus",$D51="Average"),$E51*'DK '!I$20,AND($C51="Diesel bus",$D51="Nearly full"),$E51*'DK '!I$21,AND($C51="Hybrid-electric bus",$D51="Almost empty"),$E51*'DK '!I$11,AND($C51="Hybrid-electric bus",$D51="Average"),$E51*'DK '!I$12,AND($C51="Hybrid-electric bus",$D51="Nearly full"),$E51*'DK '!I$13,AND($C51="Alternative fuel bus",$D51="Almost empty"),$E51*'DK '!I$15,AND($C51="Alternative fuel bus",$D51="Average"),$E51*'DK '!I$16,AND($C51="Alternative fuel bus",$D51="Nearly full"),$E51*'DK '!I$17,AND($C51="Metro, tram, urban light train",$D51="Almost empty"),$E51*'DK '!D$35,AND($C51="Metro, tram, urban light train",$D51="Average"),$E51*'DK '!D$36,AND($C51="Metro, tram, urban light train",$D51="Nearly full"),$E51*'DK '!D$37,AND($C51="Electric passenger train",$D51="Almost empty"),$E51*'DK '!D$39,AND($C51="Electric passenger train",$D51="Average"),$E51*'DK '!D$40,AND($C51="Electric passenger train",$D51="Nearly full"),$E51*'DK '!D$41,AND($C51="Diesel passenger train",$D51="Almost empty"),$E51*'DK '!D$47,AND($C51="Diesel passenger train",$D51="Average"),$E51*'DK '!D$48,AND($C51="Diesel passenger train",$D51="Nearly full"),$E51*'DK '!D$49,AND($C51="Walking"),$E51*0,AND($C51="Bike"),$E51*0,AND($C51="Plane - domestic flight"),$E51*'DK '!$C75,AND($C51="Plane - international - intra EU"),$E51*'DK '!$C77,AND($C51="Plane - international (extra EU)"),$E51*'DK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_xlfn.IFS(AND(D57&lt;='DK '!L4),"A+",AND(D57&lt;='DK '!M4,D57&gt;'DK '!L4),"A",AND(D57&lt;='DK '!N4,D57&gt;'DK '!M4),"B",AND(D57&lt;='DK '!O4,D57&gt;'DK '!N4),"C",AND(D57&lt;='DK '!P4,D57&gt;'DK '!O4),"D",AND(D57&lt;='DK '!Q4,D57&gt;'DK '!P4),"E",AND(D57&lt;='DK '!R4,D57&gt;'DK '!Q4),"F",AND(D57&gt;'DK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_xlfn.IFS(D58="#","#",AND(D58&lt;='DK '!L5),"A+",AND(D58&lt;='DK '!M5,D58&gt;'DK '!L5),"A",AND(D58&lt;='DK '!N5,D58&gt;'DK '!M5),"B",AND(D58&lt;='DK '!O5,D58&gt;'DK '!N5),"C",AND(D58&lt;='DK '!P5,D58&gt;'DK '!O5),"D",AND(D58&lt;='DK '!Q5,D58&gt;'DK '!P5),"E",AND(D58&lt;='DK '!R5,D58&gt;'DK '!Q5),"F",AND(D58&gt;'DK '!R5),"G")</f>
        <v>#</v>
      </c>
    </row>
    <row r="59" spans="1:14" ht="32" x14ac:dyDescent="0.2">
      <c r="A59" s="262"/>
      <c r="B59" s="264"/>
      <c r="C59" s="21" t="s">
        <v>88</v>
      </c>
      <c r="D59" s="47" t="e">
        <f>IF(ISNUMBER(D58), D57 + D58, D57)</f>
        <v>#DIV/0!</v>
      </c>
      <c r="E59" s="277"/>
      <c r="G59" s="264"/>
      <c r="H59" t="s">
        <v>88</v>
      </c>
      <c r="I59" s="56" t="e" cm="1">
        <f t="array" ref="I59">_xlfn.IFS(AND(D59&lt;='DK '!L6),"A+",AND(D59&lt;='DK '!M6,D59&gt;'DK '!L6),"A",AND(D59&lt;='DK '!N6,D59&gt;'DK '!M6),"B",AND(D59&lt;='DK '!O6,D59&gt;'DK '!N6),"C",AND(D59&lt;='DK '!P6,D59&gt;'DK '!O6),"D",AND(D59&lt;='DK '!Q6,D59&gt;'DK '!P6),"E",AND(D59&lt;='DK '!R6,D59&gt;'DK '!Q6),"F",AND(D59&gt;'DK '!R6),"G")</f>
        <v>#DIV/0!</v>
      </c>
    </row>
    <row r="60" spans="1:14" ht="16" x14ac:dyDescent="0.2">
      <c r="A60" s="262"/>
      <c r="B60" s="264"/>
      <c r="C60" s="21" t="s">
        <v>89</v>
      </c>
      <c r="D60" s="99">
        <f>I30</f>
        <v>0</v>
      </c>
      <c r="E60" s="277"/>
      <c r="G60" s="264"/>
      <c r="H60" t="s">
        <v>89</v>
      </c>
      <c r="I60" s="56" t="str" cm="1">
        <f t="array" ref="I60">_xlfn.IFS(AND(D60&lt;='DK '!L7),"A+",AND(D60&lt;='DK '!M7,D60&gt;'DK '!L7),"A",AND(D60&lt;='DK '!N7,D60&gt;'DK '!M7),"B",AND(D60&lt;='DK '!O7,D60&gt;'DK '!N7),"C",AND(D60&lt;='DK '!P7,D60&gt;'DK '!O7),"D",AND(D60&lt;='DK '!Q7,D60&gt;'DK '!P7),"E",AND(D60&lt;='DK '!R7,D60&gt;'DK '!Q7),"F",AND(D60&gt;'DK '!R7),"G")</f>
        <v>A+</v>
      </c>
    </row>
    <row r="61" spans="1:14" ht="16" thickBot="1" x14ac:dyDescent="0.25">
      <c r="A61" s="262"/>
      <c r="B61" s="265"/>
      <c r="C61" s="16" t="s">
        <v>57</v>
      </c>
      <c r="D61" s="58" t="e">
        <f>SUM(D59:D60)</f>
        <v>#DIV/0!</v>
      </c>
      <c r="E61" s="261"/>
      <c r="G61" s="265"/>
      <c r="H61" s="16" t="s">
        <v>57</v>
      </c>
      <c r="I61" s="1" t="e" cm="1">
        <f t="array" ref="I61">_xlfn.IFS(AND(D61&lt;='DK '!L8),"A+",AND(D61&lt;='DK '!M8,D61&gt;'DK '!L8),"A",AND(D61&lt;='DK '!N8,D61&gt;'DK '!M8),"B",AND(D61&lt;='DK '!O8,D61&gt;'DK '!N8),"C",AND(D61&lt;='DK '!P8,D61&gt;'DK '!O8),"D",AND(D61&lt;='DK '!Q8,D61&gt;'DK '!P8),"E",AND(D61&lt;='DK '!R8,D61&gt;'DK '!Q8),"F",AND(D61&gt;'DK '!R8),"G")</f>
        <v>#DIV/0!</v>
      </c>
    </row>
    <row r="62" spans="1:14" ht="32" x14ac:dyDescent="0.2">
      <c r="A62" s="262"/>
      <c r="B62" s="263" t="s">
        <v>90</v>
      </c>
      <c r="C62" s="57" t="s">
        <v>85</v>
      </c>
      <c r="D62" s="100" t="e">
        <f>I16</f>
        <v>#DIV/0!</v>
      </c>
      <c r="E62" s="266" t="s">
        <v>91</v>
      </c>
      <c r="G62" s="263" t="s">
        <v>90</v>
      </c>
      <c r="H62" s="46" t="s">
        <v>85</v>
      </c>
      <c r="I62" s="55" t="e" cm="1">
        <f t="array" ref="I62">_xlfn.IFS(AND(D62&lt;='DK '!L9),"A+",AND(D62&lt;='DK '!M9,D62&gt;'DK '!L9),"A",AND(D62&lt;='DK '!N9,D62&gt;'DK '!M9),"B",AND(D62&lt;='DK '!O9,D62&gt;'DK '!N9),"C",AND(D62&lt;='DK '!P9,D62&gt;'DK '!O9),"D",AND(D62&lt;='DK '!Q9,D62&gt;'DK '!P9),"E",AND(D62&lt;='DK '!R9,D62&gt;'DK '!Q9),"F",AND(D62&gt;'DK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_xlfn.IFS(D63="#","#",AND(D63&lt;='DK '!L10),"A+",AND(D63&lt;='DK '!M10,D63&gt;'DK '!L10),"A",AND(D63&lt;='DK '!N10,D63&gt;'DK '!M10),"B",AND(D63&lt;='DK '!O10,D63&gt;'DK '!N10),"C",AND(D63&lt;='DK '!P10,D63&gt;'DK '!O10),"D",AND(D63&lt;='DK '!Q10,D63&gt;'DK '!P10),"E",AND(D63&lt;='DK '!R10,D63&gt;'DK '!Q10),"F",AND(D63&gt;'DK '!R10),"G")</f>
        <v>#</v>
      </c>
    </row>
    <row r="64" spans="1:14" ht="32" x14ac:dyDescent="0.2">
      <c r="A64" s="262"/>
      <c r="B64" s="264"/>
      <c r="C64" s="21" t="s">
        <v>92</v>
      </c>
      <c r="D64" s="47" t="e">
        <f>IF(ISNUMBER(D63), D62 + D63, D62)</f>
        <v>#DIV/0!</v>
      </c>
      <c r="E64" s="202"/>
      <c r="G64" s="264"/>
      <c r="H64" t="s">
        <v>92</v>
      </c>
      <c r="I64" s="56" t="e" cm="1">
        <f t="array" ref="I64">_xlfn.IFS(AND(D64&lt;='DK '!L11),"A+",AND(D64&lt;='DK '!M11,D64&gt;'DK '!L11),"A",AND(D64&lt;='DK '!N11,D64&gt;'DK '!M11),"B",AND(D64&lt;='DK '!O11,D64&gt;'DK '!N11),"C",AND(D64&lt;='DK '!P11,D64&gt;'DK '!O11),"D",AND(D64&lt;='DK '!Q11,D64&gt;'DK '!P11),"E",AND(D64&lt;='DK '!R11,D64&gt;'DK '!Q11),"F",AND(D64&gt;'DK '!R11),"G")</f>
        <v>#DIV/0!</v>
      </c>
    </row>
    <row r="65" spans="1:9" x14ac:dyDescent="0.2">
      <c r="A65" s="262"/>
      <c r="B65" s="264"/>
      <c r="C65" t="s">
        <v>89</v>
      </c>
      <c r="D65" s="99">
        <f>I31</f>
        <v>0</v>
      </c>
      <c r="E65" s="202"/>
      <c r="G65" s="264"/>
      <c r="H65" t="s">
        <v>89</v>
      </c>
      <c r="I65" s="56" t="str" cm="1">
        <f t="array" ref="I65">_xlfn.IFS(AND(D65&lt;='DK '!L12),"A+",AND(D65&lt;='DK '!M12,D65&gt;'DK '!L12),"A",AND(D65&lt;='DK '!N12,D65&gt;'DK '!M12),"B",AND(D65&lt;='DK '!O12,D65&gt;'DK '!N12),"C",AND(D65&lt;='DK '!P12,D65&gt;'DK '!O12),"D",AND(D65&lt;='DK '!Q12,D65&gt;'DK '!P12),"E",AND(D65&lt;='DK '!R12,D65&gt;'DK '!Q12),"F",AND(D65&gt;'DK '!R12),"G")</f>
        <v>A+</v>
      </c>
    </row>
    <row r="66" spans="1:9" ht="16" thickBot="1" x14ac:dyDescent="0.25">
      <c r="A66" s="262"/>
      <c r="B66" s="265"/>
      <c r="C66" s="16" t="s">
        <v>57</v>
      </c>
      <c r="D66" s="16" t="e">
        <f>SUM(D64:D65)</f>
        <v>#DIV/0!</v>
      </c>
      <c r="E66" s="267"/>
      <c r="G66" s="265"/>
      <c r="H66" s="16" t="s">
        <v>57</v>
      </c>
      <c r="I66" s="1" t="e" cm="1">
        <f t="array" ref="I66">_xlfn.IFS(AND(D66&lt;='DK '!L13),"A+",AND(D66&lt;='DK '!M13,D66&gt;'DK '!L13),"A",AND(D66&lt;='DK '!N13,D66&gt;'DK '!M13),"B",AND(D66&lt;='DK '!O13,D66&gt;'DK '!N13),"C",AND(D66&lt;='DK '!P13,D66&gt;'DK '!O13),"D",AND(D66&lt;='DK '!Q13,D66&gt;'DK '!P13),"E",AND(D66&lt;='DK '!R13,D66&gt;'DK '!Q13),"F",AND(D66&gt;'DK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53" priority="7" operator="equal">
      <formula>"A+"</formula>
    </cfRule>
    <cfRule type="containsText" dxfId="352" priority="8" operator="containsText" text="A">
      <formula>NOT(ISERROR(SEARCH("A",I57)))</formula>
    </cfRule>
    <cfRule type="containsText" dxfId="351" priority="9" operator="containsText" text="B">
      <formula>NOT(ISERROR(SEARCH("B",I57)))</formula>
    </cfRule>
    <cfRule type="containsText" dxfId="350" priority="10" operator="containsText" text="C">
      <formula>NOT(ISERROR(SEARCH("C",I57)))</formula>
    </cfRule>
    <cfRule type="containsText" dxfId="349" priority="11" operator="containsText" text="D">
      <formula>NOT(ISERROR(SEARCH("D",I57)))</formula>
    </cfRule>
    <cfRule type="containsText" dxfId="348" priority="12" operator="containsText" text="E">
      <formula>NOT(ISERROR(SEARCH("E",I57)))</formula>
    </cfRule>
    <cfRule type="containsText" dxfId="347" priority="13" operator="containsText" text="F">
      <formula>NOT(ISERROR(SEARCH("F",I57)))</formula>
    </cfRule>
    <cfRule type="containsText" dxfId="346" priority="14" operator="containsText" text="G">
      <formula>NOT(ISERROR(SEARCH("G",I57)))</formula>
    </cfRule>
  </conditionalFormatting>
  <conditionalFormatting sqref="K5:K15">
    <cfRule type="expression" dxfId="13" priority="2" stopIfTrue="1">
      <formula>$O$19="No"</formula>
    </cfRule>
  </conditionalFormatting>
  <conditionalFormatting sqref="L5:L15">
    <cfRule type="expression" dxfId="1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C54B17E7-41C2-4641-A3C8-3FE68341723A}">
      <formula1>AND(Q19="Yes", ISNUMBER(L5))</formula1>
    </dataValidation>
    <dataValidation type="custom" operator="lessThan" allowBlank="1" showErrorMessage="1" errorTitle="Error" error="You can only enter values if you have selected HOME PV. The value must be a number." sqref="K5:K15" xr:uid="{AFD69A9F-7145-1B49-9F4D-60889500C3BC}">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3025735-203A-4A9D-95C1-09CFE37B2F3C}">
          <x14:formula1>
            <xm:f>DATA!$J$3:$J$10</xm:f>
          </x14:formula1>
          <xm:sqref>D29:D51</xm:sqref>
        </x14:dataValidation>
        <x14:dataValidation type="list" allowBlank="1" showInputMessage="1" showErrorMessage="1" xr:uid="{8A3EC1D9-F158-AB48-95D3-BAE2F897A0CC}">
          <x14:formula1>
            <xm:f>DATA!$B$15:$B$23</xm:f>
          </x14:formula1>
          <xm:sqref>J2</xm:sqref>
        </x14:dataValidation>
        <x14:dataValidation type="list" allowBlank="1" showInputMessage="1" showErrorMessage="1" xr:uid="{2822705A-4298-43F5-8ED6-95EC2C7732E6}">
          <x14:formula1>
            <xm:f>DATA!$H$3:$H$23</xm:f>
          </x14:formula1>
          <xm:sqref>C29:C51</xm:sqref>
        </x14:dataValidation>
        <x14:dataValidation type="list" allowBlank="1" showInputMessage="1" showErrorMessage="1" xr:uid="{C86618BF-8154-EF4E-B8C3-A4663706DC1E}">
          <x14:formula1>
            <xm:f>DATA!$B$3:$B$13</xm:f>
          </x14:formula1>
          <xm:sqref>H2</xm:sqref>
        </x14:dataValidation>
        <x14:dataValidation type="list" allowBlank="1" showInputMessage="1" showErrorMessage="1" xr:uid="{0308F44F-9EEB-3B4F-816B-F9B12C6990FC}">
          <x14:formula1>
            <xm:f>DATA!$L$4:$L$5</xm:f>
          </x14:formula1>
          <xm:sqref>O18:O19 Q19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5D82A-4791-4BD2-9D89-1E7BCC2B0BA1}">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6640625" customWidth="1"/>
    <col min="5" max="5" width="19.33203125" customWidth="1"/>
    <col min="6" max="6" width="16.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99</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IF($O$18="Yes",(E5/$F$2)*DATA!$C$9,(E5/$F$2)*DATA!F$10)+IF(ISBLANK(K5),0,K5/$F$2)*DATA!$C$9-IF(ISBLANK(L5),0,L5/$F$2)*DATA!F$10</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IF($O$18="Yes",(E6/$F$2)*DATA!$C$9,(E6/$F$2)*DATA!F$10)+IF(ISBLANK(K6),0,K6/$F$2)*DATA!$C$9-IF(ISBLANK(L6),0,L6/$F$2)*DATA!F$10</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IF($O$18="Yes",(E7/$F$2)*DATA!$C$9,(E7/$F$2)*DATA!F$10)+IF(ISBLANK(K7),0,K7/$F$2)*DATA!$C$9-IF(ISBLANK(L7),0,L7/$F$2)*DATA!F$10</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IF($O$18="Yes",(E8/$F$2)*DATA!$C$9,(E8/$F$2)*DATA!F$10)+IF(ISBLANK(K8),0,K8/$F$2)*DATA!$C$9-IF(ISBLANK(L8),0,L8/$F$2)*DATA!F$10</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IF($O$18="Yes",(E9/$F$2)*DATA!$C$9,(E9/$F$2)*DATA!F$10)+IF(ISBLANK(K9),0,K9/$F$2)*DATA!$C$9-IF(ISBLANK(L9),0,L9/$F$2)*DATA!F$10</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IF($O$18="Yes",(E10/$F$2)*DATA!$C$9,(E10/$F$2)*DATA!F$10)+IF(ISBLANK(K10),0,K10/$F$2)*DATA!$C$9-IF(ISBLANK(L10),0,L10/$F$2)*DATA!F$10</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IF($O$18="Yes",(E11/$F$2)*DATA!$C$9,(E11/$F$2)*DATA!F$10)+IF(ISBLANK(K11),0,K11/$F$2)*DATA!$C$9-IF(ISBLANK(L11),0,L11/$F$2)*DATA!F$10</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IF($O$18="Yes",(E12/$F$2)*DATA!$C$9,(E12/$F$2)*DATA!F$10)+IF(ISBLANK(K12),0,K12/$F$2)*DATA!$C$9-IF(ISBLANK(L12),0,L12/$F$2)*DATA!F$10</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IF($O$18="Yes",(E13/$F$2)*DATA!$C$9,(E13/$F$2)*DATA!F$10)+IF(ISBLANK(K13),0,K13/$F$2)*DATA!$C$9-IF(ISBLANK(L13),0,L13/$F$2)*DATA!F$10</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IF($O$18="Yes",(E14/$F$2)*DATA!$C$9,(E14/$F$2)*DATA!F$10)+IF(ISBLANK(K14),0,K14/$F$2)*DATA!$C$9-IF(ISBLANK(L14),0,L14/$F$2)*DATA!F$10</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IF($O$18="Yes",(E15/$F$2)*DATA!$C$9,(E15/$F$2)*DATA!F$10)+IF(ISBLANK(K15),0,K15/$F$2)*DATA!$C$9-IF(ISBLANK(L15),0,L15/$F$2)*DATA!F$10</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car",$D29=1),$E29*'EE '!C$7,AND($C29="Fuel car",$D29=2),$E29*'EE '!C$8,AND($C29="Fuel car",$D29=3),$E29*'EE '!C$9,AND($C29="Fuel car",$D29=4),$E29*'EE '!C$10,AND($C29="Fuel car",$D29=5),$E29*'EE '!C$11,AND($C29="Motorcycle",$D29=1),$E29*'EE '!C$13,AND($C29="Motorcycle",$D29=2),$E29*'EE '!C$14,AND($C29="Electric car",$D29=1),$E29*'EE '!C$16,AND($C29="Electric car",$D29=2),$E29*'EE '!C$17,AND($C29="Electric car",$D29=3),$E29*'EE '!C$18,AND($C29="Electric car",$D29=4),$E29*'EE '!C$19,AND($C29="Electric car",$D29=5),$E29*'EE '!C$20,AND($C29="Hybrid car",$D29=1),$E29*'EE '!C$22,AND($C29="Hybrid car",$D29=2),$E29*'EE '!C$23,AND($C29="Hybrid car",$D29=3),$E29*'EE '!C$24,AND($C29="Hybrid car",$D29=4),$E29*'EE '!C$25,AND($C29="Hybrid car",$D29=5),$E29*'EE '!C$26,AND($C29="Electric motorcycle",$D29=1),$E29*'EE '!C$28,AND($C29="Electric motorcycle",$D29=2),$E29*'EE '!C$29,AND($C29="Electric bike",$D29=1),$E29*'EE '!C$31,AND($C29="Electric scooter",$D29=1),$E29*'EE '!C$33,AND($C29="Bus",$D29="Almost empty"),$E29*'EE '!H$23,AND($C29="Bus",$D29="Average"),$E29*'EE '!H$24,AND($C29="Bus",$D29="Nearly full"),$E29*'EE '!H$25,AND($C29="Electric bus",$D29="Almost empty"),$E29*'EE '!H$7,AND($C29="Electric bus",$D29="Average"),$E29*'EE '!H$8,AND($C29="Electric bus",$D29="Nearly full"),$E29*'EE '!H$9,AND($C29="Diesel bus",$D29="Almost empty"),$E29*'EE '!H$19,AND($C29="Diesel bus",$D29="Average"),$E29*'EE '!H$20,AND($C29="Diesel bus",$D29="Nearly full"),$E29*'EE '!H$21,AND($C29="Hybrid-electric bus",$D29="Almost empty"),$E29*'EE '!H$11,AND($C29="Hybrid-electric bus",$D29="Average"),$E29*'EE '!H$12,AND($C29="Hybrid-electric bus",$D29="Nearly full"),$E29*'EE '!H$13,AND($C29="Alternative fuel bus",$D29="Almost empty"),$E29*'EE '!H$15,AND($C29="Alternative fuel bus",$D29="Average"),$E29*'EE '!H$16,AND($C29="Alternative fuel bus",$D29="Nearly full"),$E29*'EE '!H$17,AND($C29="Metro, tram, urban light train",$D29="Almost empty"),$E29*'EE '!C$35,AND($C29="Metro, tram, urban light train",$D29="Average"),$E29*'EE '!C$36,AND($C29="Metro, tram, urban light train",$D29="Nearly full"),$E29*'EE '!C$37,AND($C29="Electric passenger train",$D29="Almost empty"),$E29*'EE '!C$39,AND($C29="Electric passenger train",$D29="Average"),$E29*'EE '!C$40,AND($C29="Electric passenger train",$D29="Nearly full"),$E29*'EE '!C$41,AND($C29="Diesel passenger train",$D29="Almost empty"),$E29*'EE '!C$47,AND($C29="Diesel passenger train",$D29="Average"),$E29*'EE '!C$48,AND($C29="Diesel passenger train",$D29="Nearly full"),$E29*'EE '!C$49,AND($C29="Walking"),$E29*0,AND($C29="Bike"),$E29*0,AND($C29="Plane - domestic flight"),$E29*'EE '!$C53,AND($C29="Plane - international - intra EU"),$E29*'EE '!$C55,AND($C29="Plane - international (extra EU)"),$E29*'EE '!$C57)</f>
        <v>#N/A</v>
      </c>
      <c r="G29" s="104" t="e" cm="1">
        <f t="array" ref="G29">_xlfn.IFS(AND($C29="Fuel car",$D29=1),$E29*'EE '!D$7,AND($C29="Fuel car",$D29=2),$E29*'EE '!D$8,AND($C29="Fuel car",$D29=3),$E29*'EE '!D$9,AND($C29="Fuel car",$D29=4),$E29*'EE '!D$10,AND($C29="Fuel car",$D29=5),$E29*'EE '!D$11,AND($C29="Motorcycle",$D29=1),$E29*'EE '!D$13,AND($C29="Motorcycle",$D29=2),$E29*'EE '!D$14,AND($C29="Electric car",$D29=1),$E29*'EE '!D$16,AND($C29="Electric car",$D29=2),$E29*'EE '!D$17,AND($C29="Electric car",$D29=3),$E29*'EE '!D$18,AND($C29="Electric car",$D29=4),$E29*'EE '!D$19,AND($C29="Electric car",$D29=5),$E29*'EE '!D$20,AND($C29="Hybrid car",$D29=1),$E29*'EE '!D$22,AND($C29="Hybrid car",$D29=2),$E29*'EE '!D$23,AND($C29="Hybrid car",$D29=3),$E29*'EE '!D$24,AND($C29="Hybrid car",$D29=4),$E29*'EE '!D$25,AND($C29="Hybrid car",$D29=5),$E29*'EE '!D$26,AND($C29="Electric motorcycle",$D29=1),$E29*'EE '!D$28,AND($C29="Electric motorcycle",$D29=2),$E29*'EE '!D$29,AND($C29="Electric bike",$D29=1),$E29*'EE '!D$31,AND($C29="Electric scooter",$D29=1),$E29*'EE '!D$33,AND($C29="Bus",$D29="Almost empty"),$E29*'EE '!I$23,AND($C29="Bus",$D29="Average"),$E29*'EE '!I$24,AND($C29="Bus",$D29="Nearly full"),$E29*'EE '!I$25,AND($C29="Electric bus",$D29="Almost empty"),$E29*'EE '!I$7,AND($C29="Electric bus",$D29="Average"),$E29*'EE '!I$8,AND($C29="Electric bus",$D29="Nearly full"),$E29*'EE '!I$9,AND($C29="Diesel bus",$D29="Almost empty"),$E29*'EE '!I$19,AND($C29="Diesel bus",$D29="Average"),$E29*'EE '!I$20,AND($C29="Diesel bus",$D29="Nearly full"),$E29*'EE '!I$21,AND($C29="Hybrid-electric bus",$D29="Almost empty"),$E29*'EE '!I$11,AND($C29="Hybrid-electric bus",$D29="Average"),$E29*'EE '!I$12,AND($C29="Hybrid-electric bus",$D29="Nearly full"),$E29*'EE '!I$13,AND($C29="Alternative fuel bus",$D29="Almost empty"),$E29*'EE '!I$15,AND($C29="Alternative fuel bus",$D29="Average"),$E29*'EE '!I$16,AND($C29="Alternative fuel bus",$D29="Nearly full"),$E29*'EE '!I$17,AND($C29="Metro, tram, urban light train",$D29="Almost empty"),$E29*'EE '!D$35,AND($C29="Metro, tram, urban light train",$D29="Average"),$E29*'EE '!D$36,AND($C29="Metro, tram, urban light train",$D29="Nearly full"),$E29*'EE '!D$37,AND($C29="Electric passenger train",$D29="Almost empty"),$E29*'EE '!D$39,AND($C29="Electric passenger train",$D29="Average"),$E29*'EE '!D$40,AND($C29="Electric passenger train",$D29="Nearly full"),$E29*'EE '!D$41,AND($C29="Diesel passenger train",$D29="Almost empty"),$E29*'EE '!D$47,AND($C29="Diesel passenger train",$D29="Average"),$E29*'EE '!D$48,AND($C29="Diesel passenger train",$D29="Nearly full"),$E29*'EE '!D$49,AND($C29="Walking"),$E29*0,AND($C29="Bike"),$E29*0,AND($C29="Plane - domestic flight"),$E29*'EE '!$C53,AND($C29="Plane - international - intra EU"),$E29*'EE '!$C55,AND($C29="Plane - international (extra EU)"),$E29*'EE '!$C57)</f>
        <v>#N/A</v>
      </c>
      <c r="H29" s="151"/>
      <c r="I29" s="152">
        <f>H29/10*E29</f>
        <v>0</v>
      </c>
      <c r="J29" s="146" t="e" cm="1">
        <f t="array" ref="J29">_xlfn.IFS(C29="Fuel car",C29*DATA!$C$17,C29="Electric car",C29*DATA!$F$10,C29="Hybrid car",I29*(0.5*DATA!$C$17+0.5*DATA!$F$10))</f>
        <v>#N/A</v>
      </c>
      <c r="L29" s="218"/>
      <c r="M29" s="219"/>
      <c r="N29" s="220"/>
    </row>
    <row r="30" spans="1:17" ht="32" customHeight="1" x14ac:dyDescent="0.2">
      <c r="A30" s="222"/>
      <c r="B30" s="30"/>
      <c r="C30" s="15"/>
      <c r="D30" s="15"/>
      <c r="E30" s="125"/>
      <c r="F30" s="128" t="e" cm="1">
        <f t="array" ref="F30">_xlfn.IFS(AND($C30="Fuel car",$D30=1),$E30*'EE '!C$7,AND($C30="Fuel car",$D30=2),$E30*'EE '!C$8,AND($C30="Fuel car",$D30=3),$E30*'EE '!C$9,AND($C30="Fuel car",$D30=4),$E30*'EE '!C$10,AND($C30="Fuel car",$D30=5),$E30*'EE '!C$11,AND($C30="Motorcycle",$D30=1),$E30*'EE '!C$13,AND($C30="Motorcycle",$D30=2),$E30*'EE '!C$14,AND($C30="Electric car",$D30=1),$E30*'EE '!C$16,AND($C30="Electric car",$D30=2),$E30*'EE '!C$17,AND($C30="Electric car",$D30=3),$E30*'EE '!C$18,AND($C30="Electric car",$D30=4),$E30*'EE '!C$19,AND($C30="Electric car",$D30=5),$E30*'EE '!C$20,AND($C30="Hybrid car",$D30=1),$E30*'EE '!C$22,AND($C30="Hybrid car",$D30=2),$E30*'EE '!C$23,AND($C30="Hybrid car",$D30=3),$E30*'EE '!C$24,AND($C30="Hybrid car",$D30=4),$E30*'EE '!C$25,AND($C30="Hybrid car",$D30=5),$E30*'EE '!C$26,AND($C30="Electric motorcycle",$D30=1),$E30*'EE '!C$28,AND($C30="Electric motorcycle",$D30=2),$E30*'EE '!C$29,AND($C30="Electric bike",$D30=1),$E30*'EE '!C$31,AND($C30="Electric scooter",$D30=1),$E30*'EE '!C$33,AND($C30="Bus",$D30="Almost empty"),$E30*'EE '!H$23,AND($C30="Bus",$D30="Average"),$E30*'EE '!H$24,AND($C30="Bus",$D30="Nearly full"),$E30*'EE '!H$25,AND($C30="Electric bus",$D30="Almost empty"),$E30*'EE '!H$7,AND($C30="Electric bus",$D30="Average"),$E30*'EE '!H$8,AND($C30="Electric bus",$D30="Nearly full"),$E30*'EE '!H$9,AND($C30="Diesel bus",$D30="Almost empty"),$E30*'EE '!H$19,AND($C30="Diesel bus",$D30="Average"),$E30*'EE '!H$20,AND($C30="Diesel bus",$D30="Nearly full"),$E30*'EE '!H$21,AND($C30="Hybrid-electric bus",$D30="Almost empty"),$E30*'EE '!H$11,AND($C30="Hybrid-electric bus",$D30="Average"),$E30*'EE '!H$12,AND($C30="Hybrid-electric bus",$D30="Nearly full"),$E30*'EE '!H$13,AND($C30="Alternative fuel bus",$D30="Almost empty"),$E30*'EE '!H$15,AND($C30="Alternative fuel bus",$D30="Average"),$E30*'EE '!H$16,AND($C30="Alternative fuel bus",$D30="Nearly full"),$E30*'EE '!H$17,AND($C30="Metro, tram, urban light train",$D30="Almost empty"),$E30*'EE '!C$35,AND($C30="Metro, tram, urban light train",$D30="Average"),$E30*'EE '!C$36,AND($C30="Metro, tram, urban light train",$D30="Nearly full"),$E30*'EE '!C$37,AND($C30="Electric passenger train",$D30="Almost empty"),$E30*'EE '!C$39,AND($C30="Electric passenger train",$D30="Average"),$E30*'EE '!C$40,AND($C30="Electric passenger train",$D30="Nearly full"),$E30*'EE '!C$41,AND($C30="Diesel passenger train",$D30="Almost empty"),$E30*'EE '!C$47,AND($C30="Diesel passenger train",$D30="Average"),$E30*'EE '!C$48,AND($C30="Diesel passenger train",$D30="Nearly full"),$E30*'EE '!C$49,AND($C30="Walking"),$E30*0,AND($C30="Bike"),$E30*0,AND($C30="Plane - domestic flight"),$E30*'EE '!$C54,AND($C30="Plane - international - intra EU"),$E30*'EE '!$C56,AND($C30="Plane - international (extra EU)"),$E30*'EE '!$C58)</f>
        <v>#N/A</v>
      </c>
      <c r="G30" s="31" t="e" cm="1">
        <f t="array" ref="G30">_xlfn.IFS(AND($C30="Fuel car",$D30=1),$E30*'EE '!D$7,AND($C30="Fuel car",$D30=2),$E30*'EE '!D$8,AND($C30="Fuel car",$D30=3),$E30*'EE '!D$9,AND($C30="Fuel car",$D30=4),$E30*'EE '!D$10,AND($C30="Fuel car",$D30=5),$E30*'EE '!D$11,AND($C30="Motorcycle",$D30=1),$E30*'EE '!D$13,AND($C30="Motorcycle",$D30=2),$E30*'EE '!D$14,AND($C30="Electric car",$D30=1),$E30*'EE '!D$16,AND($C30="Electric car",$D30=2),$E30*'EE '!D$17,AND($C30="Electric car",$D30=3),$E30*'EE '!D$18,AND($C30="Electric car",$D30=4),$E30*'EE '!D$19,AND($C30="Electric car",$D30=5),$E30*'EE '!D$20,AND($C30="Hybrid car",$D30=1),$E30*'EE '!D$22,AND($C30="Hybrid car",$D30=2),$E30*'EE '!D$23,AND($C30="Hybrid car",$D30=3),$E30*'EE '!D$24,AND($C30="Hybrid car",$D30=4),$E30*'EE '!D$25,AND($C30="Hybrid car",$D30=5),$E30*'EE '!D$26,AND($C30="Electric motorcycle",$D30=1),$E30*'EE '!D$28,AND($C30="Electric motorcycle",$D30=2),$E30*'EE '!D$29,AND($C30="Electric bike",$D30=1),$E30*'EE '!D$31,AND($C30="Electric scooter",$D30=1),$E30*'EE '!D$33,AND($C30="Bus",$D30="Almost empty"),$E30*'EE '!I$23,AND($C30="Bus",$D30="Average"),$E30*'EE '!I$24,AND($C30="Bus",$D30="Nearly full"),$E30*'EE '!I$25,AND($C30="Electric bus",$D30="Almost empty"),$E30*'EE '!I$7,AND($C30="Electric bus",$D30="Average"),$E30*'EE '!I$8,AND($C30="Electric bus",$D30="Nearly full"),$E30*'EE '!I$9,AND($C30="Diesel bus",$D30="Almost empty"),$E30*'EE '!I$19,AND($C30="Diesel bus",$D30="Average"),$E30*'EE '!I$20,AND($C30="Diesel bus",$D30="Nearly full"),$E30*'EE '!I$21,AND($C30="Hybrid-electric bus",$D30="Almost empty"),$E30*'EE '!I$11,AND($C30="Hybrid-electric bus",$D30="Average"),$E30*'EE '!I$12,AND($C30="Hybrid-electric bus",$D30="Nearly full"),$E30*'EE '!I$13,AND($C30="Alternative fuel bus",$D30="Almost empty"),$E30*'EE '!I$15,AND($C30="Alternative fuel bus",$D30="Average"),$E30*'EE '!I$16,AND($C30="Alternative fuel bus",$D30="Nearly full"),$E30*'EE '!I$17,AND($C30="Metro, tram, urban light train",$D30="Almost empty"),$E30*'EE '!D$35,AND($C30="Metro, tram, urban light train",$D30="Average"),$E30*'EE '!D$36,AND($C30="Metro, tram, urban light train",$D30="Nearly full"),$E30*'EE '!D$37,AND($C30="Electric passenger train",$D30="Almost empty"),$E30*'EE '!D$39,AND($C30="Electric passenger train",$D30="Average"),$E30*'EE '!D$40,AND($C30="Electric passenger train",$D30="Nearly full"),$E30*'EE '!D$41,AND($C30="Diesel passenger train",$D30="Almost empty"),$E30*'EE '!D$47,AND($C30="Diesel passenger train",$D30="Average"),$E30*'EE '!D$48,AND($C30="Diesel passenger train",$D30="Nearly full"),$E30*'EE '!D$49,AND($C30="Walking"),$E30*0,AND($C30="Bike"),$E30*0,AND($C30="Plane - domestic flight"),$E30*'EE '!$C54,AND($C30="Plane - international - intra EU"),$E30*'EE '!$C56,AND($C30="Plane - international (extra EU)"),$E30*'EE '!$C58)</f>
        <v>#N/A</v>
      </c>
      <c r="H30" s="145"/>
      <c r="I30" s="148">
        <f t="shared" ref="I30:I43" si="6">H30/10*E30</f>
        <v>0</v>
      </c>
      <c r="J30" s="146" t="e" cm="1">
        <f t="array" ref="J30">_xlfn.IFS(C30="Fuel car",C30*DATA!$C$17,C30="Electric car",C30*DATA!$F$10,C30="Hybrid car",I30*(0.5*DATA!$C$17+0.5*DATA!$F$10))</f>
        <v>#N/A</v>
      </c>
      <c r="L30" s="215" t="s">
        <v>76</v>
      </c>
      <c r="M30" s="216"/>
      <c r="N30" s="217"/>
    </row>
    <row r="31" spans="1:17" x14ac:dyDescent="0.2">
      <c r="A31" s="222"/>
      <c r="B31" s="30"/>
      <c r="C31" s="15"/>
      <c r="D31" s="15"/>
      <c r="E31" s="125"/>
      <c r="F31" s="128" t="e" cm="1">
        <f t="array" ref="F31">_xlfn.IFS(AND($C31="Fuel car",$D31=1),$E31*'EE '!C$7,AND($C31="Fuel car",$D31=2),$E31*'EE '!C$8,AND($C31="Fuel car",$D31=3),$E31*'EE '!C$9,AND($C31="Fuel car",$D31=4),$E31*'EE '!C$10,AND($C31="Fuel car",$D31=5),$E31*'EE '!C$11,AND($C31="Motorcycle",$D31=1),$E31*'EE '!C$13,AND($C31="Motorcycle",$D31=2),$E31*'EE '!C$14,AND($C31="Electric car",$D31=1),$E31*'EE '!C$16,AND($C31="Electric car",$D31=2),$E31*'EE '!C$17,AND($C31="Electric car",$D31=3),$E31*'EE '!C$18,AND($C31="Electric car",$D31=4),$E31*'EE '!C$19,AND($C31="Electric car",$D31=5),$E31*'EE '!C$20,AND($C31="Hybrid car",$D31=1),$E31*'EE '!C$22,AND($C31="Hybrid car",$D31=2),$E31*'EE '!C$23,AND($C31="Hybrid car",$D31=3),$E31*'EE '!C$24,AND($C31="Hybrid car",$D31=4),$E31*'EE '!C$25,AND($C31="Hybrid car",$D31=5),$E31*'EE '!C$26,AND($C31="Electric motorcycle",$D31=1),$E31*'EE '!C$28,AND($C31="Electric motorcycle",$D31=2),$E31*'EE '!C$29,AND($C31="Electric bike",$D31=1),$E31*'EE '!C$31,AND($C31="Electric scooter",$D31=1),$E31*'EE '!C$33,AND($C31="Bus",$D31="Almost empty"),$E31*'EE '!H$23,AND($C31="Bus",$D31="Average"),$E31*'EE '!H$24,AND($C31="Bus",$D31="Nearly full"),$E31*'EE '!H$25,AND($C31="Electric bus",$D31="Almost empty"),$E31*'EE '!H$7,AND($C31="Electric bus",$D31="Average"),$E31*'EE '!H$8,AND($C31="Electric bus",$D31="Nearly full"),$E31*'EE '!H$9,AND($C31="Diesel bus",$D31="Almost empty"),$E31*'EE '!H$19,AND($C31="Diesel bus",$D31="Average"),$E31*'EE '!H$20,AND($C31="Diesel bus",$D31="Nearly full"),$E31*'EE '!H$21,AND($C31="Hybrid-electric bus",$D31="Almost empty"),$E31*'EE '!H$11,AND($C31="Hybrid-electric bus",$D31="Average"),$E31*'EE '!H$12,AND($C31="Hybrid-electric bus",$D31="Nearly full"),$E31*'EE '!H$13,AND($C31="Alternative fuel bus",$D31="Almost empty"),$E31*'EE '!H$15,AND($C31="Alternative fuel bus",$D31="Average"),$E31*'EE '!H$16,AND($C31="Alternative fuel bus",$D31="Nearly full"),$E31*'EE '!H$17,AND($C31="Metro, tram, urban light train",$D31="Almost empty"),$E31*'EE '!C$35,AND($C31="Metro, tram, urban light train",$D31="Average"),$E31*'EE '!C$36,AND($C31="Metro, tram, urban light train",$D31="Nearly full"),$E31*'EE '!C$37,AND($C31="Electric passenger train",$D31="Almost empty"),$E31*'EE '!C$39,AND($C31="Electric passenger train",$D31="Average"),$E31*'EE '!C$40,AND($C31="Electric passenger train",$D31="Nearly full"),$E31*'EE '!C$41,AND($C31="Diesel passenger train",$D31="Almost empty"),$E31*'EE '!C$47,AND($C31="Diesel passenger train",$D31="Average"),$E31*'EE '!C$48,AND($C31="Diesel passenger train",$D31="Nearly full"),$E31*'EE '!C$49,AND($C31="Walking"),$E31*0,AND($C31="Bike"),$E31*0,AND($C31="Plane - domestic flight"),$E31*'EE '!$C55,AND($C31="Plane - international - intra EU"),$E31*'EE '!$C57,AND($C31="Plane - international (extra EU)"),$E31*'EE '!$C59)</f>
        <v>#N/A</v>
      </c>
      <c r="G31" s="31" t="e" cm="1">
        <f t="array" ref="G31">_xlfn.IFS(AND($C31="Fuel car",$D31=1),$E31*'EE '!D$7,AND($C31="Fuel car",$D31=2),$E31*'EE '!D$8,AND($C31="Fuel car",$D31=3),$E31*'EE '!D$9,AND($C31="Fuel car",$D31=4),$E31*'EE '!D$10,AND($C31="Fuel car",$D31=5),$E31*'EE '!D$11,AND($C31="Motorcycle",$D31=1),$E31*'EE '!D$13,AND($C31="Motorcycle",$D31=2),$E31*'EE '!D$14,AND($C31="Electric car",$D31=1),$E31*'EE '!D$16,AND($C31="Electric car",$D31=2),$E31*'EE '!D$17,AND($C31="Electric car",$D31=3),$E31*'EE '!D$18,AND($C31="Electric car",$D31=4),$E31*'EE '!D$19,AND($C31="Electric car",$D31=5),$E31*'EE '!D$20,AND($C31="Hybrid car",$D31=1),$E31*'EE '!D$22,AND($C31="Hybrid car",$D31=2),$E31*'EE '!D$23,AND($C31="Hybrid car",$D31=3),$E31*'EE '!D$24,AND($C31="Hybrid car",$D31=4),$E31*'EE '!D$25,AND($C31="Hybrid car",$D31=5),$E31*'EE '!D$26,AND($C31="Electric motorcycle",$D31=1),$E31*'EE '!D$28,AND($C31="Electric motorcycle",$D31=2),$E31*'EE '!D$29,AND($C31="Electric bike",$D31=1),$E31*'EE '!D$31,AND($C31="Electric scooter",$D31=1),$E31*'EE '!D$33,AND($C31="Bus",$D31="Almost empty"),$E31*'EE '!I$23,AND($C31="Bus",$D31="Average"),$E31*'EE '!I$24,AND($C31="Bus",$D31="Nearly full"),$E31*'EE '!I$25,AND($C31="Electric bus",$D31="Almost empty"),$E31*'EE '!I$7,AND($C31="Electric bus",$D31="Average"),$E31*'EE '!I$8,AND($C31="Electric bus",$D31="Nearly full"),$E31*'EE '!I$9,AND($C31="Diesel bus",$D31="Almost empty"),$E31*'EE '!I$19,AND($C31="Diesel bus",$D31="Average"),$E31*'EE '!I$20,AND($C31="Diesel bus",$D31="Nearly full"),$E31*'EE '!I$21,AND($C31="Hybrid-electric bus",$D31="Almost empty"),$E31*'EE '!I$11,AND($C31="Hybrid-electric bus",$D31="Average"),$E31*'EE '!I$12,AND($C31="Hybrid-electric bus",$D31="Nearly full"),$E31*'EE '!I$13,AND($C31="Alternative fuel bus",$D31="Almost empty"),$E31*'EE '!I$15,AND($C31="Alternative fuel bus",$D31="Average"),$E31*'EE '!I$16,AND($C31="Alternative fuel bus",$D31="Nearly full"),$E31*'EE '!I$17,AND($C31="Metro, tram, urban light train",$D31="Almost empty"),$E31*'EE '!D$35,AND($C31="Metro, tram, urban light train",$D31="Average"),$E31*'EE '!D$36,AND($C31="Metro, tram, urban light train",$D31="Nearly full"),$E31*'EE '!D$37,AND($C31="Electric passenger train",$D31="Almost empty"),$E31*'EE '!D$39,AND($C31="Electric passenger train",$D31="Average"),$E31*'EE '!D$40,AND($C31="Electric passenger train",$D31="Nearly full"),$E31*'EE '!D$41,AND($C31="Diesel passenger train",$D31="Almost empty"),$E31*'EE '!D$47,AND($C31="Diesel passenger train",$D31="Average"),$E31*'EE '!D$48,AND($C31="Diesel passenger train",$D31="Nearly full"),$E31*'EE '!D$49,AND($C31="Walking"),$E31*0,AND($C31="Bike"),$E31*0,AND($C31="Plane - domestic flight"),$E31*'EE '!$C55,AND($C31="Plane - international - intra EU"),$E31*'EE '!$C57,AND($C31="Plane - international (extra EU)"),$E31*'EE '!$C59)</f>
        <v>#N/A</v>
      </c>
      <c r="H31" s="145"/>
      <c r="I31" s="148">
        <f t="shared" si="6"/>
        <v>0</v>
      </c>
      <c r="J31" s="146" t="e" cm="1">
        <f t="array" ref="J31">_xlfn.IFS(C31="Fuel car",C31*DATA!$C$17,C31="Electric car",C31*DATA!$F$10,C31="Hybrid car",I31*(0.5*DATA!$C$17+0.5*DATA!$F$10))</f>
        <v>#N/A</v>
      </c>
      <c r="L31" s="223"/>
      <c r="M31" s="224"/>
      <c r="N31" s="225"/>
    </row>
    <row r="32" spans="1:17" ht="16" thickBot="1" x14ac:dyDescent="0.25">
      <c r="A32" s="222"/>
      <c r="B32" s="30"/>
      <c r="C32" s="15"/>
      <c r="D32" s="15"/>
      <c r="E32" s="125"/>
      <c r="F32" s="128" t="e" cm="1">
        <f t="array" ref="F32">_xlfn.IFS(AND($C32="Fuel car",$D32=1),$E32*'EE '!C$7,AND($C32="Fuel car",$D32=2),$E32*'EE '!C$8,AND($C32="Fuel car",$D32=3),$E32*'EE '!C$9,AND($C32="Fuel car",$D32=4),$E32*'EE '!C$10,AND($C32="Fuel car",$D32=5),$E32*'EE '!C$11,AND($C32="Motorcycle",$D32=1),$E32*'EE '!C$13,AND($C32="Motorcycle",$D32=2),$E32*'EE '!C$14,AND($C32="Electric car",$D32=1),$E32*'EE '!C$16,AND($C32="Electric car",$D32=2),$E32*'EE '!C$17,AND($C32="Electric car",$D32=3),$E32*'EE '!C$18,AND($C32="Electric car",$D32=4),$E32*'EE '!C$19,AND($C32="Electric car",$D32=5),$E32*'EE '!C$20,AND($C32="Hybrid car",$D32=1),$E32*'EE '!C$22,AND($C32="Hybrid car",$D32=2),$E32*'EE '!C$23,AND($C32="Hybrid car",$D32=3),$E32*'EE '!C$24,AND($C32="Hybrid car",$D32=4),$E32*'EE '!C$25,AND($C32="Hybrid car",$D32=5),$E32*'EE '!C$26,AND($C32="Electric motorcycle",$D32=1),$E32*'EE '!C$28,AND($C32="Electric motorcycle",$D32=2),$E32*'EE '!C$29,AND($C32="Electric bike",$D32=1),$E32*'EE '!C$31,AND($C32="Electric scooter",$D32=1),$E32*'EE '!C$33,AND($C32="Bus",$D32="Almost empty"),$E32*'EE '!H$23,AND($C32="Bus",$D32="Average"),$E32*'EE '!H$24,AND($C32="Bus",$D32="Nearly full"),$E32*'EE '!H$25,AND($C32="Electric bus",$D32="Almost empty"),$E32*'EE '!H$7,AND($C32="Electric bus",$D32="Average"),$E32*'EE '!H$8,AND($C32="Electric bus",$D32="Nearly full"),$E32*'EE '!H$9,AND($C32="Diesel bus",$D32="Almost empty"),$E32*'EE '!H$19,AND($C32="Diesel bus",$D32="Average"),$E32*'EE '!H$20,AND($C32="Diesel bus",$D32="Nearly full"),$E32*'EE '!H$21,AND($C32="Hybrid-electric bus",$D32="Almost empty"),$E32*'EE '!H$11,AND($C32="Hybrid-electric bus",$D32="Average"),$E32*'EE '!H$12,AND($C32="Hybrid-electric bus",$D32="Nearly full"),$E32*'EE '!H$13,AND($C32="Alternative fuel bus",$D32="Almost empty"),$E32*'EE '!H$15,AND($C32="Alternative fuel bus",$D32="Average"),$E32*'EE '!H$16,AND($C32="Alternative fuel bus",$D32="Nearly full"),$E32*'EE '!H$17,AND($C32="Metro, tram, urban light train",$D32="Almost empty"),$E32*'EE '!C$35,AND($C32="Metro, tram, urban light train",$D32="Average"),$E32*'EE '!C$36,AND($C32="Metro, tram, urban light train",$D32="Nearly full"),$E32*'EE '!C$37,AND($C32="Electric passenger train",$D32="Almost empty"),$E32*'EE '!C$39,AND($C32="Electric passenger train",$D32="Average"),$E32*'EE '!C$40,AND($C32="Electric passenger train",$D32="Nearly full"),$E32*'EE '!C$41,AND($C32="Diesel passenger train",$D32="Almost empty"),$E32*'EE '!C$47,AND($C32="Diesel passenger train",$D32="Average"),$E32*'EE '!C$48,AND($C32="Diesel passenger train",$D32="Nearly full"),$E32*'EE '!C$49,AND($C32="Walking"),$E32*0,AND($C32="Bike"),$E32*0,AND($C32="Plane - domestic flight"),$E32*'EE '!$C56,AND($C32="Plane - international - intra EU"),$E32*'EE '!$C58,AND($C32="Plane - international (extra EU)"),$E32*'EE '!$C60)</f>
        <v>#N/A</v>
      </c>
      <c r="G32" s="31" t="e" cm="1">
        <f t="array" ref="G32">_xlfn.IFS(AND($C32="Fuel car",$D32=1),$E32*'EE '!D$7,AND($C32="Fuel car",$D32=2),$E32*'EE '!D$8,AND($C32="Fuel car",$D32=3),$E32*'EE '!D$9,AND($C32="Fuel car",$D32=4),$E32*'EE '!D$10,AND($C32="Fuel car",$D32=5),$E32*'EE '!D$11,AND($C32="Motorcycle",$D32=1),$E32*'EE '!D$13,AND($C32="Motorcycle",$D32=2),$E32*'EE '!D$14,AND($C32="Electric car",$D32=1),$E32*'EE '!D$16,AND($C32="Electric car",$D32=2),$E32*'EE '!D$17,AND($C32="Electric car",$D32=3),$E32*'EE '!D$18,AND($C32="Electric car",$D32=4),$E32*'EE '!D$19,AND($C32="Electric car",$D32=5),$E32*'EE '!D$20,AND($C32="Hybrid car",$D32=1),$E32*'EE '!D$22,AND($C32="Hybrid car",$D32=2),$E32*'EE '!D$23,AND($C32="Hybrid car",$D32=3),$E32*'EE '!D$24,AND($C32="Hybrid car",$D32=4),$E32*'EE '!D$25,AND($C32="Hybrid car",$D32=5),$E32*'EE '!D$26,AND($C32="Electric motorcycle",$D32=1),$E32*'EE '!D$28,AND($C32="Electric motorcycle",$D32=2),$E32*'EE '!D$29,AND($C32="Electric bike",$D32=1),$E32*'EE '!D$31,AND($C32="Electric scooter",$D32=1),$E32*'EE '!D$33,AND($C32="Bus",$D32="Almost empty"),$E32*'EE '!I$23,AND($C32="Bus",$D32="Average"),$E32*'EE '!I$24,AND($C32="Bus",$D32="Nearly full"),$E32*'EE '!I$25,AND($C32="Electric bus",$D32="Almost empty"),$E32*'EE '!I$7,AND($C32="Electric bus",$D32="Average"),$E32*'EE '!I$8,AND($C32="Electric bus",$D32="Nearly full"),$E32*'EE '!I$9,AND($C32="Diesel bus",$D32="Almost empty"),$E32*'EE '!I$19,AND($C32="Diesel bus",$D32="Average"),$E32*'EE '!I$20,AND($C32="Diesel bus",$D32="Nearly full"),$E32*'EE '!I$21,AND($C32="Hybrid-electric bus",$D32="Almost empty"),$E32*'EE '!I$11,AND($C32="Hybrid-electric bus",$D32="Average"),$E32*'EE '!I$12,AND($C32="Hybrid-electric bus",$D32="Nearly full"),$E32*'EE '!I$13,AND($C32="Alternative fuel bus",$D32="Almost empty"),$E32*'EE '!I$15,AND($C32="Alternative fuel bus",$D32="Average"),$E32*'EE '!I$16,AND($C32="Alternative fuel bus",$D32="Nearly full"),$E32*'EE '!I$17,AND($C32="Metro, tram, urban light train",$D32="Almost empty"),$E32*'EE '!D$35,AND($C32="Metro, tram, urban light train",$D32="Average"),$E32*'EE '!D$36,AND($C32="Metro, tram, urban light train",$D32="Nearly full"),$E32*'EE '!D$37,AND($C32="Electric passenger train",$D32="Almost empty"),$E32*'EE '!D$39,AND($C32="Electric passenger train",$D32="Average"),$E32*'EE '!D$40,AND($C32="Electric passenger train",$D32="Nearly full"),$E32*'EE '!D$41,AND($C32="Diesel passenger train",$D32="Almost empty"),$E32*'EE '!D$47,AND($C32="Diesel passenger train",$D32="Average"),$E32*'EE '!D$48,AND($C32="Diesel passenger train",$D32="Nearly full"),$E32*'EE '!D$49,AND($C32="Walking"),$E32*0,AND($C32="Bike"),$E32*0,AND($C32="Plane - domestic flight"),$E32*'EE '!$C56,AND($C32="Plane - international - intra EU"),$E32*'EE '!$C58,AND($C32="Plane - international (extra EU)"),$E32*'EE '!$C60)</f>
        <v>#N/A</v>
      </c>
      <c r="H32" s="145"/>
      <c r="I32" s="148">
        <f t="shared" si="6"/>
        <v>0</v>
      </c>
      <c r="J32" s="146" t="e" cm="1">
        <f t="array" ref="J32">_xlfn.IFS(C32="Fuel car",C32*DATA!$C$17,C32="Electric car",C32*DATA!$F$10,C32="Hybrid car",I32*(0.5*DATA!$C$17+0.5*DATA!$F$10))</f>
        <v>#N/A</v>
      </c>
      <c r="L32" s="218"/>
      <c r="M32" s="219"/>
      <c r="N32" s="220"/>
    </row>
    <row r="33" spans="1:14" ht="14.5" customHeight="1" x14ac:dyDescent="0.2">
      <c r="A33" s="222"/>
      <c r="B33" s="30"/>
      <c r="C33" s="15"/>
      <c r="D33" s="15"/>
      <c r="E33" s="125"/>
      <c r="F33" s="128" t="e" cm="1">
        <f t="array" ref="F33">_xlfn.IFS(AND($C33="Fuel car",$D33=1),$E33*'EE '!C$7,AND($C33="Fuel car",$D33=2),$E33*'EE '!C$8,AND($C33="Fuel car",$D33=3),$E33*'EE '!C$9,AND($C33="Fuel car",$D33=4),$E33*'EE '!C$10,AND($C33="Fuel car",$D33=5),$E33*'EE '!C$11,AND($C33="Motorcycle",$D33=1),$E33*'EE '!C$13,AND($C33="Motorcycle",$D33=2),$E33*'EE '!C$14,AND($C33="Electric car",$D33=1),$E33*'EE '!C$16,AND($C33="Electric car",$D33=2),$E33*'EE '!C$17,AND($C33="Electric car",$D33=3),$E33*'EE '!C$18,AND($C33="Electric car",$D33=4),$E33*'EE '!C$19,AND($C33="Electric car",$D33=5),$E33*'EE '!C$20,AND($C33="Hybrid car",$D33=1),$E33*'EE '!C$22,AND($C33="Hybrid car",$D33=2),$E33*'EE '!C$23,AND($C33="Hybrid car",$D33=3),$E33*'EE '!C$24,AND($C33="Hybrid car",$D33=4),$E33*'EE '!C$25,AND($C33="Hybrid car",$D33=5),$E33*'EE '!C$26,AND($C33="Electric motorcycle",$D33=1),$E33*'EE '!C$28,AND($C33="Electric motorcycle",$D33=2),$E33*'EE '!C$29,AND($C33="Electric bike",$D33=1),$E33*'EE '!C$31,AND($C33="Electric scooter",$D33=1),$E33*'EE '!C$33,AND($C33="Bus",$D33="Almost empty"),$E33*'EE '!H$23,AND($C33="Bus",$D33="Average"),$E33*'EE '!H$24,AND($C33="Bus",$D33="Nearly full"),$E33*'EE '!H$25,AND($C33="Electric bus",$D33="Almost empty"),$E33*'EE '!H$7,AND($C33="Electric bus",$D33="Average"),$E33*'EE '!H$8,AND($C33="Electric bus",$D33="Nearly full"),$E33*'EE '!H$9,AND($C33="Diesel bus",$D33="Almost empty"),$E33*'EE '!H$19,AND($C33="Diesel bus",$D33="Average"),$E33*'EE '!H$20,AND($C33="Diesel bus",$D33="Nearly full"),$E33*'EE '!H$21,AND($C33="Hybrid-electric bus",$D33="Almost empty"),$E33*'EE '!H$11,AND($C33="Hybrid-electric bus",$D33="Average"),$E33*'EE '!H$12,AND($C33="Hybrid-electric bus",$D33="Nearly full"),$E33*'EE '!H$13,AND($C33="Alternative fuel bus",$D33="Almost empty"),$E33*'EE '!H$15,AND($C33="Alternative fuel bus",$D33="Average"),$E33*'EE '!H$16,AND($C33="Alternative fuel bus",$D33="Nearly full"),$E33*'EE '!H$17,AND($C33="Metro, tram, urban light train",$D33="Almost empty"),$E33*'EE '!C$35,AND($C33="Metro, tram, urban light train",$D33="Average"),$E33*'EE '!C$36,AND($C33="Metro, tram, urban light train",$D33="Nearly full"),$E33*'EE '!C$37,AND($C33="Electric passenger train",$D33="Almost empty"),$E33*'EE '!C$39,AND($C33="Electric passenger train",$D33="Average"),$E33*'EE '!C$40,AND($C33="Electric passenger train",$D33="Nearly full"),$E33*'EE '!C$41,AND($C33="Diesel passenger train",$D33="Almost empty"),$E33*'EE '!C$47,AND($C33="Diesel passenger train",$D33="Average"),$E33*'EE '!C$48,AND($C33="Diesel passenger train",$D33="Nearly full"),$E33*'EE '!C$49,AND($C33="Walking"),$E33*0,AND($C33="Bike"),$E33*0,AND($C33="Plane - domestic flight"),$E33*'EE '!$C57,AND($C33="Plane - international - intra EU"),$E33*'EE '!$C59,AND($C33="Plane - international (extra EU)"),$E33*'EE '!$C61)</f>
        <v>#N/A</v>
      </c>
      <c r="G33" s="31" t="e" cm="1">
        <f t="array" ref="G33">_xlfn.IFS(AND($C33="Fuel car",$D33=1),$E33*'EE '!D$7,AND($C33="Fuel car",$D33=2),$E33*'EE '!D$8,AND($C33="Fuel car",$D33=3),$E33*'EE '!D$9,AND($C33="Fuel car",$D33=4),$E33*'EE '!D$10,AND($C33="Fuel car",$D33=5),$E33*'EE '!D$11,AND($C33="Motorcycle",$D33=1),$E33*'EE '!D$13,AND($C33="Motorcycle",$D33=2),$E33*'EE '!D$14,AND($C33="Electric car",$D33=1),$E33*'EE '!D$16,AND($C33="Electric car",$D33=2),$E33*'EE '!D$17,AND($C33="Electric car",$D33=3),$E33*'EE '!D$18,AND($C33="Electric car",$D33=4),$E33*'EE '!D$19,AND($C33="Electric car",$D33=5),$E33*'EE '!D$20,AND($C33="Hybrid car",$D33=1),$E33*'EE '!D$22,AND($C33="Hybrid car",$D33=2),$E33*'EE '!D$23,AND($C33="Hybrid car",$D33=3),$E33*'EE '!D$24,AND($C33="Hybrid car",$D33=4),$E33*'EE '!D$25,AND($C33="Hybrid car",$D33=5),$E33*'EE '!D$26,AND($C33="Electric motorcycle",$D33=1),$E33*'EE '!D$28,AND($C33="Electric motorcycle",$D33=2),$E33*'EE '!D$29,AND($C33="Electric bike",$D33=1),$E33*'EE '!D$31,AND($C33="Electric scooter",$D33=1),$E33*'EE '!D$33,AND($C33="Bus",$D33="Almost empty"),$E33*'EE '!I$23,AND($C33="Bus",$D33="Average"),$E33*'EE '!I$24,AND($C33="Bus",$D33="Nearly full"),$E33*'EE '!I$25,AND($C33="Electric bus",$D33="Almost empty"),$E33*'EE '!I$7,AND($C33="Electric bus",$D33="Average"),$E33*'EE '!I$8,AND($C33="Electric bus",$D33="Nearly full"),$E33*'EE '!I$9,AND($C33="Diesel bus",$D33="Almost empty"),$E33*'EE '!I$19,AND($C33="Diesel bus",$D33="Average"),$E33*'EE '!I$20,AND($C33="Diesel bus",$D33="Nearly full"),$E33*'EE '!I$21,AND($C33="Hybrid-electric bus",$D33="Almost empty"),$E33*'EE '!I$11,AND($C33="Hybrid-electric bus",$D33="Average"),$E33*'EE '!I$12,AND($C33="Hybrid-electric bus",$D33="Nearly full"),$E33*'EE '!I$13,AND($C33="Alternative fuel bus",$D33="Almost empty"),$E33*'EE '!I$15,AND($C33="Alternative fuel bus",$D33="Average"),$E33*'EE '!I$16,AND($C33="Alternative fuel bus",$D33="Nearly full"),$E33*'EE '!I$17,AND($C33="Metro, tram, urban light train",$D33="Almost empty"),$E33*'EE '!D$35,AND($C33="Metro, tram, urban light train",$D33="Average"),$E33*'EE '!D$36,AND($C33="Metro, tram, urban light train",$D33="Nearly full"),$E33*'EE '!D$37,AND($C33="Electric passenger train",$D33="Almost empty"),$E33*'EE '!D$39,AND($C33="Electric passenger train",$D33="Average"),$E33*'EE '!D$40,AND($C33="Electric passenger train",$D33="Nearly full"),$E33*'EE '!D$41,AND($C33="Diesel passenger train",$D33="Almost empty"),$E33*'EE '!D$47,AND($C33="Diesel passenger train",$D33="Average"),$E33*'EE '!D$48,AND($C33="Diesel passenger train",$D33="Nearly full"),$E33*'EE '!D$49,AND($C33="Walking"),$E33*0,AND($C33="Bike"),$E33*0,AND($C33="Plane - domestic flight"),$E33*'EE '!$C57,AND($C33="Plane - international - intra EU"),$E33*'EE '!$C59,AND($C33="Plane - international (extra EU)"),$E33*'EE '!$C61)</f>
        <v>#N/A</v>
      </c>
      <c r="H33" s="145"/>
      <c r="I33" s="148">
        <f t="shared" si="6"/>
        <v>0</v>
      </c>
      <c r="J33" s="146" t="e" cm="1">
        <f t="array" ref="J33">_xlfn.IFS(C33="Fuel car",C33*DATA!$C$17,C33="Electric car",C33*DATA!$F$10,C33="Hybrid car",I33*(0.5*DATA!$C$17+0.5*DATA!$F$10))</f>
        <v>#N/A</v>
      </c>
      <c r="L33" s="223" t="s">
        <v>78</v>
      </c>
      <c r="M33" s="224"/>
      <c r="N33" s="225"/>
    </row>
    <row r="34" spans="1:14" x14ac:dyDescent="0.2">
      <c r="A34" s="222"/>
      <c r="B34" s="30"/>
      <c r="C34" s="15"/>
      <c r="D34" s="15"/>
      <c r="E34" s="125"/>
      <c r="F34" s="128" t="e" cm="1">
        <f t="array" ref="F34">_xlfn.IFS(AND($C34="Fuel car",$D34=1),$E34*'EE '!C$7,AND($C34="Fuel car",$D34=2),$E34*'EE '!C$8,AND($C34="Fuel car",$D34=3),$E34*'EE '!C$9,AND($C34="Fuel car",$D34=4),$E34*'EE '!C$10,AND($C34="Fuel car",$D34=5),$E34*'EE '!C$11,AND($C34="Motorcycle",$D34=1),$E34*'EE '!C$13,AND($C34="Motorcycle",$D34=2),$E34*'EE '!C$14,AND($C34="Electric car",$D34=1),$E34*'EE '!C$16,AND($C34="Electric car",$D34=2),$E34*'EE '!C$17,AND($C34="Electric car",$D34=3),$E34*'EE '!C$18,AND($C34="Electric car",$D34=4),$E34*'EE '!C$19,AND($C34="Electric car",$D34=5),$E34*'EE '!C$20,AND($C34="Hybrid car",$D34=1),$E34*'EE '!C$22,AND($C34="Hybrid car",$D34=2),$E34*'EE '!C$23,AND($C34="Hybrid car",$D34=3),$E34*'EE '!C$24,AND($C34="Hybrid car",$D34=4),$E34*'EE '!C$25,AND($C34="Hybrid car",$D34=5),$E34*'EE '!C$26,AND($C34="Electric motorcycle",$D34=1),$E34*'EE '!C$28,AND($C34="Electric motorcycle",$D34=2),$E34*'EE '!C$29,AND($C34="Electric bike",$D34=1),$E34*'EE '!C$31,AND($C34="Electric scooter",$D34=1),$E34*'EE '!C$33,AND($C34="Bus",$D34="Almost empty"),$E34*'EE '!H$23,AND($C34="Bus",$D34="Average"),$E34*'EE '!H$24,AND($C34="Bus",$D34="Nearly full"),$E34*'EE '!H$25,AND($C34="Electric bus",$D34="Almost empty"),$E34*'EE '!H$7,AND($C34="Electric bus",$D34="Average"),$E34*'EE '!H$8,AND($C34="Electric bus",$D34="Nearly full"),$E34*'EE '!H$9,AND($C34="Diesel bus",$D34="Almost empty"),$E34*'EE '!H$19,AND($C34="Diesel bus",$D34="Average"),$E34*'EE '!H$20,AND($C34="Diesel bus",$D34="Nearly full"),$E34*'EE '!H$21,AND($C34="Hybrid-electric bus",$D34="Almost empty"),$E34*'EE '!H$11,AND($C34="Hybrid-electric bus",$D34="Average"),$E34*'EE '!H$12,AND($C34="Hybrid-electric bus",$D34="Nearly full"),$E34*'EE '!H$13,AND($C34="Alternative fuel bus",$D34="Almost empty"),$E34*'EE '!H$15,AND($C34="Alternative fuel bus",$D34="Average"),$E34*'EE '!H$16,AND($C34="Alternative fuel bus",$D34="Nearly full"),$E34*'EE '!H$17,AND($C34="Metro, tram, urban light train",$D34="Almost empty"),$E34*'EE '!C$35,AND($C34="Metro, tram, urban light train",$D34="Average"),$E34*'EE '!C$36,AND($C34="Metro, tram, urban light train",$D34="Nearly full"),$E34*'EE '!C$37,AND($C34="Electric passenger train",$D34="Almost empty"),$E34*'EE '!C$39,AND($C34="Electric passenger train",$D34="Average"),$E34*'EE '!C$40,AND($C34="Electric passenger train",$D34="Nearly full"),$E34*'EE '!C$41,AND($C34="Diesel passenger train",$D34="Almost empty"),$E34*'EE '!C$47,AND($C34="Diesel passenger train",$D34="Average"),$E34*'EE '!C$48,AND($C34="Diesel passenger train",$D34="Nearly full"),$E34*'EE '!C$49,AND($C34="Walking"),$E34*0,AND($C34="Bike"),$E34*0,AND($C34="Plane - domestic flight"),$E34*'EE '!$C58,AND($C34="Plane - international - intra EU"),$E34*'EE '!$C60,AND($C34="Plane - international (extra EU)"),$E34*'EE '!$C62)</f>
        <v>#N/A</v>
      </c>
      <c r="G34" s="31" t="e" cm="1">
        <f t="array" ref="G34">_xlfn.IFS(AND($C34="Fuel car",$D34=1),$E34*'EE '!D$7,AND($C34="Fuel car",$D34=2),$E34*'EE '!D$8,AND($C34="Fuel car",$D34=3),$E34*'EE '!D$9,AND($C34="Fuel car",$D34=4),$E34*'EE '!D$10,AND($C34="Fuel car",$D34=5),$E34*'EE '!D$11,AND($C34="Motorcycle",$D34=1),$E34*'EE '!D$13,AND($C34="Motorcycle",$D34=2),$E34*'EE '!D$14,AND($C34="Electric car",$D34=1),$E34*'EE '!D$16,AND($C34="Electric car",$D34=2),$E34*'EE '!D$17,AND($C34="Electric car",$D34=3),$E34*'EE '!D$18,AND($C34="Electric car",$D34=4),$E34*'EE '!D$19,AND($C34="Electric car",$D34=5),$E34*'EE '!D$20,AND($C34="Hybrid car",$D34=1),$E34*'EE '!D$22,AND($C34="Hybrid car",$D34=2),$E34*'EE '!D$23,AND($C34="Hybrid car",$D34=3),$E34*'EE '!D$24,AND($C34="Hybrid car",$D34=4),$E34*'EE '!D$25,AND($C34="Hybrid car",$D34=5),$E34*'EE '!D$26,AND($C34="Electric motorcycle",$D34=1),$E34*'EE '!D$28,AND($C34="Electric motorcycle",$D34=2),$E34*'EE '!D$29,AND($C34="Electric bike",$D34=1),$E34*'EE '!D$31,AND($C34="Electric scooter",$D34=1),$E34*'EE '!D$33,AND($C34="Bus",$D34="Almost empty"),$E34*'EE '!I$23,AND($C34="Bus",$D34="Average"),$E34*'EE '!I$24,AND($C34="Bus",$D34="Nearly full"),$E34*'EE '!I$25,AND($C34="Electric bus",$D34="Almost empty"),$E34*'EE '!I$7,AND($C34="Electric bus",$D34="Average"),$E34*'EE '!I$8,AND($C34="Electric bus",$D34="Nearly full"),$E34*'EE '!I$9,AND($C34="Diesel bus",$D34="Almost empty"),$E34*'EE '!I$19,AND($C34="Diesel bus",$D34="Average"),$E34*'EE '!I$20,AND($C34="Diesel bus",$D34="Nearly full"),$E34*'EE '!I$21,AND($C34="Hybrid-electric bus",$D34="Almost empty"),$E34*'EE '!I$11,AND($C34="Hybrid-electric bus",$D34="Average"),$E34*'EE '!I$12,AND($C34="Hybrid-electric bus",$D34="Nearly full"),$E34*'EE '!I$13,AND($C34="Alternative fuel bus",$D34="Almost empty"),$E34*'EE '!I$15,AND($C34="Alternative fuel bus",$D34="Average"),$E34*'EE '!I$16,AND($C34="Alternative fuel bus",$D34="Nearly full"),$E34*'EE '!I$17,AND($C34="Metro, tram, urban light train",$D34="Almost empty"),$E34*'EE '!D$35,AND($C34="Metro, tram, urban light train",$D34="Average"),$E34*'EE '!D$36,AND($C34="Metro, tram, urban light train",$D34="Nearly full"),$E34*'EE '!D$37,AND($C34="Electric passenger train",$D34="Almost empty"),$E34*'EE '!D$39,AND($C34="Electric passenger train",$D34="Average"),$E34*'EE '!D$40,AND($C34="Electric passenger train",$D34="Nearly full"),$E34*'EE '!D$41,AND($C34="Diesel passenger train",$D34="Almost empty"),$E34*'EE '!D$47,AND($C34="Diesel passenger train",$D34="Average"),$E34*'EE '!D$48,AND($C34="Diesel passenger train",$D34="Nearly full"),$E34*'EE '!D$49,AND($C34="Walking"),$E34*0,AND($C34="Bike"),$E34*0,AND($C34="Plane - domestic flight"),$E34*'EE '!$C58,AND($C34="Plane - international - intra EU"),$E34*'EE '!$C60,AND($C34="Plane - international (extra EU)"),$E34*'EE '!$C62)</f>
        <v>#N/A</v>
      </c>
      <c r="H34" s="145"/>
      <c r="I34" s="148">
        <f t="shared" si="6"/>
        <v>0</v>
      </c>
      <c r="J34" s="146" t="e" cm="1">
        <f t="array" ref="J34">_xlfn.IFS(C34="Fuel car",C34*DATA!$C$17,C34="Electric car",C34*DATA!$F$10,C34="Hybrid car",I34*(0.5*DATA!$C$17+0.5*DATA!$F$10))</f>
        <v>#N/A</v>
      </c>
      <c r="L34" s="223"/>
      <c r="M34" s="224"/>
      <c r="N34" s="225"/>
    </row>
    <row r="35" spans="1:14" ht="14.5" customHeight="1" x14ac:dyDescent="0.2">
      <c r="A35" s="222"/>
      <c r="B35" s="30"/>
      <c r="C35" s="15"/>
      <c r="D35" s="15"/>
      <c r="E35" s="125"/>
      <c r="F35" s="128" t="e" cm="1">
        <f t="array" ref="F35">_xlfn.IFS(AND($C35="Fuel car",$D35=1),$E35*'EE '!C$7,AND($C35="Fuel car",$D35=2),$E35*'EE '!C$8,AND($C35="Fuel car",$D35=3),$E35*'EE '!C$9,AND($C35="Fuel car",$D35=4),$E35*'EE '!C$10,AND($C35="Fuel car",$D35=5),$E35*'EE '!C$11,AND($C35="Motorcycle",$D35=1),$E35*'EE '!C$13,AND($C35="Motorcycle",$D35=2),$E35*'EE '!C$14,AND($C35="Electric car",$D35=1),$E35*'EE '!C$16,AND($C35="Electric car",$D35=2),$E35*'EE '!C$17,AND($C35="Electric car",$D35=3),$E35*'EE '!C$18,AND($C35="Electric car",$D35=4),$E35*'EE '!C$19,AND($C35="Electric car",$D35=5),$E35*'EE '!C$20,AND($C35="Hybrid car",$D35=1),$E35*'EE '!C$22,AND($C35="Hybrid car",$D35=2),$E35*'EE '!C$23,AND($C35="Hybrid car",$D35=3),$E35*'EE '!C$24,AND($C35="Hybrid car",$D35=4),$E35*'EE '!C$25,AND($C35="Hybrid car",$D35=5),$E35*'EE '!C$26,AND($C35="Electric motorcycle",$D35=1),$E35*'EE '!C$28,AND($C35="Electric motorcycle",$D35=2),$E35*'EE '!C$29,AND($C35="Electric bike",$D35=1),$E35*'EE '!C$31,AND($C35="Electric scooter",$D35=1),$E35*'EE '!C$33,AND($C35="Bus",$D35="Almost empty"),$E35*'EE '!H$23,AND($C35="Bus",$D35="Average"),$E35*'EE '!H$24,AND($C35="Bus",$D35="Nearly full"),$E35*'EE '!H$25,AND($C35="Electric bus",$D35="Almost empty"),$E35*'EE '!H$7,AND($C35="Electric bus",$D35="Average"),$E35*'EE '!H$8,AND($C35="Electric bus",$D35="Nearly full"),$E35*'EE '!H$9,AND($C35="Diesel bus",$D35="Almost empty"),$E35*'EE '!H$19,AND($C35="Diesel bus",$D35="Average"),$E35*'EE '!H$20,AND($C35="Diesel bus",$D35="Nearly full"),$E35*'EE '!H$21,AND($C35="Hybrid-electric bus",$D35="Almost empty"),$E35*'EE '!H$11,AND($C35="Hybrid-electric bus",$D35="Average"),$E35*'EE '!H$12,AND($C35="Hybrid-electric bus",$D35="Nearly full"),$E35*'EE '!H$13,AND($C35="Alternative fuel bus",$D35="Almost empty"),$E35*'EE '!H$15,AND($C35="Alternative fuel bus",$D35="Average"),$E35*'EE '!H$16,AND($C35="Alternative fuel bus",$D35="Nearly full"),$E35*'EE '!H$17,AND($C35="Metro, tram, urban light train",$D35="Almost empty"),$E35*'EE '!C$35,AND($C35="Metro, tram, urban light train",$D35="Average"),$E35*'EE '!C$36,AND($C35="Metro, tram, urban light train",$D35="Nearly full"),$E35*'EE '!C$37,AND($C35="Electric passenger train",$D35="Almost empty"),$E35*'EE '!C$39,AND($C35="Electric passenger train",$D35="Average"),$E35*'EE '!C$40,AND($C35="Electric passenger train",$D35="Nearly full"),$E35*'EE '!C$41,AND($C35="Diesel passenger train",$D35="Almost empty"),$E35*'EE '!C$47,AND($C35="Diesel passenger train",$D35="Average"),$E35*'EE '!C$48,AND($C35="Diesel passenger train",$D35="Nearly full"),$E35*'EE '!C$49,AND($C35="Walking"),$E35*0,AND($C35="Bike"),$E35*0,AND($C35="Plane - domestic flight"),$E35*'EE '!$C59,AND($C35="Plane - international - intra EU"),$E35*'EE '!$C61,AND($C35="Plane - international (extra EU)"),$E35*'EE '!$C63)</f>
        <v>#N/A</v>
      </c>
      <c r="G35" s="31" t="e" cm="1">
        <f t="array" ref="G35">_xlfn.IFS(AND($C35="Fuel car",$D35=1),$E35*'EE '!D$7,AND($C35="Fuel car",$D35=2),$E35*'EE '!D$8,AND($C35="Fuel car",$D35=3),$E35*'EE '!D$9,AND($C35="Fuel car",$D35=4),$E35*'EE '!D$10,AND($C35="Fuel car",$D35=5),$E35*'EE '!D$11,AND($C35="Motorcycle",$D35=1),$E35*'EE '!D$13,AND($C35="Motorcycle",$D35=2),$E35*'EE '!D$14,AND($C35="Electric car",$D35=1),$E35*'EE '!D$16,AND($C35="Electric car",$D35=2),$E35*'EE '!D$17,AND($C35="Electric car",$D35=3),$E35*'EE '!D$18,AND($C35="Electric car",$D35=4),$E35*'EE '!D$19,AND($C35="Electric car",$D35=5),$E35*'EE '!D$20,AND($C35="Hybrid car",$D35=1),$E35*'EE '!D$22,AND($C35="Hybrid car",$D35=2),$E35*'EE '!D$23,AND($C35="Hybrid car",$D35=3),$E35*'EE '!D$24,AND($C35="Hybrid car",$D35=4),$E35*'EE '!D$25,AND($C35="Hybrid car",$D35=5),$E35*'EE '!D$26,AND($C35="Electric motorcycle",$D35=1),$E35*'EE '!D$28,AND($C35="Electric motorcycle",$D35=2),$E35*'EE '!D$29,AND($C35="Electric bike",$D35=1),$E35*'EE '!D$31,AND($C35="Electric scooter",$D35=1),$E35*'EE '!D$33,AND($C35="Bus",$D35="Almost empty"),$E35*'EE '!I$23,AND($C35="Bus",$D35="Average"),$E35*'EE '!I$24,AND($C35="Bus",$D35="Nearly full"),$E35*'EE '!I$25,AND($C35="Electric bus",$D35="Almost empty"),$E35*'EE '!I$7,AND($C35="Electric bus",$D35="Average"),$E35*'EE '!I$8,AND($C35="Electric bus",$D35="Nearly full"),$E35*'EE '!I$9,AND($C35="Diesel bus",$D35="Almost empty"),$E35*'EE '!I$19,AND($C35="Diesel bus",$D35="Average"),$E35*'EE '!I$20,AND($C35="Diesel bus",$D35="Nearly full"),$E35*'EE '!I$21,AND($C35="Hybrid-electric bus",$D35="Almost empty"),$E35*'EE '!I$11,AND($C35="Hybrid-electric bus",$D35="Average"),$E35*'EE '!I$12,AND($C35="Hybrid-electric bus",$D35="Nearly full"),$E35*'EE '!I$13,AND($C35="Alternative fuel bus",$D35="Almost empty"),$E35*'EE '!I$15,AND($C35="Alternative fuel bus",$D35="Average"),$E35*'EE '!I$16,AND($C35="Alternative fuel bus",$D35="Nearly full"),$E35*'EE '!I$17,AND($C35="Metro, tram, urban light train",$D35="Almost empty"),$E35*'EE '!D$35,AND($C35="Metro, tram, urban light train",$D35="Average"),$E35*'EE '!D$36,AND($C35="Metro, tram, urban light train",$D35="Nearly full"),$E35*'EE '!D$37,AND($C35="Electric passenger train",$D35="Almost empty"),$E35*'EE '!D$39,AND($C35="Electric passenger train",$D35="Average"),$E35*'EE '!D$40,AND($C35="Electric passenger train",$D35="Nearly full"),$E35*'EE '!D$41,AND($C35="Diesel passenger train",$D35="Almost empty"),$E35*'EE '!D$47,AND($C35="Diesel passenger train",$D35="Average"),$E35*'EE '!D$48,AND($C35="Diesel passenger train",$D35="Nearly full"),$E35*'EE '!D$49,AND($C35="Walking"),$E35*0,AND($C35="Bike"),$E35*0,AND($C35="Plane - domestic flight"),$E35*'EE '!$C59,AND($C35="Plane - international - intra EU"),$E35*'EE '!$C61,AND($C35="Plane - international (extra EU)"),$E35*'EE '!$C63)</f>
        <v>#N/A</v>
      </c>
      <c r="H35" s="145"/>
      <c r="I35" s="148">
        <f t="shared" si="6"/>
        <v>0</v>
      </c>
      <c r="J35" s="146" t="e" cm="1">
        <f t="array" ref="J35">_xlfn.IFS(C35="Fuel car",C35*DATA!$C$17,C35="Electric car",C35*DATA!$F$10,C35="Hybrid car",I35*(0.5*DATA!$C$17+0.5*DATA!$F$10))</f>
        <v>#N/A</v>
      </c>
      <c r="L35" s="223"/>
      <c r="M35" s="224"/>
      <c r="N35" s="225"/>
    </row>
    <row r="36" spans="1:14" ht="16" thickBot="1" x14ac:dyDescent="0.25">
      <c r="A36" s="222"/>
      <c r="B36" s="30"/>
      <c r="C36" s="15"/>
      <c r="D36" s="15"/>
      <c r="E36" s="125"/>
      <c r="F36" s="128" t="e" cm="1">
        <f t="array" ref="F36">_xlfn.IFS(AND($C36="Fuel car",$D36=1),$E36*'EE '!C$7,AND($C36="Fuel car",$D36=2),$E36*'EE '!C$8,AND($C36="Fuel car",$D36=3),$E36*'EE '!C$9,AND($C36="Fuel car",$D36=4),$E36*'EE '!C$10,AND($C36="Fuel car",$D36=5),$E36*'EE '!C$11,AND($C36="Motorcycle",$D36=1),$E36*'EE '!C$13,AND($C36="Motorcycle",$D36=2),$E36*'EE '!C$14,AND($C36="Electric car",$D36=1),$E36*'EE '!C$16,AND($C36="Electric car",$D36=2),$E36*'EE '!C$17,AND($C36="Electric car",$D36=3),$E36*'EE '!C$18,AND($C36="Electric car",$D36=4),$E36*'EE '!C$19,AND($C36="Electric car",$D36=5),$E36*'EE '!C$20,AND($C36="Hybrid car",$D36=1),$E36*'EE '!C$22,AND($C36="Hybrid car",$D36=2),$E36*'EE '!C$23,AND($C36="Hybrid car",$D36=3),$E36*'EE '!C$24,AND($C36="Hybrid car",$D36=4),$E36*'EE '!C$25,AND($C36="Hybrid car",$D36=5),$E36*'EE '!C$26,AND($C36="Electric motorcycle",$D36=1),$E36*'EE '!C$28,AND($C36="Electric motorcycle",$D36=2),$E36*'EE '!C$29,AND($C36="Electric bike",$D36=1),$E36*'EE '!C$31,AND($C36="Electric scooter",$D36=1),$E36*'EE '!C$33,AND($C36="Bus",$D36="Almost empty"),$E36*'EE '!H$23,AND($C36="Bus",$D36="Average"),$E36*'EE '!H$24,AND($C36="Bus",$D36="Nearly full"),$E36*'EE '!H$25,AND($C36="Electric bus",$D36="Almost empty"),$E36*'EE '!H$7,AND($C36="Electric bus",$D36="Average"),$E36*'EE '!H$8,AND($C36="Electric bus",$D36="Nearly full"),$E36*'EE '!H$9,AND($C36="Diesel bus",$D36="Almost empty"),$E36*'EE '!H$19,AND($C36="Diesel bus",$D36="Average"),$E36*'EE '!H$20,AND($C36="Diesel bus",$D36="Nearly full"),$E36*'EE '!H$21,AND($C36="Hybrid-electric bus",$D36="Almost empty"),$E36*'EE '!H$11,AND($C36="Hybrid-electric bus",$D36="Average"),$E36*'EE '!H$12,AND($C36="Hybrid-electric bus",$D36="Nearly full"),$E36*'EE '!H$13,AND($C36="Alternative fuel bus",$D36="Almost empty"),$E36*'EE '!H$15,AND($C36="Alternative fuel bus",$D36="Average"),$E36*'EE '!H$16,AND($C36="Alternative fuel bus",$D36="Nearly full"),$E36*'EE '!H$17,AND($C36="Metro, tram, urban light train",$D36="Almost empty"),$E36*'EE '!C$35,AND($C36="Metro, tram, urban light train",$D36="Average"),$E36*'EE '!C$36,AND($C36="Metro, tram, urban light train",$D36="Nearly full"),$E36*'EE '!C$37,AND($C36="Electric passenger train",$D36="Almost empty"),$E36*'EE '!C$39,AND($C36="Electric passenger train",$D36="Average"),$E36*'EE '!C$40,AND($C36="Electric passenger train",$D36="Nearly full"),$E36*'EE '!C$41,AND($C36="Diesel passenger train",$D36="Almost empty"),$E36*'EE '!C$47,AND($C36="Diesel passenger train",$D36="Average"),$E36*'EE '!C$48,AND($C36="Diesel passenger train",$D36="Nearly full"),$E36*'EE '!C$49,AND($C36="Walking"),$E36*0,AND($C36="Bike"),$E36*0,AND($C36="Plane - domestic flight"),$E36*'EE '!$C60,AND($C36="Plane - international - intra EU"),$E36*'EE '!$C62,AND($C36="Plane - international (extra EU)"),$E36*'EE '!$C64)</f>
        <v>#N/A</v>
      </c>
      <c r="G36" s="31" t="e" cm="1">
        <f t="array" ref="G36">_xlfn.IFS(AND($C36="Fuel car",$D36=1),$E36*'EE '!D$7,AND($C36="Fuel car",$D36=2),$E36*'EE '!D$8,AND($C36="Fuel car",$D36=3),$E36*'EE '!D$9,AND($C36="Fuel car",$D36=4),$E36*'EE '!D$10,AND($C36="Fuel car",$D36=5),$E36*'EE '!D$11,AND($C36="Motorcycle",$D36=1),$E36*'EE '!D$13,AND($C36="Motorcycle",$D36=2),$E36*'EE '!D$14,AND($C36="Electric car",$D36=1),$E36*'EE '!D$16,AND($C36="Electric car",$D36=2),$E36*'EE '!D$17,AND($C36="Electric car",$D36=3),$E36*'EE '!D$18,AND($C36="Electric car",$D36=4),$E36*'EE '!D$19,AND($C36="Electric car",$D36=5),$E36*'EE '!D$20,AND($C36="Hybrid car",$D36=1),$E36*'EE '!D$22,AND($C36="Hybrid car",$D36=2),$E36*'EE '!D$23,AND($C36="Hybrid car",$D36=3),$E36*'EE '!D$24,AND($C36="Hybrid car",$D36=4),$E36*'EE '!D$25,AND($C36="Hybrid car",$D36=5),$E36*'EE '!D$26,AND($C36="Electric motorcycle",$D36=1),$E36*'EE '!D$28,AND($C36="Electric motorcycle",$D36=2),$E36*'EE '!D$29,AND($C36="Electric bike",$D36=1),$E36*'EE '!D$31,AND($C36="Electric scooter",$D36=1),$E36*'EE '!D$33,AND($C36="Bus",$D36="Almost empty"),$E36*'EE '!I$23,AND($C36="Bus",$D36="Average"),$E36*'EE '!I$24,AND($C36="Bus",$D36="Nearly full"),$E36*'EE '!I$25,AND($C36="Electric bus",$D36="Almost empty"),$E36*'EE '!I$7,AND($C36="Electric bus",$D36="Average"),$E36*'EE '!I$8,AND($C36="Electric bus",$D36="Nearly full"),$E36*'EE '!I$9,AND($C36="Diesel bus",$D36="Almost empty"),$E36*'EE '!I$19,AND($C36="Diesel bus",$D36="Average"),$E36*'EE '!I$20,AND($C36="Diesel bus",$D36="Nearly full"),$E36*'EE '!I$21,AND($C36="Hybrid-electric bus",$D36="Almost empty"),$E36*'EE '!I$11,AND($C36="Hybrid-electric bus",$D36="Average"),$E36*'EE '!I$12,AND($C36="Hybrid-electric bus",$D36="Nearly full"),$E36*'EE '!I$13,AND($C36="Alternative fuel bus",$D36="Almost empty"),$E36*'EE '!I$15,AND($C36="Alternative fuel bus",$D36="Average"),$E36*'EE '!I$16,AND($C36="Alternative fuel bus",$D36="Nearly full"),$E36*'EE '!I$17,AND($C36="Metro, tram, urban light train",$D36="Almost empty"),$E36*'EE '!D$35,AND($C36="Metro, tram, urban light train",$D36="Average"),$E36*'EE '!D$36,AND($C36="Metro, tram, urban light train",$D36="Nearly full"),$E36*'EE '!D$37,AND($C36="Electric passenger train",$D36="Almost empty"),$E36*'EE '!D$39,AND($C36="Electric passenger train",$D36="Average"),$E36*'EE '!D$40,AND($C36="Electric passenger train",$D36="Nearly full"),$E36*'EE '!D$41,AND($C36="Diesel passenger train",$D36="Almost empty"),$E36*'EE '!D$47,AND($C36="Diesel passenger train",$D36="Average"),$E36*'EE '!D$48,AND($C36="Diesel passenger train",$D36="Nearly full"),$E36*'EE '!D$49,AND($C36="Walking"),$E36*0,AND($C36="Bike"),$E36*0,AND($C36="Plane - domestic flight"),$E36*'EE '!$C60,AND($C36="Plane - international - intra EU"),$E36*'EE '!$C62,AND($C36="Plane - international (extra EU)"),$E36*'EE '!$C64)</f>
        <v>#N/A</v>
      </c>
      <c r="H36" s="145"/>
      <c r="I36" s="148">
        <f t="shared" si="6"/>
        <v>0</v>
      </c>
      <c r="J36" s="146" t="e" cm="1">
        <f t="array" ref="J36">_xlfn.IFS(C36="Fuel car",C36*DATA!$C$17,C36="Electric car",C36*DATA!$F$10,C36="Hybrid car",I36*(0.5*DATA!$C$17+0.5*DATA!$F$10))</f>
        <v>#N/A</v>
      </c>
      <c r="L36" s="218"/>
      <c r="M36" s="219"/>
      <c r="N36" s="220"/>
    </row>
    <row r="37" spans="1:14" ht="14.5" customHeight="1" x14ac:dyDescent="0.2">
      <c r="A37" s="222"/>
      <c r="B37" s="30"/>
      <c r="C37" s="15"/>
      <c r="D37" s="15"/>
      <c r="E37" s="125"/>
      <c r="F37" s="128" t="e" cm="1">
        <f t="array" ref="F37">_xlfn.IFS(AND($C37="Fuel car",$D37=1),$E37*'EE '!C$7,AND($C37="Fuel car",$D37=2),$E37*'EE '!C$8,AND($C37="Fuel car",$D37=3),$E37*'EE '!C$9,AND($C37="Fuel car",$D37=4),$E37*'EE '!C$10,AND($C37="Fuel car",$D37=5),$E37*'EE '!C$11,AND($C37="Motorcycle",$D37=1),$E37*'EE '!C$13,AND($C37="Motorcycle",$D37=2),$E37*'EE '!C$14,AND($C37="Electric car",$D37=1),$E37*'EE '!C$16,AND($C37="Electric car",$D37=2),$E37*'EE '!C$17,AND($C37="Electric car",$D37=3),$E37*'EE '!C$18,AND($C37="Electric car",$D37=4),$E37*'EE '!C$19,AND($C37="Electric car",$D37=5),$E37*'EE '!C$20,AND($C37="Hybrid car",$D37=1),$E37*'EE '!C$22,AND($C37="Hybrid car",$D37=2),$E37*'EE '!C$23,AND($C37="Hybrid car",$D37=3),$E37*'EE '!C$24,AND($C37="Hybrid car",$D37=4),$E37*'EE '!C$25,AND($C37="Hybrid car",$D37=5),$E37*'EE '!C$26,AND($C37="Electric motorcycle",$D37=1),$E37*'EE '!C$28,AND($C37="Electric motorcycle",$D37=2),$E37*'EE '!C$29,AND($C37="Electric bike",$D37=1),$E37*'EE '!C$31,AND($C37="Electric scooter",$D37=1),$E37*'EE '!C$33,AND($C37="Bus",$D37="Almost empty"),$E37*'EE '!H$23,AND($C37="Bus",$D37="Average"),$E37*'EE '!H$24,AND($C37="Bus",$D37="Nearly full"),$E37*'EE '!H$25,AND($C37="Electric bus",$D37="Almost empty"),$E37*'EE '!H$7,AND($C37="Electric bus",$D37="Average"),$E37*'EE '!H$8,AND($C37="Electric bus",$D37="Nearly full"),$E37*'EE '!H$9,AND($C37="Diesel bus",$D37="Almost empty"),$E37*'EE '!H$19,AND($C37="Diesel bus",$D37="Average"),$E37*'EE '!H$20,AND($C37="Diesel bus",$D37="Nearly full"),$E37*'EE '!H$21,AND($C37="Hybrid-electric bus",$D37="Almost empty"),$E37*'EE '!H$11,AND($C37="Hybrid-electric bus",$D37="Average"),$E37*'EE '!H$12,AND($C37="Hybrid-electric bus",$D37="Nearly full"),$E37*'EE '!H$13,AND($C37="Alternative fuel bus",$D37="Almost empty"),$E37*'EE '!H$15,AND($C37="Alternative fuel bus",$D37="Average"),$E37*'EE '!H$16,AND($C37="Alternative fuel bus",$D37="Nearly full"),$E37*'EE '!H$17,AND($C37="Metro, tram, urban light train",$D37="Almost empty"),$E37*'EE '!C$35,AND($C37="Metro, tram, urban light train",$D37="Average"),$E37*'EE '!C$36,AND($C37="Metro, tram, urban light train",$D37="Nearly full"),$E37*'EE '!C$37,AND($C37="Electric passenger train",$D37="Almost empty"),$E37*'EE '!C$39,AND($C37="Electric passenger train",$D37="Average"),$E37*'EE '!C$40,AND($C37="Electric passenger train",$D37="Nearly full"),$E37*'EE '!C$41,AND($C37="Diesel passenger train",$D37="Almost empty"),$E37*'EE '!C$47,AND($C37="Diesel passenger train",$D37="Average"),$E37*'EE '!C$48,AND($C37="Diesel passenger train",$D37="Nearly full"),$E37*'EE '!C$49,AND($C37="Walking"),$E37*0,AND($C37="Bike"),$E37*0,AND($C37="Plane - domestic flight"),$E37*'EE '!$C61,AND($C37="Plane - international - intra EU"),$E37*'EE '!$C63,AND($C37="Plane - international (extra EU)"),$E37*'EE '!$C65)</f>
        <v>#N/A</v>
      </c>
      <c r="G37" s="31" t="e" cm="1">
        <f t="array" ref="G37">_xlfn.IFS(AND($C37="Fuel car",$D37=1),$E37*'EE '!D$7,AND($C37="Fuel car",$D37=2),$E37*'EE '!D$8,AND($C37="Fuel car",$D37=3),$E37*'EE '!D$9,AND($C37="Fuel car",$D37=4),$E37*'EE '!D$10,AND($C37="Fuel car",$D37=5),$E37*'EE '!D$11,AND($C37="Motorcycle",$D37=1),$E37*'EE '!D$13,AND($C37="Motorcycle",$D37=2),$E37*'EE '!D$14,AND($C37="Electric car",$D37=1),$E37*'EE '!D$16,AND($C37="Electric car",$D37=2),$E37*'EE '!D$17,AND($C37="Electric car",$D37=3),$E37*'EE '!D$18,AND($C37="Electric car",$D37=4),$E37*'EE '!D$19,AND($C37="Electric car",$D37=5),$E37*'EE '!D$20,AND($C37="Hybrid car",$D37=1),$E37*'EE '!D$22,AND($C37="Hybrid car",$D37=2),$E37*'EE '!D$23,AND($C37="Hybrid car",$D37=3),$E37*'EE '!D$24,AND($C37="Hybrid car",$D37=4),$E37*'EE '!D$25,AND($C37="Hybrid car",$D37=5),$E37*'EE '!D$26,AND($C37="Electric motorcycle",$D37=1),$E37*'EE '!D$28,AND($C37="Electric motorcycle",$D37=2),$E37*'EE '!D$29,AND($C37="Electric bike",$D37=1),$E37*'EE '!D$31,AND($C37="Electric scooter",$D37=1),$E37*'EE '!D$33,AND($C37="Bus",$D37="Almost empty"),$E37*'EE '!I$23,AND($C37="Bus",$D37="Average"),$E37*'EE '!I$24,AND($C37="Bus",$D37="Nearly full"),$E37*'EE '!I$25,AND($C37="Electric bus",$D37="Almost empty"),$E37*'EE '!I$7,AND($C37="Electric bus",$D37="Average"),$E37*'EE '!I$8,AND($C37="Electric bus",$D37="Nearly full"),$E37*'EE '!I$9,AND($C37="Diesel bus",$D37="Almost empty"),$E37*'EE '!I$19,AND($C37="Diesel bus",$D37="Average"),$E37*'EE '!I$20,AND($C37="Diesel bus",$D37="Nearly full"),$E37*'EE '!I$21,AND($C37="Hybrid-electric bus",$D37="Almost empty"),$E37*'EE '!I$11,AND($C37="Hybrid-electric bus",$D37="Average"),$E37*'EE '!I$12,AND($C37="Hybrid-electric bus",$D37="Nearly full"),$E37*'EE '!I$13,AND($C37="Alternative fuel bus",$D37="Almost empty"),$E37*'EE '!I$15,AND($C37="Alternative fuel bus",$D37="Average"),$E37*'EE '!I$16,AND($C37="Alternative fuel bus",$D37="Nearly full"),$E37*'EE '!I$17,AND($C37="Metro, tram, urban light train",$D37="Almost empty"),$E37*'EE '!D$35,AND($C37="Metro, tram, urban light train",$D37="Average"),$E37*'EE '!D$36,AND($C37="Metro, tram, urban light train",$D37="Nearly full"),$E37*'EE '!D$37,AND($C37="Electric passenger train",$D37="Almost empty"),$E37*'EE '!D$39,AND($C37="Electric passenger train",$D37="Average"),$E37*'EE '!D$40,AND($C37="Electric passenger train",$D37="Nearly full"),$E37*'EE '!D$41,AND($C37="Diesel passenger train",$D37="Almost empty"),$E37*'EE '!D$47,AND($C37="Diesel passenger train",$D37="Average"),$E37*'EE '!D$48,AND($C37="Diesel passenger train",$D37="Nearly full"),$E37*'EE '!D$49,AND($C37="Walking"),$E37*0,AND($C37="Bike"),$E37*0,AND($C37="Plane - domestic flight"),$E37*'EE '!$C61,AND($C37="Plane - international - intra EU"),$E37*'EE '!$C63,AND($C37="Plane - international (extra EU)"),$E37*'EE '!$C65)</f>
        <v>#N/A</v>
      </c>
      <c r="H37" s="145"/>
      <c r="I37" s="148">
        <f t="shared" si="6"/>
        <v>0</v>
      </c>
      <c r="J37" s="146" t="e" cm="1">
        <f t="array" ref="J37">_xlfn.IFS(C37="Fuel car",C37*DATA!$C$17,C37="Electric car",C37*DATA!$F$10,C37="Hybrid car",I37*(0.5*DATA!$C$17+0.5*DATA!$F$10))</f>
        <v>#N/A</v>
      </c>
      <c r="L37" s="215" t="s">
        <v>79</v>
      </c>
      <c r="M37" s="216"/>
      <c r="N37" s="217"/>
    </row>
    <row r="38" spans="1:14" ht="16" thickBot="1" x14ac:dyDescent="0.25">
      <c r="A38" s="222"/>
      <c r="B38" s="30"/>
      <c r="C38" s="15"/>
      <c r="D38" s="15"/>
      <c r="E38" s="125"/>
      <c r="F38" s="128" t="e" cm="1">
        <f t="array" ref="F38">_xlfn.IFS(AND($C38="Fuel car",$D38=1),$E38*'EE '!C$7,AND($C38="Fuel car",$D38=2),$E38*'EE '!C$8,AND($C38="Fuel car",$D38=3),$E38*'EE '!C$9,AND($C38="Fuel car",$D38=4),$E38*'EE '!C$10,AND($C38="Fuel car",$D38=5),$E38*'EE '!C$11,AND($C38="Motorcycle",$D38=1),$E38*'EE '!C$13,AND($C38="Motorcycle",$D38=2),$E38*'EE '!C$14,AND($C38="Electric car",$D38=1),$E38*'EE '!C$16,AND($C38="Electric car",$D38=2),$E38*'EE '!C$17,AND($C38="Electric car",$D38=3),$E38*'EE '!C$18,AND($C38="Electric car",$D38=4),$E38*'EE '!C$19,AND($C38="Electric car",$D38=5),$E38*'EE '!C$20,AND($C38="Hybrid car",$D38=1),$E38*'EE '!C$22,AND($C38="Hybrid car",$D38=2),$E38*'EE '!C$23,AND($C38="Hybrid car",$D38=3),$E38*'EE '!C$24,AND($C38="Hybrid car",$D38=4),$E38*'EE '!C$25,AND($C38="Hybrid car",$D38=5),$E38*'EE '!C$26,AND($C38="Electric motorcycle",$D38=1),$E38*'EE '!C$28,AND($C38="Electric motorcycle",$D38=2),$E38*'EE '!C$29,AND($C38="Electric bike",$D38=1),$E38*'EE '!C$31,AND($C38="Electric scooter",$D38=1),$E38*'EE '!C$33,AND($C38="Bus",$D38="Almost empty"),$E38*'EE '!H$23,AND($C38="Bus",$D38="Average"),$E38*'EE '!H$24,AND($C38="Bus",$D38="Nearly full"),$E38*'EE '!H$25,AND($C38="Electric bus",$D38="Almost empty"),$E38*'EE '!H$7,AND($C38="Electric bus",$D38="Average"),$E38*'EE '!H$8,AND($C38="Electric bus",$D38="Nearly full"),$E38*'EE '!H$9,AND($C38="Diesel bus",$D38="Almost empty"),$E38*'EE '!H$19,AND($C38="Diesel bus",$D38="Average"),$E38*'EE '!H$20,AND($C38="Diesel bus",$D38="Nearly full"),$E38*'EE '!H$21,AND($C38="Hybrid-electric bus",$D38="Almost empty"),$E38*'EE '!H$11,AND($C38="Hybrid-electric bus",$D38="Average"),$E38*'EE '!H$12,AND($C38="Hybrid-electric bus",$D38="Nearly full"),$E38*'EE '!H$13,AND($C38="Alternative fuel bus",$D38="Almost empty"),$E38*'EE '!H$15,AND($C38="Alternative fuel bus",$D38="Average"),$E38*'EE '!H$16,AND($C38="Alternative fuel bus",$D38="Nearly full"),$E38*'EE '!H$17,AND($C38="Metro, tram, urban light train",$D38="Almost empty"),$E38*'EE '!C$35,AND($C38="Metro, tram, urban light train",$D38="Average"),$E38*'EE '!C$36,AND($C38="Metro, tram, urban light train",$D38="Nearly full"),$E38*'EE '!C$37,AND($C38="Electric passenger train",$D38="Almost empty"),$E38*'EE '!C$39,AND($C38="Electric passenger train",$D38="Average"),$E38*'EE '!C$40,AND($C38="Electric passenger train",$D38="Nearly full"),$E38*'EE '!C$41,AND($C38="Diesel passenger train",$D38="Almost empty"),$E38*'EE '!C$47,AND($C38="Diesel passenger train",$D38="Average"),$E38*'EE '!C$48,AND($C38="Diesel passenger train",$D38="Nearly full"),$E38*'EE '!C$49,AND($C38="Walking"),$E38*0,AND($C38="Bike"),$E38*0,AND($C38="Plane - domestic flight"),$E38*'EE '!$C62,AND($C38="Plane - international - intra EU"),$E38*'EE '!$C64,AND($C38="Plane - international (extra EU)"),$E38*'EE '!$C66)</f>
        <v>#N/A</v>
      </c>
      <c r="G38" s="31" t="e" cm="1">
        <f t="array" ref="G38">_xlfn.IFS(AND($C38="Fuel car",$D38=1),$E38*'EE '!D$7,AND($C38="Fuel car",$D38=2),$E38*'EE '!D$8,AND($C38="Fuel car",$D38=3),$E38*'EE '!D$9,AND($C38="Fuel car",$D38=4),$E38*'EE '!D$10,AND($C38="Fuel car",$D38=5),$E38*'EE '!D$11,AND($C38="Motorcycle",$D38=1),$E38*'EE '!D$13,AND($C38="Motorcycle",$D38=2),$E38*'EE '!D$14,AND($C38="Electric car",$D38=1),$E38*'EE '!D$16,AND($C38="Electric car",$D38=2),$E38*'EE '!D$17,AND($C38="Electric car",$D38=3),$E38*'EE '!D$18,AND($C38="Electric car",$D38=4),$E38*'EE '!D$19,AND($C38="Electric car",$D38=5),$E38*'EE '!D$20,AND($C38="Hybrid car",$D38=1),$E38*'EE '!D$22,AND($C38="Hybrid car",$D38=2),$E38*'EE '!D$23,AND($C38="Hybrid car",$D38=3),$E38*'EE '!D$24,AND($C38="Hybrid car",$D38=4),$E38*'EE '!D$25,AND($C38="Hybrid car",$D38=5),$E38*'EE '!D$26,AND($C38="Electric motorcycle",$D38=1),$E38*'EE '!D$28,AND($C38="Electric motorcycle",$D38=2),$E38*'EE '!D$29,AND($C38="Electric bike",$D38=1),$E38*'EE '!D$31,AND($C38="Electric scooter",$D38=1),$E38*'EE '!D$33,AND($C38="Bus",$D38="Almost empty"),$E38*'EE '!I$23,AND($C38="Bus",$D38="Average"),$E38*'EE '!I$24,AND($C38="Bus",$D38="Nearly full"),$E38*'EE '!I$25,AND($C38="Electric bus",$D38="Almost empty"),$E38*'EE '!I$7,AND($C38="Electric bus",$D38="Average"),$E38*'EE '!I$8,AND($C38="Electric bus",$D38="Nearly full"),$E38*'EE '!I$9,AND($C38="Diesel bus",$D38="Almost empty"),$E38*'EE '!I$19,AND($C38="Diesel bus",$D38="Average"),$E38*'EE '!I$20,AND($C38="Diesel bus",$D38="Nearly full"),$E38*'EE '!I$21,AND($C38="Hybrid-electric bus",$D38="Almost empty"),$E38*'EE '!I$11,AND($C38="Hybrid-electric bus",$D38="Average"),$E38*'EE '!I$12,AND($C38="Hybrid-electric bus",$D38="Nearly full"),$E38*'EE '!I$13,AND($C38="Alternative fuel bus",$D38="Almost empty"),$E38*'EE '!I$15,AND($C38="Alternative fuel bus",$D38="Average"),$E38*'EE '!I$16,AND($C38="Alternative fuel bus",$D38="Nearly full"),$E38*'EE '!I$17,AND($C38="Metro, tram, urban light train",$D38="Almost empty"),$E38*'EE '!D$35,AND($C38="Metro, tram, urban light train",$D38="Average"),$E38*'EE '!D$36,AND($C38="Metro, tram, urban light train",$D38="Nearly full"),$E38*'EE '!D$37,AND($C38="Electric passenger train",$D38="Almost empty"),$E38*'EE '!D$39,AND($C38="Electric passenger train",$D38="Average"),$E38*'EE '!D$40,AND($C38="Electric passenger train",$D38="Nearly full"),$E38*'EE '!D$41,AND($C38="Diesel passenger train",$D38="Almost empty"),$E38*'EE '!D$47,AND($C38="Diesel passenger train",$D38="Average"),$E38*'EE '!D$48,AND($C38="Diesel passenger train",$D38="Nearly full"),$E38*'EE '!D$49,AND($C38="Walking"),$E38*0,AND($C38="Bike"),$E38*0,AND($C38="Plane - domestic flight"),$E38*'EE '!$C62,AND($C38="Plane - international - intra EU"),$E38*'EE '!$C64,AND($C38="Plane - international (extra EU)"),$E38*'EE '!$C66)</f>
        <v>#N/A</v>
      </c>
      <c r="H38" s="145"/>
      <c r="I38" s="148">
        <f t="shared" si="6"/>
        <v>0</v>
      </c>
      <c r="J38" s="146" t="e" cm="1">
        <f t="array" ref="J38">_xlfn.IFS(C38="Fuel car",C38*DATA!$C$17,C38="Electric car",C38*DATA!$F$10,C38="Hybrid car",I38*(0.5*DATA!$C$17+0.5*DATA!$F$10))</f>
        <v>#N/A</v>
      </c>
      <c r="L38" s="218"/>
      <c r="M38" s="219"/>
      <c r="N38" s="220"/>
    </row>
    <row r="39" spans="1:14" ht="14.5" customHeight="1" x14ac:dyDescent="0.2">
      <c r="A39" s="222"/>
      <c r="B39" s="30"/>
      <c r="C39" s="15"/>
      <c r="D39" s="15"/>
      <c r="E39" s="125"/>
      <c r="F39" s="128" t="e" cm="1">
        <f t="array" ref="F39">_xlfn.IFS(AND($C39="Fuel car",$D39=1),$E39*'EE '!C$7,AND($C39="Fuel car",$D39=2),$E39*'EE '!C$8,AND($C39="Fuel car",$D39=3),$E39*'EE '!C$9,AND($C39="Fuel car",$D39=4),$E39*'EE '!C$10,AND($C39="Fuel car",$D39=5),$E39*'EE '!C$11,AND($C39="Motorcycle",$D39=1),$E39*'EE '!C$13,AND($C39="Motorcycle",$D39=2),$E39*'EE '!C$14,AND($C39="Electric car",$D39=1),$E39*'EE '!C$16,AND($C39="Electric car",$D39=2),$E39*'EE '!C$17,AND($C39="Electric car",$D39=3),$E39*'EE '!C$18,AND($C39="Electric car",$D39=4),$E39*'EE '!C$19,AND($C39="Electric car",$D39=5),$E39*'EE '!C$20,AND($C39="Hybrid car",$D39=1),$E39*'EE '!C$22,AND($C39="Hybrid car",$D39=2),$E39*'EE '!C$23,AND($C39="Hybrid car",$D39=3),$E39*'EE '!C$24,AND($C39="Hybrid car",$D39=4),$E39*'EE '!C$25,AND($C39="Hybrid car",$D39=5),$E39*'EE '!C$26,AND($C39="Electric motorcycle",$D39=1),$E39*'EE '!C$28,AND($C39="Electric motorcycle",$D39=2),$E39*'EE '!C$29,AND($C39="Electric bike",$D39=1),$E39*'EE '!C$31,AND($C39="Electric scooter",$D39=1),$E39*'EE '!C$33,AND($C39="Bus",$D39="Almost empty"),$E39*'EE '!H$23,AND($C39="Bus",$D39="Average"),$E39*'EE '!H$24,AND($C39="Bus",$D39="Nearly full"),$E39*'EE '!H$25,AND($C39="Electric bus",$D39="Almost empty"),$E39*'EE '!H$7,AND($C39="Electric bus",$D39="Average"),$E39*'EE '!H$8,AND($C39="Electric bus",$D39="Nearly full"),$E39*'EE '!H$9,AND($C39="Diesel bus",$D39="Almost empty"),$E39*'EE '!H$19,AND($C39="Diesel bus",$D39="Average"),$E39*'EE '!H$20,AND($C39="Diesel bus",$D39="Nearly full"),$E39*'EE '!H$21,AND($C39="Hybrid-electric bus",$D39="Almost empty"),$E39*'EE '!H$11,AND($C39="Hybrid-electric bus",$D39="Average"),$E39*'EE '!H$12,AND($C39="Hybrid-electric bus",$D39="Nearly full"),$E39*'EE '!H$13,AND($C39="Alternative fuel bus",$D39="Almost empty"),$E39*'EE '!H$15,AND($C39="Alternative fuel bus",$D39="Average"),$E39*'EE '!H$16,AND($C39="Alternative fuel bus",$D39="Nearly full"),$E39*'EE '!H$17,AND($C39="Metro, tram, urban light train",$D39="Almost empty"),$E39*'EE '!C$35,AND($C39="Metro, tram, urban light train",$D39="Average"),$E39*'EE '!C$36,AND($C39="Metro, tram, urban light train",$D39="Nearly full"),$E39*'EE '!C$37,AND($C39="Electric passenger train",$D39="Almost empty"),$E39*'EE '!C$39,AND($C39="Electric passenger train",$D39="Average"),$E39*'EE '!C$40,AND($C39="Electric passenger train",$D39="Nearly full"),$E39*'EE '!C$41,AND($C39="Diesel passenger train",$D39="Almost empty"),$E39*'EE '!C$47,AND($C39="Diesel passenger train",$D39="Average"),$E39*'EE '!C$48,AND($C39="Diesel passenger train",$D39="Nearly full"),$E39*'EE '!C$49,AND($C39="Walking"),$E39*0,AND($C39="Bike"),$E39*0,AND($C39="Plane - domestic flight"),$E39*'EE '!$C63,AND($C39="Plane - international - intra EU"),$E39*'EE '!$C65,AND($C39="Plane - international (extra EU)"),$E39*'EE '!$C67)</f>
        <v>#N/A</v>
      </c>
      <c r="G39" s="31" t="e" cm="1">
        <f t="array" ref="G39">_xlfn.IFS(AND($C39="Fuel car",$D39=1),$E39*'EE '!D$7,AND($C39="Fuel car",$D39=2),$E39*'EE '!D$8,AND($C39="Fuel car",$D39=3),$E39*'EE '!D$9,AND($C39="Fuel car",$D39=4),$E39*'EE '!D$10,AND($C39="Fuel car",$D39=5),$E39*'EE '!D$11,AND($C39="Motorcycle",$D39=1),$E39*'EE '!D$13,AND($C39="Motorcycle",$D39=2),$E39*'EE '!D$14,AND($C39="Electric car",$D39=1),$E39*'EE '!D$16,AND($C39="Electric car",$D39=2),$E39*'EE '!D$17,AND($C39="Electric car",$D39=3),$E39*'EE '!D$18,AND($C39="Electric car",$D39=4),$E39*'EE '!D$19,AND($C39="Electric car",$D39=5),$E39*'EE '!D$20,AND($C39="Hybrid car",$D39=1),$E39*'EE '!D$22,AND($C39="Hybrid car",$D39=2),$E39*'EE '!D$23,AND($C39="Hybrid car",$D39=3),$E39*'EE '!D$24,AND($C39="Hybrid car",$D39=4),$E39*'EE '!D$25,AND($C39="Hybrid car",$D39=5),$E39*'EE '!D$26,AND($C39="Electric motorcycle",$D39=1),$E39*'EE '!D$28,AND($C39="Electric motorcycle",$D39=2),$E39*'EE '!D$29,AND($C39="Electric bike",$D39=1),$E39*'EE '!D$31,AND($C39="Electric scooter",$D39=1),$E39*'EE '!D$33,AND($C39="Bus",$D39="Almost empty"),$E39*'EE '!I$23,AND($C39="Bus",$D39="Average"),$E39*'EE '!I$24,AND($C39="Bus",$D39="Nearly full"),$E39*'EE '!I$25,AND($C39="Electric bus",$D39="Almost empty"),$E39*'EE '!I$7,AND($C39="Electric bus",$D39="Average"),$E39*'EE '!I$8,AND($C39="Electric bus",$D39="Nearly full"),$E39*'EE '!I$9,AND($C39="Diesel bus",$D39="Almost empty"),$E39*'EE '!I$19,AND($C39="Diesel bus",$D39="Average"),$E39*'EE '!I$20,AND($C39="Diesel bus",$D39="Nearly full"),$E39*'EE '!I$21,AND($C39="Hybrid-electric bus",$D39="Almost empty"),$E39*'EE '!I$11,AND($C39="Hybrid-electric bus",$D39="Average"),$E39*'EE '!I$12,AND($C39="Hybrid-electric bus",$D39="Nearly full"),$E39*'EE '!I$13,AND($C39="Alternative fuel bus",$D39="Almost empty"),$E39*'EE '!I$15,AND($C39="Alternative fuel bus",$D39="Average"),$E39*'EE '!I$16,AND($C39="Alternative fuel bus",$D39="Nearly full"),$E39*'EE '!I$17,AND($C39="Metro, tram, urban light train",$D39="Almost empty"),$E39*'EE '!D$35,AND($C39="Metro, tram, urban light train",$D39="Average"),$E39*'EE '!D$36,AND($C39="Metro, tram, urban light train",$D39="Nearly full"),$E39*'EE '!D$37,AND($C39="Electric passenger train",$D39="Almost empty"),$E39*'EE '!D$39,AND($C39="Electric passenger train",$D39="Average"),$E39*'EE '!D$40,AND($C39="Electric passenger train",$D39="Nearly full"),$E39*'EE '!D$41,AND($C39="Diesel passenger train",$D39="Almost empty"),$E39*'EE '!D$47,AND($C39="Diesel passenger train",$D39="Average"),$E39*'EE '!D$48,AND($C39="Diesel passenger train",$D39="Nearly full"),$E39*'EE '!D$49,AND($C39="Walking"),$E39*0,AND($C39="Bike"),$E39*0,AND($C39="Plane - domestic flight"),$E39*'EE '!$C63,AND($C39="Plane - international - intra EU"),$E39*'EE '!$C65,AND($C39="Plane - international (extra EU)"),$E39*'EE '!$C67)</f>
        <v>#N/A</v>
      </c>
      <c r="H39" s="145"/>
      <c r="I39" s="148">
        <f t="shared" si="6"/>
        <v>0</v>
      </c>
      <c r="J39" s="146" t="e" cm="1">
        <f t="array" ref="J39">_xlfn.IFS(C39="Fuel car",C39*DATA!$C$17,C39="Electric car",C39*DATA!$F$10,C39="Hybrid car",I39*(0.5*DATA!$C$17+0.5*DATA!$F$10))</f>
        <v>#N/A</v>
      </c>
      <c r="L39" s="226" t="s">
        <v>80</v>
      </c>
      <c r="M39" s="227"/>
      <c r="N39" s="228"/>
    </row>
    <row r="40" spans="1:14" x14ac:dyDescent="0.2">
      <c r="A40" s="222"/>
      <c r="B40" s="30"/>
      <c r="C40" s="15"/>
      <c r="D40" s="15"/>
      <c r="E40" s="125"/>
      <c r="F40" s="128" t="e" cm="1">
        <f t="array" ref="F40">_xlfn.IFS(AND($C40="Fuel car",$D40=1),$E40*'EE '!C$7,AND($C40="Fuel car",$D40=2),$E40*'EE '!C$8,AND($C40="Fuel car",$D40=3),$E40*'EE '!C$9,AND($C40="Fuel car",$D40=4),$E40*'EE '!C$10,AND($C40="Fuel car",$D40=5),$E40*'EE '!C$11,AND($C40="Motorcycle",$D40=1),$E40*'EE '!C$13,AND($C40="Motorcycle",$D40=2),$E40*'EE '!C$14,AND($C40="Electric car",$D40=1),$E40*'EE '!C$16,AND($C40="Electric car",$D40=2),$E40*'EE '!C$17,AND($C40="Electric car",$D40=3),$E40*'EE '!C$18,AND($C40="Electric car",$D40=4),$E40*'EE '!C$19,AND($C40="Electric car",$D40=5),$E40*'EE '!C$20,AND($C40="Hybrid car",$D40=1),$E40*'EE '!C$22,AND($C40="Hybrid car",$D40=2),$E40*'EE '!C$23,AND($C40="Hybrid car",$D40=3),$E40*'EE '!C$24,AND($C40="Hybrid car",$D40=4),$E40*'EE '!C$25,AND($C40="Hybrid car",$D40=5),$E40*'EE '!C$26,AND($C40="Electric motorcycle",$D40=1),$E40*'EE '!C$28,AND($C40="Electric motorcycle",$D40=2),$E40*'EE '!C$29,AND($C40="Electric bike",$D40=1),$E40*'EE '!C$31,AND($C40="Electric scooter",$D40=1),$E40*'EE '!C$33,AND($C40="Bus",$D40="Almost empty"),$E40*'EE '!H$23,AND($C40="Bus",$D40="Average"),$E40*'EE '!H$24,AND($C40="Bus",$D40="Nearly full"),$E40*'EE '!H$25,AND($C40="Electric bus",$D40="Almost empty"),$E40*'EE '!H$7,AND($C40="Electric bus",$D40="Average"),$E40*'EE '!H$8,AND($C40="Electric bus",$D40="Nearly full"),$E40*'EE '!H$9,AND($C40="Diesel bus",$D40="Almost empty"),$E40*'EE '!H$19,AND($C40="Diesel bus",$D40="Average"),$E40*'EE '!H$20,AND($C40="Diesel bus",$D40="Nearly full"),$E40*'EE '!H$21,AND($C40="Hybrid-electric bus",$D40="Almost empty"),$E40*'EE '!H$11,AND($C40="Hybrid-electric bus",$D40="Average"),$E40*'EE '!H$12,AND($C40="Hybrid-electric bus",$D40="Nearly full"),$E40*'EE '!H$13,AND($C40="Alternative fuel bus",$D40="Almost empty"),$E40*'EE '!H$15,AND($C40="Alternative fuel bus",$D40="Average"),$E40*'EE '!H$16,AND($C40="Alternative fuel bus",$D40="Nearly full"),$E40*'EE '!H$17,AND($C40="Metro, tram, urban light train",$D40="Almost empty"),$E40*'EE '!C$35,AND($C40="Metro, tram, urban light train",$D40="Average"),$E40*'EE '!C$36,AND($C40="Metro, tram, urban light train",$D40="Nearly full"),$E40*'EE '!C$37,AND($C40="Electric passenger train",$D40="Almost empty"),$E40*'EE '!C$39,AND($C40="Electric passenger train",$D40="Average"),$E40*'EE '!C$40,AND($C40="Electric passenger train",$D40="Nearly full"),$E40*'EE '!C$41,AND($C40="Diesel passenger train",$D40="Almost empty"),$E40*'EE '!C$47,AND($C40="Diesel passenger train",$D40="Average"),$E40*'EE '!C$48,AND($C40="Diesel passenger train",$D40="Nearly full"),$E40*'EE '!C$49,AND($C40="Walking"),$E40*0,AND($C40="Bike"),$E40*0,AND($C40="Plane - domestic flight"),$E40*'EE '!$C64,AND($C40="Plane - international - intra EU"),$E40*'EE '!$C66,AND($C40="Plane - international (extra EU)"),$E40*'EE '!$C68)</f>
        <v>#N/A</v>
      </c>
      <c r="G40" s="31" t="e" cm="1">
        <f t="array" ref="G40">_xlfn.IFS(AND($C40="Fuel car",$D40=1),$E40*'EE '!D$7,AND($C40="Fuel car",$D40=2),$E40*'EE '!D$8,AND($C40="Fuel car",$D40=3),$E40*'EE '!D$9,AND($C40="Fuel car",$D40=4),$E40*'EE '!D$10,AND($C40="Fuel car",$D40=5),$E40*'EE '!D$11,AND($C40="Motorcycle",$D40=1),$E40*'EE '!D$13,AND($C40="Motorcycle",$D40=2),$E40*'EE '!D$14,AND($C40="Electric car",$D40=1),$E40*'EE '!D$16,AND($C40="Electric car",$D40=2),$E40*'EE '!D$17,AND($C40="Electric car",$D40=3),$E40*'EE '!D$18,AND($C40="Electric car",$D40=4),$E40*'EE '!D$19,AND($C40="Electric car",$D40=5),$E40*'EE '!D$20,AND($C40="Hybrid car",$D40=1),$E40*'EE '!D$22,AND($C40="Hybrid car",$D40=2),$E40*'EE '!D$23,AND($C40="Hybrid car",$D40=3),$E40*'EE '!D$24,AND($C40="Hybrid car",$D40=4),$E40*'EE '!D$25,AND($C40="Hybrid car",$D40=5),$E40*'EE '!D$26,AND($C40="Electric motorcycle",$D40=1),$E40*'EE '!D$28,AND($C40="Electric motorcycle",$D40=2),$E40*'EE '!D$29,AND($C40="Electric bike",$D40=1),$E40*'EE '!D$31,AND($C40="Electric scooter",$D40=1),$E40*'EE '!D$33,AND($C40="Bus",$D40="Almost empty"),$E40*'EE '!I$23,AND($C40="Bus",$D40="Average"),$E40*'EE '!I$24,AND($C40="Bus",$D40="Nearly full"),$E40*'EE '!I$25,AND($C40="Electric bus",$D40="Almost empty"),$E40*'EE '!I$7,AND($C40="Electric bus",$D40="Average"),$E40*'EE '!I$8,AND($C40="Electric bus",$D40="Nearly full"),$E40*'EE '!I$9,AND($C40="Diesel bus",$D40="Almost empty"),$E40*'EE '!I$19,AND($C40="Diesel bus",$D40="Average"),$E40*'EE '!I$20,AND($C40="Diesel bus",$D40="Nearly full"),$E40*'EE '!I$21,AND($C40="Hybrid-electric bus",$D40="Almost empty"),$E40*'EE '!I$11,AND($C40="Hybrid-electric bus",$D40="Average"),$E40*'EE '!I$12,AND($C40="Hybrid-electric bus",$D40="Nearly full"),$E40*'EE '!I$13,AND($C40="Alternative fuel bus",$D40="Almost empty"),$E40*'EE '!I$15,AND($C40="Alternative fuel bus",$D40="Average"),$E40*'EE '!I$16,AND($C40="Alternative fuel bus",$D40="Nearly full"),$E40*'EE '!I$17,AND($C40="Metro, tram, urban light train",$D40="Almost empty"),$E40*'EE '!D$35,AND($C40="Metro, tram, urban light train",$D40="Average"),$E40*'EE '!D$36,AND($C40="Metro, tram, urban light train",$D40="Nearly full"),$E40*'EE '!D$37,AND($C40="Electric passenger train",$D40="Almost empty"),$E40*'EE '!D$39,AND($C40="Electric passenger train",$D40="Average"),$E40*'EE '!D$40,AND($C40="Electric passenger train",$D40="Nearly full"),$E40*'EE '!D$41,AND($C40="Diesel passenger train",$D40="Almost empty"),$E40*'EE '!D$47,AND($C40="Diesel passenger train",$D40="Average"),$E40*'EE '!D$48,AND($C40="Diesel passenger train",$D40="Nearly full"),$E40*'EE '!D$49,AND($C40="Walking"),$E40*0,AND($C40="Bike"),$E40*0,AND($C40="Plane - domestic flight"),$E40*'EE '!$C64,AND($C40="Plane - international - intra EU"),$E40*'EE '!$C66,AND($C40="Plane - international (extra EU)"),$E40*'EE '!$C68)</f>
        <v>#N/A</v>
      </c>
      <c r="H40" s="145"/>
      <c r="I40" s="148">
        <f t="shared" si="6"/>
        <v>0</v>
      </c>
      <c r="J40" s="146" t="e" cm="1">
        <f t="array" ref="J40">_xlfn.IFS(C40="Fuel car",C40*DATA!$C$17,C40="Electric car",C40*DATA!$F$10,C40="Hybrid car",I40*(0.5*DATA!$C$17+0.5*DATA!$F$10))</f>
        <v>#N/A</v>
      </c>
      <c r="L40" s="229"/>
      <c r="M40" s="230"/>
      <c r="N40" s="231"/>
    </row>
    <row r="41" spans="1:14" ht="14.5" customHeight="1" x14ac:dyDescent="0.2">
      <c r="A41" s="222"/>
      <c r="B41" s="30"/>
      <c r="C41" s="15"/>
      <c r="D41" s="15"/>
      <c r="E41" s="125"/>
      <c r="F41" s="128" t="e" cm="1">
        <f t="array" ref="F41">_xlfn.IFS(AND($C41="Fuel car",$D41=1),$E41*'EE '!C$7,AND($C41="Fuel car",$D41=2),$E41*'EE '!C$8,AND($C41="Fuel car",$D41=3),$E41*'EE '!C$9,AND($C41="Fuel car",$D41=4),$E41*'EE '!C$10,AND($C41="Fuel car",$D41=5),$E41*'EE '!C$11,AND($C41="Motorcycle",$D41=1),$E41*'EE '!C$13,AND($C41="Motorcycle",$D41=2),$E41*'EE '!C$14,AND($C41="Electric car",$D41=1),$E41*'EE '!C$16,AND($C41="Electric car",$D41=2),$E41*'EE '!C$17,AND($C41="Electric car",$D41=3),$E41*'EE '!C$18,AND($C41="Electric car",$D41=4),$E41*'EE '!C$19,AND($C41="Electric car",$D41=5),$E41*'EE '!C$20,AND($C41="Hybrid car",$D41=1),$E41*'EE '!C$22,AND($C41="Hybrid car",$D41=2),$E41*'EE '!C$23,AND($C41="Hybrid car",$D41=3),$E41*'EE '!C$24,AND($C41="Hybrid car",$D41=4),$E41*'EE '!C$25,AND($C41="Hybrid car",$D41=5),$E41*'EE '!C$26,AND($C41="Electric motorcycle",$D41=1),$E41*'EE '!C$28,AND($C41="Electric motorcycle",$D41=2),$E41*'EE '!C$29,AND($C41="Electric bike",$D41=1),$E41*'EE '!C$31,AND($C41="Electric scooter",$D41=1),$E41*'EE '!C$33,AND($C41="Bus",$D41="Almost empty"),$E41*'EE '!H$23,AND($C41="Bus",$D41="Average"),$E41*'EE '!H$24,AND($C41="Bus",$D41="Nearly full"),$E41*'EE '!H$25,AND($C41="Electric bus",$D41="Almost empty"),$E41*'EE '!H$7,AND($C41="Electric bus",$D41="Average"),$E41*'EE '!H$8,AND($C41="Electric bus",$D41="Nearly full"),$E41*'EE '!H$9,AND($C41="Diesel bus",$D41="Almost empty"),$E41*'EE '!H$19,AND($C41="Diesel bus",$D41="Average"),$E41*'EE '!H$20,AND($C41="Diesel bus",$D41="Nearly full"),$E41*'EE '!H$21,AND($C41="Hybrid-electric bus",$D41="Almost empty"),$E41*'EE '!H$11,AND($C41="Hybrid-electric bus",$D41="Average"),$E41*'EE '!H$12,AND($C41="Hybrid-electric bus",$D41="Nearly full"),$E41*'EE '!H$13,AND($C41="Alternative fuel bus",$D41="Almost empty"),$E41*'EE '!H$15,AND($C41="Alternative fuel bus",$D41="Average"),$E41*'EE '!H$16,AND($C41="Alternative fuel bus",$D41="Nearly full"),$E41*'EE '!H$17,AND($C41="Metro, tram, urban light train",$D41="Almost empty"),$E41*'EE '!C$35,AND($C41="Metro, tram, urban light train",$D41="Average"),$E41*'EE '!C$36,AND($C41="Metro, tram, urban light train",$D41="Nearly full"),$E41*'EE '!C$37,AND($C41="Electric passenger train",$D41="Almost empty"),$E41*'EE '!C$39,AND($C41="Electric passenger train",$D41="Average"),$E41*'EE '!C$40,AND($C41="Electric passenger train",$D41="Nearly full"),$E41*'EE '!C$41,AND($C41="Diesel passenger train",$D41="Almost empty"),$E41*'EE '!C$47,AND($C41="Diesel passenger train",$D41="Average"),$E41*'EE '!C$48,AND($C41="Diesel passenger train",$D41="Nearly full"),$E41*'EE '!C$49,AND($C41="Walking"),$E41*0,AND($C41="Bike"),$E41*0,AND($C41="Plane - domestic flight"),$E41*'EE '!$C65,AND($C41="Plane - international - intra EU"),$E41*'EE '!$C67,AND($C41="Plane - international (extra EU)"),$E41*'EE '!$C69)</f>
        <v>#N/A</v>
      </c>
      <c r="G41" s="31" t="e" cm="1">
        <f t="array" ref="G41">_xlfn.IFS(AND($C41="Fuel car",$D41=1),$E41*'EE '!D$7,AND($C41="Fuel car",$D41=2),$E41*'EE '!D$8,AND($C41="Fuel car",$D41=3),$E41*'EE '!D$9,AND($C41="Fuel car",$D41=4),$E41*'EE '!D$10,AND($C41="Fuel car",$D41=5),$E41*'EE '!D$11,AND($C41="Motorcycle",$D41=1),$E41*'EE '!D$13,AND($C41="Motorcycle",$D41=2),$E41*'EE '!D$14,AND($C41="Electric car",$D41=1),$E41*'EE '!D$16,AND($C41="Electric car",$D41=2),$E41*'EE '!D$17,AND($C41="Electric car",$D41=3),$E41*'EE '!D$18,AND($C41="Electric car",$D41=4),$E41*'EE '!D$19,AND($C41="Electric car",$D41=5),$E41*'EE '!D$20,AND($C41="Hybrid car",$D41=1),$E41*'EE '!D$22,AND($C41="Hybrid car",$D41=2),$E41*'EE '!D$23,AND($C41="Hybrid car",$D41=3),$E41*'EE '!D$24,AND($C41="Hybrid car",$D41=4),$E41*'EE '!D$25,AND($C41="Hybrid car",$D41=5),$E41*'EE '!D$26,AND($C41="Electric motorcycle",$D41=1),$E41*'EE '!D$28,AND($C41="Electric motorcycle",$D41=2),$E41*'EE '!D$29,AND($C41="Electric bike",$D41=1),$E41*'EE '!D$31,AND($C41="Electric scooter",$D41=1),$E41*'EE '!D$33,AND($C41="Bus",$D41="Almost empty"),$E41*'EE '!I$23,AND($C41="Bus",$D41="Average"),$E41*'EE '!I$24,AND($C41="Bus",$D41="Nearly full"),$E41*'EE '!I$25,AND($C41="Electric bus",$D41="Almost empty"),$E41*'EE '!I$7,AND($C41="Electric bus",$D41="Average"),$E41*'EE '!I$8,AND($C41="Electric bus",$D41="Nearly full"),$E41*'EE '!I$9,AND($C41="Diesel bus",$D41="Almost empty"),$E41*'EE '!I$19,AND($C41="Diesel bus",$D41="Average"),$E41*'EE '!I$20,AND($C41="Diesel bus",$D41="Nearly full"),$E41*'EE '!I$21,AND($C41="Hybrid-electric bus",$D41="Almost empty"),$E41*'EE '!I$11,AND($C41="Hybrid-electric bus",$D41="Average"),$E41*'EE '!I$12,AND($C41="Hybrid-electric bus",$D41="Nearly full"),$E41*'EE '!I$13,AND($C41="Alternative fuel bus",$D41="Almost empty"),$E41*'EE '!I$15,AND($C41="Alternative fuel bus",$D41="Average"),$E41*'EE '!I$16,AND($C41="Alternative fuel bus",$D41="Nearly full"),$E41*'EE '!I$17,AND($C41="Metro, tram, urban light train",$D41="Almost empty"),$E41*'EE '!D$35,AND($C41="Metro, tram, urban light train",$D41="Average"),$E41*'EE '!D$36,AND($C41="Metro, tram, urban light train",$D41="Nearly full"),$E41*'EE '!D$37,AND($C41="Electric passenger train",$D41="Almost empty"),$E41*'EE '!D$39,AND($C41="Electric passenger train",$D41="Average"),$E41*'EE '!D$40,AND($C41="Electric passenger train",$D41="Nearly full"),$E41*'EE '!D$41,AND($C41="Diesel passenger train",$D41="Almost empty"),$E41*'EE '!D$47,AND($C41="Diesel passenger train",$D41="Average"),$E41*'EE '!D$48,AND($C41="Diesel passenger train",$D41="Nearly full"),$E41*'EE '!D$49,AND($C41="Walking"),$E41*0,AND($C41="Bike"),$E41*0,AND($C41="Plane - domestic flight"),$E41*'EE '!$C65,AND($C41="Plane - international - intra EU"),$E41*'EE '!$C67,AND($C41="Plane - international (extra EU)"),$E41*'EE '!$C69)</f>
        <v>#N/A</v>
      </c>
      <c r="H41" s="145"/>
      <c r="I41" s="148">
        <f t="shared" si="6"/>
        <v>0</v>
      </c>
      <c r="J41" s="146" t="e" cm="1">
        <f t="array" ref="J41">_xlfn.IFS(C41="Fuel car",C41*DATA!$C$17,C41="Electric car",C41*DATA!$F$10,C41="Hybrid car",I41*(0.5*DATA!$C$17+0.5*DATA!$F$10))</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car",$D42=1),$E42*'EE '!C$7,AND($C42="Fuel car",$D42=2),$E42*'EE '!C$8,AND($C42="Fuel car",$D42=3),$E42*'EE '!C$9,AND($C42="Fuel car",$D42=4),$E42*'EE '!C$10,AND($C42="Fuel car",$D42=5),$E42*'EE '!C$11,AND($C42="Motorcycle",$D42=1),$E42*'EE '!C$13,AND($C42="Motorcycle",$D42=2),$E42*'EE '!C$14,AND($C42="Electric car",$D42=1),$E42*'EE '!C$16,AND($C42="Electric car",$D42=2),$E42*'EE '!C$17,AND($C42="Electric car",$D42=3),$E42*'EE '!C$18,AND($C42="Electric car",$D42=4),$E42*'EE '!C$19,AND($C42="Electric car",$D42=5),$E42*'EE '!C$20,AND($C42="Hybrid car",$D42=1),$E42*'EE '!C$22,AND($C42="Hybrid car",$D42=2),$E42*'EE '!C$23,AND($C42="Hybrid car",$D42=3),$E42*'EE '!C$24,AND($C42="Hybrid car",$D42=4),$E42*'EE '!C$25,AND($C42="Hybrid car",$D42=5),$E42*'EE '!C$26,AND($C42="Electric motorcycle",$D42=1),$E42*'EE '!C$28,AND($C42="Electric motorcycle",$D42=2),$E42*'EE '!C$29,AND($C42="Electric bike",$D42=1),$E42*'EE '!C$31,AND($C42="Electric scooter",$D42=1),$E42*'EE '!C$33,AND($C42="Bus",$D42="Almost empty"),$E42*'EE '!H$23,AND($C42="Bus",$D42="Average"),$E42*'EE '!H$24,AND($C42="Bus",$D42="Nearly full"),$E42*'EE '!H$25,AND($C42="Electric bus",$D42="Almost empty"),$E42*'EE '!H$7,AND($C42="Electric bus",$D42="Average"),$E42*'EE '!H$8,AND($C42="Electric bus",$D42="Nearly full"),$E42*'EE '!H$9,AND($C42="Diesel bus",$D42="Almost empty"),$E42*'EE '!H$19,AND($C42="Diesel bus",$D42="Average"),$E42*'EE '!H$20,AND($C42="Diesel bus",$D42="Nearly full"),$E42*'EE '!H$21,AND($C42="Hybrid-electric bus",$D42="Almost empty"),$E42*'EE '!H$11,AND($C42="Hybrid-electric bus",$D42="Average"),$E42*'EE '!H$12,AND($C42="Hybrid-electric bus",$D42="Nearly full"),$E42*'EE '!H$13,AND($C42="Alternative fuel bus",$D42="Almost empty"),$E42*'EE '!H$15,AND($C42="Alternative fuel bus",$D42="Average"),$E42*'EE '!H$16,AND($C42="Alternative fuel bus",$D42="Nearly full"),$E42*'EE '!H$17,AND($C42="Metro, tram, urban light train",$D42="Almost empty"),$E42*'EE '!C$35,AND($C42="Metro, tram, urban light train",$D42="Average"),$E42*'EE '!C$36,AND($C42="Metro, tram, urban light train",$D42="Nearly full"),$E42*'EE '!C$37,AND($C42="Electric passenger train",$D42="Almost empty"),$E42*'EE '!C$39,AND($C42="Electric passenger train",$D42="Average"),$E42*'EE '!C$40,AND($C42="Electric passenger train",$D42="Nearly full"),$E42*'EE '!C$41,AND($C42="Diesel passenger train",$D42="Almost empty"),$E42*'EE '!C$47,AND($C42="Diesel passenger train",$D42="Average"),$E42*'EE '!C$48,AND($C42="Diesel passenger train",$D42="Nearly full"),$E42*'EE '!C$49,AND($C42="Walking"),$E42*0,AND($C42="Bike"),$E42*0,AND($C42="Plane - domestic flight"),$E42*'EE '!$C66,AND($C42="Plane - international - intra EU"),$E42*'EE '!$C68,AND($C42="Plane - international (extra EU)"),$E42*'EE '!$C70)</f>
        <v>#N/A</v>
      </c>
      <c r="G42" s="31" t="e" cm="1">
        <f t="array" ref="G42">_xlfn.IFS(AND($C42="Fuel car",$D42=1),$E42*'EE '!D$7,AND($C42="Fuel car",$D42=2),$E42*'EE '!D$8,AND($C42="Fuel car",$D42=3),$E42*'EE '!D$9,AND($C42="Fuel car",$D42=4),$E42*'EE '!D$10,AND($C42="Fuel car",$D42=5),$E42*'EE '!D$11,AND($C42="Motorcycle",$D42=1),$E42*'EE '!D$13,AND($C42="Motorcycle",$D42=2),$E42*'EE '!D$14,AND($C42="Electric car",$D42=1),$E42*'EE '!D$16,AND($C42="Electric car",$D42=2),$E42*'EE '!D$17,AND($C42="Electric car",$D42=3),$E42*'EE '!D$18,AND($C42="Electric car",$D42=4),$E42*'EE '!D$19,AND($C42="Electric car",$D42=5),$E42*'EE '!D$20,AND($C42="Hybrid car",$D42=1),$E42*'EE '!D$22,AND($C42="Hybrid car",$D42=2),$E42*'EE '!D$23,AND($C42="Hybrid car",$D42=3),$E42*'EE '!D$24,AND($C42="Hybrid car",$D42=4),$E42*'EE '!D$25,AND($C42="Hybrid car",$D42=5),$E42*'EE '!D$26,AND($C42="Electric motorcycle",$D42=1),$E42*'EE '!D$28,AND($C42="Electric motorcycle",$D42=2),$E42*'EE '!D$29,AND($C42="Electric bike",$D42=1),$E42*'EE '!D$31,AND($C42="Electric scooter",$D42=1),$E42*'EE '!D$33,AND($C42="Bus",$D42="Almost empty"),$E42*'EE '!I$23,AND($C42="Bus",$D42="Average"),$E42*'EE '!I$24,AND($C42="Bus",$D42="Nearly full"),$E42*'EE '!I$25,AND($C42="Electric bus",$D42="Almost empty"),$E42*'EE '!I$7,AND($C42="Electric bus",$D42="Average"),$E42*'EE '!I$8,AND($C42="Electric bus",$D42="Nearly full"),$E42*'EE '!I$9,AND($C42="Diesel bus",$D42="Almost empty"),$E42*'EE '!I$19,AND($C42="Diesel bus",$D42="Average"),$E42*'EE '!I$20,AND($C42="Diesel bus",$D42="Nearly full"),$E42*'EE '!I$21,AND($C42="Hybrid-electric bus",$D42="Almost empty"),$E42*'EE '!I$11,AND($C42="Hybrid-electric bus",$D42="Average"),$E42*'EE '!I$12,AND($C42="Hybrid-electric bus",$D42="Nearly full"),$E42*'EE '!I$13,AND($C42="Alternative fuel bus",$D42="Almost empty"),$E42*'EE '!I$15,AND($C42="Alternative fuel bus",$D42="Average"),$E42*'EE '!I$16,AND($C42="Alternative fuel bus",$D42="Nearly full"),$E42*'EE '!I$17,AND($C42="Metro, tram, urban light train",$D42="Almost empty"),$E42*'EE '!D$35,AND($C42="Metro, tram, urban light train",$D42="Average"),$E42*'EE '!D$36,AND($C42="Metro, tram, urban light train",$D42="Nearly full"),$E42*'EE '!D$37,AND($C42="Electric passenger train",$D42="Almost empty"),$E42*'EE '!D$39,AND($C42="Electric passenger train",$D42="Average"),$E42*'EE '!D$40,AND($C42="Electric passenger train",$D42="Nearly full"),$E42*'EE '!D$41,AND($C42="Diesel passenger train",$D42="Almost empty"),$E42*'EE '!D$47,AND($C42="Diesel passenger train",$D42="Average"),$E42*'EE '!D$48,AND($C42="Diesel passenger train",$D42="Nearly full"),$E42*'EE '!D$49,AND($C42="Walking"),$E42*0,AND($C42="Bike"),$E42*0,AND($C42="Plane - domestic flight"),$E42*'EE '!$C66,AND($C42="Plane - international - intra EU"),$E42*'EE '!$C68,AND($C42="Plane - international (extra EU)"),$E42*'EE '!$C70)</f>
        <v>#N/A</v>
      </c>
      <c r="H42" s="145"/>
      <c r="I42" s="148">
        <f t="shared" si="6"/>
        <v>0</v>
      </c>
      <c r="J42" s="146" t="e" cm="1">
        <f t="array" ref="J42">_xlfn.IFS(C42="Fuel car",C42*DATA!$C$17,C42="Electric car",C42*DATA!$F$10,C42="Hybrid car",I42*(0.5*DATA!$C$17+0.5*DATA!$F$10))</f>
        <v>#N/A</v>
      </c>
      <c r="L42" s="235"/>
      <c r="M42" s="236"/>
      <c r="N42" s="237"/>
    </row>
    <row r="43" spans="1:14" ht="14.5" customHeight="1" thickBot="1" x14ac:dyDescent="0.25">
      <c r="A43" s="222"/>
      <c r="B43" s="30"/>
      <c r="C43" s="15"/>
      <c r="D43" s="15"/>
      <c r="E43" s="125"/>
      <c r="F43" s="128" t="e" cm="1">
        <f t="array" ref="F43">_xlfn.IFS(AND($C43="Fuel car",$D43=1),$E43*'EE '!C$7,AND($C43="Fuel car",$D43=2),$E43*'EE '!C$8,AND($C43="Fuel car",$D43=3),$E43*'EE '!C$9,AND($C43="Fuel car",$D43=4),$E43*'EE '!C$10,AND($C43="Fuel car",$D43=5),$E43*'EE '!C$11,AND($C43="Motorcycle",$D43=1),$E43*'EE '!C$13,AND($C43="Motorcycle",$D43=2),$E43*'EE '!C$14,AND($C43="Electric car",$D43=1),$E43*'EE '!C$16,AND($C43="Electric car",$D43=2),$E43*'EE '!C$17,AND($C43="Electric car",$D43=3),$E43*'EE '!C$18,AND($C43="Electric car",$D43=4),$E43*'EE '!C$19,AND($C43="Electric car",$D43=5),$E43*'EE '!C$20,AND($C43="Hybrid car",$D43=1),$E43*'EE '!C$22,AND($C43="Hybrid car",$D43=2),$E43*'EE '!C$23,AND($C43="Hybrid car",$D43=3),$E43*'EE '!C$24,AND($C43="Hybrid car",$D43=4),$E43*'EE '!C$25,AND($C43="Hybrid car",$D43=5),$E43*'EE '!C$26,AND($C43="Electric motorcycle",$D43=1),$E43*'EE '!C$28,AND($C43="Electric motorcycle",$D43=2),$E43*'EE '!C$29,AND($C43="Electric bike",$D43=1),$E43*'EE '!C$31,AND($C43="Electric scooter",$D43=1),$E43*'EE '!C$33,AND($C43="Bus",$D43="Almost empty"),$E43*'EE '!H$23,AND($C43="Bus",$D43="Average"),$E43*'EE '!H$24,AND($C43="Bus",$D43="Nearly full"),$E43*'EE '!H$25,AND($C43="Electric bus",$D43="Almost empty"),$E43*'EE '!H$7,AND($C43="Electric bus",$D43="Average"),$E43*'EE '!H$8,AND($C43="Electric bus",$D43="Nearly full"),$E43*'EE '!H$9,AND($C43="Diesel bus",$D43="Almost empty"),$E43*'EE '!H$19,AND($C43="Diesel bus",$D43="Average"),$E43*'EE '!H$20,AND($C43="Diesel bus",$D43="Nearly full"),$E43*'EE '!H$21,AND($C43="Hybrid-electric bus",$D43="Almost empty"),$E43*'EE '!H$11,AND($C43="Hybrid-electric bus",$D43="Average"),$E43*'EE '!H$12,AND($C43="Hybrid-electric bus",$D43="Nearly full"),$E43*'EE '!H$13,AND($C43="Alternative fuel bus",$D43="Almost empty"),$E43*'EE '!H$15,AND($C43="Alternative fuel bus",$D43="Average"),$E43*'EE '!H$16,AND($C43="Alternative fuel bus",$D43="Nearly full"),$E43*'EE '!H$17,AND($C43="Metro, tram, urban light train",$D43="Almost empty"),$E43*'EE '!C$35,AND($C43="Metro, tram, urban light train",$D43="Average"),$E43*'EE '!C$36,AND($C43="Metro, tram, urban light train",$D43="Nearly full"),$E43*'EE '!C$37,AND($C43="Electric passenger train",$D43="Almost empty"),$E43*'EE '!C$39,AND($C43="Electric passenger train",$D43="Average"),$E43*'EE '!C$40,AND($C43="Electric passenger train",$D43="Nearly full"),$E43*'EE '!C$41,AND($C43="Diesel passenger train",$D43="Almost empty"),$E43*'EE '!C$47,AND($C43="Diesel passenger train",$D43="Average"),$E43*'EE '!C$48,AND($C43="Diesel passenger train",$D43="Nearly full"),$E43*'EE '!C$49,AND($C43="Walking"),$E43*0,AND($C43="Bike"),$E43*0,AND($C43="Plane - domestic flight"),$E43*'EE '!$C67,AND($C43="Plane - international - intra EU"),$E43*'EE '!$C69,AND($C43="Plane - international (extra EU)"),$E43*'EE '!$C71)</f>
        <v>#N/A</v>
      </c>
      <c r="G43" s="31" t="e" cm="1">
        <f t="array" ref="G43">_xlfn.IFS(AND($C43="Fuel car",$D43=1),$E43*'EE '!D$7,AND($C43="Fuel car",$D43=2),$E43*'EE '!D$8,AND($C43="Fuel car",$D43=3),$E43*'EE '!D$9,AND($C43="Fuel car",$D43=4),$E43*'EE '!D$10,AND($C43="Fuel car",$D43=5),$E43*'EE '!D$11,AND($C43="Motorcycle",$D43=1),$E43*'EE '!D$13,AND($C43="Motorcycle",$D43=2),$E43*'EE '!D$14,AND($C43="Electric car",$D43=1),$E43*'EE '!D$16,AND($C43="Electric car",$D43=2),$E43*'EE '!D$17,AND($C43="Electric car",$D43=3),$E43*'EE '!D$18,AND($C43="Electric car",$D43=4),$E43*'EE '!D$19,AND($C43="Electric car",$D43=5),$E43*'EE '!D$20,AND($C43="Hybrid car",$D43=1),$E43*'EE '!D$22,AND($C43="Hybrid car",$D43=2),$E43*'EE '!D$23,AND($C43="Hybrid car",$D43=3),$E43*'EE '!D$24,AND($C43="Hybrid car",$D43=4),$E43*'EE '!D$25,AND($C43="Hybrid car",$D43=5),$E43*'EE '!D$26,AND($C43="Electric motorcycle",$D43=1),$E43*'EE '!D$28,AND($C43="Electric motorcycle",$D43=2),$E43*'EE '!D$29,AND($C43="Electric bike",$D43=1),$E43*'EE '!D$31,AND($C43="Electric scooter",$D43=1),$E43*'EE '!D$33,AND($C43="Bus",$D43="Almost empty"),$E43*'EE '!I$23,AND($C43="Bus",$D43="Average"),$E43*'EE '!I$24,AND($C43="Bus",$D43="Nearly full"),$E43*'EE '!I$25,AND($C43="Electric bus",$D43="Almost empty"),$E43*'EE '!I$7,AND($C43="Electric bus",$D43="Average"),$E43*'EE '!I$8,AND($C43="Electric bus",$D43="Nearly full"),$E43*'EE '!I$9,AND($C43="Diesel bus",$D43="Almost empty"),$E43*'EE '!I$19,AND($C43="Diesel bus",$D43="Average"),$E43*'EE '!I$20,AND($C43="Diesel bus",$D43="Nearly full"),$E43*'EE '!I$21,AND($C43="Hybrid-electric bus",$D43="Almost empty"),$E43*'EE '!I$11,AND($C43="Hybrid-electric bus",$D43="Average"),$E43*'EE '!I$12,AND($C43="Hybrid-electric bus",$D43="Nearly full"),$E43*'EE '!I$13,AND($C43="Alternative fuel bus",$D43="Almost empty"),$E43*'EE '!I$15,AND($C43="Alternative fuel bus",$D43="Average"),$E43*'EE '!I$16,AND($C43="Alternative fuel bus",$D43="Nearly full"),$E43*'EE '!I$17,AND($C43="Metro, tram, urban light train",$D43="Almost empty"),$E43*'EE '!D$35,AND($C43="Metro, tram, urban light train",$D43="Average"),$E43*'EE '!D$36,AND($C43="Metro, tram, urban light train",$D43="Nearly full"),$E43*'EE '!D$37,AND($C43="Electric passenger train",$D43="Almost empty"),$E43*'EE '!D$39,AND($C43="Electric passenger train",$D43="Average"),$E43*'EE '!D$40,AND($C43="Electric passenger train",$D43="Nearly full"),$E43*'EE '!D$41,AND($C43="Diesel passenger train",$D43="Almost empty"),$E43*'EE '!D$47,AND($C43="Diesel passenger train",$D43="Average"),$E43*'EE '!D$48,AND($C43="Diesel passenger train",$D43="Nearly full"),$E43*'EE '!D$49,AND($C43="Walking"),$E43*0,AND($C43="Bike"),$E43*0,AND($C43="Plane - domestic flight"),$E43*'EE '!$C67,AND($C43="Plane - international - intra EU"),$E43*'EE '!$C69,AND($C43="Plane - international (extra EU)"),$E43*'EE '!$C71)</f>
        <v>#N/A</v>
      </c>
      <c r="H43" s="109"/>
      <c r="I43" s="154">
        <f t="shared" si="6"/>
        <v>0</v>
      </c>
      <c r="J43" s="147" t="e" cm="1">
        <f t="array" ref="J43">_xlfn.IFS(C43="Fuel car",C43*DATA!$C$17,C43="Electric car",C43*DATA!$F$10,C43="Hybrid car",I43*(0.5*DATA!$C$17+0.5*DATA!$F$10))</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car",$D44=1),$E44*'EE '!C$7,AND($C44="Fuel car",$D44=2),$E44*'EE '!C$8,AND($C44="Fuel car",$D44=3),$E44*'EE '!C$9,AND($C44="Fuel car",$D44=4),$E44*'EE '!C$10,AND($C44="Fuel car",$D44=5),$E44*'EE '!C$11,AND($C44="Motorcycle",$D44=1),$E44*'EE '!C$13,AND($C44="Motorcycle",$D44=2),$E44*'EE '!C$14,AND($C44="Electric car",$D44=1),$E44*'EE '!C$16,AND($C44="Electric car",$D44=2),$E44*'EE '!C$17,AND($C44="Electric car",$D44=3),$E44*'EE '!C$18,AND($C44="Electric car",$D44=4),$E44*'EE '!C$19,AND($C44="Electric car",$D44=5),$E44*'EE '!C$20,AND($C44="Hybrid car",$D44=1),$E44*'EE '!C$22,AND($C44="Hybrid car",$D44=2),$E44*'EE '!C$23,AND($C44="Hybrid car",$D44=3),$E44*'EE '!C$24,AND($C44="Hybrid car",$D44=4),$E44*'EE '!C$25,AND($C44="Hybrid car",$D44=5),$E44*'EE '!C$26,AND($C44="Electric motorcycle",$D44=1),$E44*'EE '!C$28,AND($C44="Electric motorcycle",$D44=2),$E44*'EE '!C$29,AND($C44="Electric bike",$D44=1),$E44*'EE '!C$31,AND($C44="Electric scooter",$D44=1),$E44*'EE '!C$33,AND($C44="Bus",$D44="Almost empty"),$E44*'EE '!H$23,AND($C44="Bus",$D44="Average"),$E44*'EE '!H$24,AND($C44="Bus",$D44="Nearly full"),$E44*'EE '!H$25,AND($C44="Electric bus",$D44="Almost empty"),$E44*'EE '!H$7,AND($C44="Electric bus",$D44="Average"),$E44*'EE '!H$8,AND($C44="Electric bus",$D44="Nearly full"),$E44*'EE '!H$9,AND($C44="Diesel bus",$D44="Almost empty"),$E44*'EE '!H$19,AND($C44="Diesel bus",$D44="Average"),$E44*'EE '!H$20,AND($C44="Diesel bus",$D44="Nearly full"),$E44*'EE '!H$21,AND($C44="Hybrid-electric bus",$D44="Almost empty"),$E44*'EE '!H$11,AND($C44="Hybrid-electric bus",$D44="Average"),$E44*'EE '!H$12,AND($C44="Hybrid-electric bus",$D44="Nearly full"),$E44*'EE '!H$13,AND($C44="Alternative fuel bus",$D44="Almost empty"),$E44*'EE '!H$15,AND($C44="Alternative fuel bus",$D44="Average"),$E44*'EE '!H$16,AND($C44="Alternative fuel bus",$D44="Nearly full"),$E44*'EE '!H$17,AND($C44="Metro, tram, urban light train",$D44="Almost empty"),$E44*'EE '!C$35,AND($C44="Metro, tram, urban light train",$D44="Average"),$E44*'EE '!C$36,AND($C44="Metro, tram, urban light train",$D44="Nearly full"),$E44*'EE '!C$37,AND($C44="Electric passenger train",$D44="Almost empty"),$E44*'EE '!C$39,AND($C44="Electric passenger train",$D44="Average"),$E44*'EE '!C$40,AND($C44="Electric passenger train",$D44="Nearly full"),$E44*'EE '!C$41,AND($C44="Diesel passenger train",$D44="Almost empty"),$E44*'EE '!C$47,AND($C44="Diesel passenger train",$D44="Average"),$E44*'EE '!C$48,AND($C44="Diesel passenger train",$D44="Nearly full"),$E44*'EE '!C$49,AND($C44="Walking"),$E44*0,AND($C44="Bike"),$E44*0,AND($C44="Plane - domestic flight"),$E44*'EE '!$C68,AND($C44="Plane - international - intra EU"),$E44*'EE '!$C70,AND($C44="Plane - international (extra EU)"),$E44*'EE '!$C72)</f>
        <v>#N/A</v>
      </c>
      <c r="G44" s="31" t="e" cm="1">
        <f t="array" ref="G44">_xlfn.IFS(AND($C44="Fuel car",$D44=1),$E44*'EE '!D$7,AND($C44="Fuel car",$D44=2),$E44*'EE '!D$8,AND($C44="Fuel car",$D44=3),$E44*'EE '!D$9,AND($C44="Fuel car",$D44=4),$E44*'EE '!D$10,AND($C44="Fuel car",$D44=5),$E44*'EE '!D$11,AND($C44="Motorcycle",$D44=1),$E44*'EE '!D$13,AND($C44="Motorcycle",$D44=2),$E44*'EE '!D$14,AND($C44="Electric car",$D44=1),$E44*'EE '!D$16,AND($C44="Electric car",$D44=2),$E44*'EE '!D$17,AND($C44="Electric car",$D44=3),$E44*'EE '!D$18,AND($C44="Electric car",$D44=4),$E44*'EE '!D$19,AND($C44="Electric car",$D44=5),$E44*'EE '!D$20,AND($C44="Hybrid car",$D44=1),$E44*'EE '!D$22,AND($C44="Hybrid car",$D44=2),$E44*'EE '!D$23,AND($C44="Hybrid car",$D44=3),$E44*'EE '!D$24,AND($C44="Hybrid car",$D44=4),$E44*'EE '!D$25,AND($C44="Hybrid car",$D44=5),$E44*'EE '!D$26,AND($C44="Electric motorcycle",$D44=1),$E44*'EE '!D$28,AND($C44="Electric motorcycle",$D44=2),$E44*'EE '!D$29,AND($C44="Electric bike",$D44=1),$E44*'EE '!D$31,AND($C44="Electric scooter",$D44=1),$E44*'EE '!D$33,AND($C44="Bus",$D44="Almost empty"),$E44*'EE '!I$23,AND($C44="Bus",$D44="Average"),$E44*'EE '!I$24,AND($C44="Bus",$D44="Nearly full"),$E44*'EE '!I$25,AND($C44="Electric bus",$D44="Almost empty"),$E44*'EE '!I$7,AND($C44="Electric bus",$D44="Average"),$E44*'EE '!I$8,AND($C44="Electric bus",$D44="Nearly full"),$E44*'EE '!I$9,AND($C44="Diesel bus",$D44="Almost empty"),$E44*'EE '!I$19,AND($C44="Diesel bus",$D44="Average"),$E44*'EE '!I$20,AND($C44="Diesel bus",$D44="Nearly full"),$E44*'EE '!I$21,AND($C44="Hybrid-electric bus",$D44="Almost empty"),$E44*'EE '!I$11,AND($C44="Hybrid-electric bus",$D44="Average"),$E44*'EE '!I$12,AND($C44="Hybrid-electric bus",$D44="Nearly full"),$E44*'EE '!I$13,AND($C44="Alternative fuel bus",$D44="Almost empty"),$E44*'EE '!I$15,AND($C44="Alternative fuel bus",$D44="Average"),$E44*'EE '!I$16,AND($C44="Alternative fuel bus",$D44="Nearly full"),$E44*'EE '!I$17,AND($C44="Metro, tram, urban light train",$D44="Almost empty"),$E44*'EE '!D$35,AND($C44="Metro, tram, urban light train",$D44="Average"),$E44*'EE '!D$36,AND($C44="Metro, tram, urban light train",$D44="Nearly full"),$E44*'EE '!D$37,AND($C44="Electric passenger train",$D44="Almost empty"),$E44*'EE '!D$39,AND($C44="Electric passenger train",$D44="Average"),$E44*'EE '!D$40,AND($C44="Electric passenger train",$D44="Nearly full"),$E44*'EE '!D$41,AND($C44="Diesel passenger train",$D44="Almost empty"),$E44*'EE '!D$47,AND($C44="Diesel passenger train",$D44="Average"),$E44*'EE '!D$48,AND($C44="Diesel passenger train",$D44="Nearly full"),$E44*'EE '!D$49,AND($C44="Walking"),$E44*0,AND($C44="Bike"),$E44*0,AND($C44="Plane - domestic flight"),$E44*'EE '!$C68,AND($C44="Plane - international - intra EU"),$E44*'EE '!$C70,AND($C44="Plane - international (extra EU)"),$E44*'EE '!$C72)</f>
        <v>#N/A</v>
      </c>
      <c r="L44" s="218"/>
      <c r="M44" s="219"/>
      <c r="N44" s="220"/>
    </row>
    <row r="45" spans="1:14" ht="14.5" customHeight="1" x14ac:dyDescent="0.2">
      <c r="A45" s="222"/>
      <c r="B45" s="30"/>
      <c r="C45" s="15"/>
      <c r="D45" s="15"/>
      <c r="E45" s="125"/>
      <c r="F45" s="128" t="e" cm="1">
        <f t="array" ref="F45">_xlfn.IFS(AND($C45="Fuel car",$D45=1),$E45*'EE '!C$7,AND($C45="Fuel car",$D45=2),$E45*'EE '!C$8,AND($C45="Fuel car",$D45=3),$E45*'EE '!C$9,AND($C45="Fuel car",$D45=4),$E45*'EE '!C$10,AND($C45="Fuel car",$D45=5),$E45*'EE '!C$11,AND($C45="Motorcycle",$D45=1),$E45*'EE '!C$13,AND($C45="Motorcycle",$D45=2),$E45*'EE '!C$14,AND($C45="Electric car",$D45=1),$E45*'EE '!C$16,AND($C45="Electric car",$D45=2),$E45*'EE '!C$17,AND($C45="Electric car",$D45=3),$E45*'EE '!C$18,AND($C45="Electric car",$D45=4),$E45*'EE '!C$19,AND($C45="Electric car",$D45=5),$E45*'EE '!C$20,AND($C45="Hybrid car",$D45=1),$E45*'EE '!C$22,AND($C45="Hybrid car",$D45=2),$E45*'EE '!C$23,AND($C45="Hybrid car",$D45=3),$E45*'EE '!C$24,AND($C45="Hybrid car",$D45=4),$E45*'EE '!C$25,AND($C45="Hybrid car",$D45=5),$E45*'EE '!C$26,AND($C45="Electric motorcycle",$D45=1),$E45*'EE '!C$28,AND($C45="Electric motorcycle",$D45=2),$E45*'EE '!C$29,AND($C45="Electric bike",$D45=1),$E45*'EE '!C$31,AND($C45="Electric scooter",$D45=1),$E45*'EE '!C$33,AND($C45="Bus",$D45="Almost empty"),$E45*'EE '!H$23,AND($C45="Bus",$D45="Average"),$E45*'EE '!H$24,AND($C45="Bus",$D45="Nearly full"),$E45*'EE '!H$25,AND($C45="Electric bus",$D45="Almost empty"),$E45*'EE '!H$7,AND($C45="Electric bus",$D45="Average"),$E45*'EE '!H$8,AND($C45="Electric bus",$D45="Nearly full"),$E45*'EE '!H$9,AND($C45="Diesel bus",$D45="Almost empty"),$E45*'EE '!H$19,AND($C45="Diesel bus",$D45="Average"),$E45*'EE '!H$20,AND($C45="Diesel bus",$D45="Nearly full"),$E45*'EE '!H$21,AND($C45="Hybrid-electric bus",$D45="Almost empty"),$E45*'EE '!H$11,AND($C45="Hybrid-electric bus",$D45="Average"),$E45*'EE '!H$12,AND($C45="Hybrid-electric bus",$D45="Nearly full"),$E45*'EE '!H$13,AND($C45="Alternative fuel bus",$D45="Almost empty"),$E45*'EE '!H$15,AND($C45="Alternative fuel bus",$D45="Average"),$E45*'EE '!H$16,AND($C45="Alternative fuel bus",$D45="Nearly full"),$E45*'EE '!H$17,AND($C45="Metro, tram, urban light train",$D45="Almost empty"),$E45*'EE '!C$35,AND($C45="Metro, tram, urban light train",$D45="Average"),$E45*'EE '!C$36,AND($C45="Metro, tram, urban light train",$D45="Nearly full"),$E45*'EE '!C$37,AND($C45="Electric passenger train",$D45="Almost empty"),$E45*'EE '!C$39,AND($C45="Electric passenger train",$D45="Average"),$E45*'EE '!C$40,AND($C45="Electric passenger train",$D45="Nearly full"),$E45*'EE '!C$41,AND($C45="Diesel passenger train",$D45="Almost empty"),$E45*'EE '!C$47,AND($C45="Diesel passenger train",$D45="Average"),$E45*'EE '!C$48,AND($C45="Diesel passenger train",$D45="Nearly full"),$E45*'EE '!C$49,AND($C45="Walking"),$E45*0,AND($C45="Bike"),$E45*0,AND($C45="Plane - domestic flight"),$E45*'EE '!$C69,AND($C45="Plane - international - intra EU"),$E45*'EE '!$C71,AND($C45="Plane - international (extra EU)"),$E45*'EE '!$C73)</f>
        <v>#N/A</v>
      </c>
      <c r="G45" s="31" t="e" cm="1">
        <f t="array" ref="G45">_xlfn.IFS(AND($C45="Fuel car",$D45=1),$E45*'EE '!D$7,AND($C45="Fuel car",$D45=2),$E45*'EE '!D$8,AND($C45="Fuel car",$D45=3),$E45*'EE '!D$9,AND($C45="Fuel car",$D45=4),$E45*'EE '!D$10,AND($C45="Fuel car",$D45=5),$E45*'EE '!D$11,AND($C45="Motorcycle",$D45=1),$E45*'EE '!D$13,AND($C45="Motorcycle",$D45=2),$E45*'EE '!D$14,AND($C45="Electric car",$D45=1),$E45*'EE '!D$16,AND($C45="Electric car",$D45=2),$E45*'EE '!D$17,AND($C45="Electric car",$D45=3),$E45*'EE '!D$18,AND($C45="Electric car",$D45=4),$E45*'EE '!D$19,AND($C45="Electric car",$D45=5),$E45*'EE '!D$20,AND($C45="Hybrid car",$D45=1),$E45*'EE '!D$22,AND($C45="Hybrid car",$D45=2),$E45*'EE '!D$23,AND($C45="Hybrid car",$D45=3),$E45*'EE '!D$24,AND($C45="Hybrid car",$D45=4),$E45*'EE '!D$25,AND($C45="Hybrid car",$D45=5),$E45*'EE '!D$26,AND($C45="Electric motorcycle",$D45=1),$E45*'EE '!D$28,AND($C45="Electric motorcycle",$D45=2),$E45*'EE '!D$29,AND($C45="Electric bike",$D45=1),$E45*'EE '!D$31,AND($C45="Electric scooter",$D45=1),$E45*'EE '!D$33,AND($C45="Bus",$D45="Almost empty"),$E45*'EE '!I$23,AND($C45="Bus",$D45="Average"),$E45*'EE '!I$24,AND($C45="Bus",$D45="Nearly full"),$E45*'EE '!I$25,AND($C45="Electric bus",$D45="Almost empty"),$E45*'EE '!I$7,AND($C45="Electric bus",$D45="Average"),$E45*'EE '!I$8,AND($C45="Electric bus",$D45="Nearly full"),$E45*'EE '!I$9,AND($C45="Diesel bus",$D45="Almost empty"),$E45*'EE '!I$19,AND($C45="Diesel bus",$D45="Average"),$E45*'EE '!I$20,AND($C45="Diesel bus",$D45="Nearly full"),$E45*'EE '!I$21,AND($C45="Hybrid-electric bus",$D45="Almost empty"),$E45*'EE '!I$11,AND($C45="Hybrid-electric bus",$D45="Average"),$E45*'EE '!I$12,AND($C45="Hybrid-electric bus",$D45="Nearly full"),$E45*'EE '!I$13,AND($C45="Alternative fuel bus",$D45="Almost empty"),$E45*'EE '!I$15,AND($C45="Alternative fuel bus",$D45="Average"),$E45*'EE '!I$16,AND($C45="Alternative fuel bus",$D45="Nearly full"),$E45*'EE '!I$17,AND($C45="Metro, tram, urban light train",$D45="Almost empty"),$E45*'EE '!D$35,AND($C45="Metro, tram, urban light train",$D45="Average"),$E45*'EE '!D$36,AND($C45="Metro, tram, urban light train",$D45="Nearly full"),$E45*'EE '!D$37,AND($C45="Electric passenger train",$D45="Almost empty"),$E45*'EE '!D$39,AND($C45="Electric passenger train",$D45="Average"),$E45*'EE '!D$40,AND($C45="Electric passenger train",$D45="Nearly full"),$E45*'EE '!D$41,AND($C45="Diesel passenger train",$D45="Almost empty"),$E45*'EE '!D$47,AND($C45="Diesel passenger train",$D45="Average"),$E45*'EE '!D$48,AND($C45="Diesel passenger train",$D45="Nearly full"),$E45*'EE '!D$49,AND($C45="Walking"),$E45*0,AND($C45="Bike"),$E45*0,AND($C45="Plane - domestic flight"),$E45*'EE '!$C69,AND($C45="Plane - international - intra EU"),$E45*'EE '!$C71,AND($C45="Plane - international (extra EU)"),$E45*'EE '!$C73)</f>
        <v>#N/A</v>
      </c>
      <c r="L45" s="198" t="s">
        <v>256</v>
      </c>
      <c r="M45" s="199"/>
      <c r="N45" s="200"/>
    </row>
    <row r="46" spans="1:14" ht="16" thickBot="1" x14ac:dyDescent="0.25">
      <c r="A46" s="222"/>
      <c r="B46" s="30"/>
      <c r="C46" s="15"/>
      <c r="D46" s="15"/>
      <c r="E46" s="125"/>
      <c r="F46" s="128" t="e" cm="1">
        <f t="array" ref="F46">_xlfn.IFS(AND($C46="Fuel car",$D46=1),$E46*'EE '!C$7,AND($C46="Fuel car",$D46=2),$E46*'EE '!C$8,AND($C46="Fuel car",$D46=3),$E46*'EE '!C$9,AND($C46="Fuel car",$D46=4),$E46*'EE '!C$10,AND($C46="Fuel car",$D46=5),$E46*'EE '!C$11,AND($C46="Motorcycle",$D46=1),$E46*'EE '!C$13,AND($C46="Motorcycle",$D46=2),$E46*'EE '!C$14,AND($C46="Electric car",$D46=1),$E46*'EE '!C$16,AND($C46="Electric car",$D46=2),$E46*'EE '!C$17,AND($C46="Electric car",$D46=3),$E46*'EE '!C$18,AND($C46="Electric car",$D46=4),$E46*'EE '!C$19,AND($C46="Electric car",$D46=5),$E46*'EE '!C$20,AND($C46="Hybrid car",$D46=1),$E46*'EE '!C$22,AND($C46="Hybrid car",$D46=2),$E46*'EE '!C$23,AND($C46="Hybrid car",$D46=3),$E46*'EE '!C$24,AND($C46="Hybrid car",$D46=4),$E46*'EE '!C$25,AND($C46="Hybrid car",$D46=5),$E46*'EE '!C$26,AND($C46="Electric motorcycle",$D46=1),$E46*'EE '!C$28,AND($C46="Electric motorcycle",$D46=2),$E46*'EE '!C$29,AND($C46="Electric bike",$D46=1),$E46*'EE '!C$31,AND($C46="Electric scooter",$D46=1),$E46*'EE '!C$33,AND($C46="Bus",$D46="Almost empty"),$E46*'EE '!H$23,AND($C46="Bus",$D46="Average"),$E46*'EE '!H$24,AND($C46="Bus",$D46="Nearly full"),$E46*'EE '!H$25,AND($C46="Electric bus",$D46="Almost empty"),$E46*'EE '!H$7,AND($C46="Electric bus",$D46="Average"),$E46*'EE '!H$8,AND($C46="Electric bus",$D46="Nearly full"),$E46*'EE '!H$9,AND($C46="Diesel bus",$D46="Almost empty"),$E46*'EE '!H$19,AND($C46="Diesel bus",$D46="Average"),$E46*'EE '!H$20,AND($C46="Diesel bus",$D46="Nearly full"),$E46*'EE '!H$21,AND($C46="Hybrid-electric bus",$D46="Almost empty"),$E46*'EE '!H$11,AND($C46="Hybrid-electric bus",$D46="Average"),$E46*'EE '!H$12,AND($C46="Hybrid-electric bus",$D46="Nearly full"),$E46*'EE '!H$13,AND($C46="Alternative fuel bus",$D46="Almost empty"),$E46*'EE '!H$15,AND($C46="Alternative fuel bus",$D46="Average"),$E46*'EE '!H$16,AND($C46="Alternative fuel bus",$D46="Nearly full"),$E46*'EE '!H$17,AND($C46="Metro, tram, urban light train",$D46="Almost empty"),$E46*'EE '!C$35,AND($C46="Metro, tram, urban light train",$D46="Average"),$E46*'EE '!C$36,AND($C46="Metro, tram, urban light train",$D46="Nearly full"),$E46*'EE '!C$37,AND($C46="Electric passenger train",$D46="Almost empty"),$E46*'EE '!C$39,AND($C46="Electric passenger train",$D46="Average"),$E46*'EE '!C$40,AND($C46="Electric passenger train",$D46="Nearly full"),$E46*'EE '!C$41,AND($C46="Diesel passenger train",$D46="Almost empty"),$E46*'EE '!C$47,AND($C46="Diesel passenger train",$D46="Average"),$E46*'EE '!C$48,AND($C46="Diesel passenger train",$D46="Nearly full"),$E46*'EE '!C$49,AND($C46="Walking"),$E46*0,AND($C46="Bike"),$E46*0,AND($C46="Plane - domestic flight"),$E46*'EE '!$C70,AND($C46="Plane - international - intra EU"),$E46*'EE '!$C72,AND($C46="Plane - international (extra EU)"),$E46*'EE '!$C74)</f>
        <v>#N/A</v>
      </c>
      <c r="G46" s="31" t="e" cm="1">
        <f t="array" ref="G46">_xlfn.IFS(AND($C46="Fuel car",$D46=1),$E46*'EE '!D$7,AND($C46="Fuel car",$D46=2),$E46*'EE '!D$8,AND($C46="Fuel car",$D46=3),$E46*'EE '!D$9,AND($C46="Fuel car",$D46=4),$E46*'EE '!D$10,AND($C46="Fuel car",$D46=5),$E46*'EE '!D$11,AND($C46="Motorcycle",$D46=1),$E46*'EE '!D$13,AND($C46="Motorcycle",$D46=2),$E46*'EE '!D$14,AND($C46="Electric car",$D46=1),$E46*'EE '!D$16,AND($C46="Electric car",$D46=2),$E46*'EE '!D$17,AND($C46="Electric car",$D46=3),$E46*'EE '!D$18,AND($C46="Electric car",$D46=4),$E46*'EE '!D$19,AND($C46="Electric car",$D46=5),$E46*'EE '!D$20,AND($C46="Hybrid car",$D46=1),$E46*'EE '!D$22,AND($C46="Hybrid car",$D46=2),$E46*'EE '!D$23,AND($C46="Hybrid car",$D46=3),$E46*'EE '!D$24,AND($C46="Hybrid car",$D46=4),$E46*'EE '!D$25,AND($C46="Hybrid car",$D46=5),$E46*'EE '!D$26,AND($C46="Electric motorcycle",$D46=1),$E46*'EE '!D$28,AND($C46="Electric motorcycle",$D46=2),$E46*'EE '!D$29,AND($C46="Electric bike",$D46=1),$E46*'EE '!D$31,AND($C46="Electric scooter",$D46=1),$E46*'EE '!D$33,AND($C46="Bus",$D46="Almost empty"),$E46*'EE '!I$23,AND($C46="Bus",$D46="Average"),$E46*'EE '!I$24,AND($C46="Bus",$D46="Nearly full"),$E46*'EE '!I$25,AND($C46="Electric bus",$D46="Almost empty"),$E46*'EE '!I$7,AND($C46="Electric bus",$D46="Average"),$E46*'EE '!I$8,AND($C46="Electric bus",$D46="Nearly full"),$E46*'EE '!I$9,AND($C46="Diesel bus",$D46="Almost empty"),$E46*'EE '!I$19,AND($C46="Diesel bus",$D46="Average"),$E46*'EE '!I$20,AND($C46="Diesel bus",$D46="Nearly full"),$E46*'EE '!I$21,AND($C46="Hybrid-electric bus",$D46="Almost empty"),$E46*'EE '!I$11,AND($C46="Hybrid-electric bus",$D46="Average"),$E46*'EE '!I$12,AND($C46="Hybrid-electric bus",$D46="Nearly full"),$E46*'EE '!I$13,AND($C46="Alternative fuel bus",$D46="Almost empty"),$E46*'EE '!I$15,AND($C46="Alternative fuel bus",$D46="Average"),$E46*'EE '!I$16,AND($C46="Alternative fuel bus",$D46="Nearly full"),$E46*'EE '!I$17,AND($C46="Metro, tram, urban light train",$D46="Almost empty"),$E46*'EE '!D$35,AND($C46="Metro, tram, urban light train",$D46="Average"),$E46*'EE '!D$36,AND($C46="Metro, tram, urban light train",$D46="Nearly full"),$E46*'EE '!D$37,AND($C46="Electric passenger train",$D46="Almost empty"),$E46*'EE '!D$39,AND($C46="Electric passenger train",$D46="Average"),$E46*'EE '!D$40,AND($C46="Electric passenger train",$D46="Nearly full"),$E46*'EE '!D$41,AND($C46="Diesel passenger train",$D46="Almost empty"),$E46*'EE '!D$47,AND($C46="Diesel passenger train",$D46="Average"),$E46*'EE '!D$48,AND($C46="Diesel passenger train",$D46="Nearly full"),$E46*'EE '!D$49,AND($C46="Walking"),$E46*0,AND($C46="Bike"),$E46*0,AND($C46="Plane - domestic flight"),$E46*'EE '!$C70,AND($C46="Plane - international - intra EU"),$E46*'EE '!$C72,AND($C46="Plane - international (extra EU)"),$E46*'EE '!$C74)</f>
        <v>#N/A</v>
      </c>
      <c r="L46" s="246"/>
      <c r="M46" s="247"/>
      <c r="N46" s="248"/>
    </row>
    <row r="47" spans="1:14" ht="20" thickBot="1" x14ac:dyDescent="0.25">
      <c r="A47" s="222"/>
      <c r="B47" s="30"/>
      <c r="C47" s="15"/>
      <c r="D47" s="15"/>
      <c r="E47" s="125"/>
      <c r="F47" s="128" t="e" cm="1">
        <f t="array" ref="F47">_xlfn.IFS(AND($C47="Fuel car",$D47=1),$E47*'EE '!C$7,AND($C47="Fuel car",$D47=2),$E47*'EE '!C$8,AND($C47="Fuel car",$D47=3),$E47*'EE '!C$9,AND($C47="Fuel car",$D47=4),$E47*'EE '!C$10,AND($C47="Fuel car",$D47=5),$E47*'EE '!C$11,AND($C47="Motorcycle",$D47=1),$E47*'EE '!C$13,AND($C47="Motorcycle",$D47=2),$E47*'EE '!C$14,AND($C47="Electric car",$D47=1),$E47*'EE '!C$16,AND($C47="Electric car",$D47=2),$E47*'EE '!C$17,AND($C47="Electric car",$D47=3),$E47*'EE '!C$18,AND($C47="Electric car",$D47=4),$E47*'EE '!C$19,AND($C47="Electric car",$D47=5),$E47*'EE '!C$20,AND($C47="Hybrid car",$D47=1),$E47*'EE '!C$22,AND($C47="Hybrid car",$D47=2),$E47*'EE '!C$23,AND($C47="Hybrid car",$D47=3),$E47*'EE '!C$24,AND($C47="Hybrid car",$D47=4),$E47*'EE '!C$25,AND($C47="Hybrid car",$D47=5),$E47*'EE '!C$26,AND($C47="Electric motorcycle",$D47=1),$E47*'EE '!C$28,AND($C47="Electric motorcycle",$D47=2),$E47*'EE '!C$29,AND($C47="Electric bike",$D47=1),$E47*'EE '!C$31,AND($C47="Electric scooter",$D47=1),$E47*'EE '!C$33,AND($C47="Bus",$D47="Almost empty"),$E47*'EE '!H$23,AND($C47="Bus",$D47="Average"),$E47*'EE '!H$24,AND($C47="Bus",$D47="Nearly full"),$E47*'EE '!H$25,AND($C47="Electric bus",$D47="Almost empty"),$E47*'EE '!H$7,AND($C47="Electric bus",$D47="Average"),$E47*'EE '!H$8,AND($C47="Electric bus",$D47="Nearly full"),$E47*'EE '!H$9,AND($C47="Diesel bus",$D47="Almost empty"),$E47*'EE '!H$19,AND($C47="Diesel bus",$D47="Average"),$E47*'EE '!H$20,AND($C47="Diesel bus",$D47="Nearly full"),$E47*'EE '!H$21,AND($C47="Hybrid-electric bus",$D47="Almost empty"),$E47*'EE '!H$11,AND($C47="Hybrid-electric bus",$D47="Average"),$E47*'EE '!H$12,AND($C47="Hybrid-electric bus",$D47="Nearly full"),$E47*'EE '!H$13,AND($C47="Alternative fuel bus",$D47="Almost empty"),$E47*'EE '!H$15,AND($C47="Alternative fuel bus",$D47="Average"),$E47*'EE '!H$16,AND($C47="Alternative fuel bus",$D47="Nearly full"),$E47*'EE '!H$17,AND($C47="Metro, tram, urban light train",$D47="Almost empty"),$E47*'EE '!C$35,AND($C47="Metro, tram, urban light train",$D47="Average"),$E47*'EE '!C$36,AND($C47="Metro, tram, urban light train",$D47="Nearly full"),$E47*'EE '!C$37,AND($C47="Electric passenger train",$D47="Almost empty"),$E47*'EE '!C$39,AND($C47="Electric passenger train",$D47="Average"),$E47*'EE '!C$40,AND($C47="Electric passenger train",$D47="Nearly full"),$E47*'EE '!C$41,AND($C47="Diesel passenger train",$D47="Almost empty"),$E47*'EE '!C$47,AND($C47="Diesel passenger train",$D47="Average"),$E47*'EE '!C$48,AND($C47="Diesel passenger train",$D47="Nearly full"),$E47*'EE '!C$49,AND($C47="Walking"),$E47*0,AND($C47="Bike"),$E47*0,AND($C47="Plane - domestic flight"),$E47*'EE '!$C71,AND($C47="Plane - international - intra EU"),$E47*'EE '!$C73,AND($C47="Plane - international (extra EU)"),$E47*'EE '!$C75)</f>
        <v>#N/A</v>
      </c>
      <c r="G47" s="31" t="e" cm="1">
        <f t="array" ref="G47">_xlfn.IFS(AND($C47="Fuel car",$D47=1),$E47*'EE '!D$7,AND($C47="Fuel car",$D47=2),$E47*'EE '!D$8,AND($C47="Fuel car",$D47=3),$E47*'EE '!D$9,AND($C47="Fuel car",$D47=4),$E47*'EE '!D$10,AND($C47="Fuel car",$D47=5),$E47*'EE '!D$11,AND($C47="Motorcycle",$D47=1),$E47*'EE '!D$13,AND($C47="Motorcycle",$D47=2),$E47*'EE '!D$14,AND($C47="Electric car",$D47=1),$E47*'EE '!D$16,AND($C47="Electric car",$D47=2),$E47*'EE '!D$17,AND($C47="Electric car",$D47=3),$E47*'EE '!D$18,AND($C47="Electric car",$D47=4),$E47*'EE '!D$19,AND($C47="Electric car",$D47=5),$E47*'EE '!D$20,AND($C47="Hybrid car",$D47=1),$E47*'EE '!D$22,AND($C47="Hybrid car",$D47=2),$E47*'EE '!D$23,AND($C47="Hybrid car",$D47=3),$E47*'EE '!D$24,AND($C47="Hybrid car",$D47=4),$E47*'EE '!D$25,AND($C47="Hybrid car",$D47=5),$E47*'EE '!D$26,AND($C47="Electric motorcycle",$D47=1),$E47*'EE '!D$28,AND($C47="Electric motorcycle",$D47=2),$E47*'EE '!D$29,AND($C47="Electric bike",$D47=1),$E47*'EE '!D$31,AND($C47="Electric scooter",$D47=1),$E47*'EE '!D$33,AND($C47="Bus",$D47="Almost empty"),$E47*'EE '!I$23,AND($C47="Bus",$D47="Average"),$E47*'EE '!I$24,AND($C47="Bus",$D47="Nearly full"),$E47*'EE '!I$25,AND($C47="Electric bus",$D47="Almost empty"),$E47*'EE '!I$7,AND($C47="Electric bus",$D47="Average"),$E47*'EE '!I$8,AND($C47="Electric bus",$D47="Nearly full"),$E47*'EE '!I$9,AND($C47="Diesel bus",$D47="Almost empty"),$E47*'EE '!I$19,AND($C47="Diesel bus",$D47="Average"),$E47*'EE '!I$20,AND($C47="Diesel bus",$D47="Nearly full"),$E47*'EE '!I$21,AND($C47="Hybrid-electric bus",$D47="Almost empty"),$E47*'EE '!I$11,AND($C47="Hybrid-electric bus",$D47="Average"),$E47*'EE '!I$12,AND($C47="Hybrid-electric bus",$D47="Nearly full"),$E47*'EE '!I$13,AND($C47="Alternative fuel bus",$D47="Almost empty"),$E47*'EE '!I$15,AND($C47="Alternative fuel bus",$D47="Average"),$E47*'EE '!I$16,AND($C47="Alternative fuel bus",$D47="Nearly full"),$E47*'EE '!I$17,AND($C47="Metro, tram, urban light train",$D47="Almost empty"),$E47*'EE '!D$35,AND($C47="Metro, tram, urban light train",$D47="Average"),$E47*'EE '!D$36,AND($C47="Metro, tram, urban light train",$D47="Nearly full"),$E47*'EE '!D$37,AND($C47="Electric passenger train",$D47="Almost empty"),$E47*'EE '!D$39,AND($C47="Electric passenger train",$D47="Average"),$E47*'EE '!D$40,AND($C47="Electric passenger train",$D47="Nearly full"),$E47*'EE '!D$41,AND($C47="Diesel passenger train",$D47="Almost empty"),$E47*'EE '!D$47,AND($C47="Diesel passenger train",$D47="Average"),$E47*'EE '!D$48,AND($C47="Diesel passenger train",$D47="Nearly full"),$E47*'EE '!D$49,AND($C47="Walking"),$E47*0,AND($C47="Bike"),$E47*0,AND($C47="Plane - domestic flight"),$E47*'EE '!$C71,AND($C47="Plane - international - intra EU"),$E47*'EE '!$C73,AND($C47="Plane - international (extra EU)"),$E47*'EE '!$C75)</f>
        <v>#N/A</v>
      </c>
      <c r="L47" s="238" t="s">
        <v>56</v>
      </c>
      <c r="M47" s="239"/>
      <c r="N47" s="240"/>
    </row>
    <row r="48" spans="1:14" ht="16" thickBot="1" x14ac:dyDescent="0.25">
      <c r="A48" s="222"/>
      <c r="B48" s="30"/>
      <c r="C48" s="15"/>
      <c r="D48" s="15"/>
      <c r="E48" s="125"/>
      <c r="F48" s="128" t="e" cm="1">
        <f t="array" ref="F48">_xlfn.IFS(AND($C48="Fuel car",$D48=1),$E48*'EE '!C$7,AND($C48="Fuel car",$D48=2),$E48*'EE '!C$8,AND($C48="Fuel car",$D48=3),$E48*'EE '!C$9,AND($C48="Fuel car",$D48=4),$E48*'EE '!C$10,AND($C48="Fuel car",$D48=5),$E48*'EE '!C$11,AND($C48="Motorcycle",$D48=1),$E48*'EE '!C$13,AND($C48="Motorcycle",$D48=2),$E48*'EE '!C$14,AND($C48="Electric car",$D48=1),$E48*'EE '!C$16,AND($C48="Electric car",$D48=2),$E48*'EE '!C$17,AND($C48="Electric car",$D48=3),$E48*'EE '!C$18,AND($C48="Electric car",$D48=4),$E48*'EE '!C$19,AND($C48="Electric car",$D48=5),$E48*'EE '!C$20,AND($C48="Hybrid car",$D48=1),$E48*'EE '!C$22,AND($C48="Hybrid car",$D48=2),$E48*'EE '!C$23,AND($C48="Hybrid car",$D48=3),$E48*'EE '!C$24,AND($C48="Hybrid car",$D48=4),$E48*'EE '!C$25,AND($C48="Hybrid car",$D48=5),$E48*'EE '!C$26,AND($C48="Electric motorcycle",$D48=1),$E48*'EE '!C$28,AND($C48="Electric motorcycle",$D48=2),$E48*'EE '!C$29,AND($C48="Electric bike",$D48=1),$E48*'EE '!C$31,AND($C48="Electric scooter",$D48=1),$E48*'EE '!C$33,AND($C48="Bus",$D48="Almost empty"),$E48*'EE '!H$23,AND($C48="Bus",$D48="Average"),$E48*'EE '!H$24,AND($C48="Bus",$D48="Nearly full"),$E48*'EE '!H$25,AND($C48="Electric bus",$D48="Almost empty"),$E48*'EE '!H$7,AND($C48="Electric bus",$D48="Average"),$E48*'EE '!H$8,AND($C48="Electric bus",$D48="Nearly full"),$E48*'EE '!H$9,AND($C48="Diesel bus",$D48="Almost empty"),$E48*'EE '!H$19,AND($C48="Diesel bus",$D48="Average"),$E48*'EE '!H$20,AND($C48="Diesel bus",$D48="Nearly full"),$E48*'EE '!H$21,AND($C48="Hybrid-electric bus",$D48="Almost empty"),$E48*'EE '!H$11,AND($C48="Hybrid-electric bus",$D48="Average"),$E48*'EE '!H$12,AND($C48="Hybrid-electric bus",$D48="Nearly full"),$E48*'EE '!H$13,AND($C48="Alternative fuel bus",$D48="Almost empty"),$E48*'EE '!H$15,AND($C48="Alternative fuel bus",$D48="Average"),$E48*'EE '!H$16,AND($C48="Alternative fuel bus",$D48="Nearly full"),$E48*'EE '!H$17,AND($C48="Metro, tram, urban light train",$D48="Almost empty"),$E48*'EE '!C$35,AND($C48="Metro, tram, urban light train",$D48="Average"),$E48*'EE '!C$36,AND($C48="Metro, tram, urban light train",$D48="Nearly full"),$E48*'EE '!C$37,AND($C48="Electric passenger train",$D48="Almost empty"),$E48*'EE '!C$39,AND($C48="Electric passenger train",$D48="Average"),$E48*'EE '!C$40,AND($C48="Electric passenger train",$D48="Nearly full"),$E48*'EE '!C$41,AND($C48="Diesel passenger train",$D48="Almost empty"),$E48*'EE '!C$47,AND($C48="Diesel passenger train",$D48="Average"),$E48*'EE '!C$48,AND($C48="Diesel passenger train",$D48="Nearly full"),$E48*'EE '!C$49,AND($C48="Walking"),$E48*0,AND($C48="Bike"),$E48*0,AND($C48="Plane - domestic flight"),$E48*'EE '!$C72,AND($C48="Plane - international - intra EU"),$E48*'EE '!$C74,AND($C48="Plane - international (extra EU)"),$E48*'EE '!$C76)</f>
        <v>#N/A</v>
      </c>
      <c r="G48" s="31" t="e" cm="1">
        <f t="array" ref="G48">_xlfn.IFS(AND($C48="Fuel car",$D48=1),$E48*'EE '!D$7,AND($C48="Fuel car",$D48=2),$E48*'EE '!D$8,AND($C48="Fuel car",$D48=3),$E48*'EE '!D$9,AND($C48="Fuel car",$D48=4),$E48*'EE '!D$10,AND($C48="Fuel car",$D48=5),$E48*'EE '!D$11,AND($C48="Motorcycle",$D48=1),$E48*'EE '!D$13,AND($C48="Motorcycle",$D48=2),$E48*'EE '!D$14,AND($C48="Electric car",$D48=1),$E48*'EE '!D$16,AND($C48="Electric car",$D48=2),$E48*'EE '!D$17,AND($C48="Electric car",$D48=3),$E48*'EE '!D$18,AND($C48="Electric car",$D48=4),$E48*'EE '!D$19,AND($C48="Electric car",$D48=5),$E48*'EE '!D$20,AND($C48="Hybrid car",$D48=1),$E48*'EE '!D$22,AND($C48="Hybrid car",$D48=2),$E48*'EE '!D$23,AND($C48="Hybrid car",$D48=3),$E48*'EE '!D$24,AND($C48="Hybrid car",$D48=4),$E48*'EE '!D$25,AND($C48="Hybrid car",$D48=5),$E48*'EE '!D$26,AND($C48="Electric motorcycle",$D48=1),$E48*'EE '!D$28,AND($C48="Electric motorcycle",$D48=2),$E48*'EE '!D$29,AND($C48="Electric bike",$D48=1),$E48*'EE '!D$31,AND($C48="Electric scooter",$D48=1),$E48*'EE '!D$33,AND($C48="Bus",$D48="Almost empty"),$E48*'EE '!I$23,AND($C48="Bus",$D48="Average"),$E48*'EE '!I$24,AND($C48="Bus",$D48="Nearly full"),$E48*'EE '!I$25,AND($C48="Electric bus",$D48="Almost empty"),$E48*'EE '!I$7,AND($C48="Electric bus",$D48="Average"),$E48*'EE '!I$8,AND($C48="Electric bus",$D48="Nearly full"),$E48*'EE '!I$9,AND($C48="Diesel bus",$D48="Almost empty"),$E48*'EE '!I$19,AND($C48="Diesel bus",$D48="Average"),$E48*'EE '!I$20,AND($C48="Diesel bus",$D48="Nearly full"),$E48*'EE '!I$21,AND($C48="Hybrid-electric bus",$D48="Almost empty"),$E48*'EE '!I$11,AND($C48="Hybrid-electric bus",$D48="Average"),$E48*'EE '!I$12,AND($C48="Hybrid-electric bus",$D48="Nearly full"),$E48*'EE '!I$13,AND($C48="Alternative fuel bus",$D48="Almost empty"),$E48*'EE '!I$15,AND($C48="Alternative fuel bus",$D48="Average"),$E48*'EE '!I$16,AND($C48="Alternative fuel bus",$D48="Nearly full"),$E48*'EE '!I$17,AND($C48="Metro, tram, urban light train",$D48="Almost empty"),$E48*'EE '!D$35,AND($C48="Metro, tram, urban light train",$D48="Average"),$E48*'EE '!D$36,AND($C48="Metro, tram, urban light train",$D48="Nearly full"),$E48*'EE '!D$37,AND($C48="Electric passenger train",$D48="Almost empty"),$E48*'EE '!D$39,AND($C48="Electric passenger train",$D48="Average"),$E48*'EE '!D$40,AND($C48="Electric passenger train",$D48="Nearly full"),$E48*'EE '!D$41,AND($C48="Diesel passenger train",$D48="Almost empty"),$E48*'EE '!D$47,AND($C48="Diesel passenger train",$D48="Average"),$E48*'EE '!D$48,AND($C48="Diesel passenger train",$D48="Nearly full"),$E48*'EE '!D$49,AND($C48="Walking"),$E48*0,AND($C48="Bike"),$E48*0,AND($C48="Plane - domestic flight"),$E48*'EE '!$C72,AND($C48="Plane - international - intra EU"),$E48*'EE '!$C74,AND($C48="Plane - international (extra EU)"),$E48*'EE '!$C76)</f>
        <v>#N/A</v>
      </c>
      <c r="H48" s="196" t="s">
        <v>67</v>
      </c>
      <c r="I48" s="197"/>
      <c r="L48" s="249"/>
      <c r="M48" s="250"/>
      <c r="N48" s="251"/>
    </row>
    <row r="49" spans="1:14" x14ac:dyDescent="0.2">
      <c r="A49" s="222"/>
      <c r="B49" s="30"/>
      <c r="C49" s="15"/>
      <c r="D49" s="15"/>
      <c r="E49" s="125"/>
      <c r="F49" s="128" t="e" cm="1">
        <f t="array" ref="F49">_xlfn.IFS(AND($C49="Fuel car",$D49=1),$E49*'EE '!C$7,AND($C49="Fuel car",$D49=2),$E49*'EE '!C$8,AND($C49="Fuel car",$D49=3),$E49*'EE '!C$9,AND($C49="Fuel car",$D49=4),$E49*'EE '!C$10,AND($C49="Fuel car",$D49=5),$E49*'EE '!C$11,AND($C49="Motorcycle",$D49=1),$E49*'EE '!C$13,AND($C49="Motorcycle",$D49=2),$E49*'EE '!C$14,AND($C49="Electric car",$D49=1),$E49*'EE '!C$16,AND($C49="Electric car",$D49=2),$E49*'EE '!C$17,AND($C49="Electric car",$D49=3),$E49*'EE '!C$18,AND($C49="Electric car",$D49=4),$E49*'EE '!C$19,AND($C49="Electric car",$D49=5),$E49*'EE '!C$20,AND($C49="Hybrid car",$D49=1),$E49*'EE '!C$22,AND($C49="Hybrid car",$D49=2),$E49*'EE '!C$23,AND($C49="Hybrid car",$D49=3),$E49*'EE '!C$24,AND($C49="Hybrid car",$D49=4),$E49*'EE '!C$25,AND($C49="Hybrid car",$D49=5),$E49*'EE '!C$26,AND($C49="Electric motorcycle",$D49=1),$E49*'EE '!C$28,AND($C49="Electric motorcycle",$D49=2),$E49*'EE '!C$29,AND($C49="Electric bike",$D49=1),$E49*'EE '!C$31,AND($C49="Electric scooter",$D49=1),$E49*'EE '!C$33,AND($C49="Bus",$D49="Almost empty"),$E49*'EE '!H$23,AND($C49="Bus",$D49="Average"),$E49*'EE '!H$24,AND($C49="Bus",$D49="Nearly full"),$E49*'EE '!H$25,AND($C49="Electric bus",$D49="Almost empty"),$E49*'EE '!H$7,AND($C49="Electric bus",$D49="Average"),$E49*'EE '!H$8,AND($C49="Electric bus",$D49="Nearly full"),$E49*'EE '!H$9,AND($C49="Diesel bus",$D49="Almost empty"),$E49*'EE '!H$19,AND($C49="Diesel bus",$D49="Average"),$E49*'EE '!H$20,AND($C49="Diesel bus",$D49="Nearly full"),$E49*'EE '!H$21,AND($C49="Hybrid-electric bus",$D49="Almost empty"),$E49*'EE '!H$11,AND($C49="Hybrid-electric bus",$D49="Average"),$E49*'EE '!H$12,AND($C49="Hybrid-electric bus",$D49="Nearly full"),$E49*'EE '!H$13,AND($C49="Alternative fuel bus",$D49="Almost empty"),$E49*'EE '!H$15,AND($C49="Alternative fuel bus",$D49="Average"),$E49*'EE '!H$16,AND($C49="Alternative fuel bus",$D49="Nearly full"),$E49*'EE '!H$17,AND($C49="Metro, tram, urban light train",$D49="Almost empty"),$E49*'EE '!C$35,AND($C49="Metro, tram, urban light train",$D49="Average"),$E49*'EE '!C$36,AND($C49="Metro, tram, urban light train",$D49="Nearly full"),$E49*'EE '!C$37,AND($C49="Electric passenger train",$D49="Almost empty"),$E49*'EE '!C$39,AND($C49="Electric passenger train",$D49="Average"),$E49*'EE '!C$40,AND($C49="Electric passenger train",$D49="Nearly full"),$E49*'EE '!C$41,AND($C49="Diesel passenger train",$D49="Almost empty"),$E49*'EE '!C$47,AND($C49="Diesel passenger train",$D49="Average"),$E49*'EE '!C$48,AND($C49="Diesel passenger train",$D49="Nearly full"),$E49*'EE '!C$49,AND($C49="Walking"),$E49*0,AND($C49="Bike"),$E49*0,AND($C49="Plane - domestic flight"),$E49*'EE '!$C73,AND($C49="Plane - international - intra EU"),$E49*'EE '!$C75,AND($C49="Plane - international (extra EU)"),$E49*'EE '!$C77)</f>
        <v>#N/A</v>
      </c>
      <c r="G49" s="31" t="e" cm="1">
        <f t="array" ref="G49">_xlfn.IFS(AND($C49="Fuel car",$D49=1),$E49*'EE '!D$7,AND($C49="Fuel car",$D49=2),$E49*'EE '!D$8,AND($C49="Fuel car",$D49=3),$E49*'EE '!D$9,AND($C49="Fuel car",$D49=4),$E49*'EE '!D$10,AND($C49="Fuel car",$D49=5),$E49*'EE '!D$11,AND($C49="Motorcycle",$D49=1),$E49*'EE '!D$13,AND($C49="Motorcycle",$D49=2),$E49*'EE '!D$14,AND($C49="Electric car",$D49=1),$E49*'EE '!D$16,AND($C49="Electric car",$D49=2),$E49*'EE '!D$17,AND($C49="Electric car",$D49=3),$E49*'EE '!D$18,AND($C49="Electric car",$D49=4),$E49*'EE '!D$19,AND($C49="Electric car",$D49=5),$E49*'EE '!D$20,AND($C49="Hybrid car",$D49=1),$E49*'EE '!D$22,AND($C49="Hybrid car",$D49=2),$E49*'EE '!D$23,AND($C49="Hybrid car",$D49=3),$E49*'EE '!D$24,AND($C49="Hybrid car",$D49=4),$E49*'EE '!D$25,AND($C49="Hybrid car",$D49=5),$E49*'EE '!D$26,AND($C49="Electric motorcycle",$D49=1),$E49*'EE '!D$28,AND($C49="Electric motorcycle",$D49=2),$E49*'EE '!D$29,AND($C49="Electric bike",$D49=1),$E49*'EE '!D$31,AND($C49="Electric scooter",$D49=1),$E49*'EE '!D$33,AND($C49="Bus",$D49="Almost empty"),$E49*'EE '!I$23,AND($C49="Bus",$D49="Average"),$E49*'EE '!I$24,AND($C49="Bus",$D49="Nearly full"),$E49*'EE '!I$25,AND($C49="Electric bus",$D49="Almost empty"),$E49*'EE '!I$7,AND($C49="Electric bus",$D49="Average"),$E49*'EE '!I$8,AND($C49="Electric bus",$D49="Nearly full"),$E49*'EE '!I$9,AND($C49="Diesel bus",$D49="Almost empty"),$E49*'EE '!I$19,AND($C49="Diesel bus",$D49="Average"),$E49*'EE '!I$20,AND($C49="Diesel bus",$D49="Nearly full"),$E49*'EE '!I$21,AND($C49="Hybrid-electric bus",$D49="Almost empty"),$E49*'EE '!I$11,AND($C49="Hybrid-electric bus",$D49="Average"),$E49*'EE '!I$12,AND($C49="Hybrid-electric bus",$D49="Nearly full"),$E49*'EE '!I$13,AND($C49="Alternative fuel bus",$D49="Almost empty"),$E49*'EE '!I$15,AND($C49="Alternative fuel bus",$D49="Average"),$E49*'EE '!I$16,AND($C49="Alternative fuel bus",$D49="Nearly full"),$E49*'EE '!I$17,AND($C49="Metro, tram, urban light train",$D49="Almost empty"),$E49*'EE '!D$35,AND($C49="Metro, tram, urban light train",$D49="Average"),$E49*'EE '!D$36,AND($C49="Metro, tram, urban light train",$D49="Nearly full"),$E49*'EE '!D$37,AND($C49="Electric passenger train",$D49="Almost empty"),$E49*'EE '!D$39,AND($C49="Electric passenger train",$D49="Average"),$E49*'EE '!D$40,AND($C49="Electric passenger train",$D49="Nearly full"),$E49*'EE '!D$41,AND($C49="Diesel passenger train",$D49="Almost empty"),$E49*'EE '!D$47,AND($C49="Diesel passenger train",$D49="Average"),$E49*'EE '!D$48,AND($C49="Diesel passenger train",$D49="Nearly full"),$E49*'EE '!D$49,AND($C49="Walking"),$E49*0,AND($C49="Bike"),$E49*0,AND($C49="Plane - domestic flight"),$E49*'EE '!$C73,AND($C49="Plane - international - intra EU"),$E49*'EE '!$C75,AND($C49="Plane - international (extra EU)"),$E49*'EE '!$C77)</f>
        <v>#N/A</v>
      </c>
      <c r="H49" s="244" t="s">
        <v>74</v>
      </c>
      <c r="I49" s="141"/>
      <c r="L49" s="252"/>
      <c r="M49" s="253"/>
      <c r="N49" s="254"/>
    </row>
    <row r="50" spans="1:14" ht="16" thickBot="1" x14ac:dyDescent="0.25">
      <c r="A50" s="222"/>
      <c r="B50" s="51"/>
      <c r="C50" s="15"/>
      <c r="D50" s="15"/>
      <c r="E50" s="126"/>
      <c r="F50" s="128" t="e" cm="1">
        <f t="array" ref="F50">_xlfn.IFS(AND($C50="Fuel car",$D50=1),$E50*'EE '!C$7,AND($C50="Fuel car",$D50=2),$E50*'EE '!C$8,AND($C50="Fuel car",$D50=3),$E50*'EE '!C$9,AND($C50="Fuel car",$D50=4),$E50*'EE '!C$10,AND($C50="Fuel car",$D50=5),$E50*'EE '!C$11,AND($C50="Motorcycle",$D50=1),$E50*'EE '!C$13,AND($C50="Motorcycle",$D50=2),$E50*'EE '!C$14,AND($C50="Electric car",$D50=1),$E50*'EE '!C$16,AND($C50="Electric car",$D50=2),$E50*'EE '!C$17,AND($C50="Electric car",$D50=3),$E50*'EE '!C$18,AND($C50="Electric car",$D50=4),$E50*'EE '!C$19,AND($C50="Electric car",$D50=5),$E50*'EE '!C$20,AND($C50="Hybrid car",$D50=1),$E50*'EE '!C$22,AND($C50="Hybrid car",$D50=2),$E50*'EE '!C$23,AND($C50="Hybrid car",$D50=3),$E50*'EE '!C$24,AND($C50="Hybrid car",$D50=4),$E50*'EE '!C$25,AND($C50="Hybrid car",$D50=5),$E50*'EE '!C$26,AND($C50="Electric motorcycle",$D50=1),$E50*'EE '!C$28,AND($C50="Electric motorcycle",$D50=2),$E50*'EE '!C$29,AND($C50="Electric bike",$D50=1),$E50*'EE '!C$31,AND($C50="Electric scooter",$D50=1),$E50*'EE '!C$33,AND($C50="Bus",$D50="Almost empty"),$E50*'EE '!H$23,AND($C50="Bus",$D50="Average"),$E50*'EE '!H$24,AND($C50="Bus",$D50="Nearly full"),$E50*'EE '!H$25,AND($C50="Electric bus",$D50="Almost empty"),$E50*'EE '!H$7,AND($C50="Electric bus",$D50="Average"),$E50*'EE '!H$8,AND($C50="Electric bus",$D50="Nearly full"),$E50*'EE '!H$9,AND($C50="Diesel bus",$D50="Almost empty"),$E50*'EE '!H$19,AND($C50="Diesel bus",$D50="Average"),$E50*'EE '!H$20,AND($C50="Diesel bus",$D50="Nearly full"),$E50*'EE '!H$21,AND($C50="Hybrid-electric bus",$D50="Almost empty"),$E50*'EE '!H$11,AND($C50="Hybrid-electric bus",$D50="Average"),$E50*'EE '!H$12,AND($C50="Hybrid-electric bus",$D50="Nearly full"),$E50*'EE '!H$13,AND($C50="Alternative fuel bus",$D50="Almost empty"),$E50*'EE '!H$15,AND($C50="Alternative fuel bus",$D50="Average"),$E50*'EE '!H$16,AND($C50="Alternative fuel bus",$D50="Nearly full"),$E50*'EE '!H$17,AND($C50="Metro, tram, urban light train",$D50="Almost empty"),$E50*'EE '!C$35,AND($C50="Metro, tram, urban light train",$D50="Average"),$E50*'EE '!C$36,AND($C50="Metro, tram, urban light train",$D50="Nearly full"),$E50*'EE '!C$37,AND($C50="Electric passenger train",$D50="Almost empty"),$E50*'EE '!C$39,AND($C50="Electric passenger train",$D50="Average"),$E50*'EE '!C$40,AND($C50="Electric passenger train",$D50="Nearly full"),$E50*'EE '!C$41,AND($C50="Diesel passenger train",$D50="Almost empty"),$E50*'EE '!C$47,AND($C50="Diesel passenger train",$D50="Average"),$E50*'EE '!C$48,AND($C50="Diesel passenger train",$D50="Nearly full"),$E50*'EE '!C$49,AND($C50="Walking"),$E50*0,AND($C50="Bike"),$E50*0,AND($C50="Plane - domestic flight"),$E50*'EE '!$C74,AND($C50="Plane - international - intra EU"),$E50*'EE '!$C76,AND($C50="Plane - international (extra EU)"),$E50*'EE '!$C78)</f>
        <v>#N/A</v>
      </c>
      <c r="G50" s="31" t="e" cm="1">
        <f t="array" ref="G50">_xlfn.IFS(AND($C50="Fuel car",$D50=1),$E50*'EE '!D$7,AND($C50="Fuel car",$D50=2),$E50*'EE '!D$8,AND($C50="Fuel car",$D50=3),$E50*'EE '!D$9,AND($C50="Fuel car",$D50=4),$E50*'EE '!D$10,AND($C50="Fuel car",$D50=5),$E50*'EE '!D$11,AND($C50="Motorcycle",$D50=1),$E50*'EE '!D$13,AND($C50="Motorcycle",$D50=2),$E50*'EE '!D$14,AND($C50="Electric car",$D50=1),$E50*'EE '!D$16,AND($C50="Electric car",$D50=2),$E50*'EE '!D$17,AND($C50="Electric car",$D50=3),$E50*'EE '!D$18,AND($C50="Electric car",$D50=4),$E50*'EE '!D$19,AND($C50="Electric car",$D50=5),$E50*'EE '!D$20,AND($C50="Hybrid car",$D50=1),$E50*'EE '!D$22,AND($C50="Hybrid car",$D50=2),$E50*'EE '!D$23,AND($C50="Hybrid car",$D50=3),$E50*'EE '!D$24,AND($C50="Hybrid car",$D50=4),$E50*'EE '!D$25,AND($C50="Hybrid car",$D50=5),$E50*'EE '!D$26,AND($C50="Electric motorcycle",$D50=1),$E50*'EE '!D$28,AND($C50="Electric motorcycle",$D50=2),$E50*'EE '!D$29,AND($C50="Electric bike",$D50=1),$E50*'EE '!D$31,AND($C50="Electric scooter",$D50=1),$E50*'EE '!D$33,AND($C50="Bus",$D50="Almost empty"),$E50*'EE '!I$23,AND($C50="Bus",$D50="Average"),$E50*'EE '!I$24,AND($C50="Bus",$D50="Nearly full"),$E50*'EE '!I$25,AND($C50="Electric bus",$D50="Almost empty"),$E50*'EE '!I$7,AND($C50="Electric bus",$D50="Average"),$E50*'EE '!I$8,AND($C50="Electric bus",$D50="Nearly full"),$E50*'EE '!I$9,AND($C50="Diesel bus",$D50="Almost empty"),$E50*'EE '!I$19,AND($C50="Diesel bus",$D50="Average"),$E50*'EE '!I$20,AND($C50="Diesel bus",$D50="Nearly full"),$E50*'EE '!I$21,AND($C50="Hybrid-electric bus",$D50="Almost empty"),$E50*'EE '!I$11,AND($C50="Hybrid-electric bus",$D50="Average"),$E50*'EE '!I$12,AND($C50="Hybrid-electric bus",$D50="Nearly full"),$E50*'EE '!I$13,AND($C50="Alternative fuel bus",$D50="Almost empty"),$E50*'EE '!I$15,AND($C50="Alternative fuel bus",$D50="Average"),$E50*'EE '!I$16,AND($C50="Alternative fuel bus",$D50="Nearly full"),$E50*'EE '!I$17,AND($C50="Metro, tram, urban light train",$D50="Almost empty"),$E50*'EE '!D$35,AND($C50="Metro, tram, urban light train",$D50="Average"),$E50*'EE '!D$36,AND($C50="Metro, tram, urban light train",$D50="Nearly full"),$E50*'EE '!D$37,AND($C50="Electric passenger train",$D50="Almost empty"),$E50*'EE '!D$39,AND($C50="Electric passenger train",$D50="Average"),$E50*'EE '!D$40,AND($C50="Electric passenger train",$D50="Nearly full"),$E50*'EE '!D$41,AND($C50="Diesel passenger train",$D50="Almost empty"),$E50*'EE '!D$47,AND($C50="Diesel passenger train",$D50="Average"),$E50*'EE '!D$48,AND($C50="Diesel passenger train",$D50="Nearly full"),$E50*'EE '!D$49,AND($C50="Walking"),$E50*0,AND($C50="Bike"),$E50*0,AND($C50="Plane - domestic flight"),$E50*'EE '!$C74,AND($C50="Plane - international - intra EU"),$E50*'EE '!$C76,AND($C50="Plane - international (extra EU)"),$E50*'EE '!$C78)</f>
        <v>#N/A</v>
      </c>
      <c r="H50" s="245"/>
      <c r="I50" s="142"/>
      <c r="L50" s="252"/>
      <c r="M50" s="253"/>
      <c r="N50" s="254"/>
    </row>
    <row r="51" spans="1:14" ht="33" thickBot="1" x14ac:dyDescent="0.25">
      <c r="A51" s="222"/>
      <c r="B51" s="53"/>
      <c r="C51" s="32"/>
      <c r="D51" s="34"/>
      <c r="E51" s="113"/>
      <c r="F51" s="129" t="e" cm="1">
        <f t="array" ref="F51">_xlfn.IFS(AND($C51="Fuel car",$D51=1),$E51*'EE '!C$7,AND($C51="Fuel car",$D51=2),$E51*'EE '!C$8,AND($C51="Fuel car",$D51=3),$E51*'EE '!C$9,AND($C51="Fuel car",$D51=4),$E51*'EE '!C$10,AND($C51="Fuel car",$D51=5),$E51*'EE '!C$11,AND($C51="Motorcycle",$D51=1),$E51*'EE '!C$13,AND($C51="Motorcycle",$D51=2),$E51*'EE '!C$14,AND($C51="Electric car",$D51=1),$E51*'EE '!C$16,AND($C51="Electric car",$D51=2),$E51*'EE '!C$17,AND($C51="Electric car",$D51=3),$E51*'EE '!C$18,AND($C51="Electric car",$D51=4),$E51*'EE '!C$19,AND($C51="Electric car",$D51=5),$E51*'EE '!C$20,AND($C51="Hybrid car",$D51=1),$E51*'EE '!C$22,AND($C51="Hybrid car",$D51=2),$E51*'EE '!C$23,AND($C51="Hybrid car",$D51=3),$E51*'EE '!C$24,AND($C51="Hybrid car",$D51=4),$E51*'EE '!C$25,AND($C51="Hybrid car",$D51=5),$E51*'EE '!C$26,AND($C51="Electric motorcycle",$D51=1),$E51*'EE '!C$28,AND($C51="Electric motorcycle",$D51=2),$E51*'EE '!C$29,AND($C51="Electric bike",$D51=1),$E51*'EE '!C$31,AND($C51="Electric scooter",$D51=1),$E51*'EE '!C$33,AND($C51="Bus",$D51="Almost empty"),$E51*'EE '!H$23,AND($C51="Bus",$D51="Average"),$E51*'EE '!H$24,AND($C51="Bus",$D51="Nearly full"),$E51*'EE '!H$25,AND($C51="Electric bus",$D51="Almost empty"),$E51*'EE '!H$7,AND($C51="Electric bus",$D51="Average"),$E51*'EE '!H$8,AND($C51="Electric bus",$D51="Nearly full"),$E51*'EE '!H$9,AND($C51="Diesel bus",$D51="Almost empty"),$E51*'EE '!H$19,AND($C51="Diesel bus",$D51="Average"),$E51*'EE '!H$20,AND($C51="Diesel bus",$D51="Nearly full"),$E51*'EE '!H$21,AND($C51="Hybrid-electric bus",$D51="Almost empty"),$E51*'EE '!H$11,AND($C51="Hybrid-electric bus",$D51="Average"),$E51*'EE '!H$12,AND($C51="Hybrid-electric bus",$D51="Nearly full"),$E51*'EE '!H$13,AND($C51="Alternative fuel bus",$D51="Almost empty"),$E51*'EE '!H$15,AND($C51="Alternative fuel bus",$D51="Average"),$E51*'EE '!H$16,AND($C51="Alternative fuel bus",$D51="Nearly full"),$E51*'EE '!H$17,AND($C51="Metro, tram, urban light train",$D51="Almost empty"),$E51*'EE '!C$35,AND($C51="Metro, tram, urban light train",$D51="Average"),$E51*'EE '!C$36,AND($C51="Metro, tram, urban light train",$D51="Nearly full"),$E51*'EE '!C$37,AND($C51="Electric passenger train",$D51="Almost empty"),$E51*'EE '!C$39,AND($C51="Electric passenger train",$D51="Average"),$E51*'EE '!C$40,AND($C51="Electric passenger train",$D51="Nearly full"),$E51*'EE '!C$41,AND($C51="Diesel passenger train",$D51="Almost empty"),$E51*'EE '!C$47,AND($C51="Diesel passenger train",$D51="Average"),$E51*'EE '!C$48,AND($C51="Diesel passenger train",$D51="Nearly full"),$E51*'EE '!C$49,AND($C51="Walking"),$E51*0,AND($C51="Bike"),$E51*0,AND($C51="Plane - domestic flight"),$E51*'EE '!$C75,AND($C51="Plane - international - intra EU"),$E51*'EE '!$C77,AND($C51="Plane - international (extra EU)"),$E51*'EE '!$C79)</f>
        <v>#N/A</v>
      </c>
      <c r="G51" s="35" t="e" cm="1">
        <f t="array" ref="G51">_xlfn.IFS(AND($C51="Fuel car",$D51=1),$E51*'EE '!D$7,AND($C51="Fuel car",$D51=2),$E51*'EE '!D$8,AND($C51="Fuel car",$D51=3),$E51*'EE '!D$9,AND($C51="Fuel car",$D51=4),$E51*'EE '!D$10,AND($C51="Fuel car",$D51=5),$E51*'EE '!D$11,AND($C51="Motorcycle",$D51=1),$E51*'EE '!D$13,AND($C51="Motorcycle",$D51=2),$E51*'EE '!D$14,AND($C51="Electric car",$D51=1),$E51*'EE '!D$16,AND($C51="Electric car",$D51=2),$E51*'EE '!D$17,AND($C51="Electric car",$D51=3),$E51*'EE '!D$18,AND($C51="Electric car",$D51=4),$E51*'EE '!D$19,AND($C51="Electric car",$D51=5),$E51*'EE '!D$20,AND($C51="Hybrid car",$D51=1),$E51*'EE '!D$22,AND($C51="Hybrid car",$D51=2),$E51*'EE '!D$23,AND($C51="Hybrid car",$D51=3),$E51*'EE '!D$24,AND($C51="Hybrid car",$D51=4),$E51*'EE '!D$25,AND($C51="Hybrid car",$D51=5),$E51*'EE '!D$26,AND($C51="Electric motorcycle",$D51=1),$E51*'EE '!D$28,AND($C51="Electric motorcycle",$D51=2),$E51*'EE '!D$29,AND($C51="Electric bike",$D51=1),$E51*'EE '!D$31,AND($C51="Electric scooter",$D51=1),$E51*'EE '!D$33,AND($C51="Bus",$D51="Almost empty"),$E51*'EE '!I$23,AND($C51="Bus",$D51="Average"),$E51*'EE '!I$24,AND($C51="Bus",$D51="Nearly full"),$E51*'EE '!I$25,AND($C51="Electric bus",$D51="Almost empty"),$E51*'EE '!I$7,AND($C51="Electric bus",$D51="Average"),$E51*'EE '!I$8,AND($C51="Electric bus",$D51="Nearly full"),$E51*'EE '!I$9,AND($C51="Diesel bus",$D51="Almost empty"),$E51*'EE '!I$19,AND($C51="Diesel bus",$D51="Average"),$E51*'EE '!I$20,AND($C51="Diesel bus",$D51="Nearly full"),$E51*'EE '!I$21,AND($C51="Hybrid-electric bus",$D51="Almost empty"),$E51*'EE '!I$11,AND($C51="Hybrid-electric bus",$D51="Average"),$E51*'EE '!I$12,AND($C51="Hybrid-electric bus",$D51="Nearly full"),$E51*'EE '!I$13,AND($C51="Alternative fuel bus",$D51="Almost empty"),$E51*'EE '!I$15,AND($C51="Alternative fuel bus",$D51="Average"),$E51*'EE '!I$16,AND($C51="Alternative fuel bus",$D51="Nearly full"),$E51*'EE '!I$17,AND($C51="Metro, tram, urban light train",$D51="Almost empty"),$E51*'EE '!D$35,AND($C51="Metro, tram, urban light train",$D51="Average"),$E51*'EE '!D$36,AND($C51="Metro, tram, urban light train",$D51="Nearly full"),$E51*'EE '!D$37,AND($C51="Electric passenger train",$D51="Almost empty"),$E51*'EE '!D$39,AND($C51="Electric passenger train",$D51="Average"),$E51*'EE '!D$40,AND($C51="Electric passenger train",$D51="Nearly full"),$E51*'EE '!D$41,AND($C51="Diesel passenger train",$D51="Almost empty"),$E51*'EE '!D$47,AND($C51="Diesel passenger train",$D51="Average"),$E51*'EE '!D$48,AND($C51="Diesel passenger train",$D51="Nearly full"),$E51*'EE '!D$49,AND($C51="Walking"),$E51*0,AND($C51="Bike"),$E51*0,AND($C51="Plane - domestic flight"),$E51*'EE '!$C75,AND($C51="Plane - international - intra EU"),$E51*'EE '!$C77,AND($C51="Plane - international (extra EU)"),$E51*'EE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_xlfn.IFS(AND(D57&lt;='EE '!L4),"A+",AND(D57&lt;='EE '!M4,D57&gt;'EE '!L4),"A",AND(D57&lt;='EE '!N4,D57&gt;'EE '!M4),"B",AND(D57&lt;='EE '!O4,D57&gt;'EE '!N4),"C",AND(D57&lt;='EE '!P4,D57&gt;'EE '!O4),"D",AND(D57&lt;='EE '!Q4,D57&gt;'EE '!P4),"E",AND(D57&lt;='EE '!R4,D57&gt;'EE '!Q4),"F",AND(D57&gt;'EE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_xlfn.IFS(D58="#","#",AND(D58&lt;='EE '!L5),"A+",AND(D58&lt;='EE '!M5,D58&gt;'EE '!L5),"A",AND(D58&lt;='EE '!N5,D58&gt;'EE '!M5),"B",AND(D58&lt;='EE '!O5,D58&gt;'EE '!N5),"C",AND(D58&lt;='EE '!P5,D58&gt;'EE '!O5),"D",AND(D58&lt;='EE '!Q5,D58&gt;'EE '!P5),"E",AND(D58&lt;='EE '!R5,D58&gt;'EE '!Q5),"F",AND(D58&gt;'EE '!R5),"G")</f>
        <v>#</v>
      </c>
    </row>
    <row r="59" spans="1:14" ht="32" x14ac:dyDescent="0.2">
      <c r="A59" s="262"/>
      <c r="B59" s="264"/>
      <c r="C59" s="21" t="s">
        <v>88</v>
      </c>
      <c r="D59" s="47" t="e">
        <f>IF(ISNUMBER(D58), D57 + D58, D57)</f>
        <v>#DIV/0!</v>
      </c>
      <c r="E59" s="277"/>
      <c r="G59" s="264"/>
      <c r="H59" t="s">
        <v>88</v>
      </c>
      <c r="I59" s="56" t="e" cm="1">
        <f t="array" ref="I59">_xlfn.IFS(AND(D59&lt;='EE '!L6),"A+",AND(D59&lt;='EE '!M6,D59&gt;'EE '!L6),"A",AND(D59&lt;='EE '!N6,D59&gt;'EE '!M6),"B",AND(D59&lt;='EE '!O6,D59&gt;'EE '!N6),"C",AND(D59&lt;='EE '!P6,D59&gt;'EE '!O6),"D",AND(D59&lt;='EE '!Q6,D59&gt;'EE '!P6),"E",AND(D59&lt;='EE '!R6,D59&gt;'EE '!Q6),"F",AND(D59&gt;'EE '!R6),"G")</f>
        <v>#DIV/0!</v>
      </c>
    </row>
    <row r="60" spans="1:14" ht="16" x14ac:dyDescent="0.2">
      <c r="A60" s="262"/>
      <c r="B60" s="264"/>
      <c r="C60" s="21" t="s">
        <v>89</v>
      </c>
      <c r="D60" s="99">
        <f>I30</f>
        <v>0</v>
      </c>
      <c r="E60" s="277"/>
      <c r="G60" s="264"/>
      <c r="H60" t="s">
        <v>89</v>
      </c>
      <c r="I60" s="56" t="str" cm="1">
        <f t="array" ref="I60">_xlfn.IFS(AND(D60&lt;='EE '!L7),"A+",AND(D60&lt;='EE '!M7,D60&gt;'EE '!L7),"A",AND(D60&lt;='EE '!N7,D60&gt;'EE '!M7),"B",AND(D60&lt;='EE '!O7,D60&gt;'EE '!N7),"C",AND(D60&lt;='EE '!P7,D60&gt;'EE '!O7),"D",AND(D60&lt;='EE '!Q7,D60&gt;'EE '!P7),"E",AND(D60&lt;='EE '!R7,D60&gt;'EE '!Q7),"F",AND(D60&gt;'EE '!R7),"G")</f>
        <v>A+</v>
      </c>
    </row>
    <row r="61" spans="1:14" ht="16" thickBot="1" x14ac:dyDescent="0.25">
      <c r="A61" s="262"/>
      <c r="B61" s="265"/>
      <c r="C61" s="16" t="s">
        <v>57</v>
      </c>
      <c r="D61" s="58" t="e">
        <f>SUM(D59:D60)</f>
        <v>#DIV/0!</v>
      </c>
      <c r="E61" s="261"/>
      <c r="G61" s="265"/>
      <c r="H61" s="16" t="s">
        <v>57</v>
      </c>
      <c r="I61" s="1" t="e" cm="1">
        <f t="array" ref="I61">_xlfn.IFS(AND(D61&lt;='EE '!L8),"A+",AND(D61&lt;='EE '!M8,D61&gt;'EE '!L8),"A",AND(D61&lt;='EE '!N8,D61&gt;'EE '!M8),"B",AND(D61&lt;='EE '!O8,D61&gt;'EE '!N8),"C",AND(D61&lt;='EE '!P8,D61&gt;'EE '!O8),"D",AND(D61&lt;='EE '!Q8,D61&gt;'EE '!P8),"E",AND(D61&lt;='EE '!R8,D61&gt;'EE '!Q8),"F",AND(D61&gt;'EE '!R8),"G")</f>
        <v>#DIV/0!</v>
      </c>
    </row>
    <row r="62" spans="1:14" ht="32" x14ac:dyDescent="0.2">
      <c r="A62" s="262"/>
      <c r="B62" s="263" t="s">
        <v>90</v>
      </c>
      <c r="C62" s="57" t="s">
        <v>85</v>
      </c>
      <c r="D62" s="100" t="e">
        <f>I16</f>
        <v>#DIV/0!</v>
      </c>
      <c r="E62" s="266" t="s">
        <v>91</v>
      </c>
      <c r="G62" s="263" t="s">
        <v>90</v>
      </c>
      <c r="H62" s="46" t="s">
        <v>85</v>
      </c>
      <c r="I62" s="55" t="e" cm="1">
        <f t="array" ref="I62">_xlfn.IFS(AND(D62&lt;='EE '!L9),"A+",AND(D62&lt;='EE '!M9,D62&gt;'EE '!L9),"A",AND(D62&lt;='EE '!N9,D62&gt;'EE '!M9),"B",AND(D62&lt;='EE '!O9,D62&gt;'EE '!N9),"C",AND(D62&lt;='EE '!P9,D62&gt;'EE '!O9),"D",AND(D62&lt;='EE '!Q9,D62&gt;'EE '!P9),"E",AND(D62&lt;='EE '!R9,D62&gt;'EE '!Q9),"F",AND(D62&gt;'EE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_xlfn.IFS(D63="#","#",AND(D63&lt;='EE '!L10),"A+",AND(D63&lt;='EE '!M10,D63&gt;'EE '!L10),"A",AND(D63&lt;='EE '!N10,D63&gt;'EE '!M10),"B",AND(D63&lt;='EE '!O10,D63&gt;'EE '!N10),"C",AND(D63&lt;='EE '!P10,D63&gt;'EE '!O10),"D",AND(D63&lt;='EE '!Q10,D63&gt;'EE '!P10),"E",AND(D63&lt;='EE '!R10,D63&gt;'EE '!Q10),"F",AND(D63&gt;'EE '!R10),"G")</f>
        <v>#</v>
      </c>
    </row>
    <row r="64" spans="1:14" ht="32" x14ac:dyDescent="0.2">
      <c r="A64" s="262"/>
      <c r="B64" s="264"/>
      <c r="C64" s="21" t="s">
        <v>92</v>
      </c>
      <c r="D64" s="47" t="e">
        <f>IF(ISNUMBER(D63), D62 + D63, D62)</f>
        <v>#DIV/0!</v>
      </c>
      <c r="E64" s="202"/>
      <c r="G64" s="264"/>
      <c r="H64" t="s">
        <v>92</v>
      </c>
      <c r="I64" s="56" t="e" cm="1">
        <f t="array" ref="I64">_xlfn.IFS(AND(D64&lt;='EE '!L11),"A+",AND(D64&lt;='EE '!M11,D64&gt;'EE '!L11),"A",AND(D64&lt;='EE '!N11,D64&gt;'EE '!M11),"B",AND(D64&lt;='EE '!O11,D64&gt;'EE '!N11),"C",AND(D64&lt;='EE '!P11,D64&gt;'EE '!O11),"D",AND(D64&lt;='EE '!Q11,D64&gt;'EE '!P11),"E",AND(D64&lt;='EE '!R11,D64&gt;'EE '!Q11),"F",AND(D64&gt;'EE '!R11),"G")</f>
        <v>#DIV/0!</v>
      </c>
    </row>
    <row r="65" spans="1:9" x14ac:dyDescent="0.2">
      <c r="A65" s="262"/>
      <c r="B65" s="264"/>
      <c r="C65" t="s">
        <v>89</v>
      </c>
      <c r="D65" s="99">
        <f>I31</f>
        <v>0</v>
      </c>
      <c r="E65" s="202"/>
      <c r="G65" s="264"/>
      <c r="H65" t="s">
        <v>89</v>
      </c>
      <c r="I65" s="56" t="str" cm="1">
        <f t="array" ref="I65">_xlfn.IFS(AND(D65&lt;='EE '!L12),"A+",AND(D65&lt;='EE '!M12,D65&gt;'EE '!L12),"A",AND(D65&lt;='EE '!N12,D65&gt;'EE '!M12),"B",AND(D65&lt;='EE '!O12,D65&gt;'EE '!N12),"C",AND(D65&lt;='EE '!P12,D65&gt;'EE '!O12),"D",AND(D65&lt;='EE '!Q12,D65&gt;'EE '!P12),"E",AND(D65&lt;='EE '!R12,D65&gt;'EE '!Q12),"F",AND(D65&gt;'EE '!R12),"G")</f>
        <v>A+</v>
      </c>
    </row>
    <row r="66" spans="1:9" ht="16" thickBot="1" x14ac:dyDescent="0.25">
      <c r="A66" s="262"/>
      <c r="B66" s="265"/>
      <c r="C66" s="16" t="s">
        <v>57</v>
      </c>
      <c r="D66" s="16" t="e">
        <f>SUM(D64:D65)</f>
        <v>#DIV/0!</v>
      </c>
      <c r="E66" s="267"/>
      <c r="G66" s="265"/>
      <c r="H66" s="16" t="s">
        <v>57</v>
      </c>
      <c r="I66" s="1" t="e" cm="1">
        <f t="array" ref="I66">_xlfn.IFS(AND(D66&lt;='EE '!L13),"A+",AND(D66&lt;='EE '!M13,D66&gt;'EE '!L13),"A",AND(D66&lt;='EE '!N13,D66&gt;'EE '!M13),"B",AND(D66&lt;='EE '!O13,D66&gt;'EE '!N13),"C",AND(D66&lt;='EE '!P13,D66&gt;'EE '!O13),"D",AND(D66&lt;='EE '!Q13,D66&gt;'EE '!P13),"E",AND(D66&lt;='EE '!R13,D66&gt;'EE '!Q13),"F",AND(D66&gt;'EE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43" priority="7" operator="equal">
      <formula>"A+"</formula>
    </cfRule>
    <cfRule type="containsText" dxfId="342" priority="8" operator="containsText" text="A">
      <formula>NOT(ISERROR(SEARCH("A",I57)))</formula>
    </cfRule>
    <cfRule type="containsText" dxfId="341" priority="9" operator="containsText" text="B">
      <formula>NOT(ISERROR(SEARCH("B",I57)))</formula>
    </cfRule>
    <cfRule type="containsText" dxfId="340" priority="10" operator="containsText" text="C">
      <formula>NOT(ISERROR(SEARCH("C",I57)))</formula>
    </cfRule>
    <cfRule type="containsText" dxfId="339" priority="11" operator="containsText" text="D">
      <formula>NOT(ISERROR(SEARCH("D",I57)))</formula>
    </cfRule>
    <cfRule type="containsText" dxfId="338" priority="12" operator="containsText" text="E">
      <formula>NOT(ISERROR(SEARCH("E",I57)))</formula>
    </cfRule>
    <cfRule type="containsText" dxfId="337" priority="13" operator="containsText" text="F">
      <formula>NOT(ISERROR(SEARCH("F",I57)))</formula>
    </cfRule>
    <cfRule type="containsText" dxfId="336" priority="14" operator="containsText" text="G">
      <formula>NOT(ISERROR(SEARCH("G",I57)))</formula>
    </cfRule>
  </conditionalFormatting>
  <conditionalFormatting sqref="K5:K15">
    <cfRule type="expression" dxfId="15" priority="2" stopIfTrue="1">
      <formula>$O$19="No"</formula>
    </cfRule>
  </conditionalFormatting>
  <conditionalFormatting sqref="L5:L15">
    <cfRule type="expression" dxfId="14"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9A604DD6-A0DD-594E-8ADC-EC4015650992}">
      <formula1>AND(Q19="Yes", ISNUMBER(L5))</formula1>
    </dataValidation>
    <dataValidation type="custom" operator="lessThan" allowBlank="1" showErrorMessage="1" errorTitle="Error" error="You can only enter values if you have selected HOME PV. The value must be a number." sqref="K5:K15" xr:uid="{DDADA99D-ADD2-A749-812D-E2DE3784A9FF}">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98AA164-7AA7-4412-B2A4-1EDCC82709C6}">
          <x14:formula1>
            <xm:f>DATA!$J$3:$J$10</xm:f>
          </x14:formula1>
          <xm:sqref>D29:D51</xm:sqref>
        </x14:dataValidation>
        <x14:dataValidation type="list" allowBlank="1" showInputMessage="1" showErrorMessage="1" xr:uid="{35B2001E-1220-014F-BB2E-56B6F9C4A27F}">
          <x14:formula1>
            <xm:f>DATA!$B$15:$B$23</xm:f>
          </x14:formula1>
          <xm:sqref>J2</xm:sqref>
        </x14:dataValidation>
        <x14:dataValidation type="list" allowBlank="1" showInputMessage="1" showErrorMessage="1" xr:uid="{66A463AE-0246-43F2-975C-A69A6FB22801}">
          <x14:formula1>
            <xm:f>DATA!$H$3:$H$23</xm:f>
          </x14:formula1>
          <xm:sqref>C29:C51</xm:sqref>
        </x14:dataValidation>
        <x14:dataValidation type="list" allowBlank="1" showInputMessage="1" showErrorMessage="1" xr:uid="{65572B6A-1C04-B643-AFD1-39F3EFC60561}">
          <x14:formula1>
            <xm:f>DATA!$B$3:$B$13</xm:f>
          </x14:formula1>
          <xm:sqref>H2</xm:sqref>
        </x14:dataValidation>
        <x14:dataValidation type="list" allowBlank="1" showInputMessage="1" showErrorMessage="1" xr:uid="{E847FE52-C251-A344-A0D6-1B090CBE762A}">
          <x14:formula1>
            <xm:f>DATA!$L$4:$L$5</xm:f>
          </x14:formula1>
          <xm:sqref>O18:O19 Q19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118EF-8901-4FDB-AFDF-7E18DBDBA4F0}">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4.83203125" customWidth="1"/>
    <col min="5" max="5" width="17.6640625" customWidth="1"/>
    <col min="6" max="6" width="16.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100</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IF($O$18="Yes",(E5/$F$2)*DATA!$C$9,(E5/$F$2)*DATA!F$11)+IF(ISBLANK(K5),0,K5/$F$2)*DATA!$C$9-IF(ISBLANK(L5),0,L5/$F$2)*DATA!F$11</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IF($O$18="Yes",(E6/$F$2)*DATA!$C$9,(E6/$F$2)*DATA!F$11)+IF(ISBLANK(K6),0,K6/$F$2)*DATA!$C$9-IF(ISBLANK(L6),0,L6/$F$2)*DATA!F$11</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IF($O$18="Yes",(E7/$F$2)*DATA!$C$9,(E7/$F$2)*DATA!F$11)+IF(ISBLANK(K7),0,K7/$F$2)*DATA!$C$9-IF(ISBLANK(L7),0,L7/$F$2)*DATA!F$11</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IF($O$18="Yes",(E8/$F$2)*DATA!$C$9,(E8/$F$2)*DATA!F$11)+IF(ISBLANK(K8),0,K8/$F$2)*DATA!$C$9-IF(ISBLANK(L8),0,L8/$F$2)*DATA!F$11</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IF($O$18="Yes",(E9/$F$2)*DATA!$C$9,(E9/$F$2)*DATA!F$11)+IF(ISBLANK(K9),0,K9/$F$2)*DATA!$C$9-IF(ISBLANK(L9),0,L9/$F$2)*DATA!F$11</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IF($O$18="Yes",(E10/$F$2)*DATA!$C$9,(E10/$F$2)*DATA!F$11)+IF(ISBLANK(K10),0,K10/$F$2)*DATA!$C$9-IF(ISBLANK(L10),0,L10/$F$2)*DATA!F$11</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IF($O$18="Yes",(E11/$F$2)*DATA!$C$9,(E11/$F$2)*DATA!F$11)+IF(ISBLANK(K11),0,K11/$F$2)*DATA!$C$9-IF(ISBLANK(L11),0,L11/$F$2)*DATA!F$11</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IF($O$18="Yes",(E12/$F$2)*DATA!$C$9,(E12/$F$2)*DATA!F$11)+IF(ISBLANK(K12),0,K12/$F$2)*DATA!$C$9-IF(ISBLANK(L12),0,L12/$F$2)*DATA!F$11</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IF($O$18="Yes",(E13/$F$2)*DATA!$C$9,(E13/$F$2)*DATA!F$11)+IF(ISBLANK(K13),0,K13/$F$2)*DATA!$C$9-IF(ISBLANK(L13),0,L13/$F$2)*DATA!F$11</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IF($O$18="Yes",(E14/$F$2)*DATA!$C$9,(E14/$F$2)*DATA!F$11)+IF(ISBLANK(K14),0,K14/$F$2)*DATA!$C$9-IF(ISBLANK(L14),0,L14/$F$2)*DATA!F$11</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IF($O$18="Yes",(E15/$F$2)*DATA!$C$9,(E15/$F$2)*DATA!F$11)+IF(ISBLANK(K15),0,K15/$F$2)*DATA!$C$9-IF(ISBLANK(L15),0,L15/$F$2)*DATA!F$11</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car",$D29=1),$E29*'EU-28 '!C$7,AND($C29="Fuel car",$D29=2),$E29*'EU-28 '!C$8,AND($C29="Fuel car",$D29=3),$E29*'EU-28 '!C$9,AND($C29="Fuel car",$D29=4),$E29*'EU-28 '!C$10,AND($C29="Fuel car",$D29=5),$E29*'EU-28 '!C$11,AND($C29="Motorcycle",$D29=1),$E29*'EU-28 '!C$13,AND($C29="Motorcycle",$D29=2),$E29*'EU-28 '!C$14,AND($C29="Electric car",$D29=1),$E29*'EU-28 '!C$16,AND($C29="Electric car",$D29=2),$E29*'EU-28 '!C$17,AND($C29="Electric car",$D29=3),$E29*'EU-28 '!C$18,AND($C29="Electric car",$D29=4),$E29*'EU-28 '!C$19,AND($C29="Electric car",$D29=5),$E29*'EU-28 '!C$20,AND($C29="Hybrid car",$D29=1),$E29*'EU-28 '!C$22,AND($C29="Hybrid car",$D29=2),$E29*'EU-28 '!C$23,AND($C29="Hybrid car",$D29=3),$E29*'EU-28 '!C$24,AND($C29="Hybrid car",$D29=4),$E29*'EU-28 '!C$25,AND($C29="Hybrid car",$D29=5),$E29*'EU-28 '!C$26,AND($C29="Electric motorcycle",$D29=1),$E29*'EU-28 '!C$28,AND($C29="Electric motorcycle",$D29=2),$E29*'EU-28 '!C$29,AND($C29="Electric bike",$D29=1),$E29*'EU-28 '!C$31,AND($C29="Electric scooter",$D29=1),$E29*'EU-28 '!C$33,AND($C29="Bus",$D29="Almost empty"),$E29*'EU-28 '!H$23,AND($C29="Bus",$D29="Average"),$E29*'EU-28 '!H$24,AND($C29="Bus",$D29="Nearly full"),$E29*'EU-28 '!H$25,AND($C29="Electric bus",$D29="Almost empty"),$E29*'EU-28 '!H$7,AND($C29="Electric bus",$D29="Average"),$E29*'EU-28 '!H$8,AND($C29="Electric bus",$D29="Nearly full"),$E29*'EU-28 '!H$9,AND($C29="Diesel bus",$D29="Almost empty"),$E29*'EU-28 '!H$19,AND($C29="Diesel bus",$D29="Average"),$E29*'EU-28 '!H$20,AND($C29="Diesel bus",$D29="Nearly full"),$E29*'EU-28 '!H$21,AND($C29="Hybrid-electric bus",$D29="Almost empty"),$E29*'EU-28 '!H$11,AND($C29="Hybrid-electric bus",$D29="Average"),$E29*'EU-28 '!H$12,AND($C29="Hybrid-electric bus",$D29="Nearly full"),$E29*'EU-28 '!H$13,AND($C29="Alternative fuel bus",$D29="Almost empty"),$E29*'EU-28 '!H$15,AND($C29="Alternative fuel bus",$D29="Average"),$E29*'EU-28 '!H$16,AND($C29="Alternative fuel bus",$D29="Nearly full"),$E29*'EU-28 '!H$17,AND($C29="Metro, tram, urban light train",$D29="Almost empty"),$E29*'EU-28 '!C$35,AND($C29="Metro, tram, urban light train",$D29="Average"),$E29*'EU-28 '!C$36,AND($C29="Metro, tram, urban light train",$D29="Nearly full"),$E29*'EU-28 '!C$37,AND($C29="Electric passenger train",$D29="Almost empty"),$E29*'EU-28 '!C$39,AND($C29="Electric passenger train",$D29="Average"),$E29*'EU-28 '!C$40,AND($C29="Electric passenger train",$D29="Nearly full"),$E29*'EU-28 '!C$41,AND($C29="Diesel passenger train",$D29="Almost empty"),$E29*'EU-28 '!C$47,AND($C29="Diesel passenger train",$D29="Average"),$E29*'EU-28 '!C$48,AND($C29="Diesel passenger train",$D29="Nearly full"),$E29*'EU-28 '!C$49,AND($C29="Walking"),$E29*0,AND($C29="Bike"),$E29*0,AND($C29="Plane - domestic flight"),$E29*'EU-28 '!$C53,AND($C29="Plane - international - intra EU"),$E29*'EU-28 '!$C55,AND($C29="Plane - international (extra EU)"),$E29*'EU-28 '!$C57)</f>
        <v>#N/A</v>
      </c>
      <c r="G29" s="104" t="e" cm="1">
        <f t="array" ref="G29">_xlfn.IFS(AND($C29="Fuel car",$D29=1),$E29*'EU-28 '!D$7,AND($C29="Fuel car",$D29=2),$E29*'EU-28 '!D$8,AND($C29="Fuel car",$D29=3),$E29*'EU-28 '!D$9,AND($C29="Fuel car",$D29=4),$E29*'EU-28 '!D$10,AND($C29="Fuel car",$D29=5),$E29*'EU-28 '!D$11,AND($C29="Motorcycle",$D29=1),$E29*'EU-28 '!D$13,AND($C29="Motorcycle",$D29=2),$E29*'EU-28 '!D$14,AND($C29="Electric car",$D29=1),$E29*'EU-28 '!D$16,AND($C29="Electric car",$D29=2),$E29*'EU-28 '!D$17,AND($C29="Electric car",$D29=3),$E29*'EU-28 '!D$18,AND($C29="Electric car",$D29=4),$E29*'EU-28 '!D$19,AND($C29="Electric car",$D29=5),$E29*'EU-28 '!D$20,AND($C29="Hybrid car",$D29=1),$E29*'EU-28 '!D$22,AND($C29="Hybrid car",$D29=2),$E29*'EU-28 '!D$23,AND($C29="Hybrid car",$D29=3),$E29*'EU-28 '!D$24,AND($C29="Hybrid car",$D29=4),$E29*'EU-28 '!D$25,AND($C29="Hybrid car",$D29=5),$E29*'EU-28 '!D$26,AND($C29="Electric motorcycle",$D29=1),$E29*'EU-28 '!D$28,AND($C29="Electric motorcycle",$D29=2),$E29*'EU-28 '!D$29,AND($C29="Electric bike",$D29=1),$E29*'EU-28 '!D$31,AND($C29="Electric scooter",$D29=1),$E29*'EU-28 '!D$33,AND($C29="Bus",$D29="Almost empty"),$E29*'EU-28 '!I$23,AND($C29="Bus",$D29="Average"),$E29*'EU-28 '!I$24,AND($C29="Bus",$D29="Nearly full"),$E29*'EU-28 '!I$25,AND($C29="Electric bus",$D29="Almost empty"),$E29*'EU-28 '!I$7,AND($C29="Electric bus",$D29="Average"),$E29*'EU-28 '!I$8,AND($C29="Electric bus",$D29="Nearly full"),$E29*'EU-28 '!I$9,AND($C29="Diesel bus",$D29="Almost empty"),$E29*'EU-28 '!I$19,AND($C29="Diesel bus",$D29="Average"),$E29*'EU-28 '!I$20,AND($C29="Diesel bus",$D29="Nearly full"),$E29*'EU-28 '!I$21,AND($C29="Hybrid-electric bus",$D29="Almost empty"),$E29*'EU-28 '!I$11,AND($C29="Hybrid-electric bus",$D29="Average"),$E29*'EU-28 '!I$12,AND($C29="Hybrid-electric bus",$D29="Nearly full"),$E29*'EU-28 '!I$13,AND($C29="Alternative fuel bus",$D29="Almost empty"),$E29*'EU-28 '!I$15,AND($C29="Alternative fuel bus",$D29="Average"),$E29*'EU-28 '!I$16,AND($C29="Alternative fuel bus",$D29="Nearly full"),$E29*'EU-28 '!I$17,AND($C29="Metro, tram, urban light train",$D29="Almost empty"),$E29*'EU-28 '!D$35,AND($C29="Metro, tram, urban light train",$D29="Average"),$E29*'EU-28 '!D$36,AND($C29="Metro, tram, urban light train",$D29="Nearly full"),$E29*'EU-28 '!D$37,AND($C29="Electric passenger train",$D29="Almost empty"),$E29*'EU-28 '!D$39,AND($C29="Electric passenger train",$D29="Average"),$E29*'EU-28 '!D$40,AND($C29="Electric passenger train",$D29="Nearly full"),$E29*'EU-28 '!D$41,AND($C29="Diesel passenger train",$D29="Almost empty"),$E29*'EU-28 '!D$47,AND($C29="Diesel passenger train",$D29="Average"),$E29*'EU-28 '!D$48,AND($C29="Diesel passenger train",$D29="Nearly full"),$E29*'EU-28 '!D$49,AND($C29="Walking"),$E29*0,AND($C29="Bike"),$E29*0,AND($C29="Plane - domestic flight"),$E29*'EU-28 '!$C53,AND($C29="Plane - international - intra EU"),$E29*'EU-28 '!$C55,AND($C29="Plane - international (extra EU)"),$E29*'EU-28 '!$C57)</f>
        <v>#N/A</v>
      </c>
      <c r="H29" s="151"/>
      <c r="I29" s="152">
        <f>H29/10*E29</f>
        <v>0</v>
      </c>
      <c r="J29" s="146" t="e" cm="1">
        <f t="array" ref="J29">_xlfn.IFS(C29="Fuel car",C29*DATA!$C$17,C29="Electric car",C29*DATA!$F$11,C29="Hybrid car",I29*(0.5*DATA!$C$17+0.5*DATA!$F$11))</f>
        <v>#N/A</v>
      </c>
      <c r="L29" s="218"/>
      <c r="M29" s="219"/>
      <c r="N29" s="220"/>
    </row>
    <row r="30" spans="1:17" ht="32" customHeight="1" x14ac:dyDescent="0.2">
      <c r="A30" s="222"/>
      <c r="B30" s="30"/>
      <c r="C30" s="15"/>
      <c r="D30" s="15"/>
      <c r="E30" s="125"/>
      <c r="F30" s="128" t="e" cm="1">
        <f t="array" ref="F30">_xlfn.IFS(AND($C30="Fuel car",$D30=1),$E30*'EU-28 '!C$7,AND($C30="Fuel car",$D30=2),$E30*'EU-28 '!C$8,AND($C30="Fuel car",$D30=3),$E30*'EU-28 '!C$9,AND($C30="Fuel car",$D30=4),$E30*'EU-28 '!C$10,AND($C30="Fuel car",$D30=5),$E30*'EU-28 '!C$11,AND($C30="Motorcycle",$D30=1),$E30*'EU-28 '!C$13,AND($C30="Motorcycle",$D30=2),$E30*'EU-28 '!C$14,AND($C30="Electric car",$D30=1),$E30*'EU-28 '!C$16,AND($C30="Electric car",$D30=2),$E30*'EU-28 '!C$17,AND($C30="Electric car",$D30=3),$E30*'EU-28 '!C$18,AND($C30="Electric car",$D30=4),$E30*'EU-28 '!C$19,AND($C30="Electric car",$D30=5),$E30*'EU-28 '!C$20,AND($C30="Hybrid car",$D30=1),$E30*'EU-28 '!C$22,AND($C30="Hybrid car",$D30=2),$E30*'EU-28 '!C$23,AND($C30="Hybrid car",$D30=3),$E30*'EU-28 '!C$24,AND($C30="Hybrid car",$D30=4),$E30*'EU-28 '!C$25,AND($C30="Hybrid car",$D30=5),$E30*'EU-28 '!C$26,AND($C30="Electric motorcycle",$D30=1),$E30*'EU-28 '!C$28,AND($C30="Electric motorcycle",$D30=2),$E30*'EU-28 '!C$29,AND($C30="Electric bike",$D30=1),$E30*'EU-28 '!C$31,AND($C30="Electric scooter",$D30=1),$E30*'EU-28 '!C$33,AND($C30="Bus",$D30="Almost empty"),$E30*'EU-28 '!H$23,AND($C30="Bus",$D30="Average"),$E30*'EU-28 '!H$24,AND($C30="Bus",$D30="Nearly full"),$E30*'EU-28 '!H$25,AND($C30="Electric bus",$D30="Almost empty"),$E30*'EU-28 '!H$7,AND($C30="Electric bus",$D30="Average"),$E30*'EU-28 '!H$8,AND($C30="Electric bus",$D30="Nearly full"),$E30*'EU-28 '!H$9,AND($C30="Diesel bus",$D30="Almost empty"),$E30*'EU-28 '!H$19,AND($C30="Diesel bus",$D30="Average"),$E30*'EU-28 '!H$20,AND($C30="Diesel bus",$D30="Nearly full"),$E30*'EU-28 '!H$21,AND($C30="Hybrid-electric bus",$D30="Almost empty"),$E30*'EU-28 '!H$11,AND($C30="Hybrid-electric bus",$D30="Average"),$E30*'EU-28 '!H$12,AND($C30="Hybrid-electric bus",$D30="Nearly full"),$E30*'EU-28 '!H$13,AND($C30="Alternative fuel bus",$D30="Almost empty"),$E30*'EU-28 '!H$15,AND($C30="Alternative fuel bus",$D30="Average"),$E30*'EU-28 '!H$16,AND($C30="Alternative fuel bus",$D30="Nearly full"),$E30*'EU-28 '!H$17,AND($C30="Metro, tram, urban light train",$D30="Almost empty"),$E30*'EU-28 '!C$35,AND($C30="Metro, tram, urban light train",$D30="Average"),$E30*'EU-28 '!C$36,AND($C30="Metro, tram, urban light train",$D30="Nearly full"),$E30*'EU-28 '!C$37,AND($C30="Electric passenger train",$D30="Almost empty"),$E30*'EU-28 '!C$39,AND($C30="Electric passenger train",$D30="Average"),$E30*'EU-28 '!C$40,AND($C30="Electric passenger train",$D30="Nearly full"),$E30*'EU-28 '!C$41,AND($C30="Diesel passenger train",$D30="Almost empty"),$E30*'EU-28 '!C$47,AND($C30="Diesel passenger train",$D30="Average"),$E30*'EU-28 '!C$48,AND($C30="Diesel passenger train",$D30="Nearly full"),$E30*'EU-28 '!C$49,AND($C30="Walking"),$E30*0,AND($C30="Bike"),$E30*0,AND($C30="Plane - domestic flight"),$E30*'EU-28 '!$C54,AND($C30="Plane - international - intra EU"),$E30*'EU-28 '!$C56,AND($C30="Plane - international (extra EU)"),$E30*'EU-28 '!$C58)</f>
        <v>#N/A</v>
      </c>
      <c r="G30" s="31" t="e" cm="1">
        <f t="array" ref="G30">_xlfn.IFS(AND($C30="Fuel car",$D30=1),$E30*'EU-28 '!D$7,AND($C30="Fuel car",$D30=2),$E30*'EU-28 '!D$8,AND($C30="Fuel car",$D30=3),$E30*'EU-28 '!D$9,AND($C30="Fuel car",$D30=4),$E30*'EU-28 '!D$10,AND($C30="Fuel car",$D30=5),$E30*'EU-28 '!D$11,AND($C30="Motorcycle",$D30=1),$E30*'EU-28 '!D$13,AND($C30="Motorcycle",$D30=2),$E30*'EU-28 '!D$14,AND($C30="Electric car",$D30=1),$E30*'EU-28 '!D$16,AND($C30="Electric car",$D30=2),$E30*'EU-28 '!D$17,AND($C30="Electric car",$D30=3),$E30*'EU-28 '!D$18,AND($C30="Electric car",$D30=4),$E30*'EU-28 '!D$19,AND($C30="Electric car",$D30=5),$E30*'EU-28 '!D$20,AND($C30="Hybrid car",$D30=1),$E30*'EU-28 '!D$22,AND($C30="Hybrid car",$D30=2),$E30*'EU-28 '!D$23,AND($C30="Hybrid car",$D30=3),$E30*'EU-28 '!D$24,AND($C30="Hybrid car",$D30=4),$E30*'EU-28 '!D$25,AND($C30="Hybrid car",$D30=5),$E30*'EU-28 '!D$26,AND($C30="Electric motorcycle",$D30=1),$E30*'EU-28 '!D$28,AND($C30="Electric motorcycle",$D30=2),$E30*'EU-28 '!D$29,AND($C30="Electric bike",$D30=1),$E30*'EU-28 '!D$31,AND($C30="Electric scooter",$D30=1),$E30*'EU-28 '!D$33,AND($C30="Bus",$D30="Almost empty"),$E30*'EU-28 '!I$23,AND($C30="Bus",$D30="Average"),$E30*'EU-28 '!I$24,AND($C30="Bus",$D30="Nearly full"),$E30*'EU-28 '!I$25,AND($C30="Electric bus",$D30="Almost empty"),$E30*'EU-28 '!I$7,AND($C30="Electric bus",$D30="Average"),$E30*'EU-28 '!I$8,AND($C30="Electric bus",$D30="Nearly full"),$E30*'EU-28 '!I$9,AND($C30="Diesel bus",$D30="Almost empty"),$E30*'EU-28 '!I$19,AND($C30="Diesel bus",$D30="Average"),$E30*'EU-28 '!I$20,AND($C30="Diesel bus",$D30="Nearly full"),$E30*'EU-28 '!I$21,AND($C30="Hybrid-electric bus",$D30="Almost empty"),$E30*'EU-28 '!I$11,AND($C30="Hybrid-electric bus",$D30="Average"),$E30*'EU-28 '!I$12,AND($C30="Hybrid-electric bus",$D30="Nearly full"),$E30*'EU-28 '!I$13,AND($C30="Alternative fuel bus",$D30="Almost empty"),$E30*'EU-28 '!I$15,AND($C30="Alternative fuel bus",$D30="Average"),$E30*'EU-28 '!I$16,AND($C30="Alternative fuel bus",$D30="Nearly full"),$E30*'EU-28 '!I$17,AND($C30="Metro, tram, urban light train",$D30="Almost empty"),$E30*'EU-28 '!D$35,AND($C30="Metro, tram, urban light train",$D30="Average"),$E30*'EU-28 '!D$36,AND($C30="Metro, tram, urban light train",$D30="Nearly full"),$E30*'EU-28 '!D$37,AND($C30="Electric passenger train",$D30="Almost empty"),$E30*'EU-28 '!D$39,AND($C30="Electric passenger train",$D30="Average"),$E30*'EU-28 '!D$40,AND($C30="Electric passenger train",$D30="Nearly full"),$E30*'EU-28 '!D$41,AND($C30="Diesel passenger train",$D30="Almost empty"),$E30*'EU-28 '!D$47,AND($C30="Diesel passenger train",$D30="Average"),$E30*'EU-28 '!D$48,AND($C30="Diesel passenger train",$D30="Nearly full"),$E30*'EU-28 '!D$49,AND($C30="Walking"),$E30*0,AND($C30="Bike"),$E30*0,AND($C30="Plane - domestic flight"),$E30*'EU-28 '!$C54,AND($C30="Plane - international - intra EU"),$E30*'EU-28 '!$C56,AND($C30="Plane - international (extra EU)"),$E30*'EU-28 '!$C58)</f>
        <v>#N/A</v>
      </c>
      <c r="H30" s="145"/>
      <c r="I30" s="148">
        <f t="shared" ref="I30:I43" si="6">H30/10*E30</f>
        <v>0</v>
      </c>
      <c r="J30" s="146" t="e" cm="1">
        <f t="array" ref="J30">_xlfn.IFS(C30="Fuel car",C30*DATA!$C$17,C30="Electric car",C30*DATA!$F$11,C30="Hybrid car",I30*(0.5*DATA!$C$17+0.5*DATA!$F$11))</f>
        <v>#N/A</v>
      </c>
      <c r="L30" s="215" t="s">
        <v>76</v>
      </c>
      <c r="M30" s="216"/>
      <c r="N30" s="217"/>
    </row>
    <row r="31" spans="1:17" x14ac:dyDescent="0.2">
      <c r="A31" s="222"/>
      <c r="B31" s="30"/>
      <c r="C31" s="15"/>
      <c r="D31" s="15"/>
      <c r="E31" s="125"/>
      <c r="F31" s="128" t="e" cm="1">
        <f t="array" ref="F31">_xlfn.IFS(AND($C31="Fuel car",$D31=1),$E31*'EU-28 '!C$7,AND($C31="Fuel car",$D31=2),$E31*'EU-28 '!C$8,AND($C31="Fuel car",$D31=3),$E31*'EU-28 '!C$9,AND($C31="Fuel car",$D31=4),$E31*'EU-28 '!C$10,AND($C31="Fuel car",$D31=5),$E31*'EU-28 '!C$11,AND($C31="Motorcycle",$D31=1),$E31*'EU-28 '!C$13,AND($C31="Motorcycle",$D31=2),$E31*'EU-28 '!C$14,AND($C31="Electric car",$D31=1),$E31*'EU-28 '!C$16,AND($C31="Electric car",$D31=2),$E31*'EU-28 '!C$17,AND($C31="Electric car",$D31=3),$E31*'EU-28 '!C$18,AND($C31="Electric car",$D31=4),$E31*'EU-28 '!C$19,AND($C31="Electric car",$D31=5),$E31*'EU-28 '!C$20,AND($C31="Hybrid car",$D31=1),$E31*'EU-28 '!C$22,AND($C31="Hybrid car",$D31=2),$E31*'EU-28 '!C$23,AND($C31="Hybrid car",$D31=3),$E31*'EU-28 '!C$24,AND($C31="Hybrid car",$D31=4),$E31*'EU-28 '!C$25,AND($C31="Hybrid car",$D31=5),$E31*'EU-28 '!C$26,AND($C31="Electric motorcycle",$D31=1),$E31*'EU-28 '!C$28,AND($C31="Electric motorcycle",$D31=2),$E31*'EU-28 '!C$29,AND($C31="Electric bike",$D31=1),$E31*'EU-28 '!C$31,AND($C31="Electric scooter",$D31=1),$E31*'EU-28 '!C$33,AND($C31="Bus",$D31="Almost empty"),$E31*'EU-28 '!H$23,AND($C31="Bus",$D31="Average"),$E31*'EU-28 '!H$24,AND($C31="Bus",$D31="Nearly full"),$E31*'EU-28 '!H$25,AND($C31="Electric bus",$D31="Almost empty"),$E31*'EU-28 '!H$7,AND($C31="Electric bus",$D31="Average"),$E31*'EU-28 '!H$8,AND($C31="Electric bus",$D31="Nearly full"),$E31*'EU-28 '!H$9,AND($C31="Diesel bus",$D31="Almost empty"),$E31*'EU-28 '!H$19,AND($C31="Diesel bus",$D31="Average"),$E31*'EU-28 '!H$20,AND($C31="Diesel bus",$D31="Nearly full"),$E31*'EU-28 '!H$21,AND($C31="Hybrid-electric bus",$D31="Almost empty"),$E31*'EU-28 '!H$11,AND($C31="Hybrid-electric bus",$D31="Average"),$E31*'EU-28 '!H$12,AND($C31="Hybrid-electric bus",$D31="Nearly full"),$E31*'EU-28 '!H$13,AND($C31="Alternative fuel bus",$D31="Almost empty"),$E31*'EU-28 '!H$15,AND($C31="Alternative fuel bus",$D31="Average"),$E31*'EU-28 '!H$16,AND($C31="Alternative fuel bus",$D31="Nearly full"),$E31*'EU-28 '!H$17,AND($C31="Metro, tram, urban light train",$D31="Almost empty"),$E31*'EU-28 '!C$35,AND($C31="Metro, tram, urban light train",$D31="Average"),$E31*'EU-28 '!C$36,AND($C31="Metro, tram, urban light train",$D31="Nearly full"),$E31*'EU-28 '!C$37,AND($C31="Electric passenger train",$D31="Almost empty"),$E31*'EU-28 '!C$39,AND($C31="Electric passenger train",$D31="Average"),$E31*'EU-28 '!C$40,AND($C31="Electric passenger train",$D31="Nearly full"),$E31*'EU-28 '!C$41,AND($C31="Diesel passenger train",$D31="Almost empty"),$E31*'EU-28 '!C$47,AND($C31="Diesel passenger train",$D31="Average"),$E31*'EU-28 '!C$48,AND($C31="Diesel passenger train",$D31="Nearly full"),$E31*'EU-28 '!C$49,AND($C31="Walking"),$E31*0,AND($C31="Bike"),$E31*0,AND($C31="Plane - domestic flight"),$E31*'EU-28 '!$C55,AND($C31="Plane - international - intra EU"),$E31*'EU-28 '!$C57,AND($C31="Plane - international (extra EU)"),$E31*'EU-28 '!$C59)</f>
        <v>#N/A</v>
      </c>
      <c r="G31" s="31" t="e" cm="1">
        <f t="array" ref="G31">_xlfn.IFS(AND($C31="Fuel car",$D31=1),$E31*'EU-28 '!D$7,AND($C31="Fuel car",$D31=2),$E31*'EU-28 '!D$8,AND($C31="Fuel car",$D31=3),$E31*'EU-28 '!D$9,AND($C31="Fuel car",$D31=4),$E31*'EU-28 '!D$10,AND($C31="Fuel car",$D31=5),$E31*'EU-28 '!D$11,AND($C31="Motorcycle",$D31=1),$E31*'EU-28 '!D$13,AND($C31="Motorcycle",$D31=2),$E31*'EU-28 '!D$14,AND($C31="Electric car",$D31=1),$E31*'EU-28 '!D$16,AND($C31="Electric car",$D31=2),$E31*'EU-28 '!D$17,AND($C31="Electric car",$D31=3),$E31*'EU-28 '!D$18,AND($C31="Electric car",$D31=4),$E31*'EU-28 '!D$19,AND($C31="Electric car",$D31=5),$E31*'EU-28 '!D$20,AND($C31="Hybrid car",$D31=1),$E31*'EU-28 '!D$22,AND($C31="Hybrid car",$D31=2),$E31*'EU-28 '!D$23,AND($C31="Hybrid car",$D31=3),$E31*'EU-28 '!D$24,AND($C31="Hybrid car",$D31=4),$E31*'EU-28 '!D$25,AND($C31="Hybrid car",$D31=5),$E31*'EU-28 '!D$26,AND($C31="Electric motorcycle",$D31=1),$E31*'EU-28 '!D$28,AND($C31="Electric motorcycle",$D31=2),$E31*'EU-28 '!D$29,AND($C31="Electric bike",$D31=1),$E31*'EU-28 '!D$31,AND($C31="Electric scooter",$D31=1),$E31*'EU-28 '!D$33,AND($C31="Bus",$D31="Almost empty"),$E31*'EU-28 '!I$23,AND($C31="Bus",$D31="Average"),$E31*'EU-28 '!I$24,AND($C31="Bus",$D31="Nearly full"),$E31*'EU-28 '!I$25,AND($C31="Electric bus",$D31="Almost empty"),$E31*'EU-28 '!I$7,AND($C31="Electric bus",$D31="Average"),$E31*'EU-28 '!I$8,AND($C31="Electric bus",$D31="Nearly full"),$E31*'EU-28 '!I$9,AND($C31="Diesel bus",$D31="Almost empty"),$E31*'EU-28 '!I$19,AND($C31="Diesel bus",$D31="Average"),$E31*'EU-28 '!I$20,AND($C31="Diesel bus",$D31="Nearly full"),$E31*'EU-28 '!I$21,AND($C31="Hybrid-electric bus",$D31="Almost empty"),$E31*'EU-28 '!I$11,AND($C31="Hybrid-electric bus",$D31="Average"),$E31*'EU-28 '!I$12,AND($C31="Hybrid-electric bus",$D31="Nearly full"),$E31*'EU-28 '!I$13,AND($C31="Alternative fuel bus",$D31="Almost empty"),$E31*'EU-28 '!I$15,AND($C31="Alternative fuel bus",$D31="Average"),$E31*'EU-28 '!I$16,AND($C31="Alternative fuel bus",$D31="Nearly full"),$E31*'EU-28 '!I$17,AND($C31="Metro, tram, urban light train",$D31="Almost empty"),$E31*'EU-28 '!D$35,AND($C31="Metro, tram, urban light train",$D31="Average"),$E31*'EU-28 '!D$36,AND($C31="Metro, tram, urban light train",$D31="Nearly full"),$E31*'EU-28 '!D$37,AND($C31="Electric passenger train",$D31="Almost empty"),$E31*'EU-28 '!D$39,AND($C31="Electric passenger train",$D31="Average"),$E31*'EU-28 '!D$40,AND($C31="Electric passenger train",$D31="Nearly full"),$E31*'EU-28 '!D$41,AND($C31="Diesel passenger train",$D31="Almost empty"),$E31*'EU-28 '!D$47,AND($C31="Diesel passenger train",$D31="Average"),$E31*'EU-28 '!D$48,AND($C31="Diesel passenger train",$D31="Nearly full"),$E31*'EU-28 '!D$49,AND($C31="Walking"),$E31*0,AND($C31="Bike"),$E31*0,AND($C31="Plane - domestic flight"),$E31*'EU-28 '!$C55,AND($C31="Plane - international - intra EU"),$E31*'EU-28 '!$C57,AND($C31="Plane - international (extra EU)"),$E31*'EU-28 '!$C59)</f>
        <v>#N/A</v>
      </c>
      <c r="H31" s="145"/>
      <c r="I31" s="148">
        <f t="shared" si="6"/>
        <v>0</v>
      </c>
      <c r="J31" s="146" t="e" cm="1">
        <f t="array" ref="J31">_xlfn.IFS(C31="Fuel car",C31*DATA!$C$17,C31="Electric car",C31*DATA!$F$11,C31="Hybrid car",I31*(0.5*DATA!$C$17+0.5*DATA!$F$11))</f>
        <v>#N/A</v>
      </c>
      <c r="L31" s="223"/>
      <c r="M31" s="224"/>
      <c r="N31" s="225"/>
    </row>
    <row r="32" spans="1:17" ht="16" thickBot="1" x14ac:dyDescent="0.25">
      <c r="A32" s="222"/>
      <c r="B32" s="30"/>
      <c r="C32" s="15"/>
      <c r="D32" s="15"/>
      <c r="E32" s="125"/>
      <c r="F32" s="128" t="e" cm="1">
        <f t="array" ref="F32">_xlfn.IFS(AND($C32="Fuel car",$D32=1),$E32*'EU-28 '!C$7,AND($C32="Fuel car",$D32=2),$E32*'EU-28 '!C$8,AND($C32="Fuel car",$D32=3),$E32*'EU-28 '!C$9,AND($C32="Fuel car",$D32=4),$E32*'EU-28 '!C$10,AND($C32="Fuel car",$D32=5),$E32*'EU-28 '!C$11,AND($C32="Motorcycle",$D32=1),$E32*'EU-28 '!C$13,AND($C32="Motorcycle",$D32=2),$E32*'EU-28 '!C$14,AND($C32="Electric car",$D32=1),$E32*'EU-28 '!C$16,AND($C32="Electric car",$D32=2),$E32*'EU-28 '!C$17,AND($C32="Electric car",$D32=3),$E32*'EU-28 '!C$18,AND($C32="Electric car",$D32=4),$E32*'EU-28 '!C$19,AND($C32="Electric car",$D32=5),$E32*'EU-28 '!C$20,AND($C32="Hybrid car",$D32=1),$E32*'EU-28 '!C$22,AND($C32="Hybrid car",$D32=2),$E32*'EU-28 '!C$23,AND($C32="Hybrid car",$D32=3),$E32*'EU-28 '!C$24,AND($C32="Hybrid car",$D32=4),$E32*'EU-28 '!C$25,AND($C32="Hybrid car",$D32=5),$E32*'EU-28 '!C$26,AND($C32="Electric motorcycle",$D32=1),$E32*'EU-28 '!C$28,AND($C32="Electric motorcycle",$D32=2),$E32*'EU-28 '!C$29,AND($C32="Electric bike",$D32=1),$E32*'EU-28 '!C$31,AND($C32="Electric scooter",$D32=1),$E32*'EU-28 '!C$33,AND($C32="Bus",$D32="Almost empty"),$E32*'EU-28 '!H$23,AND($C32="Bus",$D32="Average"),$E32*'EU-28 '!H$24,AND($C32="Bus",$D32="Nearly full"),$E32*'EU-28 '!H$25,AND($C32="Electric bus",$D32="Almost empty"),$E32*'EU-28 '!H$7,AND($C32="Electric bus",$D32="Average"),$E32*'EU-28 '!H$8,AND($C32="Electric bus",$D32="Nearly full"),$E32*'EU-28 '!H$9,AND($C32="Diesel bus",$D32="Almost empty"),$E32*'EU-28 '!H$19,AND($C32="Diesel bus",$D32="Average"),$E32*'EU-28 '!H$20,AND($C32="Diesel bus",$D32="Nearly full"),$E32*'EU-28 '!H$21,AND($C32="Hybrid-electric bus",$D32="Almost empty"),$E32*'EU-28 '!H$11,AND($C32="Hybrid-electric bus",$D32="Average"),$E32*'EU-28 '!H$12,AND($C32="Hybrid-electric bus",$D32="Nearly full"),$E32*'EU-28 '!H$13,AND($C32="Alternative fuel bus",$D32="Almost empty"),$E32*'EU-28 '!H$15,AND($C32="Alternative fuel bus",$D32="Average"),$E32*'EU-28 '!H$16,AND($C32="Alternative fuel bus",$D32="Nearly full"),$E32*'EU-28 '!H$17,AND($C32="Metro, tram, urban light train",$D32="Almost empty"),$E32*'EU-28 '!C$35,AND($C32="Metro, tram, urban light train",$D32="Average"),$E32*'EU-28 '!C$36,AND($C32="Metro, tram, urban light train",$D32="Nearly full"),$E32*'EU-28 '!C$37,AND($C32="Electric passenger train",$D32="Almost empty"),$E32*'EU-28 '!C$39,AND($C32="Electric passenger train",$D32="Average"),$E32*'EU-28 '!C$40,AND($C32="Electric passenger train",$D32="Nearly full"),$E32*'EU-28 '!C$41,AND($C32="Diesel passenger train",$D32="Almost empty"),$E32*'EU-28 '!C$47,AND($C32="Diesel passenger train",$D32="Average"),$E32*'EU-28 '!C$48,AND($C32="Diesel passenger train",$D32="Nearly full"),$E32*'EU-28 '!C$49,AND($C32="Walking"),$E32*0,AND($C32="Bike"),$E32*0,AND($C32="Plane - domestic flight"),$E32*'EU-28 '!$C56,AND($C32="Plane - international - intra EU"),$E32*'EU-28 '!$C58,AND($C32="Plane - international (extra EU)"),$E32*'EU-28 '!$C60)</f>
        <v>#N/A</v>
      </c>
      <c r="G32" s="31" t="e" cm="1">
        <f t="array" ref="G32">_xlfn.IFS(AND($C32="Fuel car",$D32=1),$E32*'EU-28 '!D$7,AND($C32="Fuel car",$D32=2),$E32*'EU-28 '!D$8,AND($C32="Fuel car",$D32=3),$E32*'EU-28 '!D$9,AND($C32="Fuel car",$D32=4),$E32*'EU-28 '!D$10,AND($C32="Fuel car",$D32=5),$E32*'EU-28 '!D$11,AND($C32="Motorcycle",$D32=1),$E32*'EU-28 '!D$13,AND($C32="Motorcycle",$D32=2),$E32*'EU-28 '!D$14,AND($C32="Electric car",$D32=1),$E32*'EU-28 '!D$16,AND($C32="Electric car",$D32=2),$E32*'EU-28 '!D$17,AND($C32="Electric car",$D32=3),$E32*'EU-28 '!D$18,AND($C32="Electric car",$D32=4),$E32*'EU-28 '!D$19,AND($C32="Electric car",$D32=5),$E32*'EU-28 '!D$20,AND($C32="Hybrid car",$D32=1),$E32*'EU-28 '!D$22,AND($C32="Hybrid car",$D32=2),$E32*'EU-28 '!D$23,AND($C32="Hybrid car",$D32=3),$E32*'EU-28 '!D$24,AND($C32="Hybrid car",$D32=4),$E32*'EU-28 '!D$25,AND($C32="Hybrid car",$D32=5),$E32*'EU-28 '!D$26,AND($C32="Electric motorcycle",$D32=1),$E32*'EU-28 '!D$28,AND($C32="Electric motorcycle",$D32=2),$E32*'EU-28 '!D$29,AND($C32="Electric bike",$D32=1),$E32*'EU-28 '!D$31,AND($C32="Electric scooter",$D32=1),$E32*'EU-28 '!D$33,AND($C32="Bus",$D32="Almost empty"),$E32*'EU-28 '!I$23,AND($C32="Bus",$D32="Average"),$E32*'EU-28 '!I$24,AND($C32="Bus",$D32="Nearly full"),$E32*'EU-28 '!I$25,AND($C32="Electric bus",$D32="Almost empty"),$E32*'EU-28 '!I$7,AND($C32="Electric bus",$D32="Average"),$E32*'EU-28 '!I$8,AND($C32="Electric bus",$D32="Nearly full"),$E32*'EU-28 '!I$9,AND($C32="Diesel bus",$D32="Almost empty"),$E32*'EU-28 '!I$19,AND($C32="Diesel bus",$D32="Average"),$E32*'EU-28 '!I$20,AND($C32="Diesel bus",$D32="Nearly full"),$E32*'EU-28 '!I$21,AND($C32="Hybrid-electric bus",$D32="Almost empty"),$E32*'EU-28 '!I$11,AND($C32="Hybrid-electric bus",$D32="Average"),$E32*'EU-28 '!I$12,AND($C32="Hybrid-electric bus",$D32="Nearly full"),$E32*'EU-28 '!I$13,AND($C32="Alternative fuel bus",$D32="Almost empty"),$E32*'EU-28 '!I$15,AND($C32="Alternative fuel bus",$D32="Average"),$E32*'EU-28 '!I$16,AND($C32="Alternative fuel bus",$D32="Nearly full"),$E32*'EU-28 '!I$17,AND($C32="Metro, tram, urban light train",$D32="Almost empty"),$E32*'EU-28 '!D$35,AND($C32="Metro, tram, urban light train",$D32="Average"),$E32*'EU-28 '!D$36,AND($C32="Metro, tram, urban light train",$D32="Nearly full"),$E32*'EU-28 '!D$37,AND($C32="Electric passenger train",$D32="Almost empty"),$E32*'EU-28 '!D$39,AND($C32="Electric passenger train",$D32="Average"),$E32*'EU-28 '!D$40,AND($C32="Electric passenger train",$D32="Nearly full"),$E32*'EU-28 '!D$41,AND($C32="Diesel passenger train",$D32="Almost empty"),$E32*'EU-28 '!D$47,AND($C32="Diesel passenger train",$D32="Average"),$E32*'EU-28 '!D$48,AND($C32="Diesel passenger train",$D32="Nearly full"),$E32*'EU-28 '!D$49,AND($C32="Walking"),$E32*0,AND($C32="Bike"),$E32*0,AND($C32="Plane - domestic flight"),$E32*'EU-28 '!$C56,AND($C32="Plane - international - intra EU"),$E32*'EU-28 '!$C58,AND($C32="Plane - international (extra EU)"),$E32*'EU-28 '!$C60)</f>
        <v>#N/A</v>
      </c>
      <c r="H32" s="145"/>
      <c r="I32" s="148">
        <f t="shared" si="6"/>
        <v>0</v>
      </c>
      <c r="J32" s="146" t="e" cm="1">
        <f t="array" ref="J32">_xlfn.IFS(C32="Fuel car",C32*DATA!$C$17,C32="Electric car",C32*DATA!$F$11,C32="Hybrid car",I32*(0.5*DATA!$C$17+0.5*DATA!$F$11))</f>
        <v>#N/A</v>
      </c>
      <c r="L32" s="218"/>
      <c r="M32" s="219"/>
      <c r="N32" s="220"/>
    </row>
    <row r="33" spans="1:14" ht="14.5" customHeight="1" x14ac:dyDescent="0.2">
      <c r="A33" s="222"/>
      <c r="B33" s="30"/>
      <c r="C33" s="15"/>
      <c r="D33" s="15"/>
      <c r="E33" s="125"/>
      <c r="F33" s="128" t="e" cm="1">
        <f t="array" ref="F33">_xlfn.IFS(AND($C33="Fuel car",$D33=1),$E33*'EU-28 '!C$7,AND($C33="Fuel car",$D33=2),$E33*'EU-28 '!C$8,AND($C33="Fuel car",$D33=3),$E33*'EU-28 '!C$9,AND($C33="Fuel car",$D33=4),$E33*'EU-28 '!C$10,AND($C33="Fuel car",$D33=5),$E33*'EU-28 '!C$11,AND($C33="Motorcycle",$D33=1),$E33*'EU-28 '!C$13,AND($C33="Motorcycle",$D33=2),$E33*'EU-28 '!C$14,AND($C33="Electric car",$D33=1),$E33*'EU-28 '!C$16,AND($C33="Electric car",$D33=2),$E33*'EU-28 '!C$17,AND($C33="Electric car",$D33=3),$E33*'EU-28 '!C$18,AND($C33="Electric car",$D33=4),$E33*'EU-28 '!C$19,AND($C33="Electric car",$D33=5),$E33*'EU-28 '!C$20,AND($C33="Hybrid car",$D33=1),$E33*'EU-28 '!C$22,AND($C33="Hybrid car",$D33=2),$E33*'EU-28 '!C$23,AND($C33="Hybrid car",$D33=3),$E33*'EU-28 '!C$24,AND($C33="Hybrid car",$D33=4),$E33*'EU-28 '!C$25,AND($C33="Hybrid car",$D33=5),$E33*'EU-28 '!C$26,AND($C33="Electric motorcycle",$D33=1),$E33*'EU-28 '!C$28,AND($C33="Electric motorcycle",$D33=2),$E33*'EU-28 '!C$29,AND($C33="Electric bike",$D33=1),$E33*'EU-28 '!C$31,AND($C33="Electric scooter",$D33=1),$E33*'EU-28 '!C$33,AND($C33="Bus",$D33="Almost empty"),$E33*'EU-28 '!H$23,AND($C33="Bus",$D33="Average"),$E33*'EU-28 '!H$24,AND($C33="Bus",$D33="Nearly full"),$E33*'EU-28 '!H$25,AND($C33="Electric bus",$D33="Almost empty"),$E33*'EU-28 '!H$7,AND($C33="Electric bus",$D33="Average"),$E33*'EU-28 '!H$8,AND($C33="Electric bus",$D33="Nearly full"),$E33*'EU-28 '!H$9,AND($C33="Diesel bus",$D33="Almost empty"),$E33*'EU-28 '!H$19,AND($C33="Diesel bus",$D33="Average"),$E33*'EU-28 '!H$20,AND($C33="Diesel bus",$D33="Nearly full"),$E33*'EU-28 '!H$21,AND($C33="Hybrid-electric bus",$D33="Almost empty"),$E33*'EU-28 '!H$11,AND($C33="Hybrid-electric bus",$D33="Average"),$E33*'EU-28 '!H$12,AND($C33="Hybrid-electric bus",$D33="Nearly full"),$E33*'EU-28 '!H$13,AND($C33="Alternative fuel bus",$D33="Almost empty"),$E33*'EU-28 '!H$15,AND($C33="Alternative fuel bus",$D33="Average"),$E33*'EU-28 '!H$16,AND($C33="Alternative fuel bus",$D33="Nearly full"),$E33*'EU-28 '!H$17,AND($C33="Metro, tram, urban light train",$D33="Almost empty"),$E33*'EU-28 '!C$35,AND($C33="Metro, tram, urban light train",$D33="Average"),$E33*'EU-28 '!C$36,AND($C33="Metro, tram, urban light train",$D33="Nearly full"),$E33*'EU-28 '!C$37,AND($C33="Electric passenger train",$D33="Almost empty"),$E33*'EU-28 '!C$39,AND($C33="Electric passenger train",$D33="Average"),$E33*'EU-28 '!C$40,AND($C33="Electric passenger train",$D33="Nearly full"),$E33*'EU-28 '!C$41,AND($C33="Diesel passenger train",$D33="Almost empty"),$E33*'EU-28 '!C$47,AND($C33="Diesel passenger train",$D33="Average"),$E33*'EU-28 '!C$48,AND($C33="Diesel passenger train",$D33="Nearly full"),$E33*'EU-28 '!C$49,AND($C33="Walking"),$E33*0,AND($C33="Bike"),$E33*0,AND($C33="Plane - domestic flight"),$E33*'EU-28 '!$C57,AND($C33="Plane - international - intra EU"),$E33*'EU-28 '!$C59,AND($C33="Plane - international (extra EU)"),$E33*'EU-28 '!$C61)</f>
        <v>#N/A</v>
      </c>
      <c r="G33" s="31" t="e" cm="1">
        <f t="array" ref="G33">_xlfn.IFS(AND($C33="Fuel car",$D33=1),$E33*'EU-28 '!D$7,AND($C33="Fuel car",$D33=2),$E33*'EU-28 '!D$8,AND($C33="Fuel car",$D33=3),$E33*'EU-28 '!D$9,AND($C33="Fuel car",$D33=4),$E33*'EU-28 '!D$10,AND($C33="Fuel car",$D33=5),$E33*'EU-28 '!D$11,AND($C33="Motorcycle",$D33=1),$E33*'EU-28 '!D$13,AND($C33="Motorcycle",$D33=2),$E33*'EU-28 '!D$14,AND($C33="Electric car",$D33=1),$E33*'EU-28 '!D$16,AND($C33="Electric car",$D33=2),$E33*'EU-28 '!D$17,AND($C33="Electric car",$D33=3),$E33*'EU-28 '!D$18,AND($C33="Electric car",$D33=4),$E33*'EU-28 '!D$19,AND($C33="Electric car",$D33=5),$E33*'EU-28 '!D$20,AND($C33="Hybrid car",$D33=1),$E33*'EU-28 '!D$22,AND($C33="Hybrid car",$D33=2),$E33*'EU-28 '!D$23,AND($C33="Hybrid car",$D33=3),$E33*'EU-28 '!D$24,AND($C33="Hybrid car",$D33=4),$E33*'EU-28 '!D$25,AND($C33="Hybrid car",$D33=5),$E33*'EU-28 '!D$26,AND($C33="Electric motorcycle",$D33=1),$E33*'EU-28 '!D$28,AND($C33="Electric motorcycle",$D33=2),$E33*'EU-28 '!D$29,AND($C33="Electric bike",$D33=1),$E33*'EU-28 '!D$31,AND($C33="Electric scooter",$D33=1),$E33*'EU-28 '!D$33,AND($C33="Bus",$D33="Almost empty"),$E33*'EU-28 '!I$23,AND($C33="Bus",$D33="Average"),$E33*'EU-28 '!I$24,AND($C33="Bus",$D33="Nearly full"),$E33*'EU-28 '!I$25,AND($C33="Electric bus",$D33="Almost empty"),$E33*'EU-28 '!I$7,AND($C33="Electric bus",$D33="Average"),$E33*'EU-28 '!I$8,AND($C33="Electric bus",$D33="Nearly full"),$E33*'EU-28 '!I$9,AND($C33="Diesel bus",$D33="Almost empty"),$E33*'EU-28 '!I$19,AND($C33="Diesel bus",$D33="Average"),$E33*'EU-28 '!I$20,AND($C33="Diesel bus",$D33="Nearly full"),$E33*'EU-28 '!I$21,AND($C33="Hybrid-electric bus",$D33="Almost empty"),$E33*'EU-28 '!I$11,AND($C33="Hybrid-electric bus",$D33="Average"),$E33*'EU-28 '!I$12,AND($C33="Hybrid-electric bus",$D33="Nearly full"),$E33*'EU-28 '!I$13,AND($C33="Alternative fuel bus",$D33="Almost empty"),$E33*'EU-28 '!I$15,AND($C33="Alternative fuel bus",$D33="Average"),$E33*'EU-28 '!I$16,AND($C33="Alternative fuel bus",$D33="Nearly full"),$E33*'EU-28 '!I$17,AND($C33="Metro, tram, urban light train",$D33="Almost empty"),$E33*'EU-28 '!D$35,AND($C33="Metro, tram, urban light train",$D33="Average"),$E33*'EU-28 '!D$36,AND($C33="Metro, tram, urban light train",$D33="Nearly full"),$E33*'EU-28 '!D$37,AND($C33="Electric passenger train",$D33="Almost empty"),$E33*'EU-28 '!D$39,AND($C33="Electric passenger train",$D33="Average"),$E33*'EU-28 '!D$40,AND($C33="Electric passenger train",$D33="Nearly full"),$E33*'EU-28 '!D$41,AND($C33="Diesel passenger train",$D33="Almost empty"),$E33*'EU-28 '!D$47,AND($C33="Diesel passenger train",$D33="Average"),$E33*'EU-28 '!D$48,AND($C33="Diesel passenger train",$D33="Nearly full"),$E33*'EU-28 '!D$49,AND($C33="Walking"),$E33*0,AND($C33="Bike"),$E33*0,AND($C33="Plane - domestic flight"),$E33*'EU-28 '!$C57,AND($C33="Plane - international - intra EU"),$E33*'EU-28 '!$C59,AND($C33="Plane - international (extra EU)"),$E33*'EU-28 '!$C61)</f>
        <v>#N/A</v>
      </c>
      <c r="H33" s="145"/>
      <c r="I33" s="148">
        <f t="shared" si="6"/>
        <v>0</v>
      </c>
      <c r="J33" s="146" t="e" cm="1">
        <f t="array" ref="J33">_xlfn.IFS(C33="Fuel car",C33*DATA!$C$17,C33="Electric car",C33*DATA!$F$11,C33="Hybrid car",I33*(0.5*DATA!$C$17+0.5*DATA!$F$11))</f>
        <v>#N/A</v>
      </c>
      <c r="L33" s="223" t="s">
        <v>78</v>
      </c>
      <c r="M33" s="224"/>
      <c r="N33" s="225"/>
    </row>
    <row r="34" spans="1:14" x14ac:dyDescent="0.2">
      <c r="A34" s="222"/>
      <c r="B34" s="30"/>
      <c r="C34" s="15"/>
      <c r="D34" s="15"/>
      <c r="E34" s="125"/>
      <c r="F34" s="128" t="e" cm="1">
        <f t="array" ref="F34">_xlfn.IFS(AND($C34="Fuel car",$D34=1),$E34*'EU-28 '!C$7,AND($C34="Fuel car",$D34=2),$E34*'EU-28 '!C$8,AND($C34="Fuel car",$D34=3),$E34*'EU-28 '!C$9,AND($C34="Fuel car",$D34=4),$E34*'EU-28 '!C$10,AND($C34="Fuel car",$D34=5),$E34*'EU-28 '!C$11,AND($C34="Motorcycle",$D34=1),$E34*'EU-28 '!C$13,AND($C34="Motorcycle",$D34=2),$E34*'EU-28 '!C$14,AND($C34="Electric car",$D34=1),$E34*'EU-28 '!C$16,AND($C34="Electric car",$D34=2),$E34*'EU-28 '!C$17,AND($C34="Electric car",$D34=3),$E34*'EU-28 '!C$18,AND($C34="Electric car",$D34=4),$E34*'EU-28 '!C$19,AND($C34="Electric car",$D34=5),$E34*'EU-28 '!C$20,AND($C34="Hybrid car",$D34=1),$E34*'EU-28 '!C$22,AND($C34="Hybrid car",$D34=2),$E34*'EU-28 '!C$23,AND($C34="Hybrid car",$D34=3),$E34*'EU-28 '!C$24,AND($C34="Hybrid car",$D34=4),$E34*'EU-28 '!C$25,AND($C34="Hybrid car",$D34=5),$E34*'EU-28 '!C$26,AND($C34="Electric motorcycle",$D34=1),$E34*'EU-28 '!C$28,AND($C34="Electric motorcycle",$D34=2),$E34*'EU-28 '!C$29,AND($C34="Electric bike",$D34=1),$E34*'EU-28 '!C$31,AND($C34="Electric scooter",$D34=1),$E34*'EU-28 '!C$33,AND($C34="Bus",$D34="Almost empty"),$E34*'EU-28 '!H$23,AND($C34="Bus",$D34="Average"),$E34*'EU-28 '!H$24,AND($C34="Bus",$D34="Nearly full"),$E34*'EU-28 '!H$25,AND($C34="Electric bus",$D34="Almost empty"),$E34*'EU-28 '!H$7,AND($C34="Electric bus",$D34="Average"),$E34*'EU-28 '!H$8,AND($C34="Electric bus",$D34="Nearly full"),$E34*'EU-28 '!H$9,AND($C34="Diesel bus",$D34="Almost empty"),$E34*'EU-28 '!H$19,AND($C34="Diesel bus",$D34="Average"),$E34*'EU-28 '!H$20,AND($C34="Diesel bus",$D34="Nearly full"),$E34*'EU-28 '!H$21,AND($C34="Hybrid-electric bus",$D34="Almost empty"),$E34*'EU-28 '!H$11,AND($C34="Hybrid-electric bus",$D34="Average"),$E34*'EU-28 '!H$12,AND($C34="Hybrid-electric bus",$D34="Nearly full"),$E34*'EU-28 '!H$13,AND($C34="Alternative fuel bus",$D34="Almost empty"),$E34*'EU-28 '!H$15,AND($C34="Alternative fuel bus",$D34="Average"),$E34*'EU-28 '!H$16,AND($C34="Alternative fuel bus",$D34="Nearly full"),$E34*'EU-28 '!H$17,AND($C34="Metro, tram, urban light train",$D34="Almost empty"),$E34*'EU-28 '!C$35,AND($C34="Metro, tram, urban light train",$D34="Average"),$E34*'EU-28 '!C$36,AND($C34="Metro, tram, urban light train",$D34="Nearly full"),$E34*'EU-28 '!C$37,AND($C34="Electric passenger train",$D34="Almost empty"),$E34*'EU-28 '!C$39,AND($C34="Electric passenger train",$D34="Average"),$E34*'EU-28 '!C$40,AND($C34="Electric passenger train",$D34="Nearly full"),$E34*'EU-28 '!C$41,AND($C34="Diesel passenger train",$D34="Almost empty"),$E34*'EU-28 '!C$47,AND($C34="Diesel passenger train",$D34="Average"),$E34*'EU-28 '!C$48,AND($C34="Diesel passenger train",$D34="Nearly full"),$E34*'EU-28 '!C$49,AND($C34="Walking"),$E34*0,AND($C34="Bike"),$E34*0,AND($C34="Plane - domestic flight"),$E34*'EU-28 '!$C58,AND($C34="Plane - international - intra EU"),$E34*'EU-28 '!$C60,AND($C34="Plane - international (extra EU)"),$E34*'EU-28 '!$C62)</f>
        <v>#N/A</v>
      </c>
      <c r="G34" s="31" t="e" cm="1">
        <f t="array" ref="G34">_xlfn.IFS(AND($C34="Fuel car",$D34=1),$E34*'EU-28 '!D$7,AND($C34="Fuel car",$D34=2),$E34*'EU-28 '!D$8,AND($C34="Fuel car",$D34=3),$E34*'EU-28 '!D$9,AND($C34="Fuel car",$D34=4),$E34*'EU-28 '!D$10,AND($C34="Fuel car",$D34=5),$E34*'EU-28 '!D$11,AND($C34="Motorcycle",$D34=1),$E34*'EU-28 '!D$13,AND($C34="Motorcycle",$D34=2),$E34*'EU-28 '!D$14,AND($C34="Electric car",$D34=1),$E34*'EU-28 '!D$16,AND($C34="Electric car",$D34=2),$E34*'EU-28 '!D$17,AND($C34="Electric car",$D34=3),$E34*'EU-28 '!D$18,AND($C34="Electric car",$D34=4),$E34*'EU-28 '!D$19,AND($C34="Electric car",$D34=5),$E34*'EU-28 '!D$20,AND($C34="Hybrid car",$D34=1),$E34*'EU-28 '!D$22,AND($C34="Hybrid car",$D34=2),$E34*'EU-28 '!D$23,AND($C34="Hybrid car",$D34=3),$E34*'EU-28 '!D$24,AND($C34="Hybrid car",$D34=4),$E34*'EU-28 '!D$25,AND($C34="Hybrid car",$D34=5),$E34*'EU-28 '!D$26,AND($C34="Electric motorcycle",$D34=1),$E34*'EU-28 '!D$28,AND($C34="Electric motorcycle",$D34=2),$E34*'EU-28 '!D$29,AND($C34="Electric bike",$D34=1),$E34*'EU-28 '!D$31,AND($C34="Electric scooter",$D34=1),$E34*'EU-28 '!D$33,AND($C34="Bus",$D34="Almost empty"),$E34*'EU-28 '!I$23,AND($C34="Bus",$D34="Average"),$E34*'EU-28 '!I$24,AND($C34="Bus",$D34="Nearly full"),$E34*'EU-28 '!I$25,AND($C34="Electric bus",$D34="Almost empty"),$E34*'EU-28 '!I$7,AND($C34="Electric bus",$D34="Average"),$E34*'EU-28 '!I$8,AND($C34="Electric bus",$D34="Nearly full"),$E34*'EU-28 '!I$9,AND($C34="Diesel bus",$D34="Almost empty"),$E34*'EU-28 '!I$19,AND($C34="Diesel bus",$D34="Average"),$E34*'EU-28 '!I$20,AND($C34="Diesel bus",$D34="Nearly full"),$E34*'EU-28 '!I$21,AND($C34="Hybrid-electric bus",$D34="Almost empty"),$E34*'EU-28 '!I$11,AND($C34="Hybrid-electric bus",$D34="Average"),$E34*'EU-28 '!I$12,AND($C34="Hybrid-electric bus",$D34="Nearly full"),$E34*'EU-28 '!I$13,AND($C34="Alternative fuel bus",$D34="Almost empty"),$E34*'EU-28 '!I$15,AND($C34="Alternative fuel bus",$D34="Average"),$E34*'EU-28 '!I$16,AND($C34="Alternative fuel bus",$D34="Nearly full"),$E34*'EU-28 '!I$17,AND($C34="Metro, tram, urban light train",$D34="Almost empty"),$E34*'EU-28 '!D$35,AND($C34="Metro, tram, urban light train",$D34="Average"),$E34*'EU-28 '!D$36,AND($C34="Metro, tram, urban light train",$D34="Nearly full"),$E34*'EU-28 '!D$37,AND($C34="Electric passenger train",$D34="Almost empty"),$E34*'EU-28 '!D$39,AND($C34="Electric passenger train",$D34="Average"),$E34*'EU-28 '!D$40,AND($C34="Electric passenger train",$D34="Nearly full"),$E34*'EU-28 '!D$41,AND($C34="Diesel passenger train",$D34="Almost empty"),$E34*'EU-28 '!D$47,AND($C34="Diesel passenger train",$D34="Average"),$E34*'EU-28 '!D$48,AND($C34="Diesel passenger train",$D34="Nearly full"),$E34*'EU-28 '!D$49,AND($C34="Walking"),$E34*0,AND($C34="Bike"),$E34*0,AND($C34="Plane - domestic flight"),$E34*'EU-28 '!$C58,AND($C34="Plane - international - intra EU"),$E34*'EU-28 '!$C60,AND($C34="Plane - international (extra EU)"),$E34*'EU-28 '!$C62)</f>
        <v>#N/A</v>
      </c>
      <c r="H34" s="145"/>
      <c r="I34" s="148">
        <f t="shared" si="6"/>
        <v>0</v>
      </c>
      <c r="J34" s="146" t="e" cm="1">
        <f t="array" ref="J34">_xlfn.IFS(C34="Fuel car",C34*DATA!$C$17,C34="Electric car",C34*DATA!$F$11,C34="Hybrid car",I34*(0.5*DATA!$C$17+0.5*DATA!$F$11))</f>
        <v>#N/A</v>
      </c>
      <c r="L34" s="223"/>
      <c r="M34" s="224"/>
      <c r="N34" s="225"/>
    </row>
    <row r="35" spans="1:14" ht="14.5" customHeight="1" x14ac:dyDescent="0.2">
      <c r="A35" s="222"/>
      <c r="B35" s="30"/>
      <c r="C35" s="15"/>
      <c r="D35" s="15"/>
      <c r="E35" s="125"/>
      <c r="F35" s="128" t="e" cm="1">
        <f t="array" ref="F35">_xlfn.IFS(AND($C35="Fuel car",$D35=1),$E35*'EU-28 '!C$7,AND($C35="Fuel car",$D35=2),$E35*'EU-28 '!C$8,AND($C35="Fuel car",$D35=3),$E35*'EU-28 '!C$9,AND($C35="Fuel car",$D35=4),$E35*'EU-28 '!C$10,AND($C35="Fuel car",$D35=5),$E35*'EU-28 '!C$11,AND($C35="Motorcycle",$D35=1),$E35*'EU-28 '!C$13,AND($C35="Motorcycle",$D35=2),$E35*'EU-28 '!C$14,AND($C35="Electric car",$D35=1),$E35*'EU-28 '!C$16,AND($C35="Electric car",$D35=2),$E35*'EU-28 '!C$17,AND($C35="Electric car",$D35=3),$E35*'EU-28 '!C$18,AND($C35="Electric car",$D35=4),$E35*'EU-28 '!C$19,AND($C35="Electric car",$D35=5),$E35*'EU-28 '!C$20,AND($C35="Hybrid car",$D35=1),$E35*'EU-28 '!C$22,AND($C35="Hybrid car",$D35=2),$E35*'EU-28 '!C$23,AND($C35="Hybrid car",$D35=3),$E35*'EU-28 '!C$24,AND($C35="Hybrid car",$D35=4),$E35*'EU-28 '!C$25,AND($C35="Hybrid car",$D35=5),$E35*'EU-28 '!C$26,AND($C35="Electric motorcycle",$D35=1),$E35*'EU-28 '!C$28,AND($C35="Electric motorcycle",$D35=2),$E35*'EU-28 '!C$29,AND($C35="Electric bike",$D35=1),$E35*'EU-28 '!C$31,AND($C35="Electric scooter",$D35=1),$E35*'EU-28 '!C$33,AND($C35="Bus",$D35="Almost empty"),$E35*'EU-28 '!H$23,AND($C35="Bus",$D35="Average"),$E35*'EU-28 '!H$24,AND($C35="Bus",$D35="Nearly full"),$E35*'EU-28 '!H$25,AND($C35="Electric bus",$D35="Almost empty"),$E35*'EU-28 '!H$7,AND($C35="Electric bus",$D35="Average"),$E35*'EU-28 '!H$8,AND($C35="Electric bus",$D35="Nearly full"),$E35*'EU-28 '!H$9,AND($C35="Diesel bus",$D35="Almost empty"),$E35*'EU-28 '!H$19,AND($C35="Diesel bus",$D35="Average"),$E35*'EU-28 '!H$20,AND($C35="Diesel bus",$D35="Nearly full"),$E35*'EU-28 '!H$21,AND($C35="Hybrid-electric bus",$D35="Almost empty"),$E35*'EU-28 '!H$11,AND($C35="Hybrid-electric bus",$D35="Average"),$E35*'EU-28 '!H$12,AND($C35="Hybrid-electric bus",$D35="Nearly full"),$E35*'EU-28 '!H$13,AND($C35="Alternative fuel bus",$D35="Almost empty"),$E35*'EU-28 '!H$15,AND($C35="Alternative fuel bus",$D35="Average"),$E35*'EU-28 '!H$16,AND($C35="Alternative fuel bus",$D35="Nearly full"),$E35*'EU-28 '!H$17,AND($C35="Metro, tram, urban light train",$D35="Almost empty"),$E35*'EU-28 '!C$35,AND($C35="Metro, tram, urban light train",$D35="Average"),$E35*'EU-28 '!C$36,AND($C35="Metro, tram, urban light train",$D35="Nearly full"),$E35*'EU-28 '!C$37,AND($C35="Electric passenger train",$D35="Almost empty"),$E35*'EU-28 '!C$39,AND($C35="Electric passenger train",$D35="Average"),$E35*'EU-28 '!C$40,AND($C35="Electric passenger train",$D35="Nearly full"),$E35*'EU-28 '!C$41,AND($C35="Diesel passenger train",$D35="Almost empty"),$E35*'EU-28 '!C$47,AND($C35="Diesel passenger train",$D35="Average"),$E35*'EU-28 '!C$48,AND($C35="Diesel passenger train",$D35="Nearly full"),$E35*'EU-28 '!C$49,AND($C35="Walking"),$E35*0,AND($C35="Bike"),$E35*0,AND($C35="Plane - domestic flight"),$E35*'EU-28 '!$C59,AND($C35="Plane - international - intra EU"),$E35*'EU-28 '!$C61,AND($C35="Plane - international (extra EU)"),$E35*'EU-28 '!$C63)</f>
        <v>#N/A</v>
      </c>
      <c r="G35" s="31" t="e" cm="1">
        <f t="array" ref="G35">_xlfn.IFS(AND($C35="Fuel car",$D35=1),$E35*'EU-28 '!D$7,AND($C35="Fuel car",$D35=2),$E35*'EU-28 '!D$8,AND($C35="Fuel car",$D35=3),$E35*'EU-28 '!D$9,AND($C35="Fuel car",$D35=4),$E35*'EU-28 '!D$10,AND($C35="Fuel car",$D35=5),$E35*'EU-28 '!D$11,AND($C35="Motorcycle",$D35=1),$E35*'EU-28 '!D$13,AND($C35="Motorcycle",$D35=2),$E35*'EU-28 '!D$14,AND($C35="Electric car",$D35=1),$E35*'EU-28 '!D$16,AND($C35="Electric car",$D35=2),$E35*'EU-28 '!D$17,AND($C35="Electric car",$D35=3),$E35*'EU-28 '!D$18,AND($C35="Electric car",$D35=4),$E35*'EU-28 '!D$19,AND($C35="Electric car",$D35=5),$E35*'EU-28 '!D$20,AND($C35="Hybrid car",$D35=1),$E35*'EU-28 '!D$22,AND($C35="Hybrid car",$D35=2),$E35*'EU-28 '!D$23,AND($C35="Hybrid car",$D35=3),$E35*'EU-28 '!D$24,AND($C35="Hybrid car",$D35=4),$E35*'EU-28 '!D$25,AND($C35="Hybrid car",$D35=5),$E35*'EU-28 '!D$26,AND($C35="Electric motorcycle",$D35=1),$E35*'EU-28 '!D$28,AND($C35="Electric motorcycle",$D35=2),$E35*'EU-28 '!D$29,AND($C35="Electric bike",$D35=1),$E35*'EU-28 '!D$31,AND($C35="Electric scooter",$D35=1),$E35*'EU-28 '!D$33,AND($C35="Bus",$D35="Almost empty"),$E35*'EU-28 '!I$23,AND($C35="Bus",$D35="Average"),$E35*'EU-28 '!I$24,AND($C35="Bus",$D35="Nearly full"),$E35*'EU-28 '!I$25,AND($C35="Electric bus",$D35="Almost empty"),$E35*'EU-28 '!I$7,AND($C35="Electric bus",$D35="Average"),$E35*'EU-28 '!I$8,AND($C35="Electric bus",$D35="Nearly full"),$E35*'EU-28 '!I$9,AND($C35="Diesel bus",$D35="Almost empty"),$E35*'EU-28 '!I$19,AND($C35="Diesel bus",$D35="Average"),$E35*'EU-28 '!I$20,AND($C35="Diesel bus",$D35="Nearly full"),$E35*'EU-28 '!I$21,AND($C35="Hybrid-electric bus",$D35="Almost empty"),$E35*'EU-28 '!I$11,AND($C35="Hybrid-electric bus",$D35="Average"),$E35*'EU-28 '!I$12,AND($C35="Hybrid-electric bus",$D35="Nearly full"),$E35*'EU-28 '!I$13,AND($C35="Alternative fuel bus",$D35="Almost empty"),$E35*'EU-28 '!I$15,AND($C35="Alternative fuel bus",$D35="Average"),$E35*'EU-28 '!I$16,AND($C35="Alternative fuel bus",$D35="Nearly full"),$E35*'EU-28 '!I$17,AND($C35="Metro, tram, urban light train",$D35="Almost empty"),$E35*'EU-28 '!D$35,AND($C35="Metro, tram, urban light train",$D35="Average"),$E35*'EU-28 '!D$36,AND($C35="Metro, tram, urban light train",$D35="Nearly full"),$E35*'EU-28 '!D$37,AND($C35="Electric passenger train",$D35="Almost empty"),$E35*'EU-28 '!D$39,AND($C35="Electric passenger train",$D35="Average"),$E35*'EU-28 '!D$40,AND($C35="Electric passenger train",$D35="Nearly full"),$E35*'EU-28 '!D$41,AND($C35="Diesel passenger train",$D35="Almost empty"),$E35*'EU-28 '!D$47,AND($C35="Diesel passenger train",$D35="Average"),$E35*'EU-28 '!D$48,AND($C35="Diesel passenger train",$D35="Nearly full"),$E35*'EU-28 '!D$49,AND($C35="Walking"),$E35*0,AND($C35="Bike"),$E35*0,AND($C35="Plane - domestic flight"),$E35*'EU-28 '!$C59,AND($C35="Plane - international - intra EU"),$E35*'EU-28 '!$C61,AND($C35="Plane - international (extra EU)"),$E35*'EU-28 '!$C63)</f>
        <v>#N/A</v>
      </c>
      <c r="H35" s="145"/>
      <c r="I35" s="148">
        <f t="shared" si="6"/>
        <v>0</v>
      </c>
      <c r="J35" s="146" t="e" cm="1">
        <f t="array" ref="J35">_xlfn.IFS(C35="Fuel car",C35*DATA!$C$17,C35="Electric car",C35*DATA!$F$11,C35="Hybrid car",I35*(0.5*DATA!$C$17+0.5*DATA!$F$11))</f>
        <v>#N/A</v>
      </c>
      <c r="L35" s="223"/>
      <c r="M35" s="224"/>
      <c r="N35" s="225"/>
    </row>
    <row r="36" spans="1:14" ht="16" thickBot="1" x14ac:dyDescent="0.25">
      <c r="A36" s="222"/>
      <c r="B36" s="30"/>
      <c r="C36" s="15"/>
      <c r="D36" s="15"/>
      <c r="E36" s="125"/>
      <c r="F36" s="128" t="e" cm="1">
        <f t="array" ref="F36">_xlfn.IFS(AND($C36="Fuel car",$D36=1),$E36*'EU-28 '!C$7,AND($C36="Fuel car",$D36=2),$E36*'EU-28 '!C$8,AND($C36="Fuel car",$D36=3),$E36*'EU-28 '!C$9,AND($C36="Fuel car",$D36=4),$E36*'EU-28 '!C$10,AND($C36="Fuel car",$D36=5),$E36*'EU-28 '!C$11,AND($C36="Motorcycle",$D36=1),$E36*'EU-28 '!C$13,AND($C36="Motorcycle",$D36=2),$E36*'EU-28 '!C$14,AND($C36="Electric car",$D36=1),$E36*'EU-28 '!C$16,AND($C36="Electric car",$D36=2),$E36*'EU-28 '!C$17,AND($C36="Electric car",$D36=3),$E36*'EU-28 '!C$18,AND($C36="Electric car",$D36=4),$E36*'EU-28 '!C$19,AND($C36="Electric car",$D36=5),$E36*'EU-28 '!C$20,AND($C36="Hybrid car",$D36=1),$E36*'EU-28 '!C$22,AND($C36="Hybrid car",$D36=2),$E36*'EU-28 '!C$23,AND($C36="Hybrid car",$D36=3),$E36*'EU-28 '!C$24,AND($C36="Hybrid car",$D36=4),$E36*'EU-28 '!C$25,AND($C36="Hybrid car",$D36=5),$E36*'EU-28 '!C$26,AND($C36="Electric motorcycle",$D36=1),$E36*'EU-28 '!C$28,AND($C36="Electric motorcycle",$D36=2),$E36*'EU-28 '!C$29,AND($C36="Electric bike",$D36=1),$E36*'EU-28 '!C$31,AND($C36="Electric scooter",$D36=1),$E36*'EU-28 '!C$33,AND($C36="Bus",$D36="Almost empty"),$E36*'EU-28 '!H$23,AND($C36="Bus",$D36="Average"),$E36*'EU-28 '!H$24,AND($C36="Bus",$D36="Nearly full"),$E36*'EU-28 '!H$25,AND($C36="Electric bus",$D36="Almost empty"),$E36*'EU-28 '!H$7,AND($C36="Electric bus",$D36="Average"),$E36*'EU-28 '!H$8,AND($C36="Electric bus",$D36="Nearly full"),$E36*'EU-28 '!H$9,AND($C36="Diesel bus",$D36="Almost empty"),$E36*'EU-28 '!H$19,AND($C36="Diesel bus",$D36="Average"),$E36*'EU-28 '!H$20,AND($C36="Diesel bus",$D36="Nearly full"),$E36*'EU-28 '!H$21,AND($C36="Hybrid-electric bus",$D36="Almost empty"),$E36*'EU-28 '!H$11,AND($C36="Hybrid-electric bus",$D36="Average"),$E36*'EU-28 '!H$12,AND($C36="Hybrid-electric bus",$D36="Nearly full"),$E36*'EU-28 '!H$13,AND($C36="Alternative fuel bus",$D36="Almost empty"),$E36*'EU-28 '!H$15,AND($C36="Alternative fuel bus",$D36="Average"),$E36*'EU-28 '!H$16,AND($C36="Alternative fuel bus",$D36="Nearly full"),$E36*'EU-28 '!H$17,AND($C36="Metro, tram, urban light train",$D36="Almost empty"),$E36*'EU-28 '!C$35,AND($C36="Metro, tram, urban light train",$D36="Average"),$E36*'EU-28 '!C$36,AND($C36="Metro, tram, urban light train",$D36="Nearly full"),$E36*'EU-28 '!C$37,AND($C36="Electric passenger train",$D36="Almost empty"),$E36*'EU-28 '!C$39,AND($C36="Electric passenger train",$D36="Average"),$E36*'EU-28 '!C$40,AND($C36="Electric passenger train",$D36="Nearly full"),$E36*'EU-28 '!C$41,AND($C36="Diesel passenger train",$D36="Almost empty"),$E36*'EU-28 '!C$47,AND($C36="Diesel passenger train",$D36="Average"),$E36*'EU-28 '!C$48,AND($C36="Diesel passenger train",$D36="Nearly full"),$E36*'EU-28 '!C$49,AND($C36="Walking"),$E36*0,AND($C36="Bike"),$E36*0,AND($C36="Plane - domestic flight"),$E36*'EU-28 '!$C60,AND($C36="Plane - international - intra EU"),$E36*'EU-28 '!$C62,AND($C36="Plane - international (extra EU)"),$E36*'EU-28 '!$C64)</f>
        <v>#N/A</v>
      </c>
      <c r="G36" s="31" t="e" cm="1">
        <f t="array" ref="G36">_xlfn.IFS(AND($C36="Fuel car",$D36=1),$E36*'EU-28 '!D$7,AND($C36="Fuel car",$D36=2),$E36*'EU-28 '!D$8,AND($C36="Fuel car",$D36=3),$E36*'EU-28 '!D$9,AND($C36="Fuel car",$D36=4),$E36*'EU-28 '!D$10,AND($C36="Fuel car",$D36=5),$E36*'EU-28 '!D$11,AND($C36="Motorcycle",$D36=1),$E36*'EU-28 '!D$13,AND($C36="Motorcycle",$D36=2),$E36*'EU-28 '!D$14,AND($C36="Electric car",$D36=1),$E36*'EU-28 '!D$16,AND($C36="Electric car",$D36=2),$E36*'EU-28 '!D$17,AND($C36="Electric car",$D36=3),$E36*'EU-28 '!D$18,AND($C36="Electric car",$D36=4),$E36*'EU-28 '!D$19,AND($C36="Electric car",$D36=5),$E36*'EU-28 '!D$20,AND($C36="Hybrid car",$D36=1),$E36*'EU-28 '!D$22,AND($C36="Hybrid car",$D36=2),$E36*'EU-28 '!D$23,AND($C36="Hybrid car",$D36=3),$E36*'EU-28 '!D$24,AND($C36="Hybrid car",$D36=4),$E36*'EU-28 '!D$25,AND($C36="Hybrid car",$D36=5),$E36*'EU-28 '!D$26,AND($C36="Electric motorcycle",$D36=1),$E36*'EU-28 '!D$28,AND($C36="Electric motorcycle",$D36=2),$E36*'EU-28 '!D$29,AND($C36="Electric bike",$D36=1),$E36*'EU-28 '!D$31,AND($C36="Electric scooter",$D36=1),$E36*'EU-28 '!D$33,AND($C36="Bus",$D36="Almost empty"),$E36*'EU-28 '!I$23,AND($C36="Bus",$D36="Average"),$E36*'EU-28 '!I$24,AND($C36="Bus",$D36="Nearly full"),$E36*'EU-28 '!I$25,AND($C36="Electric bus",$D36="Almost empty"),$E36*'EU-28 '!I$7,AND($C36="Electric bus",$D36="Average"),$E36*'EU-28 '!I$8,AND($C36="Electric bus",$D36="Nearly full"),$E36*'EU-28 '!I$9,AND($C36="Diesel bus",$D36="Almost empty"),$E36*'EU-28 '!I$19,AND($C36="Diesel bus",$D36="Average"),$E36*'EU-28 '!I$20,AND($C36="Diesel bus",$D36="Nearly full"),$E36*'EU-28 '!I$21,AND($C36="Hybrid-electric bus",$D36="Almost empty"),$E36*'EU-28 '!I$11,AND($C36="Hybrid-electric bus",$D36="Average"),$E36*'EU-28 '!I$12,AND($C36="Hybrid-electric bus",$D36="Nearly full"),$E36*'EU-28 '!I$13,AND($C36="Alternative fuel bus",$D36="Almost empty"),$E36*'EU-28 '!I$15,AND($C36="Alternative fuel bus",$D36="Average"),$E36*'EU-28 '!I$16,AND($C36="Alternative fuel bus",$D36="Nearly full"),$E36*'EU-28 '!I$17,AND($C36="Metro, tram, urban light train",$D36="Almost empty"),$E36*'EU-28 '!D$35,AND($C36="Metro, tram, urban light train",$D36="Average"),$E36*'EU-28 '!D$36,AND($C36="Metro, tram, urban light train",$D36="Nearly full"),$E36*'EU-28 '!D$37,AND($C36="Electric passenger train",$D36="Almost empty"),$E36*'EU-28 '!D$39,AND($C36="Electric passenger train",$D36="Average"),$E36*'EU-28 '!D$40,AND($C36="Electric passenger train",$D36="Nearly full"),$E36*'EU-28 '!D$41,AND($C36="Diesel passenger train",$D36="Almost empty"),$E36*'EU-28 '!D$47,AND($C36="Diesel passenger train",$D36="Average"),$E36*'EU-28 '!D$48,AND($C36="Diesel passenger train",$D36="Nearly full"),$E36*'EU-28 '!D$49,AND($C36="Walking"),$E36*0,AND($C36="Bike"),$E36*0,AND($C36="Plane - domestic flight"),$E36*'EU-28 '!$C60,AND($C36="Plane - international - intra EU"),$E36*'EU-28 '!$C62,AND($C36="Plane - international (extra EU)"),$E36*'EU-28 '!$C64)</f>
        <v>#N/A</v>
      </c>
      <c r="H36" s="145"/>
      <c r="I36" s="148">
        <f t="shared" si="6"/>
        <v>0</v>
      </c>
      <c r="J36" s="146" t="e" cm="1">
        <f t="array" ref="J36">_xlfn.IFS(C36="Fuel car",C36*DATA!$C$17,C36="Electric car",C36*DATA!$F$11,C36="Hybrid car",I36*(0.5*DATA!$C$17+0.5*DATA!$F$11))</f>
        <v>#N/A</v>
      </c>
      <c r="L36" s="218"/>
      <c r="M36" s="219"/>
      <c r="N36" s="220"/>
    </row>
    <row r="37" spans="1:14" ht="14.5" customHeight="1" x14ac:dyDescent="0.2">
      <c r="A37" s="222"/>
      <c r="B37" s="30"/>
      <c r="C37" s="15"/>
      <c r="D37" s="15"/>
      <c r="E37" s="125"/>
      <c r="F37" s="128" t="e" cm="1">
        <f t="array" ref="F37">_xlfn.IFS(AND($C37="Fuel car",$D37=1),$E37*'EU-28 '!C$7,AND($C37="Fuel car",$D37=2),$E37*'EU-28 '!C$8,AND($C37="Fuel car",$D37=3),$E37*'EU-28 '!C$9,AND($C37="Fuel car",$D37=4),$E37*'EU-28 '!C$10,AND($C37="Fuel car",$D37=5),$E37*'EU-28 '!C$11,AND($C37="Motorcycle",$D37=1),$E37*'EU-28 '!C$13,AND($C37="Motorcycle",$D37=2),$E37*'EU-28 '!C$14,AND($C37="Electric car",$D37=1),$E37*'EU-28 '!C$16,AND($C37="Electric car",$D37=2),$E37*'EU-28 '!C$17,AND($C37="Electric car",$D37=3),$E37*'EU-28 '!C$18,AND($C37="Electric car",$D37=4),$E37*'EU-28 '!C$19,AND($C37="Electric car",$D37=5),$E37*'EU-28 '!C$20,AND($C37="Hybrid car",$D37=1),$E37*'EU-28 '!C$22,AND($C37="Hybrid car",$D37=2),$E37*'EU-28 '!C$23,AND($C37="Hybrid car",$D37=3),$E37*'EU-28 '!C$24,AND($C37="Hybrid car",$D37=4),$E37*'EU-28 '!C$25,AND($C37="Hybrid car",$D37=5),$E37*'EU-28 '!C$26,AND($C37="Electric motorcycle",$D37=1),$E37*'EU-28 '!C$28,AND($C37="Electric motorcycle",$D37=2),$E37*'EU-28 '!C$29,AND($C37="Electric bike",$D37=1),$E37*'EU-28 '!C$31,AND($C37="Electric scooter",$D37=1),$E37*'EU-28 '!C$33,AND($C37="Bus",$D37="Almost empty"),$E37*'EU-28 '!H$23,AND($C37="Bus",$D37="Average"),$E37*'EU-28 '!H$24,AND($C37="Bus",$D37="Nearly full"),$E37*'EU-28 '!H$25,AND($C37="Electric bus",$D37="Almost empty"),$E37*'EU-28 '!H$7,AND($C37="Electric bus",$D37="Average"),$E37*'EU-28 '!H$8,AND($C37="Electric bus",$D37="Nearly full"),$E37*'EU-28 '!H$9,AND($C37="Diesel bus",$D37="Almost empty"),$E37*'EU-28 '!H$19,AND($C37="Diesel bus",$D37="Average"),$E37*'EU-28 '!H$20,AND($C37="Diesel bus",$D37="Nearly full"),$E37*'EU-28 '!H$21,AND($C37="Hybrid-electric bus",$D37="Almost empty"),$E37*'EU-28 '!H$11,AND($C37="Hybrid-electric bus",$D37="Average"),$E37*'EU-28 '!H$12,AND($C37="Hybrid-electric bus",$D37="Nearly full"),$E37*'EU-28 '!H$13,AND($C37="Alternative fuel bus",$D37="Almost empty"),$E37*'EU-28 '!H$15,AND($C37="Alternative fuel bus",$D37="Average"),$E37*'EU-28 '!H$16,AND($C37="Alternative fuel bus",$D37="Nearly full"),$E37*'EU-28 '!H$17,AND($C37="Metro, tram, urban light train",$D37="Almost empty"),$E37*'EU-28 '!C$35,AND($C37="Metro, tram, urban light train",$D37="Average"),$E37*'EU-28 '!C$36,AND($C37="Metro, tram, urban light train",$D37="Nearly full"),$E37*'EU-28 '!C$37,AND($C37="Electric passenger train",$D37="Almost empty"),$E37*'EU-28 '!C$39,AND($C37="Electric passenger train",$D37="Average"),$E37*'EU-28 '!C$40,AND($C37="Electric passenger train",$D37="Nearly full"),$E37*'EU-28 '!C$41,AND($C37="Diesel passenger train",$D37="Almost empty"),$E37*'EU-28 '!C$47,AND($C37="Diesel passenger train",$D37="Average"),$E37*'EU-28 '!C$48,AND($C37="Diesel passenger train",$D37="Nearly full"),$E37*'EU-28 '!C$49,AND($C37="Walking"),$E37*0,AND($C37="Bike"),$E37*0,AND($C37="Plane - domestic flight"),$E37*'EU-28 '!$C61,AND($C37="Plane - international - intra EU"),$E37*'EU-28 '!$C63,AND($C37="Plane - international (extra EU)"),$E37*'EU-28 '!$C65)</f>
        <v>#N/A</v>
      </c>
      <c r="G37" s="31" t="e" cm="1">
        <f t="array" ref="G37">_xlfn.IFS(AND($C37="Fuel car",$D37=1),$E37*'EU-28 '!D$7,AND($C37="Fuel car",$D37=2),$E37*'EU-28 '!D$8,AND($C37="Fuel car",$D37=3),$E37*'EU-28 '!D$9,AND($C37="Fuel car",$D37=4),$E37*'EU-28 '!D$10,AND($C37="Fuel car",$D37=5),$E37*'EU-28 '!D$11,AND($C37="Motorcycle",$D37=1),$E37*'EU-28 '!D$13,AND($C37="Motorcycle",$D37=2),$E37*'EU-28 '!D$14,AND($C37="Electric car",$D37=1),$E37*'EU-28 '!D$16,AND($C37="Electric car",$D37=2),$E37*'EU-28 '!D$17,AND($C37="Electric car",$D37=3),$E37*'EU-28 '!D$18,AND($C37="Electric car",$D37=4),$E37*'EU-28 '!D$19,AND($C37="Electric car",$D37=5),$E37*'EU-28 '!D$20,AND($C37="Hybrid car",$D37=1),$E37*'EU-28 '!D$22,AND($C37="Hybrid car",$D37=2),$E37*'EU-28 '!D$23,AND($C37="Hybrid car",$D37=3),$E37*'EU-28 '!D$24,AND($C37="Hybrid car",$D37=4),$E37*'EU-28 '!D$25,AND($C37="Hybrid car",$D37=5),$E37*'EU-28 '!D$26,AND($C37="Electric motorcycle",$D37=1),$E37*'EU-28 '!D$28,AND($C37="Electric motorcycle",$D37=2),$E37*'EU-28 '!D$29,AND($C37="Electric bike",$D37=1),$E37*'EU-28 '!D$31,AND($C37="Electric scooter",$D37=1),$E37*'EU-28 '!D$33,AND($C37="Bus",$D37="Almost empty"),$E37*'EU-28 '!I$23,AND($C37="Bus",$D37="Average"),$E37*'EU-28 '!I$24,AND($C37="Bus",$D37="Nearly full"),$E37*'EU-28 '!I$25,AND($C37="Electric bus",$D37="Almost empty"),$E37*'EU-28 '!I$7,AND($C37="Electric bus",$D37="Average"),$E37*'EU-28 '!I$8,AND($C37="Electric bus",$D37="Nearly full"),$E37*'EU-28 '!I$9,AND($C37="Diesel bus",$D37="Almost empty"),$E37*'EU-28 '!I$19,AND($C37="Diesel bus",$D37="Average"),$E37*'EU-28 '!I$20,AND($C37="Diesel bus",$D37="Nearly full"),$E37*'EU-28 '!I$21,AND($C37="Hybrid-electric bus",$D37="Almost empty"),$E37*'EU-28 '!I$11,AND($C37="Hybrid-electric bus",$D37="Average"),$E37*'EU-28 '!I$12,AND($C37="Hybrid-electric bus",$D37="Nearly full"),$E37*'EU-28 '!I$13,AND($C37="Alternative fuel bus",$D37="Almost empty"),$E37*'EU-28 '!I$15,AND($C37="Alternative fuel bus",$D37="Average"),$E37*'EU-28 '!I$16,AND($C37="Alternative fuel bus",$D37="Nearly full"),$E37*'EU-28 '!I$17,AND($C37="Metro, tram, urban light train",$D37="Almost empty"),$E37*'EU-28 '!D$35,AND($C37="Metro, tram, urban light train",$D37="Average"),$E37*'EU-28 '!D$36,AND($C37="Metro, tram, urban light train",$D37="Nearly full"),$E37*'EU-28 '!D$37,AND($C37="Electric passenger train",$D37="Almost empty"),$E37*'EU-28 '!D$39,AND($C37="Electric passenger train",$D37="Average"),$E37*'EU-28 '!D$40,AND($C37="Electric passenger train",$D37="Nearly full"),$E37*'EU-28 '!D$41,AND($C37="Diesel passenger train",$D37="Almost empty"),$E37*'EU-28 '!D$47,AND($C37="Diesel passenger train",$D37="Average"),$E37*'EU-28 '!D$48,AND($C37="Diesel passenger train",$D37="Nearly full"),$E37*'EU-28 '!D$49,AND($C37="Walking"),$E37*0,AND($C37="Bike"),$E37*0,AND($C37="Plane - domestic flight"),$E37*'EU-28 '!$C61,AND($C37="Plane - international - intra EU"),$E37*'EU-28 '!$C63,AND($C37="Plane - international (extra EU)"),$E37*'EU-28 '!$C65)</f>
        <v>#N/A</v>
      </c>
      <c r="H37" s="145"/>
      <c r="I37" s="148">
        <f t="shared" si="6"/>
        <v>0</v>
      </c>
      <c r="J37" s="146" t="e" cm="1">
        <f t="array" ref="J37">_xlfn.IFS(C37="Fuel car",C37*DATA!$C$17,C37="Electric car",C37*DATA!$F$11,C37="Hybrid car",I37*(0.5*DATA!$C$17+0.5*DATA!$F$11))</f>
        <v>#N/A</v>
      </c>
      <c r="L37" s="215" t="s">
        <v>79</v>
      </c>
      <c r="M37" s="216"/>
      <c r="N37" s="217"/>
    </row>
    <row r="38" spans="1:14" ht="16" thickBot="1" x14ac:dyDescent="0.25">
      <c r="A38" s="222"/>
      <c r="B38" s="30"/>
      <c r="C38" s="15"/>
      <c r="D38" s="15"/>
      <c r="E38" s="125"/>
      <c r="F38" s="128" t="e" cm="1">
        <f t="array" ref="F38">_xlfn.IFS(AND($C38="Fuel car",$D38=1),$E38*'EU-28 '!C$7,AND($C38="Fuel car",$D38=2),$E38*'EU-28 '!C$8,AND($C38="Fuel car",$D38=3),$E38*'EU-28 '!C$9,AND($C38="Fuel car",$D38=4),$E38*'EU-28 '!C$10,AND($C38="Fuel car",$D38=5),$E38*'EU-28 '!C$11,AND($C38="Motorcycle",$D38=1),$E38*'EU-28 '!C$13,AND($C38="Motorcycle",$D38=2),$E38*'EU-28 '!C$14,AND($C38="Electric car",$D38=1),$E38*'EU-28 '!C$16,AND($C38="Electric car",$D38=2),$E38*'EU-28 '!C$17,AND($C38="Electric car",$D38=3),$E38*'EU-28 '!C$18,AND($C38="Electric car",$D38=4),$E38*'EU-28 '!C$19,AND($C38="Electric car",$D38=5),$E38*'EU-28 '!C$20,AND($C38="Hybrid car",$D38=1),$E38*'EU-28 '!C$22,AND($C38="Hybrid car",$D38=2),$E38*'EU-28 '!C$23,AND($C38="Hybrid car",$D38=3),$E38*'EU-28 '!C$24,AND($C38="Hybrid car",$D38=4),$E38*'EU-28 '!C$25,AND($C38="Hybrid car",$D38=5),$E38*'EU-28 '!C$26,AND($C38="Electric motorcycle",$D38=1),$E38*'EU-28 '!C$28,AND($C38="Electric motorcycle",$D38=2),$E38*'EU-28 '!C$29,AND($C38="Electric bike",$D38=1),$E38*'EU-28 '!C$31,AND($C38="Electric scooter",$D38=1),$E38*'EU-28 '!C$33,AND($C38="Bus",$D38="Almost empty"),$E38*'EU-28 '!H$23,AND($C38="Bus",$D38="Average"),$E38*'EU-28 '!H$24,AND($C38="Bus",$D38="Nearly full"),$E38*'EU-28 '!H$25,AND($C38="Electric bus",$D38="Almost empty"),$E38*'EU-28 '!H$7,AND($C38="Electric bus",$D38="Average"),$E38*'EU-28 '!H$8,AND($C38="Electric bus",$D38="Nearly full"),$E38*'EU-28 '!H$9,AND($C38="Diesel bus",$D38="Almost empty"),$E38*'EU-28 '!H$19,AND($C38="Diesel bus",$D38="Average"),$E38*'EU-28 '!H$20,AND($C38="Diesel bus",$D38="Nearly full"),$E38*'EU-28 '!H$21,AND($C38="Hybrid-electric bus",$D38="Almost empty"),$E38*'EU-28 '!H$11,AND($C38="Hybrid-electric bus",$D38="Average"),$E38*'EU-28 '!H$12,AND($C38="Hybrid-electric bus",$D38="Nearly full"),$E38*'EU-28 '!H$13,AND($C38="Alternative fuel bus",$D38="Almost empty"),$E38*'EU-28 '!H$15,AND($C38="Alternative fuel bus",$D38="Average"),$E38*'EU-28 '!H$16,AND($C38="Alternative fuel bus",$D38="Nearly full"),$E38*'EU-28 '!H$17,AND($C38="Metro, tram, urban light train",$D38="Almost empty"),$E38*'EU-28 '!C$35,AND($C38="Metro, tram, urban light train",$D38="Average"),$E38*'EU-28 '!C$36,AND($C38="Metro, tram, urban light train",$D38="Nearly full"),$E38*'EU-28 '!C$37,AND($C38="Electric passenger train",$D38="Almost empty"),$E38*'EU-28 '!C$39,AND($C38="Electric passenger train",$D38="Average"),$E38*'EU-28 '!C$40,AND($C38="Electric passenger train",$D38="Nearly full"),$E38*'EU-28 '!C$41,AND($C38="Diesel passenger train",$D38="Almost empty"),$E38*'EU-28 '!C$47,AND($C38="Diesel passenger train",$D38="Average"),$E38*'EU-28 '!C$48,AND($C38="Diesel passenger train",$D38="Nearly full"),$E38*'EU-28 '!C$49,AND($C38="Walking"),$E38*0,AND($C38="Bike"),$E38*0,AND($C38="Plane - domestic flight"),$E38*'EU-28 '!$C62,AND($C38="Plane - international - intra EU"),$E38*'EU-28 '!$C64,AND($C38="Plane - international (extra EU)"),$E38*'EU-28 '!$C66)</f>
        <v>#N/A</v>
      </c>
      <c r="G38" s="31" t="e" cm="1">
        <f t="array" ref="G38">_xlfn.IFS(AND($C38="Fuel car",$D38=1),$E38*'EU-28 '!D$7,AND($C38="Fuel car",$D38=2),$E38*'EU-28 '!D$8,AND($C38="Fuel car",$D38=3),$E38*'EU-28 '!D$9,AND($C38="Fuel car",$D38=4),$E38*'EU-28 '!D$10,AND($C38="Fuel car",$D38=5),$E38*'EU-28 '!D$11,AND($C38="Motorcycle",$D38=1),$E38*'EU-28 '!D$13,AND($C38="Motorcycle",$D38=2),$E38*'EU-28 '!D$14,AND($C38="Electric car",$D38=1),$E38*'EU-28 '!D$16,AND($C38="Electric car",$D38=2),$E38*'EU-28 '!D$17,AND($C38="Electric car",$D38=3),$E38*'EU-28 '!D$18,AND($C38="Electric car",$D38=4),$E38*'EU-28 '!D$19,AND($C38="Electric car",$D38=5),$E38*'EU-28 '!D$20,AND($C38="Hybrid car",$D38=1),$E38*'EU-28 '!D$22,AND($C38="Hybrid car",$D38=2),$E38*'EU-28 '!D$23,AND($C38="Hybrid car",$D38=3),$E38*'EU-28 '!D$24,AND($C38="Hybrid car",$D38=4),$E38*'EU-28 '!D$25,AND($C38="Hybrid car",$D38=5),$E38*'EU-28 '!D$26,AND($C38="Electric motorcycle",$D38=1),$E38*'EU-28 '!D$28,AND($C38="Electric motorcycle",$D38=2),$E38*'EU-28 '!D$29,AND($C38="Electric bike",$D38=1),$E38*'EU-28 '!D$31,AND($C38="Electric scooter",$D38=1),$E38*'EU-28 '!D$33,AND($C38="Bus",$D38="Almost empty"),$E38*'EU-28 '!I$23,AND($C38="Bus",$D38="Average"),$E38*'EU-28 '!I$24,AND($C38="Bus",$D38="Nearly full"),$E38*'EU-28 '!I$25,AND($C38="Electric bus",$D38="Almost empty"),$E38*'EU-28 '!I$7,AND($C38="Electric bus",$D38="Average"),$E38*'EU-28 '!I$8,AND($C38="Electric bus",$D38="Nearly full"),$E38*'EU-28 '!I$9,AND($C38="Diesel bus",$D38="Almost empty"),$E38*'EU-28 '!I$19,AND($C38="Diesel bus",$D38="Average"),$E38*'EU-28 '!I$20,AND($C38="Diesel bus",$D38="Nearly full"),$E38*'EU-28 '!I$21,AND($C38="Hybrid-electric bus",$D38="Almost empty"),$E38*'EU-28 '!I$11,AND($C38="Hybrid-electric bus",$D38="Average"),$E38*'EU-28 '!I$12,AND($C38="Hybrid-electric bus",$D38="Nearly full"),$E38*'EU-28 '!I$13,AND($C38="Alternative fuel bus",$D38="Almost empty"),$E38*'EU-28 '!I$15,AND($C38="Alternative fuel bus",$D38="Average"),$E38*'EU-28 '!I$16,AND($C38="Alternative fuel bus",$D38="Nearly full"),$E38*'EU-28 '!I$17,AND($C38="Metro, tram, urban light train",$D38="Almost empty"),$E38*'EU-28 '!D$35,AND($C38="Metro, tram, urban light train",$D38="Average"),$E38*'EU-28 '!D$36,AND($C38="Metro, tram, urban light train",$D38="Nearly full"),$E38*'EU-28 '!D$37,AND($C38="Electric passenger train",$D38="Almost empty"),$E38*'EU-28 '!D$39,AND($C38="Electric passenger train",$D38="Average"),$E38*'EU-28 '!D$40,AND($C38="Electric passenger train",$D38="Nearly full"),$E38*'EU-28 '!D$41,AND($C38="Diesel passenger train",$D38="Almost empty"),$E38*'EU-28 '!D$47,AND($C38="Diesel passenger train",$D38="Average"),$E38*'EU-28 '!D$48,AND($C38="Diesel passenger train",$D38="Nearly full"),$E38*'EU-28 '!D$49,AND($C38="Walking"),$E38*0,AND($C38="Bike"),$E38*0,AND($C38="Plane - domestic flight"),$E38*'EU-28 '!$C62,AND($C38="Plane - international - intra EU"),$E38*'EU-28 '!$C64,AND($C38="Plane - international (extra EU)"),$E38*'EU-28 '!$C66)</f>
        <v>#N/A</v>
      </c>
      <c r="H38" s="145"/>
      <c r="I38" s="148">
        <f t="shared" si="6"/>
        <v>0</v>
      </c>
      <c r="J38" s="146" t="e" cm="1">
        <f t="array" ref="J38">_xlfn.IFS(C38="Fuel car",C38*DATA!$C$17,C38="Electric car",C38*DATA!$F$11,C38="Hybrid car",I38*(0.5*DATA!$C$17+0.5*DATA!$F$11))</f>
        <v>#N/A</v>
      </c>
      <c r="L38" s="218"/>
      <c r="M38" s="219"/>
      <c r="N38" s="220"/>
    </row>
    <row r="39" spans="1:14" ht="14.5" customHeight="1" x14ac:dyDescent="0.2">
      <c r="A39" s="222"/>
      <c r="B39" s="30"/>
      <c r="C39" s="15"/>
      <c r="D39" s="15"/>
      <c r="E39" s="125"/>
      <c r="F39" s="128" t="e" cm="1">
        <f t="array" ref="F39">_xlfn.IFS(AND($C39="Fuel car",$D39=1),$E39*'EU-28 '!C$7,AND($C39="Fuel car",$D39=2),$E39*'EU-28 '!C$8,AND($C39="Fuel car",$D39=3),$E39*'EU-28 '!C$9,AND($C39="Fuel car",$D39=4),$E39*'EU-28 '!C$10,AND($C39="Fuel car",$D39=5),$E39*'EU-28 '!C$11,AND($C39="Motorcycle",$D39=1),$E39*'EU-28 '!C$13,AND($C39="Motorcycle",$D39=2),$E39*'EU-28 '!C$14,AND($C39="Electric car",$D39=1),$E39*'EU-28 '!C$16,AND($C39="Electric car",$D39=2),$E39*'EU-28 '!C$17,AND($C39="Electric car",$D39=3),$E39*'EU-28 '!C$18,AND($C39="Electric car",$D39=4),$E39*'EU-28 '!C$19,AND($C39="Electric car",$D39=5),$E39*'EU-28 '!C$20,AND($C39="Hybrid car",$D39=1),$E39*'EU-28 '!C$22,AND($C39="Hybrid car",$D39=2),$E39*'EU-28 '!C$23,AND($C39="Hybrid car",$D39=3),$E39*'EU-28 '!C$24,AND($C39="Hybrid car",$D39=4),$E39*'EU-28 '!C$25,AND($C39="Hybrid car",$D39=5),$E39*'EU-28 '!C$26,AND($C39="Electric motorcycle",$D39=1),$E39*'EU-28 '!C$28,AND($C39="Electric motorcycle",$D39=2),$E39*'EU-28 '!C$29,AND($C39="Electric bike",$D39=1),$E39*'EU-28 '!C$31,AND($C39="Electric scooter",$D39=1),$E39*'EU-28 '!C$33,AND($C39="Bus",$D39="Almost empty"),$E39*'EU-28 '!H$23,AND($C39="Bus",$D39="Average"),$E39*'EU-28 '!H$24,AND($C39="Bus",$D39="Nearly full"),$E39*'EU-28 '!H$25,AND($C39="Electric bus",$D39="Almost empty"),$E39*'EU-28 '!H$7,AND($C39="Electric bus",$D39="Average"),$E39*'EU-28 '!H$8,AND($C39="Electric bus",$D39="Nearly full"),$E39*'EU-28 '!H$9,AND($C39="Diesel bus",$D39="Almost empty"),$E39*'EU-28 '!H$19,AND($C39="Diesel bus",$D39="Average"),$E39*'EU-28 '!H$20,AND($C39="Diesel bus",$D39="Nearly full"),$E39*'EU-28 '!H$21,AND($C39="Hybrid-electric bus",$D39="Almost empty"),$E39*'EU-28 '!H$11,AND($C39="Hybrid-electric bus",$D39="Average"),$E39*'EU-28 '!H$12,AND($C39="Hybrid-electric bus",$D39="Nearly full"),$E39*'EU-28 '!H$13,AND($C39="Alternative fuel bus",$D39="Almost empty"),$E39*'EU-28 '!H$15,AND($C39="Alternative fuel bus",$D39="Average"),$E39*'EU-28 '!H$16,AND($C39="Alternative fuel bus",$D39="Nearly full"),$E39*'EU-28 '!H$17,AND($C39="Metro, tram, urban light train",$D39="Almost empty"),$E39*'EU-28 '!C$35,AND($C39="Metro, tram, urban light train",$D39="Average"),$E39*'EU-28 '!C$36,AND($C39="Metro, tram, urban light train",$D39="Nearly full"),$E39*'EU-28 '!C$37,AND($C39="Electric passenger train",$D39="Almost empty"),$E39*'EU-28 '!C$39,AND($C39="Electric passenger train",$D39="Average"),$E39*'EU-28 '!C$40,AND($C39="Electric passenger train",$D39="Nearly full"),$E39*'EU-28 '!C$41,AND($C39="Diesel passenger train",$D39="Almost empty"),$E39*'EU-28 '!C$47,AND($C39="Diesel passenger train",$D39="Average"),$E39*'EU-28 '!C$48,AND($C39="Diesel passenger train",$D39="Nearly full"),$E39*'EU-28 '!C$49,AND($C39="Walking"),$E39*0,AND($C39="Bike"),$E39*0,AND($C39="Plane - domestic flight"),$E39*'EU-28 '!$C63,AND($C39="Plane - international - intra EU"),$E39*'EU-28 '!$C65,AND($C39="Plane - international (extra EU)"),$E39*'EU-28 '!$C67)</f>
        <v>#N/A</v>
      </c>
      <c r="G39" s="31" t="e" cm="1">
        <f t="array" ref="G39">_xlfn.IFS(AND($C39="Fuel car",$D39=1),$E39*'EU-28 '!D$7,AND($C39="Fuel car",$D39=2),$E39*'EU-28 '!D$8,AND($C39="Fuel car",$D39=3),$E39*'EU-28 '!D$9,AND($C39="Fuel car",$D39=4),$E39*'EU-28 '!D$10,AND($C39="Fuel car",$D39=5),$E39*'EU-28 '!D$11,AND($C39="Motorcycle",$D39=1),$E39*'EU-28 '!D$13,AND($C39="Motorcycle",$D39=2),$E39*'EU-28 '!D$14,AND($C39="Electric car",$D39=1),$E39*'EU-28 '!D$16,AND($C39="Electric car",$D39=2),$E39*'EU-28 '!D$17,AND($C39="Electric car",$D39=3),$E39*'EU-28 '!D$18,AND($C39="Electric car",$D39=4),$E39*'EU-28 '!D$19,AND($C39="Electric car",$D39=5),$E39*'EU-28 '!D$20,AND($C39="Hybrid car",$D39=1),$E39*'EU-28 '!D$22,AND($C39="Hybrid car",$D39=2),$E39*'EU-28 '!D$23,AND($C39="Hybrid car",$D39=3),$E39*'EU-28 '!D$24,AND($C39="Hybrid car",$D39=4),$E39*'EU-28 '!D$25,AND($C39="Hybrid car",$D39=5),$E39*'EU-28 '!D$26,AND($C39="Electric motorcycle",$D39=1),$E39*'EU-28 '!D$28,AND($C39="Electric motorcycle",$D39=2),$E39*'EU-28 '!D$29,AND($C39="Electric bike",$D39=1),$E39*'EU-28 '!D$31,AND($C39="Electric scooter",$D39=1),$E39*'EU-28 '!D$33,AND($C39="Bus",$D39="Almost empty"),$E39*'EU-28 '!I$23,AND($C39="Bus",$D39="Average"),$E39*'EU-28 '!I$24,AND($C39="Bus",$D39="Nearly full"),$E39*'EU-28 '!I$25,AND($C39="Electric bus",$D39="Almost empty"),$E39*'EU-28 '!I$7,AND($C39="Electric bus",$D39="Average"),$E39*'EU-28 '!I$8,AND($C39="Electric bus",$D39="Nearly full"),$E39*'EU-28 '!I$9,AND($C39="Diesel bus",$D39="Almost empty"),$E39*'EU-28 '!I$19,AND($C39="Diesel bus",$D39="Average"),$E39*'EU-28 '!I$20,AND($C39="Diesel bus",$D39="Nearly full"),$E39*'EU-28 '!I$21,AND($C39="Hybrid-electric bus",$D39="Almost empty"),$E39*'EU-28 '!I$11,AND($C39="Hybrid-electric bus",$D39="Average"),$E39*'EU-28 '!I$12,AND($C39="Hybrid-electric bus",$D39="Nearly full"),$E39*'EU-28 '!I$13,AND($C39="Alternative fuel bus",$D39="Almost empty"),$E39*'EU-28 '!I$15,AND($C39="Alternative fuel bus",$D39="Average"),$E39*'EU-28 '!I$16,AND($C39="Alternative fuel bus",$D39="Nearly full"),$E39*'EU-28 '!I$17,AND($C39="Metro, tram, urban light train",$D39="Almost empty"),$E39*'EU-28 '!D$35,AND($C39="Metro, tram, urban light train",$D39="Average"),$E39*'EU-28 '!D$36,AND($C39="Metro, tram, urban light train",$D39="Nearly full"),$E39*'EU-28 '!D$37,AND($C39="Electric passenger train",$D39="Almost empty"),$E39*'EU-28 '!D$39,AND($C39="Electric passenger train",$D39="Average"),$E39*'EU-28 '!D$40,AND($C39="Electric passenger train",$D39="Nearly full"),$E39*'EU-28 '!D$41,AND($C39="Diesel passenger train",$D39="Almost empty"),$E39*'EU-28 '!D$47,AND($C39="Diesel passenger train",$D39="Average"),$E39*'EU-28 '!D$48,AND($C39="Diesel passenger train",$D39="Nearly full"),$E39*'EU-28 '!D$49,AND($C39="Walking"),$E39*0,AND($C39="Bike"),$E39*0,AND($C39="Plane - domestic flight"),$E39*'EU-28 '!$C63,AND($C39="Plane - international - intra EU"),$E39*'EU-28 '!$C65,AND($C39="Plane - international (extra EU)"),$E39*'EU-28 '!$C67)</f>
        <v>#N/A</v>
      </c>
      <c r="H39" s="145"/>
      <c r="I39" s="148">
        <f t="shared" si="6"/>
        <v>0</v>
      </c>
      <c r="J39" s="146" t="e" cm="1">
        <f t="array" ref="J39">_xlfn.IFS(C39="Fuel car",C39*DATA!$C$17,C39="Electric car",C39*DATA!$F$11,C39="Hybrid car",I39*(0.5*DATA!$C$17+0.5*DATA!$F$11))</f>
        <v>#N/A</v>
      </c>
      <c r="L39" s="226" t="s">
        <v>80</v>
      </c>
      <c r="M39" s="227"/>
      <c r="N39" s="228"/>
    </row>
    <row r="40" spans="1:14" x14ac:dyDescent="0.2">
      <c r="A40" s="222"/>
      <c r="B40" s="30"/>
      <c r="C40" s="15"/>
      <c r="D40" s="15"/>
      <c r="E40" s="125"/>
      <c r="F40" s="128" t="e" cm="1">
        <f t="array" ref="F40">_xlfn.IFS(AND($C40="Fuel car",$D40=1),$E40*'EU-28 '!C$7,AND($C40="Fuel car",$D40=2),$E40*'EU-28 '!C$8,AND($C40="Fuel car",$D40=3),$E40*'EU-28 '!C$9,AND($C40="Fuel car",$D40=4),$E40*'EU-28 '!C$10,AND($C40="Fuel car",$D40=5),$E40*'EU-28 '!C$11,AND($C40="Motorcycle",$D40=1),$E40*'EU-28 '!C$13,AND($C40="Motorcycle",$D40=2),$E40*'EU-28 '!C$14,AND($C40="Electric car",$D40=1),$E40*'EU-28 '!C$16,AND($C40="Electric car",$D40=2),$E40*'EU-28 '!C$17,AND($C40="Electric car",$D40=3),$E40*'EU-28 '!C$18,AND($C40="Electric car",$D40=4),$E40*'EU-28 '!C$19,AND($C40="Electric car",$D40=5),$E40*'EU-28 '!C$20,AND($C40="Hybrid car",$D40=1),$E40*'EU-28 '!C$22,AND($C40="Hybrid car",$D40=2),$E40*'EU-28 '!C$23,AND($C40="Hybrid car",$D40=3),$E40*'EU-28 '!C$24,AND($C40="Hybrid car",$D40=4),$E40*'EU-28 '!C$25,AND($C40="Hybrid car",$D40=5),$E40*'EU-28 '!C$26,AND($C40="Electric motorcycle",$D40=1),$E40*'EU-28 '!C$28,AND($C40="Electric motorcycle",$D40=2),$E40*'EU-28 '!C$29,AND($C40="Electric bike",$D40=1),$E40*'EU-28 '!C$31,AND($C40="Electric scooter",$D40=1),$E40*'EU-28 '!C$33,AND($C40="Bus",$D40="Almost empty"),$E40*'EU-28 '!H$23,AND($C40="Bus",$D40="Average"),$E40*'EU-28 '!H$24,AND($C40="Bus",$D40="Nearly full"),$E40*'EU-28 '!H$25,AND($C40="Electric bus",$D40="Almost empty"),$E40*'EU-28 '!H$7,AND($C40="Electric bus",$D40="Average"),$E40*'EU-28 '!H$8,AND($C40="Electric bus",$D40="Nearly full"),$E40*'EU-28 '!H$9,AND($C40="Diesel bus",$D40="Almost empty"),$E40*'EU-28 '!H$19,AND($C40="Diesel bus",$D40="Average"),$E40*'EU-28 '!H$20,AND($C40="Diesel bus",$D40="Nearly full"),$E40*'EU-28 '!H$21,AND($C40="Hybrid-electric bus",$D40="Almost empty"),$E40*'EU-28 '!H$11,AND($C40="Hybrid-electric bus",$D40="Average"),$E40*'EU-28 '!H$12,AND($C40="Hybrid-electric bus",$D40="Nearly full"),$E40*'EU-28 '!H$13,AND($C40="Alternative fuel bus",$D40="Almost empty"),$E40*'EU-28 '!H$15,AND($C40="Alternative fuel bus",$D40="Average"),$E40*'EU-28 '!H$16,AND($C40="Alternative fuel bus",$D40="Nearly full"),$E40*'EU-28 '!H$17,AND($C40="Metro, tram, urban light train",$D40="Almost empty"),$E40*'EU-28 '!C$35,AND($C40="Metro, tram, urban light train",$D40="Average"),$E40*'EU-28 '!C$36,AND($C40="Metro, tram, urban light train",$D40="Nearly full"),$E40*'EU-28 '!C$37,AND($C40="Electric passenger train",$D40="Almost empty"),$E40*'EU-28 '!C$39,AND($C40="Electric passenger train",$D40="Average"),$E40*'EU-28 '!C$40,AND($C40="Electric passenger train",$D40="Nearly full"),$E40*'EU-28 '!C$41,AND($C40="Diesel passenger train",$D40="Almost empty"),$E40*'EU-28 '!C$47,AND($C40="Diesel passenger train",$D40="Average"),$E40*'EU-28 '!C$48,AND($C40="Diesel passenger train",$D40="Nearly full"),$E40*'EU-28 '!C$49,AND($C40="Walking"),$E40*0,AND($C40="Bike"),$E40*0,AND($C40="Plane - domestic flight"),$E40*'EU-28 '!$C64,AND($C40="Plane - international - intra EU"),$E40*'EU-28 '!$C66,AND($C40="Plane - international (extra EU)"),$E40*'EU-28 '!$C68)</f>
        <v>#N/A</v>
      </c>
      <c r="G40" s="31" t="e" cm="1">
        <f t="array" ref="G40">_xlfn.IFS(AND($C40="Fuel car",$D40=1),$E40*'EU-28 '!D$7,AND($C40="Fuel car",$D40=2),$E40*'EU-28 '!D$8,AND($C40="Fuel car",$D40=3),$E40*'EU-28 '!D$9,AND($C40="Fuel car",$D40=4),$E40*'EU-28 '!D$10,AND($C40="Fuel car",$D40=5),$E40*'EU-28 '!D$11,AND($C40="Motorcycle",$D40=1),$E40*'EU-28 '!D$13,AND($C40="Motorcycle",$D40=2),$E40*'EU-28 '!D$14,AND($C40="Electric car",$D40=1),$E40*'EU-28 '!D$16,AND($C40="Electric car",$D40=2),$E40*'EU-28 '!D$17,AND($C40="Electric car",$D40=3),$E40*'EU-28 '!D$18,AND($C40="Electric car",$D40=4),$E40*'EU-28 '!D$19,AND($C40="Electric car",$D40=5),$E40*'EU-28 '!D$20,AND($C40="Hybrid car",$D40=1),$E40*'EU-28 '!D$22,AND($C40="Hybrid car",$D40=2),$E40*'EU-28 '!D$23,AND($C40="Hybrid car",$D40=3),$E40*'EU-28 '!D$24,AND($C40="Hybrid car",$D40=4),$E40*'EU-28 '!D$25,AND($C40="Hybrid car",$D40=5),$E40*'EU-28 '!D$26,AND($C40="Electric motorcycle",$D40=1),$E40*'EU-28 '!D$28,AND($C40="Electric motorcycle",$D40=2),$E40*'EU-28 '!D$29,AND($C40="Electric bike",$D40=1),$E40*'EU-28 '!D$31,AND($C40="Electric scooter",$D40=1),$E40*'EU-28 '!D$33,AND($C40="Bus",$D40="Almost empty"),$E40*'EU-28 '!I$23,AND($C40="Bus",$D40="Average"),$E40*'EU-28 '!I$24,AND($C40="Bus",$D40="Nearly full"),$E40*'EU-28 '!I$25,AND($C40="Electric bus",$D40="Almost empty"),$E40*'EU-28 '!I$7,AND($C40="Electric bus",$D40="Average"),$E40*'EU-28 '!I$8,AND($C40="Electric bus",$D40="Nearly full"),$E40*'EU-28 '!I$9,AND($C40="Diesel bus",$D40="Almost empty"),$E40*'EU-28 '!I$19,AND($C40="Diesel bus",$D40="Average"),$E40*'EU-28 '!I$20,AND($C40="Diesel bus",$D40="Nearly full"),$E40*'EU-28 '!I$21,AND($C40="Hybrid-electric bus",$D40="Almost empty"),$E40*'EU-28 '!I$11,AND($C40="Hybrid-electric bus",$D40="Average"),$E40*'EU-28 '!I$12,AND($C40="Hybrid-electric bus",$D40="Nearly full"),$E40*'EU-28 '!I$13,AND($C40="Alternative fuel bus",$D40="Almost empty"),$E40*'EU-28 '!I$15,AND($C40="Alternative fuel bus",$D40="Average"),$E40*'EU-28 '!I$16,AND($C40="Alternative fuel bus",$D40="Nearly full"),$E40*'EU-28 '!I$17,AND($C40="Metro, tram, urban light train",$D40="Almost empty"),$E40*'EU-28 '!D$35,AND($C40="Metro, tram, urban light train",$D40="Average"),$E40*'EU-28 '!D$36,AND($C40="Metro, tram, urban light train",$D40="Nearly full"),$E40*'EU-28 '!D$37,AND($C40="Electric passenger train",$D40="Almost empty"),$E40*'EU-28 '!D$39,AND($C40="Electric passenger train",$D40="Average"),$E40*'EU-28 '!D$40,AND($C40="Electric passenger train",$D40="Nearly full"),$E40*'EU-28 '!D$41,AND($C40="Diesel passenger train",$D40="Almost empty"),$E40*'EU-28 '!D$47,AND($C40="Diesel passenger train",$D40="Average"),$E40*'EU-28 '!D$48,AND($C40="Diesel passenger train",$D40="Nearly full"),$E40*'EU-28 '!D$49,AND($C40="Walking"),$E40*0,AND($C40="Bike"),$E40*0,AND($C40="Plane - domestic flight"),$E40*'EU-28 '!$C64,AND($C40="Plane - international - intra EU"),$E40*'EU-28 '!$C66,AND($C40="Plane - international (extra EU)"),$E40*'EU-28 '!$C68)</f>
        <v>#N/A</v>
      </c>
      <c r="H40" s="145"/>
      <c r="I40" s="148">
        <f t="shared" si="6"/>
        <v>0</v>
      </c>
      <c r="J40" s="146" t="e" cm="1">
        <f t="array" ref="J40">_xlfn.IFS(C40="Fuel car",C40*DATA!$C$17,C40="Electric car",C40*DATA!$F$11,C40="Hybrid car",I40*(0.5*DATA!$C$17+0.5*DATA!$F$11))</f>
        <v>#N/A</v>
      </c>
      <c r="L40" s="229"/>
      <c r="M40" s="230"/>
      <c r="N40" s="231"/>
    </row>
    <row r="41" spans="1:14" ht="14.5" customHeight="1" x14ac:dyDescent="0.2">
      <c r="A41" s="222"/>
      <c r="B41" s="30"/>
      <c r="C41" s="15"/>
      <c r="D41" s="15"/>
      <c r="E41" s="125"/>
      <c r="F41" s="128" t="e" cm="1">
        <f t="array" ref="F41">_xlfn.IFS(AND($C41="Fuel car",$D41=1),$E41*'EU-28 '!C$7,AND($C41="Fuel car",$D41=2),$E41*'EU-28 '!C$8,AND($C41="Fuel car",$D41=3),$E41*'EU-28 '!C$9,AND($C41="Fuel car",$D41=4),$E41*'EU-28 '!C$10,AND($C41="Fuel car",$D41=5),$E41*'EU-28 '!C$11,AND($C41="Motorcycle",$D41=1),$E41*'EU-28 '!C$13,AND($C41="Motorcycle",$D41=2),$E41*'EU-28 '!C$14,AND($C41="Electric car",$D41=1),$E41*'EU-28 '!C$16,AND($C41="Electric car",$D41=2),$E41*'EU-28 '!C$17,AND($C41="Electric car",$D41=3),$E41*'EU-28 '!C$18,AND($C41="Electric car",$D41=4),$E41*'EU-28 '!C$19,AND($C41="Electric car",$D41=5),$E41*'EU-28 '!C$20,AND($C41="Hybrid car",$D41=1),$E41*'EU-28 '!C$22,AND($C41="Hybrid car",$D41=2),$E41*'EU-28 '!C$23,AND($C41="Hybrid car",$D41=3),$E41*'EU-28 '!C$24,AND($C41="Hybrid car",$D41=4),$E41*'EU-28 '!C$25,AND($C41="Hybrid car",$D41=5),$E41*'EU-28 '!C$26,AND($C41="Electric motorcycle",$D41=1),$E41*'EU-28 '!C$28,AND($C41="Electric motorcycle",$D41=2),$E41*'EU-28 '!C$29,AND($C41="Electric bike",$D41=1),$E41*'EU-28 '!C$31,AND($C41="Electric scooter",$D41=1),$E41*'EU-28 '!C$33,AND($C41="Bus",$D41="Almost empty"),$E41*'EU-28 '!H$23,AND($C41="Bus",$D41="Average"),$E41*'EU-28 '!H$24,AND($C41="Bus",$D41="Nearly full"),$E41*'EU-28 '!H$25,AND($C41="Electric bus",$D41="Almost empty"),$E41*'EU-28 '!H$7,AND($C41="Electric bus",$D41="Average"),$E41*'EU-28 '!H$8,AND($C41="Electric bus",$D41="Nearly full"),$E41*'EU-28 '!H$9,AND($C41="Diesel bus",$D41="Almost empty"),$E41*'EU-28 '!H$19,AND($C41="Diesel bus",$D41="Average"),$E41*'EU-28 '!H$20,AND($C41="Diesel bus",$D41="Nearly full"),$E41*'EU-28 '!H$21,AND($C41="Hybrid-electric bus",$D41="Almost empty"),$E41*'EU-28 '!H$11,AND($C41="Hybrid-electric bus",$D41="Average"),$E41*'EU-28 '!H$12,AND($C41="Hybrid-electric bus",$D41="Nearly full"),$E41*'EU-28 '!H$13,AND($C41="Alternative fuel bus",$D41="Almost empty"),$E41*'EU-28 '!H$15,AND($C41="Alternative fuel bus",$D41="Average"),$E41*'EU-28 '!H$16,AND($C41="Alternative fuel bus",$D41="Nearly full"),$E41*'EU-28 '!H$17,AND($C41="Metro, tram, urban light train",$D41="Almost empty"),$E41*'EU-28 '!C$35,AND($C41="Metro, tram, urban light train",$D41="Average"),$E41*'EU-28 '!C$36,AND($C41="Metro, tram, urban light train",$D41="Nearly full"),$E41*'EU-28 '!C$37,AND($C41="Electric passenger train",$D41="Almost empty"),$E41*'EU-28 '!C$39,AND($C41="Electric passenger train",$D41="Average"),$E41*'EU-28 '!C$40,AND($C41="Electric passenger train",$D41="Nearly full"),$E41*'EU-28 '!C$41,AND($C41="Diesel passenger train",$D41="Almost empty"),$E41*'EU-28 '!C$47,AND($C41="Diesel passenger train",$D41="Average"),$E41*'EU-28 '!C$48,AND($C41="Diesel passenger train",$D41="Nearly full"),$E41*'EU-28 '!C$49,AND($C41="Walking"),$E41*0,AND($C41="Bike"),$E41*0,AND($C41="Plane - domestic flight"),$E41*'EU-28 '!$C65,AND($C41="Plane - international - intra EU"),$E41*'EU-28 '!$C67,AND($C41="Plane - international (extra EU)"),$E41*'EU-28 '!$C69)</f>
        <v>#N/A</v>
      </c>
      <c r="G41" s="31" t="e" cm="1">
        <f t="array" ref="G41">_xlfn.IFS(AND($C41="Fuel car",$D41=1),$E41*'EU-28 '!D$7,AND($C41="Fuel car",$D41=2),$E41*'EU-28 '!D$8,AND($C41="Fuel car",$D41=3),$E41*'EU-28 '!D$9,AND($C41="Fuel car",$D41=4),$E41*'EU-28 '!D$10,AND($C41="Fuel car",$D41=5),$E41*'EU-28 '!D$11,AND($C41="Motorcycle",$D41=1),$E41*'EU-28 '!D$13,AND($C41="Motorcycle",$D41=2),$E41*'EU-28 '!D$14,AND($C41="Electric car",$D41=1),$E41*'EU-28 '!D$16,AND($C41="Electric car",$D41=2),$E41*'EU-28 '!D$17,AND($C41="Electric car",$D41=3),$E41*'EU-28 '!D$18,AND($C41="Electric car",$D41=4),$E41*'EU-28 '!D$19,AND($C41="Electric car",$D41=5),$E41*'EU-28 '!D$20,AND($C41="Hybrid car",$D41=1),$E41*'EU-28 '!D$22,AND($C41="Hybrid car",$D41=2),$E41*'EU-28 '!D$23,AND($C41="Hybrid car",$D41=3),$E41*'EU-28 '!D$24,AND($C41="Hybrid car",$D41=4),$E41*'EU-28 '!D$25,AND($C41="Hybrid car",$D41=5),$E41*'EU-28 '!D$26,AND($C41="Electric motorcycle",$D41=1),$E41*'EU-28 '!D$28,AND($C41="Electric motorcycle",$D41=2),$E41*'EU-28 '!D$29,AND($C41="Electric bike",$D41=1),$E41*'EU-28 '!D$31,AND($C41="Electric scooter",$D41=1),$E41*'EU-28 '!D$33,AND($C41="Bus",$D41="Almost empty"),$E41*'EU-28 '!I$23,AND($C41="Bus",$D41="Average"),$E41*'EU-28 '!I$24,AND($C41="Bus",$D41="Nearly full"),$E41*'EU-28 '!I$25,AND($C41="Electric bus",$D41="Almost empty"),$E41*'EU-28 '!I$7,AND($C41="Electric bus",$D41="Average"),$E41*'EU-28 '!I$8,AND($C41="Electric bus",$D41="Nearly full"),$E41*'EU-28 '!I$9,AND($C41="Diesel bus",$D41="Almost empty"),$E41*'EU-28 '!I$19,AND($C41="Diesel bus",$D41="Average"),$E41*'EU-28 '!I$20,AND($C41="Diesel bus",$D41="Nearly full"),$E41*'EU-28 '!I$21,AND($C41="Hybrid-electric bus",$D41="Almost empty"),$E41*'EU-28 '!I$11,AND($C41="Hybrid-electric bus",$D41="Average"),$E41*'EU-28 '!I$12,AND($C41="Hybrid-electric bus",$D41="Nearly full"),$E41*'EU-28 '!I$13,AND($C41="Alternative fuel bus",$D41="Almost empty"),$E41*'EU-28 '!I$15,AND($C41="Alternative fuel bus",$D41="Average"),$E41*'EU-28 '!I$16,AND($C41="Alternative fuel bus",$D41="Nearly full"),$E41*'EU-28 '!I$17,AND($C41="Metro, tram, urban light train",$D41="Almost empty"),$E41*'EU-28 '!D$35,AND($C41="Metro, tram, urban light train",$D41="Average"),$E41*'EU-28 '!D$36,AND($C41="Metro, tram, urban light train",$D41="Nearly full"),$E41*'EU-28 '!D$37,AND($C41="Electric passenger train",$D41="Almost empty"),$E41*'EU-28 '!D$39,AND($C41="Electric passenger train",$D41="Average"),$E41*'EU-28 '!D$40,AND($C41="Electric passenger train",$D41="Nearly full"),$E41*'EU-28 '!D$41,AND($C41="Diesel passenger train",$D41="Almost empty"),$E41*'EU-28 '!D$47,AND($C41="Diesel passenger train",$D41="Average"),$E41*'EU-28 '!D$48,AND($C41="Diesel passenger train",$D41="Nearly full"),$E41*'EU-28 '!D$49,AND($C41="Walking"),$E41*0,AND($C41="Bike"),$E41*0,AND($C41="Plane - domestic flight"),$E41*'EU-28 '!$C65,AND($C41="Plane - international - intra EU"),$E41*'EU-28 '!$C67,AND($C41="Plane - international (extra EU)"),$E41*'EU-28 '!$C69)</f>
        <v>#N/A</v>
      </c>
      <c r="H41" s="145"/>
      <c r="I41" s="148">
        <f t="shared" si="6"/>
        <v>0</v>
      </c>
      <c r="J41" s="146" t="e" cm="1">
        <f t="array" ref="J41">_xlfn.IFS(C41="Fuel car",C41*DATA!$C$17,C41="Electric car",C41*DATA!$F$11,C41="Hybrid car",I41*(0.5*DATA!$C$17+0.5*DATA!$F$11))</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car",$D42=1),$E42*'EU-28 '!C$7,AND($C42="Fuel car",$D42=2),$E42*'EU-28 '!C$8,AND($C42="Fuel car",$D42=3),$E42*'EU-28 '!C$9,AND($C42="Fuel car",$D42=4),$E42*'EU-28 '!C$10,AND($C42="Fuel car",$D42=5),$E42*'EU-28 '!C$11,AND($C42="Motorcycle",$D42=1),$E42*'EU-28 '!C$13,AND($C42="Motorcycle",$D42=2),$E42*'EU-28 '!C$14,AND($C42="Electric car",$D42=1),$E42*'EU-28 '!C$16,AND($C42="Electric car",$D42=2),$E42*'EU-28 '!C$17,AND($C42="Electric car",$D42=3),$E42*'EU-28 '!C$18,AND($C42="Electric car",$D42=4),$E42*'EU-28 '!C$19,AND($C42="Electric car",$D42=5),$E42*'EU-28 '!C$20,AND($C42="Hybrid car",$D42=1),$E42*'EU-28 '!C$22,AND($C42="Hybrid car",$D42=2),$E42*'EU-28 '!C$23,AND($C42="Hybrid car",$D42=3),$E42*'EU-28 '!C$24,AND($C42="Hybrid car",$D42=4),$E42*'EU-28 '!C$25,AND($C42="Hybrid car",$D42=5),$E42*'EU-28 '!C$26,AND($C42="Electric motorcycle",$D42=1),$E42*'EU-28 '!C$28,AND($C42="Electric motorcycle",$D42=2),$E42*'EU-28 '!C$29,AND($C42="Electric bike",$D42=1),$E42*'EU-28 '!C$31,AND($C42="Electric scooter",$D42=1),$E42*'EU-28 '!C$33,AND($C42="Bus",$D42="Almost empty"),$E42*'EU-28 '!H$23,AND($C42="Bus",$D42="Average"),$E42*'EU-28 '!H$24,AND($C42="Bus",$D42="Nearly full"),$E42*'EU-28 '!H$25,AND($C42="Electric bus",$D42="Almost empty"),$E42*'EU-28 '!H$7,AND($C42="Electric bus",$D42="Average"),$E42*'EU-28 '!H$8,AND($C42="Electric bus",$D42="Nearly full"),$E42*'EU-28 '!H$9,AND($C42="Diesel bus",$D42="Almost empty"),$E42*'EU-28 '!H$19,AND($C42="Diesel bus",$D42="Average"),$E42*'EU-28 '!H$20,AND($C42="Diesel bus",$D42="Nearly full"),$E42*'EU-28 '!H$21,AND($C42="Hybrid-electric bus",$D42="Almost empty"),$E42*'EU-28 '!H$11,AND($C42="Hybrid-electric bus",$D42="Average"),$E42*'EU-28 '!H$12,AND($C42="Hybrid-electric bus",$D42="Nearly full"),$E42*'EU-28 '!H$13,AND($C42="Alternative fuel bus",$D42="Almost empty"),$E42*'EU-28 '!H$15,AND($C42="Alternative fuel bus",$D42="Average"),$E42*'EU-28 '!H$16,AND($C42="Alternative fuel bus",$D42="Nearly full"),$E42*'EU-28 '!H$17,AND($C42="Metro, tram, urban light train",$D42="Almost empty"),$E42*'EU-28 '!C$35,AND($C42="Metro, tram, urban light train",$D42="Average"),$E42*'EU-28 '!C$36,AND($C42="Metro, tram, urban light train",$D42="Nearly full"),$E42*'EU-28 '!C$37,AND($C42="Electric passenger train",$D42="Almost empty"),$E42*'EU-28 '!C$39,AND($C42="Electric passenger train",$D42="Average"),$E42*'EU-28 '!C$40,AND($C42="Electric passenger train",$D42="Nearly full"),$E42*'EU-28 '!C$41,AND($C42="Diesel passenger train",$D42="Almost empty"),$E42*'EU-28 '!C$47,AND($C42="Diesel passenger train",$D42="Average"),$E42*'EU-28 '!C$48,AND($C42="Diesel passenger train",$D42="Nearly full"),$E42*'EU-28 '!C$49,AND($C42="Walking"),$E42*0,AND($C42="Bike"),$E42*0,AND($C42="Plane - domestic flight"),$E42*'EU-28 '!$C66,AND($C42="Plane - international - intra EU"),$E42*'EU-28 '!$C68,AND($C42="Plane - international (extra EU)"),$E42*'EU-28 '!$C70)</f>
        <v>#N/A</v>
      </c>
      <c r="G42" s="31" t="e" cm="1">
        <f t="array" ref="G42">_xlfn.IFS(AND($C42="Fuel car",$D42=1),$E42*'EU-28 '!D$7,AND($C42="Fuel car",$D42=2),$E42*'EU-28 '!D$8,AND($C42="Fuel car",$D42=3),$E42*'EU-28 '!D$9,AND($C42="Fuel car",$D42=4),$E42*'EU-28 '!D$10,AND($C42="Fuel car",$D42=5),$E42*'EU-28 '!D$11,AND($C42="Motorcycle",$D42=1),$E42*'EU-28 '!D$13,AND($C42="Motorcycle",$D42=2),$E42*'EU-28 '!D$14,AND($C42="Electric car",$D42=1),$E42*'EU-28 '!D$16,AND($C42="Electric car",$D42=2),$E42*'EU-28 '!D$17,AND($C42="Electric car",$D42=3),$E42*'EU-28 '!D$18,AND($C42="Electric car",$D42=4),$E42*'EU-28 '!D$19,AND($C42="Electric car",$D42=5),$E42*'EU-28 '!D$20,AND($C42="Hybrid car",$D42=1),$E42*'EU-28 '!D$22,AND($C42="Hybrid car",$D42=2),$E42*'EU-28 '!D$23,AND($C42="Hybrid car",$D42=3),$E42*'EU-28 '!D$24,AND($C42="Hybrid car",$D42=4),$E42*'EU-28 '!D$25,AND($C42="Hybrid car",$D42=5),$E42*'EU-28 '!D$26,AND($C42="Electric motorcycle",$D42=1),$E42*'EU-28 '!D$28,AND($C42="Electric motorcycle",$D42=2),$E42*'EU-28 '!D$29,AND($C42="Electric bike",$D42=1),$E42*'EU-28 '!D$31,AND($C42="Electric scooter",$D42=1),$E42*'EU-28 '!D$33,AND($C42="Bus",$D42="Almost empty"),$E42*'EU-28 '!I$23,AND($C42="Bus",$D42="Average"),$E42*'EU-28 '!I$24,AND($C42="Bus",$D42="Nearly full"),$E42*'EU-28 '!I$25,AND($C42="Electric bus",$D42="Almost empty"),$E42*'EU-28 '!I$7,AND($C42="Electric bus",$D42="Average"),$E42*'EU-28 '!I$8,AND($C42="Electric bus",$D42="Nearly full"),$E42*'EU-28 '!I$9,AND($C42="Diesel bus",$D42="Almost empty"),$E42*'EU-28 '!I$19,AND($C42="Diesel bus",$D42="Average"),$E42*'EU-28 '!I$20,AND($C42="Diesel bus",$D42="Nearly full"),$E42*'EU-28 '!I$21,AND($C42="Hybrid-electric bus",$D42="Almost empty"),$E42*'EU-28 '!I$11,AND($C42="Hybrid-electric bus",$D42="Average"),$E42*'EU-28 '!I$12,AND($C42="Hybrid-electric bus",$D42="Nearly full"),$E42*'EU-28 '!I$13,AND($C42="Alternative fuel bus",$D42="Almost empty"),$E42*'EU-28 '!I$15,AND($C42="Alternative fuel bus",$D42="Average"),$E42*'EU-28 '!I$16,AND($C42="Alternative fuel bus",$D42="Nearly full"),$E42*'EU-28 '!I$17,AND($C42="Metro, tram, urban light train",$D42="Almost empty"),$E42*'EU-28 '!D$35,AND($C42="Metro, tram, urban light train",$D42="Average"),$E42*'EU-28 '!D$36,AND($C42="Metro, tram, urban light train",$D42="Nearly full"),$E42*'EU-28 '!D$37,AND($C42="Electric passenger train",$D42="Almost empty"),$E42*'EU-28 '!D$39,AND($C42="Electric passenger train",$D42="Average"),$E42*'EU-28 '!D$40,AND($C42="Electric passenger train",$D42="Nearly full"),$E42*'EU-28 '!D$41,AND($C42="Diesel passenger train",$D42="Almost empty"),$E42*'EU-28 '!D$47,AND($C42="Diesel passenger train",$D42="Average"),$E42*'EU-28 '!D$48,AND($C42="Diesel passenger train",$D42="Nearly full"),$E42*'EU-28 '!D$49,AND($C42="Walking"),$E42*0,AND($C42="Bike"),$E42*0,AND($C42="Plane - domestic flight"),$E42*'EU-28 '!$C66,AND($C42="Plane - international - intra EU"),$E42*'EU-28 '!$C68,AND($C42="Plane - international (extra EU)"),$E42*'EU-28 '!$C70)</f>
        <v>#N/A</v>
      </c>
      <c r="H42" s="145"/>
      <c r="I42" s="148">
        <f t="shared" si="6"/>
        <v>0</v>
      </c>
      <c r="J42" s="146" t="e" cm="1">
        <f t="array" ref="J42">_xlfn.IFS(C42="Fuel car",C42*DATA!$C$17,C42="Electric car",C42*DATA!$F$11,C42="Hybrid car",I42*(0.5*DATA!$C$17+0.5*DATA!$F$11))</f>
        <v>#N/A</v>
      </c>
      <c r="L42" s="235"/>
      <c r="M42" s="236"/>
      <c r="N42" s="237"/>
    </row>
    <row r="43" spans="1:14" ht="14.5" customHeight="1" thickBot="1" x14ac:dyDescent="0.25">
      <c r="A43" s="222"/>
      <c r="B43" s="30"/>
      <c r="C43" s="15"/>
      <c r="D43" s="15"/>
      <c r="E43" s="125"/>
      <c r="F43" s="128" t="e" cm="1">
        <f t="array" ref="F43">_xlfn.IFS(AND($C43="Fuel car",$D43=1),$E43*'EU-28 '!C$7,AND($C43="Fuel car",$D43=2),$E43*'EU-28 '!C$8,AND($C43="Fuel car",$D43=3),$E43*'EU-28 '!C$9,AND($C43="Fuel car",$D43=4),$E43*'EU-28 '!C$10,AND($C43="Fuel car",$D43=5),$E43*'EU-28 '!C$11,AND($C43="Motorcycle",$D43=1),$E43*'EU-28 '!C$13,AND($C43="Motorcycle",$D43=2),$E43*'EU-28 '!C$14,AND($C43="Electric car",$D43=1),$E43*'EU-28 '!C$16,AND($C43="Electric car",$D43=2),$E43*'EU-28 '!C$17,AND($C43="Electric car",$D43=3),$E43*'EU-28 '!C$18,AND($C43="Electric car",$D43=4),$E43*'EU-28 '!C$19,AND($C43="Electric car",$D43=5),$E43*'EU-28 '!C$20,AND($C43="Hybrid car",$D43=1),$E43*'EU-28 '!C$22,AND($C43="Hybrid car",$D43=2),$E43*'EU-28 '!C$23,AND($C43="Hybrid car",$D43=3),$E43*'EU-28 '!C$24,AND($C43="Hybrid car",$D43=4),$E43*'EU-28 '!C$25,AND($C43="Hybrid car",$D43=5),$E43*'EU-28 '!C$26,AND($C43="Electric motorcycle",$D43=1),$E43*'EU-28 '!C$28,AND($C43="Electric motorcycle",$D43=2),$E43*'EU-28 '!C$29,AND($C43="Electric bike",$D43=1),$E43*'EU-28 '!C$31,AND($C43="Electric scooter",$D43=1),$E43*'EU-28 '!C$33,AND($C43="Bus",$D43="Almost empty"),$E43*'EU-28 '!H$23,AND($C43="Bus",$D43="Average"),$E43*'EU-28 '!H$24,AND($C43="Bus",$D43="Nearly full"),$E43*'EU-28 '!H$25,AND($C43="Electric bus",$D43="Almost empty"),$E43*'EU-28 '!H$7,AND($C43="Electric bus",$D43="Average"),$E43*'EU-28 '!H$8,AND($C43="Electric bus",$D43="Nearly full"),$E43*'EU-28 '!H$9,AND($C43="Diesel bus",$D43="Almost empty"),$E43*'EU-28 '!H$19,AND($C43="Diesel bus",$D43="Average"),$E43*'EU-28 '!H$20,AND($C43="Diesel bus",$D43="Nearly full"),$E43*'EU-28 '!H$21,AND($C43="Hybrid-electric bus",$D43="Almost empty"),$E43*'EU-28 '!H$11,AND($C43="Hybrid-electric bus",$D43="Average"),$E43*'EU-28 '!H$12,AND($C43="Hybrid-electric bus",$D43="Nearly full"),$E43*'EU-28 '!H$13,AND($C43="Alternative fuel bus",$D43="Almost empty"),$E43*'EU-28 '!H$15,AND($C43="Alternative fuel bus",$D43="Average"),$E43*'EU-28 '!H$16,AND($C43="Alternative fuel bus",$D43="Nearly full"),$E43*'EU-28 '!H$17,AND($C43="Metro, tram, urban light train",$D43="Almost empty"),$E43*'EU-28 '!C$35,AND($C43="Metro, tram, urban light train",$D43="Average"),$E43*'EU-28 '!C$36,AND($C43="Metro, tram, urban light train",$D43="Nearly full"),$E43*'EU-28 '!C$37,AND($C43="Electric passenger train",$D43="Almost empty"),$E43*'EU-28 '!C$39,AND($C43="Electric passenger train",$D43="Average"),$E43*'EU-28 '!C$40,AND($C43="Electric passenger train",$D43="Nearly full"),$E43*'EU-28 '!C$41,AND($C43="Diesel passenger train",$D43="Almost empty"),$E43*'EU-28 '!C$47,AND($C43="Diesel passenger train",$D43="Average"),$E43*'EU-28 '!C$48,AND($C43="Diesel passenger train",$D43="Nearly full"),$E43*'EU-28 '!C$49,AND($C43="Walking"),$E43*0,AND($C43="Bike"),$E43*0,AND($C43="Plane - domestic flight"),$E43*'EU-28 '!$C67,AND($C43="Plane - international - intra EU"),$E43*'EU-28 '!$C69,AND($C43="Plane - international (extra EU)"),$E43*'EU-28 '!$C71)</f>
        <v>#N/A</v>
      </c>
      <c r="G43" s="31" t="e" cm="1">
        <f t="array" ref="G43">_xlfn.IFS(AND($C43="Fuel car",$D43=1),$E43*'EU-28 '!D$7,AND($C43="Fuel car",$D43=2),$E43*'EU-28 '!D$8,AND($C43="Fuel car",$D43=3),$E43*'EU-28 '!D$9,AND($C43="Fuel car",$D43=4),$E43*'EU-28 '!D$10,AND($C43="Fuel car",$D43=5),$E43*'EU-28 '!D$11,AND($C43="Motorcycle",$D43=1),$E43*'EU-28 '!D$13,AND($C43="Motorcycle",$D43=2),$E43*'EU-28 '!D$14,AND($C43="Electric car",$D43=1),$E43*'EU-28 '!D$16,AND($C43="Electric car",$D43=2),$E43*'EU-28 '!D$17,AND($C43="Electric car",$D43=3),$E43*'EU-28 '!D$18,AND($C43="Electric car",$D43=4),$E43*'EU-28 '!D$19,AND($C43="Electric car",$D43=5),$E43*'EU-28 '!D$20,AND($C43="Hybrid car",$D43=1),$E43*'EU-28 '!D$22,AND($C43="Hybrid car",$D43=2),$E43*'EU-28 '!D$23,AND($C43="Hybrid car",$D43=3),$E43*'EU-28 '!D$24,AND($C43="Hybrid car",$D43=4),$E43*'EU-28 '!D$25,AND($C43="Hybrid car",$D43=5),$E43*'EU-28 '!D$26,AND($C43="Electric motorcycle",$D43=1),$E43*'EU-28 '!D$28,AND($C43="Electric motorcycle",$D43=2),$E43*'EU-28 '!D$29,AND($C43="Electric bike",$D43=1),$E43*'EU-28 '!D$31,AND($C43="Electric scooter",$D43=1),$E43*'EU-28 '!D$33,AND($C43="Bus",$D43="Almost empty"),$E43*'EU-28 '!I$23,AND($C43="Bus",$D43="Average"),$E43*'EU-28 '!I$24,AND($C43="Bus",$D43="Nearly full"),$E43*'EU-28 '!I$25,AND($C43="Electric bus",$D43="Almost empty"),$E43*'EU-28 '!I$7,AND($C43="Electric bus",$D43="Average"),$E43*'EU-28 '!I$8,AND($C43="Electric bus",$D43="Nearly full"),$E43*'EU-28 '!I$9,AND($C43="Diesel bus",$D43="Almost empty"),$E43*'EU-28 '!I$19,AND($C43="Diesel bus",$D43="Average"),$E43*'EU-28 '!I$20,AND($C43="Diesel bus",$D43="Nearly full"),$E43*'EU-28 '!I$21,AND($C43="Hybrid-electric bus",$D43="Almost empty"),$E43*'EU-28 '!I$11,AND($C43="Hybrid-electric bus",$D43="Average"),$E43*'EU-28 '!I$12,AND($C43="Hybrid-electric bus",$D43="Nearly full"),$E43*'EU-28 '!I$13,AND($C43="Alternative fuel bus",$D43="Almost empty"),$E43*'EU-28 '!I$15,AND($C43="Alternative fuel bus",$D43="Average"),$E43*'EU-28 '!I$16,AND($C43="Alternative fuel bus",$D43="Nearly full"),$E43*'EU-28 '!I$17,AND($C43="Metro, tram, urban light train",$D43="Almost empty"),$E43*'EU-28 '!D$35,AND($C43="Metro, tram, urban light train",$D43="Average"),$E43*'EU-28 '!D$36,AND($C43="Metro, tram, urban light train",$D43="Nearly full"),$E43*'EU-28 '!D$37,AND($C43="Electric passenger train",$D43="Almost empty"),$E43*'EU-28 '!D$39,AND($C43="Electric passenger train",$D43="Average"),$E43*'EU-28 '!D$40,AND($C43="Electric passenger train",$D43="Nearly full"),$E43*'EU-28 '!D$41,AND($C43="Diesel passenger train",$D43="Almost empty"),$E43*'EU-28 '!D$47,AND($C43="Diesel passenger train",$D43="Average"),$E43*'EU-28 '!D$48,AND($C43="Diesel passenger train",$D43="Nearly full"),$E43*'EU-28 '!D$49,AND($C43="Walking"),$E43*0,AND($C43="Bike"),$E43*0,AND($C43="Plane - domestic flight"),$E43*'EU-28 '!$C67,AND($C43="Plane - international - intra EU"),$E43*'EU-28 '!$C69,AND($C43="Plane - international (extra EU)"),$E43*'EU-28 '!$C71)</f>
        <v>#N/A</v>
      </c>
      <c r="H43" s="109"/>
      <c r="I43" s="154">
        <f t="shared" si="6"/>
        <v>0</v>
      </c>
      <c r="J43" s="147" t="e" cm="1">
        <f t="array" ref="J43">_xlfn.IFS(C43="Fuel car",C43*DATA!$C$17,C43="Electric car",C43*DATA!$F$11,C43="Hybrid car",I43*(0.5*DATA!$C$17+0.5*DATA!$F$11))</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car",$D44=1),$E44*'EU-28 '!C$7,AND($C44="Fuel car",$D44=2),$E44*'EU-28 '!C$8,AND($C44="Fuel car",$D44=3),$E44*'EU-28 '!C$9,AND($C44="Fuel car",$D44=4),$E44*'EU-28 '!C$10,AND($C44="Fuel car",$D44=5),$E44*'EU-28 '!C$11,AND($C44="Motorcycle",$D44=1),$E44*'EU-28 '!C$13,AND($C44="Motorcycle",$D44=2),$E44*'EU-28 '!C$14,AND($C44="Electric car",$D44=1),$E44*'EU-28 '!C$16,AND($C44="Electric car",$D44=2),$E44*'EU-28 '!C$17,AND($C44="Electric car",$D44=3),$E44*'EU-28 '!C$18,AND($C44="Electric car",$D44=4),$E44*'EU-28 '!C$19,AND($C44="Electric car",$D44=5),$E44*'EU-28 '!C$20,AND($C44="Hybrid car",$D44=1),$E44*'EU-28 '!C$22,AND($C44="Hybrid car",$D44=2),$E44*'EU-28 '!C$23,AND($C44="Hybrid car",$D44=3),$E44*'EU-28 '!C$24,AND($C44="Hybrid car",$D44=4),$E44*'EU-28 '!C$25,AND($C44="Hybrid car",$D44=5),$E44*'EU-28 '!C$26,AND($C44="Electric motorcycle",$D44=1),$E44*'EU-28 '!C$28,AND($C44="Electric motorcycle",$D44=2),$E44*'EU-28 '!C$29,AND($C44="Electric bike",$D44=1),$E44*'EU-28 '!C$31,AND($C44="Electric scooter",$D44=1),$E44*'EU-28 '!C$33,AND($C44="Bus",$D44="Almost empty"),$E44*'EU-28 '!H$23,AND($C44="Bus",$D44="Average"),$E44*'EU-28 '!H$24,AND($C44="Bus",$D44="Nearly full"),$E44*'EU-28 '!H$25,AND($C44="Electric bus",$D44="Almost empty"),$E44*'EU-28 '!H$7,AND($C44="Electric bus",$D44="Average"),$E44*'EU-28 '!H$8,AND($C44="Electric bus",$D44="Nearly full"),$E44*'EU-28 '!H$9,AND($C44="Diesel bus",$D44="Almost empty"),$E44*'EU-28 '!H$19,AND($C44="Diesel bus",$D44="Average"),$E44*'EU-28 '!H$20,AND($C44="Diesel bus",$D44="Nearly full"),$E44*'EU-28 '!H$21,AND($C44="Hybrid-electric bus",$D44="Almost empty"),$E44*'EU-28 '!H$11,AND($C44="Hybrid-electric bus",$D44="Average"),$E44*'EU-28 '!H$12,AND($C44="Hybrid-electric bus",$D44="Nearly full"),$E44*'EU-28 '!H$13,AND($C44="Alternative fuel bus",$D44="Almost empty"),$E44*'EU-28 '!H$15,AND($C44="Alternative fuel bus",$D44="Average"),$E44*'EU-28 '!H$16,AND($C44="Alternative fuel bus",$D44="Nearly full"),$E44*'EU-28 '!H$17,AND($C44="Metro, tram, urban light train",$D44="Almost empty"),$E44*'EU-28 '!C$35,AND($C44="Metro, tram, urban light train",$D44="Average"),$E44*'EU-28 '!C$36,AND($C44="Metro, tram, urban light train",$D44="Nearly full"),$E44*'EU-28 '!C$37,AND($C44="Electric passenger train",$D44="Almost empty"),$E44*'EU-28 '!C$39,AND($C44="Electric passenger train",$D44="Average"),$E44*'EU-28 '!C$40,AND($C44="Electric passenger train",$D44="Nearly full"),$E44*'EU-28 '!C$41,AND($C44="Diesel passenger train",$D44="Almost empty"),$E44*'EU-28 '!C$47,AND($C44="Diesel passenger train",$D44="Average"),$E44*'EU-28 '!C$48,AND($C44="Diesel passenger train",$D44="Nearly full"),$E44*'EU-28 '!C$49,AND($C44="Walking"),$E44*0,AND($C44="Bike"),$E44*0,AND($C44="Plane - domestic flight"),$E44*'EU-28 '!$C68,AND($C44="Plane - international - intra EU"),$E44*'EU-28 '!$C70,AND($C44="Plane - international (extra EU)"),$E44*'EU-28 '!$C72)</f>
        <v>#N/A</v>
      </c>
      <c r="G44" s="31" t="e" cm="1">
        <f t="array" ref="G44">_xlfn.IFS(AND($C44="Fuel car",$D44=1),$E44*'EU-28 '!D$7,AND($C44="Fuel car",$D44=2),$E44*'EU-28 '!D$8,AND($C44="Fuel car",$D44=3),$E44*'EU-28 '!D$9,AND($C44="Fuel car",$D44=4),$E44*'EU-28 '!D$10,AND($C44="Fuel car",$D44=5),$E44*'EU-28 '!D$11,AND($C44="Motorcycle",$D44=1),$E44*'EU-28 '!D$13,AND($C44="Motorcycle",$D44=2),$E44*'EU-28 '!D$14,AND($C44="Electric car",$D44=1),$E44*'EU-28 '!D$16,AND($C44="Electric car",$D44=2),$E44*'EU-28 '!D$17,AND($C44="Electric car",$D44=3),$E44*'EU-28 '!D$18,AND($C44="Electric car",$D44=4),$E44*'EU-28 '!D$19,AND($C44="Electric car",$D44=5),$E44*'EU-28 '!D$20,AND($C44="Hybrid car",$D44=1),$E44*'EU-28 '!D$22,AND($C44="Hybrid car",$D44=2),$E44*'EU-28 '!D$23,AND($C44="Hybrid car",$D44=3),$E44*'EU-28 '!D$24,AND($C44="Hybrid car",$D44=4),$E44*'EU-28 '!D$25,AND($C44="Hybrid car",$D44=5),$E44*'EU-28 '!D$26,AND($C44="Electric motorcycle",$D44=1),$E44*'EU-28 '!D$28,AND($C44="Electric motorcycle",$D44=2),$E44*'EU-28 '!D$29,AND($C44="Electric bike",$D44=1),$E44*'EU-28 '!D$31,AND($C44="Electric scooter",$D44=1),$E44*'EU-28 '!D$33,AND($C44="Bus",$D44="Almost empty"),$E44*'EU-28 '!I$23,AND($C44="Bus",$D44="Average"),$E44*'EU-28 '!I$24,AND($C44="Bus",$D44="Nearly full"),$E44*'EU-28 '!I$25,AND($C44="Electric bus",$D44="Almost empty"),$E44*'EU-28 '!I$7,AND($C44="Electric bus",$D44="Average"),$E44*'EU-28 '!I$8,AND($C44="Electric bus",$D44="Nearly full"),$E44*'EU-28 '!I$9,AND($C44="Diesel bus",$D44="Almost empty"),$E44*'EU-28 '!I$19,AND($C44="Diesel bus",$D44="Average"),$E44*'EU-28 '!I$20,AND($C44="Diesel bus",$D44="Nearly full"),$E44*'EU-28 '!I$21,AND($C44="Hybrid-electric bus",$D44="Almost empty"),$E44*'EU-28 '!I$11,AND($C44="Hybrid-electric bus",$D44="Average"),$E44*'EU-28 '!I$12,AND($C44="Hybrid-electric bus",$D44="Nearly full"),$E44*'EU-28 '!I$13,AND($C44="Alternative fuel bus",$D44="Almost empty"),$E44*'EU-28 '!I$15,AND($C44="Alternative fuel bus",$D44="Average"),$E44*'EU-28 '!I$16,AND($C44="Alternative fuel bus",$D44="Nearly full"),$E44*'EU-28 '!I$17,AND($C44="Metro, tram, urban light train",$D44="Almost empty"),$E44*'EU-28 '!D$35,AND($C44="Metro, tram, urban light train",$D44="Average"),$E44*'EU-28 '!D$36,AND($C44="Metro, tram, urban light train",$D44="Nearly full"),$E44*'EU-28 '!D$37,AND($C44="Electric passenger train",$D44="Almost empty"),$E44*'EU-28 '!D$39,AND($C44="Electric passenger train",$D44="Average"),$E44*'EU-28 '!D$40,AND($C44="Electric passenger train",$D44="Nearly full"),$E44*'EU-28 '!D$41,AND($C44="Diesel passenger train",$D44="Almost empty"),$E44*'EU-28 '!D$47,AND($C44="Diesel passenger train",$D44="Average"),$E44*'EU-28 '!D$48,AND($C44="Diesel passenger train",$D44="Nearly full"),$E44*'EU-28 '!D$49,AND($C44="Walking"),$E44*0,AND($C44="Bike"),$E44*0,AND($C44="Plane - domestic flight"),$E44*'EU-28 '!$C68,AND($C44="Plane - international - intra EU"),$E44*'EU-28 '!$C70,AND($C44="Plane - international (extra EU)"),$E44*'EU-28 '!$C72)</f>
        <v>#N/A</v>
      </c>
      <c r="L44" s="218"/>
      <c r="M44" s="219"/>
      <c r="N44" s="220"/>
    </row>
    <row r="45" spans="1:14" ht="18.5" customHeight="1" x14ac:dyDescent="0.2">
      <c r="A45" s="222"/>
      <c r="B45" s="30"/>
      <c r="C45" s="15"/>
      <c r="D45" s="15"/>
      <c r="E45" s="125"/>
      <c r="F45" s="128" t="e" cm="1">
        <f t="array" ref="F45">_xlfn.IFS(AND($C45="Fuel car",$D45=1),$E45*'EU-28 '!C$7,AND($C45="Fuel car",$D45=2),$E45*'EU-28 '!C$8,AND($C45="Fuel car",$D45=3),$E45*'EU-28 '!C$9,AND($C45="Fuel car",$D45=4),$E45*'EU-28 '!C$10,AND($C45="Fuel car",$D45=5),$E45*'EU-28 '!C$11,AND($C45="Motorcycle",$D45=1),$E45*'EU-28 '!C$13,AND($C45="Motorcycle",$D45=2),$E45*'EU-28 '!C$14,AND($C45="Electric car",$D45=1),$E45*'EU-28 '!C$16,AND($C45="Electric car",$D45=2),$E45*'EU-28 '!C$17,AND($C45="Electric car",$D45=3),$E45*'EU-28 '!C$18,AND($C45="Electric car",$D45=4),$E45*'EU-28 '!C$19,AND($C45="Electric car",$D45=5),$E45*'EU-28 '!C$20,AND($C45="Hybrid car",$D45=1),$E45*'EU-28 '!C$22,AND($C45="Hybrid car",$D45=2),$E45*'EU-28 '!C$23,AND($C45="Hybrid car",$D45=3),$E45*'EU-28 '!C$24,AND($C45="Hybrid car",$D45=4),$E45*'EU-28 '!C$25,AND($C45="Hybrid car",$D45=5),$E45*'EU-28 '!C$26,AND($C45="Electric motorcycle",$D45=1),$E45*'EU-28 '!C$28,AND($C45="Electric motorcycle",$D45=2),$E45*'EU-28 '!C$29,AND($C45="Electric bike",$D45=1),$E45*'EU-28 '!C$31,AND($C45="Electric scooter",$D45=1),$E45*'EU-28 '!C$33,AND($C45="Bus",$D45="Almost empty"),$E45*'EU-28 '!H$23,AND($C45="Bus",$D45="Average"),$E45*'EU-28 '!H$24,AND($C45="Bus",$D45="Nearly full"),$E45*'EU-28 '!H$25,AND($C45="Electric bus",$D45="Almost empty"),$E45*'EU-28 '!H$7,AND($C45="Electric bus",$D45="Average"),$E45*'EU-28 '!H$8,AND($C45="Electric bus",$D45="Nearly full"),$E45*'EU-28 '!H$9,AND($C45="Diesel bus",$D45="Almost empty"),$E45*'EU-28 '!H$19,AND($C45="Diesel bus",$D45="Average"),$E45*'EU-28 '!H$20,AND($C45="Diesel bus",$D45="Nearly full"),$E45*'EU-28 '!H$21,AND($C45="Hybrid-electric bus",$D45="Almost empty"),$E45*'EU-28 '!H$11,AND($C45="Hybrid-electric bus",$D45="Average"),$E45*'EU-28 '!H$12,AND($C45="Hybrid-electric bus",$D45="Nearly full"),$E45*'EU-28 '!H$13,AND($C45="Alternative fuel bus",$D45="Almost empty"),$E45*'EU-28 '!H$15,AND($C45="Alternative fuel bus",$D45="Average"),$E45*'EU-28 '!H$16,AND($C45="Alternative fuel bus",$D45="Nearly full"),$E45*'EU-28 '!H$17,AND($C45="Metro, tram, urban light train",$D45="Almost empty"),$E45*'EU-28 '!C$35,AND($C45="Metro, tram, urban light train",$D45="Average"),$E45*'EU-28 '!C$36,AND($C45="Metro, tram, urban light train",$D45="Nearly full"),$E45*'EU-28 '!C$37,AND($C45="Electric passenger train",$D45="Almost empty"),$E45*'EU-28 '!C$39,AND($C45="Electric passenger train",$D45="Average"),$E45*'EU-28 '!C$40,AND($C45="Electric passenger train",$D45="Nearly full"),$E45*'EU-28 '!C$41,AND($C45="Diesel passenger train",$D45="Almost empty"),$E45*'EU-28 '!C$47,AND($C45="Diesel passenger train",$D45="Average"),$E45*'EU-28 '!C$48,AND($C45="Diesel passenger train",$D45="Nearly full"),$E45*'EU-28 '!C$49,AND($C45="Walking"),$E45*0,AND($C45="Bike"),$E45*0,AND($C45="Plane - domestic flight"),$E45*'EU-28 '!$C69,AND($C45="Plane - international - intra EU"),$E45*'EU-28 '!$C71,AND($C45="Plane - international (extra EU)"),$E45*'EU-28 '!$C73)</f>
        <v>#N/A</v>
      </c>
      <c r="G45" s="31" t="e" cm="1">
        <f t="array" ref="G45">_xlfn.IFS(AND($C45="Fuel car",$D45=1),$E45*'EU-28 '!D$7,AND($C45="Fuel car",$D45=2),$E45*'EU-28 '!D$8,AND($C45="Fuel car",$D45=3),$E45*'EU-28 '!D$9,AND($C45="Fuel car",$D45=4),$E45*'EU-28 '!D$10,AND($C45="Fuel car",$D45=5),$E45*'EU-28 '!D$11,AND($C45="Motorcycle",$D45=1),$E45*'EU-28 '!D$13,AND($C45="Motorcycle",$D45=2),$E45*'EU-28 '!D$14,AND($C45="Electric car",$D45=1),$E45*'EU-28 '!D$16,AND($C45="Electric car",$D45=2),$E45*'EU-28 '!D$17,AND($C45="Electric car",$D45=3),$E45*'EU-28 '!D$18,AND($C45="Electric car",$D45=4),$E45*'EU-28 '!D$19,AND($C45="Electric car",$D45=5),$E45*'EU-28 '!D$20,AND($C45="Hybrid car",$D45=1),$E45*'EU-28 '!D$22,AND($C45="Hybrid car",$D45=2),$E45*'EU-28 '!D$23,AND($C45="Hybrid car",$D45=3),$E45*'EU-28 '!D$24,AND($C45="Hybrid car",$D45=4),$E45*'EU-28 '!D$25,AND($C45="Hybrid car",$D45=5),$E45*'EU-28 '!D$26,AND($C45="Electric motorcycle",$D45=1),$E45*'EU-28 '!D$28,AND($C45="Electric motorcycle",$D45=2),$E45*'EU-28 '!D$29,AND($C45="Electric bike",$D45=1),$E45*'EU-28 '!D$31,AND($C45="Electric scooter",$D45=1),$E45*'EU-28 '!D$33,AND($C45="Bus",$D45="Almost empty"),$E45*'EU-28 '!I$23,AND($C45="Bus",$D45="Average"),$E45*'EU-28 '!I$24,AND($C45="Bus",$D45="Nearly full"),$E45*'EU-28 '!I$25,AND($C45="Electric bus",$D45="Almost empty"),$E45*'EU-28 '!I$7,AND($C45="Electric bus",$D45="Average"),$E45*'EU-28 '!I$8,AND($C45="Electric bus",$D45="Nearly full"),$E45*'EU-28 '!I$9,AND($C45="Diesel bus",$D45="Almost empty"),$E45*'EU-28 '!I$19,AND($C45="Diesel bus",$D45="Average"),$E45*'EU-28 '!I$20,AND($C45="Diesel bus",$D45="Nearly full"),$E45*'EU-28 '!I$21,AND($C45="Hybrid-electric bus",$D45="Almost empty"),$E45*'EU-28 '!I$11,AND($C45="Hybrid-electric bus",$D45="Average"),$E45*'EU-28 '!I$12,AND($C45="Hybrid-electric bus",$D45="Nearly full"),$E45*'EU-28 '!I$13,AND($C45="Alternative fuel bus",$D45="Almost empty"),$E45*'EU-28 '!I$15,AND($C45="Alternative fuel bus",$D45="Average"),$E45*'EU-28 '!I$16,AND($C45="Alternative fuel bus",$D45="Nearly full"),$E45*'EU-28 '!I$17,AND($C45="Metro, tram, urban light train",$D45="Almost empty"),$E45*'EU-28 '!D$35,AND($C45="Metro, tram, urban light train",$D45="Average"),$E45*'EU-28 '!D$36,AND($C45="Metro, tram, urban light train",$D45="Nearly full"),$E45*'EU-28 '!D$37,AND($C45="Electric passenger train",$D45="Almost empty"),$E45*'EU-28 '!D$39,AND($C45="Electric passenger train",$D45="Average"),$E45*'EU-28 '!D$40,AND($C45="Electric passenger train",$D45="Nearly full"),$E45*'EU-28 '!D$41,AND($C45="Diesel passenger train",$D45="Almost empty"),$E45*'EU-28 '!D$47,AND($C45="Diesel passenger train",$D45="Average"),$E45*'EU-28 '!D$48,AND($C45="Diesel passenger train",$D45="Nearly full"),$E45*'EU-28 '!D$49,AND($C45="Walking"),$E45*0,AND($C45="Bike"),$E45*0,AND($C45="Plane - domestic flight"),$E45*'EU-28 '!$C69,AND($C45="Plane - international - intra EU"),$E45*'EU-28 '!$C71,AND($C45="Plane - international (extra EU)"),$E45*'EU-28 '!$C73)</f>
        <v>#N/A</v>
      </c>
      <c r="L45" s="198" t="s">
        <v>256</v>
      </c>
      <c r="M45" s="199"/>
      <c r="N45" s="200"/>
    </row>
    <row r="46" spans="1:14" ht="16" thickBot="1" x14ac:dyDescent="0.25">
      <c r="A46" s="222"/>
      <c r="B46" s="30"/>
      <c r="C46" s="15"/>
      <c r="D46" s="15"/>
      <c r="E46" s="125"/>
      <c r="F46" s="128" t="e" cm="1">
        <f t="array" ref="F46">_xlfn.IFS(AND($C46="Fuel car",$D46=1),$E46*'EU-28 '!C$7,AND($C46="Fuel car",$D46=2),$E46*'EU-28 '!C$8,AND($C46="Fuel car",$D46=3),$E46*'EU-28 '!C$9,AND($C46="Fuel car",$D46=4),$E46*'EU-28 '!C$10,AND($C46="Fuel car",$D46=5),$E46*'EU-28 '!C$11,AND($C46="Motorcycle",$D46=1),$E46*'EU-28 '!C$13,AND($C46="Motorcycle",$D46=2),$E46*'EU-28 '!C$14,AND($C46="Electric car",$D46=1),$E46*'EU-28 '!C$16,AND($C46="Electric car",$D46=2),$E46*'EU-28 '!C$17,AND($C46="Electric car",$D46=3),$E46*'EU-28 '!C$18,AND($C46="Electric car",$D46=4),$E46*'EU-28 '!C$19,AND($C46="Electric car",$D46=5),$E46*'EU-28 '!C$20,AND($C46="Hybrid car",$D46=1),$E46*'EU-28 '!C$22,AND($C46="Hybrid car",$D46=2),$E46*'EU-28 '!C$23,AND($C46="Hybrid car",$D46=3),$E46*'EU-28 '!C$24,AND($C46="Hybrid car",$D46=4),$E46*'EU-28 '!C$25,AND($C46="Hybrid car",$D46=5),$E46*'EU-28 '!C$26,AND($C46="Electric motorcycle",$D46=1),$E46*'EU-28 '!C$28,AND($C46="Electric motorcycle",$D46=2),$E46*'EU-28 '!C$29,AND($C46="Electric bike",$D46=1),$E46*'EU-28 '!C$31,AND($C46="Electric scooter",$D46=1),$E46*'EU-28 '!C$33,AND($C46="Bus",$D46="Almost empty"),$E46*'EU-28 '!H$23,AND($C46="Bus",$D46="Average"),$E46*'EU-28 '!H$24,AND($C46="Bus",$D46="Nearly full"),$E46*'EU-28 '!H$25,AND($C46="Electric bus",$D46="Almost empty"),$E46*'EU-28 '!H$7,AND($C46="Electric bus",$D46="Average"),$E46*'EU-28 '!H$8,AND($C46="Electric bus",$D46="Nearly full"),$E46*'EU-28 '!H$9,AND($C46="Diesel bus",$D46="Almost empty"),$E46*'EU-28 '!H$19,AND($C46="Diesel bus",$D46="Average"),$E46*'EU-28 '!H$20,AND($C46="Diesel bus",$D46="Nearly full"),$E46*'EU-28 '!H$21,AND($C46="Hybrid-electric bus",$D46="Almost empty"),$E46*'EU-28 '!H$11,AND($C46="Hybrid-electric bus",$D46="Average"),$E46*'EU-28 '!H$12,AND($C46="Hybrid-electric bus",$D46="Nearly full"),$E46*'EU-28 '!H$13,AND($C46="Alternative fuel bus",$D46="Almost empty"),$E46*'EU-28 '!H$15,AND($C46="Alternative fuel bus",$D46="Average"),$E46*'EU-28 '!H$16,AND($C46="Alternative fuel bus",$D46="Nearly full"),$E46*'EU-28 '!H$17,AND($C46="Metro, tram, urban light train",$D46="Almost empty"),$E46*'EU-28 '!C$35,AND($C46="Metro, tram, urban light train",$D46="Average"),$E46*'EU-28 '!C$36,AND($C46="Metro, tram, urban light train",$D46="Nearly full"),$E46*'EU-28 '!C$37,AND($C46="Electric passenger train",$D46="Almost empty"),$E46*'EU-28 '!C$39,AND($C46="Electric passenger train",$D46="Average"),$E46*'EU-28 '!C$40,AND($C46="Electric passenger train",$D46="Nearly full"),$E46*'EU-28 '!C$41,AND($C46="Diesel passenger train",$D46="Almost empty"),$E46*'EU-28 '!C$47,AND($C46="Diesel passenger train",$D46="Average"),$E46*'EU-28 '!C$48,AND($C46="Diesel passenger train",$D46="Nearly full"),$E46*'EU-28 '!C$49,AND($C46="Walking"),$E46*0,AND($C46="Bike"),$E46*0,AND($C46="Plane - domestic flight"),$E46*'EU-28 '!$C70,AND($C46="Plane - international - intra EU"),$E46*'EU-28 '!$C72,AND($C46="Plane - international (extra EU)"),$E46*'EU-28 '!$C74)</f>
        <v>#N/A</v>
      </c>
      <c r="G46" s="31" t="e" cm="1">
        <f t="array" ref="G46">_xlfn.IFS(AND($C46="Fuel car",$D46=1),$E46*'EU-28 '!D$7,AND($C46="Fuel car",$D46=2),$E46*'EU-28 '!D$8,AND($C46="Fuel car",$D46=3),$E46*'EU-28 '!D$9,AND($C46="Fuel car",$D46=4),$E46*'EU-28 '!D$10,AND($C46="Fuel car",$D46=5),$E46*'EU-28 '!D$11,AND($C46="Motorcycle",$D46=1),$E46*'EU-28 '!D$13,AND($C46="Motorcycle",$D46=2),$E46*'EU-28 '!D$14,AND($C46="Electric car",$D46=1),$E46*'EU-28 '!D$16,AND($C46="Electric car",$D46=2),$E46*'EU-28 '!D$17,AND($C46="Electric car",$D46=3),$E46*'EU-28 '!D$18,AND($C46="Electric car",$D46=4),$E46*'EU-28 '!D$19,AND($C46="Electric car",$D46=5),$E46*'EU-28 '!D$20,AND($C46="Hybrid car",$D46=1),$E46*'EU-28 '!D$22,AND($C46="Hybrid car",$D46=2),$E46*'EU-28 '!D$23,AND($C46="Hybrid car",$D46=3),$E46*'EU-28 '!D$24,AND($C46="Hybrid car",$D46=4),$E46*'EU-28 '!D$25,AND($C46="Hybrid car",$D46=5),$E46*'EU-28 '!D$26,AND($C46="Electric motorcycle",$D46=1),$E46*'EU-28 '!D$28,AND($C46="Electric motorcycle",$D46=2),$E46*'EU-28 '!D$29,AND($C46="Electric bike",$D46=1),$E46*'EU-28 '!D$31,AND($C46="Electric scooter",$D46=1),$E46*'EU-28 '!D$33,AND($C46="Bus",$D46="Almost empty"),$E46*'EU-28 '!I$23,AND($C46="Bus",$D46="Average"),$E46*'EU-28 '!I$24,AND($C46="Bus",$D46="Nearly full"),$E46*'EU-28 '!I$25,AND($C46="Electric bus",$D46="Almost empty"),$E46*'EU-28 '!I$7,AND($C46="Electric bus",$D46="Average"),$E46*'EU-28 '!I$8,AND($C46="Electric bus",$D46="Nearly full"),$E46*'EU-28 '!I$9,AND($C46="Diesel bus",$D46="Almost empty"),$E46*'EU-28 '!I$19,AND($C46="Diesel bus",$D46="Average"),$E46*'EU-28 '!I$20,AND($C46="Diesel bus",$D46="Nearly full"),$E46*'EU-28 '!I$21,AND($C46="Hybrid-electric bus",$D46="Almost empty"),$E46*'EU-28 '!I$11,AND($C46="Hybrid-electric bus",$D46="Average"),$E46*'EU-28 '!I$12,AND($C46="Hybrid-electric bus",$D46="Nearly full"),$E46*'EU-28 '!I$13,AND($C46="Alternative fuel bus",$D46="Almost empty"),$E46*'EU-28 '!I$15,AND($C46="Alternative fuel bus",$D46="Average"),$E46*'EU-28 '!I$16,AND($C46="Alternative fuel bus",$D46="Nearly full"),$E46*'EU-28 '!I$17,AND($C46="Metro, tram, urban light train",$D46="Almost empty"),$E46*'EU-28 '!D$35,AND($C46="Metro, tram, urban light train",$D46="Average"),$E46*'EU-28 '!D$36,AND($C46="Metro, tram, urban light train",$D46="Nearly full"),$E46*'EU-28 '!D$37,AND($C46="Electric passenger train",$D46="Almost empty"),$E46*'EU-28 '!D$39,AND($C46="Electric passenger train",$D46="Average"),$E46*'EU-28 '!D$40,AND($C46="Electric passenger train",$D46="Nearly full"),$E46*'EU-28 '!D$41,AND($C46="Diesel passenger train",$D46="Almost empty"),$E46*'EU-28 '!D$47,AND($C46="Diesel passenger train",$D46="Average"),$E46*'EU-28 '!D$48,AND($C46="Diesel passenger train",$D46="Nearly full"),$E46*'EU-28 '!D$49,AND($C46="Walking"),$E46*0,AND($C46="Bike"),$E46*0,AND($C46="Plane - domestic flight"),$E46*'EU-28 '!$C70,AND($C46="Plane - international - intra EU"),$E46*'EU-28 '!$C72,AND($C46="Plane - international (extra EU)"),$E46*'EU-28 '!$C74)</f>
        <v>#N/A</v>
      </c>
      <c r="L46" s="246"/>
      <c r="M46" s="247"/>
      <c r="N46" s="248"/>
    </row>
    <row r="47" spans="1:14" ht="20" thickBot="1" x14ac:dyDescent="0.25">
      <c r="A47" s="222"/>
      <c r="B47" s="30"/>
      <c r="C47" s="15"/>
      <c r="D47" s="15"/>
      <c r="E47" s="125"/>
      <c r="F47" s="128" t="e" cm="1">
        <f t="array" ref="F47">_xlfn.IFS(AND($C47="Fuel car",$D47=1),$E47*'EU-28 '!C$7,AND($C47="Fuel car",$D47=2),$E47*'EU-28 '!C$8,AND($C47="Fuel car",$D47=3),$E47*'EU-28 '!C$9,AND($C47="Fuel car",$D47=4),$E47*'EU-28 '!C$10,AND($C47="Fuel car",$D47=5),$E47*'EU-28 '!C$11,AND($C47="Motorcycle",$D47=1),$E47*'EU-28 '!C$13,AND($C47="Motorcycle",$D47=2),$E47*'EU-28 '!C$14,AND($C47="Electric car",$D47=1),$E47*'EU-28 '!C$16,AND($C47="Electric car",$D47=2),$E47*'EU-28 '!C$17,AND($C47="Electric car",$D47=3),$E47*'EU-28 '!C$18,AND($C47="Electric car",$D47=4),$E47*'EU-28 '!C$19,AND($C47="Electric car",$D47=5),$E47*'EU-28 '!C$20,AND($C47="Hybrid car",$D47=1),$E47*'EU-28 '!C$22,AND($C47="Hybrid car",$D47=2),$E47*'EU-28 '!C$23,AND($C47="Hybrid car",$D47=3),$E47*'EU-28 '!C$24,AND($C47="Hybrid car",$D47=4),$E47*'EU-28 '!C$25,AND($C47="Hybrid car",$D47=5),$E47*'EU-28 '!C$26,AND($C47="Electric motorcycle",$D47=1),$E47*'EU-28 '!C$28,AND($C47="Electric motorcycle",$D47=2),$E47*'EU-28 '!C$29,AND($C47="Electric bike",$D47=1),$E47*'EU-28 '!C$31,AND($C47="Electric scooter",$D47=1),$E47*'EU-28 '!C$33,AND($C47="Bus",$D47="Almost empty"),$E47*'EU-28 '!H$23,AND($C47="Bus",$D47="Average"),$E47*'EU-28 '!H$24,AND($C47="Bus",$D47="Nearly full"),$E47*'EU-28 '!H$25,AND($C47="Electric bus",$D47="Almost empty"),$E47*'EU-28 '!H$7,AND($C47="Electric bus",$D47="Average"),$E47*'EU-28 '!H$8,AND($C47="Electric bus",$D47="Nearly full"),$E47*'EU-28 '!H$9,AND($C47="Diesel bus",$D47="Almost empty"),$E47*'EU-28 '!H$19,AND($C47="Diesel bus",$D47="Average"),$E47*'EU-28 '!H$20,AND($C47="Diesel bus",$D47="Nearly full"),$E47*'EU-28 '!H$21,AND($C47="Hybrid-electric bus",$D47="Almost empty"),$E47*'EU-28 '!H$11,AND($C47="Hybrid-electric bus",$D47="Average"),$E47*'EU-28 '!H$12,AND($C47="Hybrid-electric bus",$D47="Nearly full"),$E47*'EU-28 '!H$13,AND($C47="Alternative fuel bus",$D47="Almost empty"),$E47*'EU-28 '!H$15,AND($C47="Alternative fuel bus",$D47="Average"),$E47*'EU-28 '!H$16,AND($C47="Alternative fuel bus",$D47="Nearly full"),$E47*'EU-28 '!H$17,AND($C47="Metro, tram, urban light train",$D47="Almost empty"),$E47*'EU-28 '!C$35,AND($C47="Metro, tram, urban light train",$D47="Average"),$E47*'EU-28 '!C$36,AND($C47="Metro, tram, urban light train",$D47="Nearly full"),$E47*'EU-28 '!C$37,AND($C47="Electric passenger train",$D47="Almost empty"),$E47*'EU-28 '!C$39,AND($C47="Electric passenger train",$D47="Average"),$E47*'EU-28 '!C$40,AND($C47="Electric passenger train",$D47="Nearly full"),$E47*'EU-28 '!C$41,AND($C47="Diesel passenger train",$D47="Almost empty"),$E47*'EU-28 '!C$47,AND($C47="Diesel passenger train",$D47="Average"),$E47*'EU-28 '!C$48,AND($C47="Diesel passenger train",$D47="Nearly full"),$E47*'EU-28 '!C$49,AND($C47="Walking"),$E47*0,AND($C47="Bike"),$E47*0,AND($C47="Plane - domestic flight"),$E47*'EU-28 '!$C71,AND($C47="Plane - international - intra EU"),$E47*'EU-28 '!$C73,AND($C47="Plane - international (extra EU)"),$E47*'EU-28 '!$C75)</f>
        <v>#N/A</v>
      </c>
      <c r="G47" s="31" t="e" cm="1">
        <f t="array" ref="G47">_xlfn.IFS(AND($C47="Fuel car",$D47=1),$E47*'EU-28 '!D$7,AND($C47="Fuel car",$D47=2),$E47*'EU-28 '!D$8,AND($C47="Fuel car",$D47=3),$E47*'EU-28 '!D$9,AND($C47="Fuel car",$D47=4),$E47*'EU-28 '!D$10,AND($C47="Fuel car",$D47=5),$E47*'EU-28 '!D$11,AND($C47="Motorcycle",$D47=1),$E47*'EU-28 '!D$13,AND($C47="Motorcycle",$D47=2),$E47*'EU-28 '!D$14,AND($C47="Electric car",$D47=1),$E47*'EU-28 '!D$16,AND($C47="Electric car",$D47=2),$E47*'EU-28 '!D$17,AND($C47="Electric car",$D47=3),$E47*'EU-28 '!D$18,AND($C47="Electric car",$D47=4),$E47*'EU-28 '!D$19,AND($C47="Electric car",$D47=5),$E47*'EU-28 '!D$20,AND($C47="Hybrid car",$D47=1),$E47*'EU-28 '!D$22,AND($C47="Hybrid car",$D47=2),$E47*'EU-28 '!D$23,AND($C47="Hybrid car",$D47=3),$E47*'EU-28 '!D$24,AND($C47="Hybrid car",$D47=4),$E47*'EU-28 '!D$25,AND($C47="Hybrid car",$D47=5),$E47*'EU-28 '!D$26,AND($C47="Electric motorcycle",$D47=1),$E47*'EU-28 '!D$28,AND($C47="Electric motorcycle",$D47=2),$E47*'EU-28 '!D$29,AND($C47="Electric bike",$D47=1),$E47*'EU-28 '!D$31,AND($C47="Electric scooter",$D47=1),$E47*'EU-28 '!D$33,AND($C47="Bus",$D47="Almost empty"),$E47*'EU-28 '!I$23,AND($C47="Bus",$D47="Average"),$E47*'EU-28 '!I$24,AND($C47="Bus",$D47="Nearly full"),$E47*'EU-28 '!I$25,AND($C47="Electric bus",$D47="Almost empty"),$E47*'EU-28 '!I$7,AND($C47="Electric bus",$D47="Average"),$E47*'EU-28 '!I$8,AND($C47="Electric bus",$D47="Nearly full"),$E47*'EU-28 '!I$9,AND($C47="Diesel bus",$D47="Almost empty"),$E47*'EU-28 '!I$19,AND($C47="Diesel bus",$D47="Average"),$E47*'EU-28 '!I$20,AND($C47="Diesel bus",$D47="Nearly full"),$E47*'EU-28 '!I$21,AND($C47="Hybrid-electric bus",$D47="Almost empty"),$E47*'EU-28 '!I$11,AND($C47="Hybrid-electric bus",$D47="Average"),$E47*'EU-28 '!I$12,AND($C47="Hybrid-electric bus",$D47="Nearly full"),$E47*'EU-28 '!I$13,AND($C47="Alternative fuel bus",$D47="Almost empty"),$E47*'EU-28 '!I$15,AND($C47="Alternative fuel bus",$D47="Average"),$E47*'EU-28 '!I$16,AND($C47="Alternative fuel bus",$D47="Nearly full"),$E47*'EU-28 '!I$17,AND($C47="Metro, tram, urban light train",$D47="Almost empty"),$E47*'EU-28 '!D$35,AND($C47="Metro, tram, urban light train",$D47="Average"),$E47*'EU-28 '!D$36,AND($C47="Metro, tram, urban light train",$D47="Nearly full"),$E47*'EU-28 '!D$37,AND($C47="Electric passenger train",$D47="Almost empty"),$E47*'EU-28 '!D$39,AND($C47="Electric passenger train",$D47="Average"),$E47*'EU-28 '!D$40,AND($C47="Electric passenger train",$D47="Nearly full"),$E47*'EU-28 '!D$41,AND($C47="Diesel passenger train",$D47="Almost empty"),$E47*'EU-28 '!D$47,AND($C47="Diesel passenger train",$D47="Average"),$E47*'EU-28 '!D$48,AND($C47="Diesel passenger train",$D47="Nearly full"),$E47*'EU-28 '!D$49,AND($C47="Walking"),$E47*0,AND($C47="Bike"),$E47*0,AND($C47="Plane - domestic flight"),$E47*'EU-28 '!$C71,AND($C47="Plane - international - intra EU"),$E47*'EU-28 '!$C73,AND($C47="Plane - international (extra EU)"),$E47*'EU-28 '!$C75)</f>
        <v>#N/A</v>
      </c>
      <c r="L47" s="238" t="s">
        <v>56</v>
      </c>
      <c r="M47" s="239"/>
      <c r="N47" s="240"/>
    </row>
    <row r="48" spans="1:14" ht="16" thickBot="1" x14ac:dyDescent="0.25">
      <c r="A48" s="222"/>
      <c r="B48" s="30"/>
      <c r="C48" s="15"/>
      <c r="D48" s="15"/>
      <c r="E48" s="125"/>
      <c r="F48" s="128" t="e" cm="1">
        <f t="array" ref="F48">_xlfn.IFS(AND($C48="Fuel car",$D48=1),$E48*'EU-28 '!C$7,AND($C48="Fuel car",$D48=2),$E48*'EU-28 '!C$8,AND($C48="Fuel car",$D48=3),$E48*'EU-28 '!C$9,AND($C48="Fuel car",$D48=4),$E48*'EU-28 '!C$10,AND($C48="Fuel car",$D48=5),$E48*'EU-28 '!C$11,AND($C48="Motorcycle",$D48=1),$E48*'EU-28 '!C$13,AND($C48="Motorcycle",$D48=2),$E48*'EU-28 '!C$14,AND($C48="Electric car",$D48=1),$E48*'EU-28 '!C$16,AND($C48="Electric car",$D48=2),$E48*'EU-28 '!C$17,AND($C48="Electric car",$D48=3),$E48*'EU-28 '!C$18,AND($C48="Electric car",$D48=4),$E48*'EU-28 '!C$19,AND($C48="Electric car",$D48=5),$E48*'EU-28 '!C$20,AND($C48="Hybrid car",$D48=1),$E48*'EU-28 '!C$22,AND($C48="Hybrid car",$D48=2),$E48*'EU-28 '!C$23,AND($C48="Hybrid car",$D48=3),$E48*'EU-28 '!C$24,AND($C48="Hybrid car",$D48=4),$E48*'EU-28 '!C$25,AND($C48="Hybrid car",$D48=5),$E48*'EU-28 '!C$26,AND($C48="Electric motorcycle",$D48=1),$E48*'EU-28 '!C$28,AND($C48="Electric motorcycle",$D48=2),$E48*'EU-28 '!C$29,AND($C48="Electric bike",$D48=1),$E48*'EU-28 '!C$31,AND($C48="Electric scooter",$D48=1),$E48*'EU-28 '!C$33,AND($C48="Bus",$D48="Almost empty"),$E48*'EU-28 '!H$23,AND($C48="Bus",$D48="Average"),$E48*'EU-28 '!H$24,AND($C48="Bus",$D48="Nearly full"),$E48*'EU-28 '!H$25,AND($C48="Electric bus",$D48="Almost empty"),$E48*'EU-28 '!H$7,AND($C48="Electric bus",$D48="Average"),$E48*'EU-28 '!H$8,AND($C48="Electric bus",$D48="Nearly full"),$E48*'EU-28 '!H$9,AND($C48="Diesel bus",$D48="Almost empty"),$E48*'EU-28 '!H$19,AND($C48="Diesel bus",$D48="Average"),$E48*'EU-28 '!H$20,AND($C48="Diesel bus",$D48="Nearly full"),$E48*'EU-28 '!H$21,AND($C48="Hybrid-electric bus",$D48="Almost empty"),$E48*'EU-28 '!H$11,AND($C48="Hybrid-electric bus",$D48="Average"),$E48*'EU-28 '!H$12,AND($C48="Hybrid-electric bus",$D48="Nearly full"),$E48*'EU-28 '!H$13,AND($C48="Alternative fuel bus",$D48="Almost empty"),$E48*'EU-28 '!H$15,AND($C48="Alternative fuel bus",$D48="Average"),$E48*'EU-28 '!H$16,AND($C48="Alternative fuel bus",$D48="Nearly full"),$E48*'EU-28 '!H$17,AND($C48="Metro, tram, urban light train",$D48="Almost empty"),$E48*'EU-28 '!C$35,AND($C48="Metro, tram, urban light train",$D48="Average"),$E48*'EU-28 '!C$36,AND($C48="Metro, tram, urban light train",$D48="Nearly full"),$E48*'EU-28 '!C$37,AND($C48="Electric passenger train",$D48="Almost empty"),$E48*'EU-28 '!C$39,AND($C48="Electric passenger train",$D48="Average"),$E48*'EU-28 '!C$40,AND($C48="Electric passenger train",$D48="Nearly full"),$E48*'EU-28 '!C$41,AND($C48="Diesel passenger train",$D48="Almost empty"),$E48*'EU-28 '!C$47,AND($C48="Diesel passenger train",$D48="Average"),$E48*'EU-28 '!C$48,AND($C48="Diesel passenger train",$D48="Nearly full"),$E48*'EU-28 '!C$49,AND($C48="Walking"),$E48*0,AND($C48="Bike"),$E48*0,AND($C48="Plane - domestic flight"),$E48*'EU-28 '!$C72,AND($C48="Plane - international - intra EU"),$E48*'EU-28 '!$C74,AND($C48="Plane - international (extra EU)"),$E48*'EU-28 '!$C76)</f>
        <v>#N/A</v>
      </c>
      <c r="G48" s="31" t="e" cm="1">
        <f t="array" ref="G48">_xlfn.IFS(AND($C48="Fuel car",$D48=1),$E48*'EU-28 '!D$7,AND($C48="Fuel car",$D48=2),$E48*'EU-28 '!D$8,AND($C48="Fuel car",$D48=3),$E48*'EU-28 '!D$9,AND($C48="Fuel car",$D48=4),$E48*'EU-28 '!D$10,AND($C48="Fuel car",$D48=5),$E48*'EU-28 '!D$11,AND($C48="Motorcycle",$D48=1),$E48*'EU-28 '!D$13,AND($C48="Motorcycle",$D48=2),$E48*'EU-28 '!D$14,AND($C48="Electric car",$D48=1),$E48*'EU-28 '!D$16,AND($C48="Electric car",$D48=2),$E48*'EU-28 '!D$17,AND($C48="Electric car",$D48=3),$E48*'EU-28 '!D$18,AND($C48="Electric car",$D48=4),$E48*'EU-28 '!D$19,AND($C48="Electric car",$D48=5),$E48*'EU-28 '!D$20,AND($C48="Hybrid car",$D48=1),$E48*'EU-28 '!D$22,AND($C48="Hybrid car",$D48=2),$E48*'EU-28 '!D$23,AND($C48="Hybrid car",$D48=3),$E48*'EU-28 '!D$24,AND($C48="Hybrid car",$D48=4),$E48*'EU-28 '!D$25,AND($C48="Hybrid car",$D48=5),$E48*'EU-28 '!D$26,AND($C48="Electric motorcycle",$D48=1),$E48*'EU-28 '!D$28,AND($C48="Electric motorcycle",$D48=2),$E48*'EU-28 '!D$29,AND($C48="Electric bike",$D48=1),$E48*'EU-28 '!D$31,AND($C48="Electric scooter",$D48=1),$E48*'EU-28 '!D$33,AND($C48="Bus",$D48="Almost empty"),$E48*'EU-28 '!I$23,AND($C48="Bus",$D48="Average"),$E48*'EU-28 '!I$24,AND($C48="Bus",$D48="Nearly full"),$E48*'EU-28 '!I$25,AND($C48="Electric bus",$D48="Almost empty"),$E48*'EU-28 '!I$7,AND($C48="Electric bus",$D48="Average"),$E48*'EU-28 '!I$8,AND($C48="Electric bus",$D48="Nearly full"),$E48*'EU-28 '!I$9,AND($C48="Diesel bus",$D48="Almost empty"),$E48*'EU-28 '!I$19,AND($C48="Diesel bus",$D48="Average"),$E48*'EU-28 '!I$20,AND($C48="Diesel bus",$D48="Nearly full"),$E48*'EU-28 '!I$21,AND($C48="Hybrid-electric bus",$D48="Almost empty"),$E48*'EU-28 '!I$11,AND($C48="Hybrid-electric bus",$D48="Average"),$E48*'EU-28 '!I$12,AND($C48="Hybrid-electric bus",$D48="Nearly full"),$E48*'EU-28 '!I$13,AND($C48="Alternative fuel bus",$D48="Almost empty"),$E48*'EU-28 '!I$15,AND($C48="Alternative fuel bus",$D48="Average"),$E48*'EU-28 '!I$16,AND($C48="Alternative fuel bus",$D48="Nearly full"),$E48*'EU-28 '!I$17,AND($C48="Metro, tram, urban light train",$D48="Almost empty"),$E48*'EU-28 '!D$35,AND($C48="Metro, tram, urban light train",$D48="Average"),$E48*'EU-28 '!D$36,AND($C48="Metro, tram, urban light train",$D48="Nearly full"),$E48*'EU-28 '!D$37,AND($C48="Electric passenger train",$D48="Almost empty"),$E48*'EU-28 '!D$39,AND($C48="Electric passenger train",$D48="Average"),$E48*'EU-28 '!D$40,AND($C48="Electric passenger train",$D48="Nearly full"),$E48*'EU-28 '!D$41,AND($C48="Diesel passenger train",$D48="Almost empty"),$E48*'EU-28 '!D$47,AND($C48="Diesel passenger train",$D48="Average"),$E48*'EU-28 '!D$48,AND($C48="Diesel passenger train",$D48="Nearly full"),$E48*'EU-28 '!D$49,AND($C48="Walking"),$E48*0,AND($C48="Bike"),$E48*0,AND($C48="Plane - domestic flight"),$E48*'EU-28 '!$C72,AND($C48="Plane - international - intra EU"),$E48*'EU-28 '!$C74,AND($C48="Plane - international (extra EU)"),$E48*'EU-28 '!$C76)</f>
        <v>#N/A</v>
      </c>
      <c r="H48" s="196" t="s">
        <v>67</v>
      </c>
      <c r="I48" s="197"/>
      <c r="L48" s="249"/>
      <c r="M48" s="250"/>
      <c r="N48" s="251"/>
    </row>
    <row r="49" spans="1:14" x14ac:dyDescent="0.2">
      <c r="A49" s="222"/>
      <c r="B49" s="30"/>
      <c r="C49" s="15"/>
      <c r="D49" s="15"/>
      <c r="E49" s="125"/>
      <c r="F49" s="128" t="e" cm="1">
        <f t="array" ref="F49">_xlfn.IFS(AND($C49="Fuel car",$D49=1),$E49*'EU-28 '!C$7,AND($C49="Fuel car",$D49=2),$E49*'EU-28 '!C$8,AND($C49="Fuel car",$D49=3),$E49*'EU-28 '!C$9,AND($C49="Fuel car",$D49=4),$E49*'EU-28 '!C$10,AND($C49="Fuel car",$D49=5),$E49*'EU-28 '!C$11,AND($C49="Motorcycle",$D49=1),$E49*'EU-28 '!C$13,AND($C49="Motorcycle",$D49=2),$E49*'EU-28 '!C$14,AND($C49="Electric car",$D49=1),$E49*'EU-28 '!C$16,AND($C49="Electric car",$D49=2),$E49*'EU-28 '!C$17,AND($C49="Electric car",$D49=3),$E49*'EU-28 '!C$18,AND($C49="Electric car",$D49=4),$E49*'EU-28 '!C$19,AND($C49="Electric car",$D49=5),$E49*'EU-28 '!C$20,AND($C49="Hybrid car",$D49=1),$E49*'EU-28 '!C$22,AND($C49="Hybrid car",$D49=2),$E49*'EU-28 '!C$23,AND($C49="Hybrid car",$D49=3),$E49*'EU-28 '!C$24,AND($C49="Hybrid car",$D49=4),$E49*'EU-28 '!C$25,AND($C49="Hybrid car",$D49=5),$E49*'EU-28 '!C$26,AND($C49="Electric motorcycle",$D49=1),$E49*'EU-28 '!C$28,AND($C49="Electric motorcycle",$D49=2),$E49*'EU-28 '!C$29,AND($C49="Electric bike",$D49=1),$E49*'EU-28 '!C$31,AND($C49="Electric scooter",$D49=1),$E49*'EU-28 '!C$33,AND($C49="Bus",$D49="Almost empty"),$E49*'EU-28 '!H$23,AND($C49="Bus",$D49="Average"),$E49*'EU-28 '!H$24,AND($C49="Bus",$D49="Nearly full"),$E49*'EU-28 '!H$25,AND($C49="Electric bus",$D49="Almost empty"),$E49*'EU-28 '!H$7,AND($C49="Electric bus",$D49="Average"),$E49*'EU-28 '!H$8,AND($C49="Electric bus",$D49="Nearly full"),$E49*'EU-28 '!H$9,AND($C49="Diesel bus",$D49="Almost empty"),$E49*'EU-28 '!H$19,AND($C49="Diesel bus",$D49="Average"),$E49*'EU-28 '!H$20,AND($C49="Diesel bus",$D49="Nearly full"),$E49*'EU-28 '!H$21,AND($C49="Hybrid-electric bus",$D49="Almost empty"),$E49*'EU-28 '!H$11,AND($C49="Hybrid-electric bus",$D49="Average"),$E49*'EU-28 '!H$12,AND($C49="Hybrid-electric bus",$D49="Nearly full"),$E49*'EU-28 '!H$13,AND($C49="Alternative fuel bus",$D49="Almost empty"),$E49*'EU-28 '!H$15,AND($C49="Alternative fuel bus",$D49="Average"),$E49*'EU-28 '!H$16,AND($C49="Alternative fuel bus",$D49="Nearly full"),$E49*'EU-28 '!H$17,AND($C49="Metro, tram, urban light train",$D49="Almost empty"),$E49*'EU-28 '!C$35,AND($C49="Metro, tram, urban light train",$D49="Average"),$E49*'EU-28 '!C$36,AND($C49="Metro, tram, urban light train",$D49="Nearly full"),$E49*'EU-28 '!C$37,AND($C49="Electric passenger train",$D49="Almost empty"),$E49*'EU-28 '!C$39,AND($C49="Electric passenger train",$D49="Average"),$E49*'EU-28 '!C$40,AND($C49="Electric passenger train",$D49="Nearly full"),$E49*'EU-28 '!C$41,AND($C49="Diesel passenger train",$D49="Almost empty"),$E49*'EU-28 '!C$47,AND($C49="Diesel passenger train",$D49="Average"),$E49*'EU-28 '!C$48,AND($C49="Diesel passenger train",$D49="Nearly full"),$E49*'EU-28 '!C$49,AND($C49="Walking"),$E49*0,AND($C49="Bike"),$E49*0,AND($C49="Plane - domestic flight"),$E49*'EU-28 '!$C73,AND($C49="Plane - international - intra EU"),$E49*'EU-28 '!$C75,AND($C49="Plane - international (extra EU)"),$E49*'EU-28 '!$C77)</f>
        <v>#N/A</v>
      </c>
      <c r="G49" s="31" t="e" cm="1">
        <f t="array" ref="G49">_xlfn.IFS(AND($C49="Fuel car",$D49=1),$E49*'EU-28 '!D$7,AND($C49="Fuel car",$D49=2),$E49*'EU-28 '!D$8,AND($C49="Fuel car",$D49=3),$E49*'EU-28 '!D$9,AND($C49="Fuel car",$D49=4),$E49*'EU-28 '!D$10,AND($C49="Fuel car",$D49=5),$E49*'EU-28 '!D$11,AND($C49="Motorcycle",$D49=1),$E49*'EU-28 '!D$13,AND($C49="Motorcycle",$D49=2),$E49*'EU-28 '!D$14,AND($C49="Electric car",$D49=1),$E49*'EU-28 '!D$16,AND($C49="Electric car",$D49=2),$E49*'EU-28 '!D$17,AND($C49="Electric car",$D49=3),$E49*'EU-28 '!D$18,AND($C49="Electric car",$D49=4),$E49*'EU-28 '!D$19,AND($C49="Electric car",$D49=5),$E49*'EU-28 '!D$20,AND($C49="Hybrid car",$D49=1),$E49*'EU-28 '!D$22,AND($C49="Hybrid car",$D49=2),$E49*'EU-28 '!D$23,AND($C49="Hybrid car",$D49=3),$E49*'EU-28 '!D$24,AND($C49="Hybrid car",$D49=4),$E49*'EU-28 '!D$25,AND($C49="Hybrid car",$D49=5),$E49*'EU-28 '!D$26,AND($C49="Electric motorcycle",$D49=1),$E49*'EU-28 '!D$28,AND($C49="Electric motorcycle",$D49=2),$E49*'EU-28 '!D$29,AND($C49="Electric bike",$D49=1),$E49*'EU-28 '!D$31,AND($C49="Electric scooter",$D49=1),$E49*'EU-28 '!D$33,AND($C49="Bus",$D49="Almost empty"),$E49*'EU-28 '!I$23,AND($C49="Bus",$D49="Average"),$E49*'EU-28 '!I$24,AND($C49="Bus",$D49="Nearly full"),$E49*'EU-28 '!I$25,AND($C49="Electric bus",$D49="Almost empty"),$E49*'EU-28 '!I$7,AND($C49="Electric bus",$D49="Average"),$E49*'EU-28 '!I$8,AND($C49="Electric bus",$D49="Nearly full"),$E49*'EU-28 '!I$9,AND($C49="Diesel bus",$D49="Almost empty"),$E49*'EU-28 '!I$19,AND($C49="Diesel bus",$D49="Average"),$E49*'EU-28 '!I$20,AND($C49="Diesel bus",$D49="Nearly full"),$E49*'EU-28 '!I$21,AND($C49="Hybrid-electric bus",$D49="Almost empty"),$E49*'EU-28 '!I$11,AND($C49="Hybrid-electric bus",$D49="Average"),$E49*'EU-28 '!I$12,AND($C49="Hybrid-electric bus",$D49="Nearly full"),$E49*'EU-28 '!I$13,AND($C49="Alternative fuel bus",$D49="Almost empty"),$E49*'EU-28 '!I$15,AND($C49="Alternative fuel bus",$D49="Average"),$E49*'EU-28 '!I$16,AND($C49="Alternative fuel bus",$D49="Nearly full"),$E49*'EU-28 '!I$17,AND($C49="Metro, tram, urban light train",$D49="Almost empty"),$E49*'EU-28 '!D$35,AND($C49="Metro, tram, urban light train",$D49="Average"),$E49*'EU-28 '!D$36,AND($C49="Metro, tram, urban light train",$D49="Nearly full"),$E49*'EU-28 '!D$37,AND($C49="Electric passenger train",$D49="Almost empty"),$E49*'EU-28 '!D$39,AND($C49="Electric passenger train",$D49="Average"),$E49*'EU-28 '!D$40,AND($C49="Electric passenger train",$D49="Nearly full"),$E49*'EU-28 '!D$41,AND($C49="Diesel passenger train",$D49="Almost empty"),$E49*'EU-28 '!D$47,AND($C49="Diesel passenger train",$D49="Average"),$E49*'EU-28 '!D$48,AND($C49="Diesel passenger train",$D49="Nearly full"),$E49*'EU-28 '!D$49,AND($C49="Walking"),$E49*0,AND($C49="Bike"),$E49*0,AND($C49="Plane - domestic flight"),$E49*'EU-28 '!$C73,AND($C49="Plane - international - intra EU"),$E49*'EU-28 '!$C75,AND($C49="Plane - international (extra EU)"),$E49*'EU-28 '!$C77)</f>
        <v>#N/A</v>
      </c>
      <c r="H49" s="244" t="s">
        <v>74</v>
      </c>
      <c r="I49" s="141"/>
      <c r="L49" s="252"/>
      <c r="M49" s="253"/>
      <c r="N49" s="254"/>
    </row>
    <row r="50" spans="1:14" ht="16" thickBot="1" x14ac:dyDescent="0.25">
      <c r="A50" s="222"/>
      <c r="B50" s="51"/>
      <c r="C50" s="15"/>
      <c r="D50" s="15"/>
      <c r="E50" s="126"/>
      <c r="F50" s="128" t="e" cm="1">
        <f t="array" ref="F50">_xlfn.IFS(AND($C50="Fuel car",$D50=1),$E50*'EU-28 '!C$7,AND($C50="Fuel car",$D50=2),$E50*'EU-28 '!C$8,AND($C50="Fuel car",$D50=3),$E50*'EU-28 '!C$9,AND($C50="Fuel car",$D50=4),$E50*'EU-28 '!C$10,AND($C50="Fuel car",$D50=5),$E50*'EU-28 '!C$11,AND($C50="Motorcycle",$D50=1),$E50*'EU-28 '!C$13,AND($C50="Motorcycle",$D50=2),$E50*'EU-28 '!C$14,AND($C50="Electric car",$D50=1),$E50*'EU-28 '!C$16,AND($C50="Electric car",$D50=2),$E50*'EU-28 '!C$17,AND($C50="Electric car",$D50=3),$E50*'EU-28 '!C$18,AND($C50="Electric car",$D50=4),$E50*'EU-28 '!C$19,AND($C50="Electric car",$D50=5),$E50*'EU-28 '!C$20,AND($C50="Hybrid car",$D50=1),$E50*'EU-28 '!C$22,AND($C50="Hybrid car",$D50=2),$E50*'EU-28 '!C$23,AND($C50="Hybrid car",$D50=3),$E50*'EU-28 '!C$24,AND($C50="Hybrid car",$D50=4),$E50*'EU-28 '!C$25,AND($C50="Hybrid car",$D50=5),$E50*'EU-28 '!C$26,AND($C50="Electric motorcycle",$D50=1),$E50*'EU-28 '!C$28,AND($C50="Electric motorcycle",$D50=2),$E50*'EU-28 '!C$29,AND($C50="Electric bike",$D50=1),$E50*'EU-28 '!C$31,AND($C50="Electric scooter",$D50=1),$E50*'EU-28 '!C$33,AND($C50="Bus",$D50="Almost empty"),$E50*'EU-28 '!H$23,AND($C50="Bus",$D50="Average"),$E50*'EU-28 '!H$24,AND($C50="Bus",$D50="Nearly full"),$E50*'EU-28 '!H$25,AND($C50="Electric bus",$D50="Almost empty"),$E50*'EU-28 '!H$7,AND($C50="Electric bus",$D50="Average"),$E50*'EU-28 '!H$8,AND($C50="Electric bus",$D50="Nearly full"),$E50*'EU-28 '!H$9,AND($C50="Diesel bus",$D50="Almost empty"),$E50*'EU-28 '!H$19,AND($C50="Diesel bus",$D50="Average"),$E50*'EU-28 '!H$20,AND($C50="Diesel bus",$D50="Nearly full"),$E50*'EU-28 '!H$21,AND($C50="Hybrid-electric bus",$D50="Almost empty"),$E50*'EU-28 '!H$11,AND($C50="Hybrid-electric bus",$D50="Average"),$E50*'EU-28 '!H$12,AND($C50="Hybrid-electric bus",$D50="Nearly full"),$E50*'EU-28 '!H$13,AND($C50="Alternative fuel bus",$D50="Almost empty"),$E50*'EU-28 '!H$15,AND($C50="Alternative fuel bus",$D50="Average"),$E50*'EU-28 '!H$16,AND($C50="Alternative fuel bus",$D50="Nearly full"),$E50*'EU-28 '!H$17,AND($C50="Metro, tram, urban light train",$D50="Almost empty"),$E50*'EU-28 '!C$35,AND($C50="Metro, tram, urban light train",$D50="Average"),$E50*'EU-28 '!C$36,AND($C50="Metro, tram, urban light train",$D50="Nearly full"),$E50*'EU-28 '!C$37,AND($C50="Electric passenger train",$D50="Almost empty"),$E50*'EU-28 '!C$39,AND($C50="Electric passenger train",$D50="Average"),$E50*'EU-28 '!C$40,AND($C50="Electric passenger train",$D50="Nearly full"),$E50*'EU-28 '!C$41,AND($C50="Diesel passenger train",$D50="Almost empty"),$E50*'EU-28 '!C$47,AND($C50="Diesel passenger train",$D50="Average"),$E50*'EU-28 '!C$48,AND($C50="Diesel passenger train",$D50="Nearly full"),$E50*'EU-28 '!C$49,AND($C50="Walking"),$E50*0,AND($C50="Bike"),$E50*0,AND($C50="Plane - domestic flight"),$E50*'EU-28 '!$C74,AND($C50="Plane - international - intra EU"),$E50*'EU-28 '!$C76,AND($C50="Plane - international (extra EU)"),$E50*'EU-28 '!$C78)</f>
        <v>#N/A</v>
      </c>
      <c r="G50" s="31" t="e" cm="1">
        <f t="array" ref="G50">_xlfn.IFS(AND($C50="Fuel car",$D50=1),$E50*'EU-28 '!D$7,AND($C50="Fuel car",$D50=2),$E50*'EU-28 '!D$8,AND($C50="Fuel car",$D50=3),$E50*'EU-28 '!D$9,AND($C50="Fuel car",$D50=4),$E50*'EU-28 '!D$10,AND($C50="Fuel car",$D50=5),$E50*'EU-28 '!D$11,AND($C50="Motorcycle",$D50=1),$E50*'EU-28 '!D$13,AND($C50="Motorcycle",$D50=2),$E50*'EU-28 '!D$14,AND($C50="Electric car",$D50=1),$E50*'EU-28 '!D$16,AND($C50="Electric car",$D50=2),$E50*'EU-28 '!D$17,AND($C50="Electric car",$D50=3),$E50*'EU-28 '!D$18,AND($C50="Electric car",$D50=4),$E50*'EU-28 '!D$19,AND($C50="Electric car",$D50=5),$E50*'EU-28 '!D$20,AND($C50="Hybrid car",$D50=1),$E50*'EU-28 '!D$22,AND($C50="Hybrid car",$D50=2),$E50*'EU-28 '!D$23,AND($C50="Hybrid car",$D50=3),$E50*'EU-28 '!D$24,AND($C50="Hybrid car",$D50=4),$E50*'EU-28 '!D$25,AND($C50="Hybrid car",$D50=5),$E50*'EU-28 '!D$26,AND($C50="Electric motorcycle",$D50=1),$E50*'EU-28 '!D$28,AND($C50="Electric motorcycle",$D50=2),$E50*'EU-28 '!D$29,AND($C50="Electric bike",$D50=1),$E50*'EU-28 '!D$31,AND($C50="Electric scooter",$D50=1),$E50*'EU-28 '!D$33,AND($C50="Bus",$D50="Almost empty"),$E50*'EU-28 '!I$23,AND($C50="Bus",$D50="Average"),$E50*'EU-28 '!I$24,AND($C50="Bus",$D50="Nearly full"),$E50*'EU-28 '!I$25,AND($C50="Electric bus",$D50="Almost empty"),$E50*'EU-28 '!I$7,AND($C50="Electric bus",$D50="Average"),$E50*'EU-28 '!I$8,AND($C50="Electric bus",$D50="Nearly full"),$E50*'EU-28 '!I$9,AND($C50="Diesel bus",$D50="Almost empty"),$E50*'EU-28 '!I$19,AND($C50="Diesel bus",$D50="Average"),$E50*'EU-28 '!I$20,AND($C50="Diesel bus",$D50="Nearly full"),$E50*'EU-28 '!I$21,AND($C50="Hybrid-electric bus",$D50="Almost empty"),$E50*'EU-28 '!I$11,AND($C50="Hybrid-electric bus",$D50="Average"),$E50*'EU-28 '!I$12,AND($C50="Hybrid-electric bus",$D50="Nearly full"),$E50*'EU-28 '!I$13,AND($C50="Alternative fuel bus",$D50="Almost empty"),$E50*'EU-28 '!I$15,AND($C50="Alternative fuel bus",$D50="Average"),$E50*'EU-28 '!I$16,AND($C50="Alternative fuel bus",$D50="Nearly full"),$E50*'EU-28 '!I$17,AND($C50="Metro, tram, urban light train",$D50="Almost empty"),$E50*'EU-28 '!D$35,AND($C50="Metro, tram, urban light train",$D50="Average"),$E50*'EU-28 '!D$36,AND($C50="Metro, tram, urban light train",$D50="Nearly full"),$E50*'EU-28 '!D$37,AND($C50="Electric passenger train",$D50="Almost empty"),$E50*'EU-28 '!D$39,AND($C50="Electric passenger train",$D50="Average"),$E50*'EU-28 '!D$40,AND($C50="Electric passenger train",$D50="Nearly full"),$E50*'EU-28 '!D$41,AND($C50="Diesel passenger train",$D50="Almost empty"),$E50*'EU-28 '!D$47,AND($C50="Diesel passenger train",$D50="Average"),$E50*'EU-28 '!D$48,AND($C50="Diesel passenger train",$D50="Nearly full"),$E50*'EU-28 '!D$49,AND($C50="Walking"),$E50*0,AND($C50="Bike"),$E50*0,AND($C50="Plane - domestic flight"),$E50*'EU-28 '!$C74,AND($C50="Plane - international - intra EU"),$E50*'EU-28 '!$C76,AND($C50="Plane - international (extra EU)"),$E50*'EU-28 '!$C78)</f>
        <v>#N/A</v>
      </c>
      <c r="H50" s="245"/>
      <c r="I50" s="142"/>
      <c r="L50" s="252"/>
      <c r="M50" s="253"/>
      <c r="N50" s="254"/>
    </row>
    <row r="51" spans="1:14" ht="33" thickBot="1" x14ac:dyDescent="0.25">
      <c r="A51" s="222"/>
      <c r="B51" s="53"/>
      <c r="C51" s="32"/>
      <c r="D51" s="34"/>
      <c r="E51" s="113"/>
      <c r="F51" s="129" t="e" cm="1">
        <f t="array" ref="F51">_xlfn.IFS(AND($C51="Fuel car",$D51=1),$E51*'EU-28 '!C$7,AND($C51="Fuel car",$D51=2),$E51*'EU-28 '!C$8,AND($C51="Fuel car",$D51=3),$E51*'EU-28 '!C$9,AND($C51="Fuel car",$D51=4),$E51*'EU-28 '!C$10,AND($C51="Fuel car",$D51=5),$E51*'EU-28 '!C$11,AND($C51="Motorcycle",$D51=1),$E51*'EU-28 '!C$13,AND($C51="Motorcycle",$D51=2),$E51*'EU-28 '!C$14,AND($C51="Electric car",$D51=1),$E51*'EU-28 '!C$16,AND($C51="Electric car",$D51=2),$E51*'EU-28 '!C$17,AND($C51="Electric car",$D51=3),$E51*'EU-28 '!C$18,AND($C51="Electric car",$D51=4),$E51*'EU-28 '!C$19,AND($C51="Electric car",$D51=5),$E51*'EU-28 '!C$20,AND($C51="Hybrid car",$D51=1),$E51*'EU-28 '!C$22,AND($C51="Hybrid car",$D51=2),$E51*'EU-28 '!C$23,AND($C51="Hybrid car",$D51=3),$E51*'EU-28 '!C$24,AND($C51="Hybrid car",$D51=4),$E51*'EU-28 '!C$25,AND($C51="Hybrid car",$D51=5),$E51*'EU-28 '!C$26,AND($C51="Electric motorcycle",$D51=1),$E51*'EU-28 '!C$28,AND($C51="Electric motorcycle",$D51=2),$E51*'EU-28 '!C$29,AND($C51="Electric bike",$D51=1),$E51*'EU-28 '!C$31,AND($C51="Electric scooter",$D51=1),$E51*'EU-28 '!C$33,AND($C51="Bus",$D51="Almost empty"),$E51*'EU-28 '!H$23,AND($C51="Bus",$D51="Average"),$E51*'EU-28 '!H$24,AND($C51="Bus",$D51="Nearly full"),$E51*'EU-28 '!H$25,AND($C51="Electric bus",$D51="Almost empty"),$E51*'EU-28 '!H$7,AND($C51="Electric bus",$D51="Average"),$E51*'EU-28 '!H$8,AND($C51="Electric bus",$D51="Nearly full"),$E51*'EU-28 '!H$9,AND($C51="Diesel bus",$D51="Almost empty"),$E51*'EU-28 '!H$19,AND($C51="Diesel bus",$D51="Average"),$E51*'EU-28 '!H$20,AND($C51="Diesel bus",$D51="Nearly full"),$E51*'EU-28 '!H$21,AND($C51="Hybrid-electric bus",$D51="Almost empty"),$E51*'EU-28 '!H$11,AND($C51="Hybrid-electric bus",$D51="Average"),$E51*'EU-28 '!H$12,AND($C51="Hybrid-electric bus",$D51="Nearly full"),$E51*'EU-28 '!H$13,AND($C51="Alternative fuel bus",$D51="Almost empty"),$E51*'EU-28 '!H$15,AND($C51="Alternative fuel bus",$D51="Average"),$E51*'EU-28 '!H$16,AND($C51="Alternative fuel bus",$D51="Nearly full"),$E51*'EU-28 '!H$17,AND($C51="Metro, tram, urban light train",$D51="Almost empty"),$E51*'EU-28 '!C$35,AND($C51="Metro, tram, urban light train",$D51="Average"),$E51*'EU-28 '!C$36,AND($C51="Metro, tram, urban light train",$D51="Nearly full"),$E51*'EU-28 '!C$37,AND($C51="Electric passenger train",$D51="Almost empty"),$E51*'EU-28 '!C$39,AND($C51="Electric passenger train",$D51="Average"),$E51*'EU-28 '!C$40,AND($C51="Electric passenger train",$D51="Nearly full"),$E51*'EU-28 '!C$41,AND($C51="Diesel passenger train",$D51="Almost empty"),$E51*'EU-28 '!C$47,AND($C51="Diesel passenger train",$D51="Average"),$E51*'EU-28 '!C$48,AND($C51="Diesel passenger train",$D51="Nearly full"),$E51*'EU-28 '!C$49,AND($C51="Walking"),$E51*0,AND($C51="Bike"),$E51*0,AND($C51="Plane - domestic flight"),$E51*'EU-28 '!$C75,AND($C51="Plane - international - intra EU"),$E51*'EU-28 '!$C77,AND($C51="Plane - international (extra EU)"),$E51*'EU-28 '!$C79)</f>
        <v>#N/A</v>
      </c>
      <c r="G51" s="35" t="e" cm="1">
        <f t="array" ref="G51">_xlfn.IFS(AND($C51="Fuel car",$D51=1),$E51*'EU-28 '!D$7,AND($C51="Fuel car",$D51=2),$E51*'EU-28 '!D$8,AND($C51="Fuel car",$D51=3),$E51*'EU-28 '!D$9,AND($C51="Fuel car",$D51=4),$E51*'EU-28 '!D$10,AND($C51="Fuel car",$D51=5),$E51*'EU-28 '!D$11,AND($C51="Motorcycle",$D51=1),$E51*'EU-28 '!D$13,AND($C51="Motorcycle",$D51=2),$E51*'EU-28 '!D$14,AND($C51="Electric car",$D51=1),$E51*'EU-28 '!D$16,AND($C51="Electric car",$D51=2),$E51*'EU-28 '!D$17,AND($C51="Electric car",$D51=3),$E51*'EU-28 '!D$18,AND($C51="Electric car",$D51=4),$E51*'EU-28 '!D$19,AND($C51="Electric car",$D51=5),$E51*'EU-28 '!D$20,AND($C51="Hybrid car",$D51=1),$E51*'EU-28 '!D$22,AND($C51="Hybrid car",$D51=2),$E51*'EU-28 '!D$23,AND($C51="Hybrid car",$D51=3),$E51*'EU-28 '!D$24,AND($C51="Hybrid car",$D51=4),$E51*'EU-28 '!D$25,AND($C51="Hybrid car",$D51=5),$E51*'EU-28 '!D$26,AND($C51="Electric motorcycle",$D51=1),$E51*'EU-28 '!D$28,AND($C51="Electric motorcycle",$D51=2),$E51*'EU-28 '!D$29,AND($C51="Electric bike",$D51=1),$E51*'EU-28 '!D$31,AND($C51="Electric scooter",$D51=1),$E51*'EU-28 '!D$33,AND($C51="Bus",$D51="Almost empty"),$E51*'EU-28 '!I$23,AND($C51="Bus",$D51="Average"),$E51*'EU-28 '!I$24,AND($C51="Bus",$D51="Nearly full"),$E51*'EU-28 '!I$25,AND($C51="Electric bus",$D51="Almost empty"),$E51*'EU-28 '!I$7,AND($C51="Electric bus",$D51="Average"),$E51*'EU-28 '!I$8,AND($C51="Electric bus",$D51="Nearly full"),$E51*'EU-28 '!I$9,AND($C51="Diesel bus",$D51="Almost empty"),$E51*'EU-28 '!I$19,AND($C51="Diesel bus",$D51="Average"),$E51*'EU-28 '!I$20,AND($C51="Diesel bus",$D51="Nearly full"),$E51*'EU-28 '!I$21,AND($C51="Hybrid-electric bus",$D51="Almost empty"),$E51*'EU-28 '!I$11,AND($C51="Hybrid-electric bus",$D51="Average"),$E51*'EU-28 '!I$12,AND($C51="Hybrid-electric bus",$D51="Nearly full"),$E51*'EU-28 '!I$13,AND($C51="Alternative fuel bus",$D51="Almost empty"),$E51*'EU-28 '!I$15,AND($C51="Alternative fuel bus",$D51="Average"),$E51*'EU-28 '!I$16,AND($C51="Alternative fuel bus",$D51="Nearly full"),$E51*'EU-28 '!I$17,AND($C51="Metro, tram, urban light train",$D51="Almost empty"),$E51*'EU-28 '!D$35,AND($C51="Metro, tram, urban light train",$D51="Average"),$E51*'EU-28 '!D$36,AND($C51="Metro, tram, urban light train",$D51="Nearly full"),$E51*'EU-28 '!D$37,AND($C51="Electric passenger train",$D51="Almost empty"),$E51*'EU-28 '!D$39,AND($C51="Electric passenger train",$D51="Average"),$E51*'EU-28 '!D$40,AND($C51="Electric passenger train",$D51="Nearly full"),$E51*'EU-28 '!D$41,AND($C51="Diesel passenger train",$D51="Almost empty"),$E51*'EU-28 '!D$47,AND($C51="Diesel passenger train",$D51="Average"),$E51*'EU-28 '!D$48,AND($C51="Diesel passenger train",$D51="Nearly full"),$E51*'EU-28 '!D$49,AND($C51="Walking"),$E51*0,AND($C51="Bike"),$E51*0,AND($C51="Plane - domestic flight"),$E51*'EU-28 '!$C75,AND($C51="Plane - international - intra EU"),$E51*'EU-28 '!$C77,AND($C51="Plane - international (extra EU)"),$E51*'EU-28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_xlfn.IFS(AND(D57&lt;='EU-28 '!L4),"A+",AND(D57&lt;='EU-28 '!M4,D57&gt;'EU-28 '!L4),"A",AND(D57&lt;='EU-28 '!N4,D57&gt;'EU-28 '!M4),"B",AND(D57&lt;='EU-28 '!O4,D57&gt;'EU-28 '!N4),"C",AND(D57&lt;='EU-28 '!P4,D57&gt;'EU-28 '!O4),"D",AND(D57&lt;='EU-28 '!Q4,D57&gt;'EU-28 '!P4),"E",AND(D57&lt;='EU-28 '!R4,D57&gt;'EU-28 '!Q4),"F",AND(D57&gt;'EU-28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_xlfn.IFS(D58="#","#",AND(D58&lt;='EU-28 '!L5),"A+",AND(D58&lt;='EU-28 '!M5,D58&gt;'EU-28 '!L5),"A",AND(D58&lt;='EU-28 '!N5,D58&gt;'EU-28 '!M5),"B",AND(D58&lt;='EU-28 '!O5,D58&gt;'EU-28 '!N5),"C",AND(D58&lt;='EU-28 '!P5,D58&gt;'EU-28 '!O5),"D",AND(D58&lt;='EU-28 '!Q5,D58&gt;'EU-28 '!P5),"E",AND(D58&lt;='EU-28 '!R5,D58&gt;'EU-28 '!Q5),"F",AND(D58&gt;'EU-28 '!R5),"G")</f>
        <v>#</v>
      </c>
    </row>
    <row r="59" spans="1:14" ht="32" x14ac:dyDescent="0.2">
      <c r="A59" s="262"/>
      <c r="B59" s="264"/>
      <c r="C59" s="21" t="s">
        <v>88</v>
      </c>
      <c r="D59" s="47" t="e">
        <f>IF(ISNUMBER(D58), D57 + D58, D57)</f>
        <v>#DIV/0!</v>
      </c>
      <c r="E59" s="277"/>
      <c r="G59" s="264"/>
      <c r="H59" t="s">
        <v>88</v>
      </c>
      <c r="I59" s="56" t="e" cm="1">
        <f t="array" ref="I59">_xlfn.IFS(AND(D59&lt;='EU-28 '!L6),"A+",AND(D59&lt;='EU-28 '!M6,D59&gt;'EU-28 '!L6),"A",AND(D59&lt;='EU-28 '!N6,D59&gt;'EU-28 '!M6),"B",AND(D59&lt;='EU-28 '!O6,D59&gt;'EU-28 '!N6),"C",AND(D59&lt;='EU-28 '!P6,D59&gt;'EU-28 '!O6),"D",AND(D59&lt;='EU-28 '!Q6,D59&gt;'EU-28 '!P6),"E",AND(D59&lt;='EU-28 '!R6,D59&gt;'EU-28 '!Q6),"F",AND(D59&gt;'EU-28 '!R6),"G")</f>
        <v>#DIV/0!</v>
      </c>
    </row>
    <row r="60" spans="1:14" ht="16" x14ac:dyDescent="0.2">
      <c r="A60" s="262"/>
      <c r="B60" s="264"/>
      <c r="C60" s="21" t="s">
        <v>89</v>
      </c>
      <c r="D60" s="99">
        <f>I30</f>
        <v>0</v>
      </c>
      <c r="E60" s="277"/>
      <c r="G60" s="264"/>
      <c r="H60" t="s">
        <v>89</v>
      </c>
      <c r="I60" s="56" t="str" cm="1">
        <f t="array" ref="I60">_xlfn.IFS(AND(D60&lt;='EU-28 '!L7),"A+",AND(D60&lt;='EU-28 '!M7,D60&gt;'EU-28 '!L7),"A",AND(D60&lt;='EU-28 '!N7,D60&gt;'EU-28 '!M7),"B",AND(D60&lt;='EU-28 '!O7,D60&gt;'EU-28 '!N7),"C",AND(D60&lt;='EU-28 '!P7,D60&gt;'EU-28 '!O7),"D",AND(D60&lt;='EU-28 '!Q7,D60&gt;'EU-28 '!P7),"E",AND(D60&lt;='EU-28 '!R7,D60&gt;'EU-28 '!Q7),"F",AND(D60&gt;'EU-28 '!R7),"G")</f>
        <v>A+</v>
      </c>
    </row>
    <row r="61" spans="1:14" ht="16" thickBot="1" x14ac:dyDescent="0.25">
      <c r="A61" s="262"/>
      <c r="B61" s="265"/>
      <c r="C61" s="16" t="s">
        <v>57</v>
      </c>
      <c r="D61" s="58" t="e">
        <f>SUM(D59:D60)</f>
        <v>#DIV/0!</v>
      </c>
      <c r="E61" s="261"/>
      <c r="G61" s="265"/>
      <c r="H61" s="16" t="s">
        <v>57</v>
      </c>
      <c r="I61" s="1" t="e" cm="1">
        <f t="array" ref="I61">_xlfn.IFS(AND(D61&lt;='EU-28 '!L8),"A+",AND(D61&lt;='EU-28 '!M8,D61&gt;'EU-28 '!L8),"A",AND(D61&lt;='EU-28 '!N8,D61&gt;'EU-28 '!M8),"B",AND(D61&lt;='EU-28 '!O8,D61&gt;'EU-28 '!N8),"C",AND(D61&lt;='EU-28 '!P8,D61&gt;'EU-28 '!O8),"D",AND(D61&lt;='EU-28 '!Q8,D61&gt;'EU-28 '!P8),"E",AND(D61&lt;='EU-28 '!R8,D61&gt;'EU-28 '!Q8),"F",AND(D61&gt;'EU-28 '!R8),"G")</f>
        <v>#DIV/0!</v>
      </c>
    </row>
    <row r="62" spans="1:14" ht="32" x14ac:dyDescent="0.2">
      <c r="A62" s="262"/>
      <c r="B62" s="263" t="s">
        <v>90</v>
      </c>
      <c r="C62" s="57" t="s">
        <v>85</v>
      </c>
      <c r="D62" s="100" t="e">
        <f>I16</f>
        <v>#DIV/0!</v>
      </c>
      <c r="E62" s="266" t="s">
        <v>91</v>
      </c>
      <c r="G62" s="263" t="s">
        <v>90</v>
      </c>
      <c r="H62" s="46" t="s">
        <v>85</v>
      </c>
      <c r="I62" s="55" t="e" cm="1">
        <f t="array" ref="I62">_xlfn.IFS(AND(D62&lt;='EU-28 '!L9),"A+",AND(D62&lt;='EU-28 '!M9,D62&gt;'EU-28 '!L9),"A",AND(D62&lt;='EU-28 '!N9,D62&gt;'EU-28 '!M9),"B",AND(D62&lt;='EU-28 '!O9,D62&gt;'EU-28 '!N9),"C",AND(D62&lt;='EU-28 '!P9,D62&gt;'EU-28 '!O9),"D",AND(D62&lt;='EU-28 '!Q9,D62&gt;'EU-28 '!P9),"E",AND(D62&lt;='EU-28 '!R9,D62&gt;'EU-28 '!Q9),"F",AND(D62&gt;'EU-28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_xlfn.IFS(D63="#","#",AND(D63&lt;='EU-28 '!L10),"A+",AND(D63&lt;='EU-28 '!M10,D63&gt;'EU-28 '!L10),"A",AND(D63&lt;='EU-28 '!N10,D63&gt;'EU-28 '!M10),"B",AND(D63&lt;='EU-28 '!O10,D63&gt;'EU-28 '!N10),"C",AND(D63&lt;='EU-28 '!P10,D63&gt;'EU-28 '!O10),"D",AND(D63&lt;='EU-28 '!Q10,D63&gt;'EU-28 '!P10),"E",AND(D63&lt;='EU-28 '!R10,D63&gt;'EU-28 '!Q10),"F",AND(D63&gt;'EU-28 '!R10),"G")</f>
        <v>#</v>
      </c>
    </row>
    <row r="64" spans="1:14" ht="32" x14ac:dyDescent="0.2">
      <c r="A64" s="262"/>
      <c r="B64" s="264"/>
      <c r="C64" s="21" t="s">
        <v>92</v>
      </c>
      <c r="D64" s="47" t="e">
        <f>IF(ISNUMBER(D63), D62 + D63, D62)</f>
        <v>#DIV/0!</v>
      </c>
      <c r="E64" s="202"/>
      <c r="G64" s="264"/>
      <c r="H64" t="s">
        <v>92</v>
      </c>
      <c r="I64" s="56" t="e" cm="1">
        <f t="array" ref="I64">_xlfn.IFS(AND(D64&lt;='EU-28 '!L11),"A+",AND(D64&lt;='EU-28 '!M11,D64&gt;'EU-28 '!L11),"A",AND(D64&lt;='EU-28 '!N11,D64&gt;'EU-28 '!M11),"B",AND(D64&lt;='EU-28 '!O11,D64&gt;'EU-28 '!N11),"C",AND(D64&lt;='EU-28 '!P11,D64&gt;'EU-28 '!O11),"D",AND(D64&lt;='EU-28 '!Q11,D64&gt;'EU-28 '!P11),"E",AND(D64&lt;='EU-28 '!R11,D64&gt;'EU-28 '!Q11),"F",AND(D64&gt;'EU-28 '!R11),"G")</f>
        <v>#DIV/0!</v>
      </c>
    </row>
    <row r="65" spans="1:9" x14ac:dyDescent="0.2">
      <c r="A65" s="262"/>
      <c r="B65" s="264"/>
      <c r="C65" t="s">
        <v>89</v>
      </c>
      <c r="D65" s="99">
        <f>I31</f>
        <v>0</v>
      </c>
      <c r="E65" s="202"/>
      <c r="G65" s="264"/>
      <c r="H65" t="s">
        <v>89</v>
      </c>
      <c r="I65" s="56" t="str" cm="1">
        <f t="array" ref="I65">_xlfn.IFS(AND(D65&lt;='EU-28 '!L12),"A+",AND(D65&lt;='EU-28 '!M12,D65&gt;'EU-28 '!L12),"A",AND(D65&lt;='EU-28 '!N12,D65&gt;'EU-28 '!M12),"B",AND(D65&lt;='EU-28 '!O12,D65&gt;'EU-28 '!N12),"C",AND(D65&lt;='EU-28 '!P12,D65&gt;'EU-28 '!O12),"D",AND(D65&lt;='EU-28 '!Q12,D65&gt;'EU-28 '!P12),"E",AND(D65&lt;='EU-28 '!R12,D65&gt;'EU-28 '!Q12),"F",AND(D65&gt;'EU-28 '!R12),"G")</f>
        <v>A+</v>
      </c>
    </row>
    <row r="66" spans="1:9" ht="16" thickBot="1" x14ac:dyDescent="0.25">
      <c r="A66" s="262"/>
      <c r="B66" s="265"/>
      <c r="C66" s="16" t="s">
        <v>57</v>
      </c>
      <c r="D66" s="16" t="e">
        <f>SUM(D64:D65)</f>
        <v>#DIV/0!</v>
      </c>
      <c r="E66" s="267"/>
      <c r="G66" s="265"/>
      <c r="H66" s="16" t="s">
        <v>57</v>
      </c>
      <c r="I66" s="1" t="e" cm="1">
        <f t="array" ref="I66">_xlfn.IFS(AND(D66&lt;='EU-28 '!L13),"A+",AND(D66&lt;='EU-28 '!M13,D66&gt;'EU-28 '!L13),"A",AND(D66&lt;='EU-28 '!N13,D66&gt;'EU-28 '!M13),"B",AND(D66&lt;='EU-28 '!O13,D66&gt;'EU-28 '!N13),"C",AND(D66&lt;='EU-28 '!P13,D66&gt;'EU-28 '!O13),"D",AND(D66&lt;='EU-28 '!Q13,D66&gt;'EU-28 '!P13),"E",AND(D66&lt;='EU-28 '!R13,D66&gt;'EU-28 '!Q13),"F",AND(D66&gt;'EU-28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33" priority="7" operator="equal">
      <formula>"A+"</formula>
    </cfRule>
    <cfRule type="containsText" dxfId="332" priority="8" operator="containsText" text="A">
      <formula>NOT(ISERROR(SEARCH("A",I57)))</formula>
    </cfRule>
    <cfRule type="containsText" dxfId="331" priority="9" operator="containsText" text="B">
      <formula>NOT(ISERROR(SEARCH("B",I57)))</formula>
    </cfRule>
    <cfRule type="containsText" dxfId="330" priority="10" operator="containsText" text="C">
      <formula>NOT(ISERROR(SEARCH("C",I57)))</formula>
    </cfRule>
    <cfRule type="containsText" dxfId="329" priority="11" operator="containsText" text="D">
      <formula>NOT(ISERROR(SEARCH("D",I57)))</formula>
    </cfRule>
    <cfRule type="containsText" dxfId="328" priority="12" operator="containsText" text="E">
      <formula>NOT(ISERROR(SEARCH("E",I57)))</formula>
    </cfRule>
    <cfRule type="containsText" dxfId="327" priority="13" operator="containsText" text="F">
      <formula>NOT(ISERROR(SEARCH("F",I57)))</formula>
    </cfRule>
    <cfRule type="containsText" dxfId="326" priority="14" operator="containsText" text="G">
      <formula>NOT(ISERROR(SEARCH("G",I57)))</formula>
    </cfRule>
  </conditionalFormatting>
  <conditionalFormatting sqref="K5:K15">
    <cfRule type="expression" dxfId="17" priority="2" stopIfTrue="1">
      <formula>$O$19="No"</formula>
    </cfRule>
  </conditionalFormatting>
  <conditionalFormatting sqref="L5:L15">
    <cfRule type="expression" dxfId="16"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9BBC3DE8-EED3-8E4F-A976-F0A9E9E2519E}">
      <formula1>AND(Q19="Yes", ISNUMBER(L5))</formula1>
    </dataValidation>
    <dataValidation type="custom" operator="lessThan" allowBlank="1" showErrorMessage="1" errorTitle="Error" error="You can only enter values if you have selected HOME PV. The value must be a number." sqref="K5:K15" xr:uid="{7E334803-7FC3-2041-B01F-0431404720C2}">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A77EF98-3451-4912-95B8-1CD9B324BE3B}">
          <x14:formula1>
            <xm:f>DATA!$J$3:$J$10</xm:f>
          </x14:formula1>
          <xm:sqref>D29:D51</xm:sqref>
        </x14:dataValidation>
        <x14:dataValidation type="list" allowBlank="1" showInputMessage="1" showErrorMessage="1" xr:uid="{569DEB1A-475E-3B4E-A867-3B2E7AEF45CD}">
          <x14:formula1>
            <xm:f>DATA!$B$15:$B$23</xm:f>
          </x14:formula1>
          <xm:sqref>J2</xm:sqref>
        </x14:dataValidation>
        <x14:dataValidation type="list" allowBlank="1" showInputMessage="1" showErrorMessage="1" xr:uid="{0DDA4F2F-3937-42CF-8088-0449CB2B0ED5}">
          <x14:formula1>
            <xm:f>DATA!$H$3:$H$23</xm:f>
          </x14:formula1>
          <xm:sqref>C29:C51</xm:sqref>
        </x14:dataValidation>
        <x14:dataValidation type="list" allowBlank="1" showInputMessage="1" showErrorMessage="1" xr:uid="{CF0D33FC-15C3-5340-8ACB-658F62A9F1FA}">
          <x14:formula1>
            <xm:f>DATA!$B$3:$B$13</xm:f>
          </x14:formula1>
          <xm:sqref>H2</xm:sqref>
        </x14:dataValidation>
        <x14:dataValidation type="list" allowBlank="1" showInputMessage="1" showErrorMessage="1" xr:uid="{9196B792-A23C-274A-A760-6AF48049EB33}">
          <x14:formula1>
            <xm:f>DATA!$L$4:$L$5</xm:f>
          </x14:formula1>
          <xm:sqref>O18:O19 Q19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0F2E-7F4C-4305-891D-33A14F033783}">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5" customWidth="1"/>
    <col min="5" max="5" width="17.33203125" customWidth="1"/>
    <col min="6" max="6" width="18.8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101</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IF($O$18="Yes",(E5/$F$2)*DATA!$C$9,(E5/$F$2)*DATA!F$12)+IF(ISBLANK(K5),0,K5/$F$2)*DATA!$C$9-IF(ISBLANK(L5),0,L5/$F$2)*DATA!F$12</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IF($O$18="Yes",(E6/$F$2)*DATA!$C$9,(E6/$F$2)*DATA!F$12)+IF(ISBLANK(K6),0,K6/$F$2)*DATA!$C$9-IF(ISBLANK(L6),0,L6/$F$2)*DATA!F$12</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IF($O$18="Yes",(E7/$F$2)*DATA!$C$9,(E7/$F$2)*DATA!F$12)+IF(ISBLANK(K7),0,K7/$F$2)*DATA!$C$9-IF(ISBLANK(L7),0,L7/$F$2)*DATA!F$12</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IF($O$18="Yes",(E8/$F$2)*DATA!$C$9,(E8/$F$2)*DATA!F$12)+IF(ISBLANK(K8),0,K8/$F$2)*DATA!$C$9-IF(ISBLANK(L8),0,L8/$F$2)*DATA!F$12</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IF($O$18="Yes",(E9/$F$2)*DATA!$C$9,(E9/$F$2)*DATA!F$12)+IF(ISBLANK(K9),0,K9/$F$2)*DATA!$C$9-IF(ISBLANK(L9),0,L9/$F$2)*DATA!F$12</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IF($O$18="Yes",(E10/$F$2)*DATA!$C$9,(E10/$F$2)*DATA!F$12)+IF(ISBLANK(K10),0,K10/$F$2)*DATA!$C$9-IF(ISBLANK(L10),0,L10/$F$2)*DATA!F$12</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IF($O$18="Yes",(E11/$F$2)*DATA!$C$9,(E11/$F$2)*DATA!F$12)+IF(ISBLANK(K11),0,K11/$F$2)*DATA!$C$9-IF(ISBLANK(L11),0,L11/$F$2)*DATA!F$12</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IF($O$18="Yes",(E12/$F$2)*DATA!$C$9,(E12/$F$2)*DATA!F$12)+IF(ISBLANK(K12),0,K12/$F$2)*DATA!$C$9-IF(ISBLANK(L12),0,L12/$F$2)*DATA!F$12</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IF($O$18="Yes",(E13/$F$2)*DATA!$C$9,(E13/$F$2)*DATA!F$12)+IF(ISBLANK(K13),0,K13/$F$2)*DATA!$C$9-IF(ISBLANK(L13),0,L13/$F$2)*DATA!F$12</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IF($O$18="Yes",(E14/$F$2)*DATA!$C$9,(E14/$F$2)*DATA!F$12)+IF(ISBLANK(K14),0,K14/$F$2)*DATA!$C$9-IF(ISBLANK(L14),0,L14/$F$2)*DATA!F$12</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IF($O$18="Yes",(E15/$F$2)*DATA!$C$9,(E15/$F$2)*DATA!F$12)+IF(ISBLANK(K15),0,K15/$F$2)*DATA!$C$9-IF(ISBLANK(L15),0,L15/$F$2)*DATA!F$12</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car",$D29=1),$E29*'FI '!C$7,AND($C29="Fuel car",$D29=2),$E29*'FI '!C$8,AND($C29="Fuel car",$D29=3),$E29*'FI '!C$9,AND($C29="Fuel car",$D29=4),$E29*'FI '!C$10,AND($C29="Fuel car",$D29=5),$E29*'FI '!C$11,AND($C29="Motorcycle",$D29=1),$E29*'FI '!C$13,AND($C29="Motorcycle",$D29=2),$E29*'FI '!C$14,AND($C29="Electric car",$D29=1),$E29*'FI '!C$16,AND($C29="Electric car",$D29=2),$E29*'FI '!C$17,AND($C29="Electric car",$D29=3),$E29*'FI '!C$18,AND($C29="Electric car",$D29=4),$E29*'FI '!C$19,AND($C29="Electric car",$D29=5),$E29*'FI '!C$20,AND($C29="Hybrid car",$D29=1),$E29*'FI '!C$22,AND($C29="Hybrid car",$D29=2),$E29*'FI '!C$23,AND($C29="Hybrid car",$D29=3),$E29*'FI '!C$24,AND($C29="Hybrid car",$D29=4),$E29*'FI '!C$25,AND($C29="Hybrid car",$D29=5),$E29*'FI '!C$26,AND($C29="Electric motorcycle",$D29=1),$E29*'FI '!C$28,AND($C29="Electric motorcycle",$D29=2),$E29*'FI '!C$29,AND($C29="Electric bike",$D29=1),$E29*'FI '!C$31,AND($C29="Electric scooter",$D29=1),$E29*'FI '!C$33,AND($C29="Bus",$D29="Almost empty"),$E29*'FI '!H$23,AND($C29="Bus",$D29="Average"),$E29*'FI '!H$24,AND($C29="Bus",$D29="Nearly full"),$E29*'FI '!H$25,AND($C29="Electric bus",$D29="Almost empty"),$E29*'FI '!H$7,AND($C29="Electric bus",$D29="Average"),$E29*'FI '!H$8,AND($C29="Electric bus",$D29="Nearly full"),$E29*'FI '!H$9,AND($C29="Diesel bus",$D29="Almost empty"),$E29*'FI '!H$19,AND($C29="Diesel bus",$D29="Average"),$E29*'FI '!H$20,AND($C29="Diesel bus",$D29="Nearly full"),$E29*'FI '!H$21,AND($C29="Hybrid-electric bus",$D29="Almost empty"),$E29*'FI '!H$11,AND($C29="Hybrid-electric bus",$D29="Average"),$E29*'FI '!H$12,AND($C29="Hybrid-electric bus",$D29="Nearly full"),$E29*'FI '!H$13,AND($C29="Alternative fuel bus",$D29="Almost empty"),$E29*'FI '!H$15,AND($C29="Alternative fuel bus",$D29="Average"),$E29*'FI '!H$16,AND($C29="Alternative fuel bus",$D29="Nearly full"),$E29*'FI '!H$17,AND($C29="Metro, tram, urban light train",$D29="Almost empty"),$E29*'FI '!C$35,AND($C29="Metro, tram, urban light train",$D29="Average"),$E29*'FI '!C$36,AND($C29="Metro, tram, urban light train",$D29="Nearly full"),$E29*'FI '!C$37,AND($C29="Electric passenger train",$D29="Almost empty"),$E29*'FI '!C$39,AND($C29="Electric passenger train",$D29="Average"),$E29*'FI '!C$40,AND($C29="Electric passenger train",$D29="Nearly full"),$E29*'FI '!C$41,AND($C29="Diesel passenger train",$D29="Almost empty"),$E29*'FI '!C$47,AND($C29="Diesel passenger train",$D29="Average"),$E29*'FI '!C$48,AND($C29="Diesel passenger train",$D29="Nearly full"),$E29*'FI '!C$49,AND($C29="Walking"),$E29*0,AND($C29="Bike"),$E29*0,AND($C29="Plane - domestic flight"),$E29*'FI '!$C53,AND($C29="Plane - international - intra EU"),$E29*'FI '!$C55,AND($C29="Plane - international (extra EU)"),$E29*'FI '!$C57)</f>
        <v>#N/A</v>
      </c>
      <c r="G29" s="104" t="e" cm="1">
        <f t="array" ref="G29">_xlfn.IFS(AND($C29="Fuel car",$D29=1),$E29*'FI '!D$7,AND($C29="Fuel car",$D29=2),$E29*'FI '!D$8,AND($C29="Fuel car",$D29=3),$E29*'FI '!D$9,AND($C29="Fuel car",$D29=4),$E29*'FI '!D$10,AND($C29="Fuel car",$D29=5),$E29*'FI '!D$11,AND($C29="Motorcycle",$D29=1),$E29*'FI '!D$13,AND($C29="Motorcycle",$D29=2),$E29*'FI '!D$14,AND($C29="Electric car",$D29=1),$E29*'FI '!D$16,AND($C29="Electric car",$D29=2),$E29*'FI '!D$17,AND($C29="Electric car",$D29=3),$E29*'FI '!D$18,AND($C29="Electric car",$D29=4),$E29*'FI '!D$19,AND($C29="Electric car",$D29=5),$E29*'FI '!D$20,AND($C29="Hybrid car",$D29=1),$E29*'FI '!D$22,AND($C29="Hybrid car",$D29=2),$E29*'FI '!D$23,AND($C29="Hybrid car",$D29=3),$E29*'FI '!D$24,AND($C29="Hybrid car",$D29=4),$E29*'FI '!D$25,AND($C29="Hybrid car",$D29=5),$E29*'FI '!D$26,AND($C29="Electric motorcycle",$D29=1),$E29*'FI '!D$28,AND($C29="Electric motorcycle",$D29=2),$E29*'FI '!D$29,AND($C29="Electric bike",$D29=1),$E29*'FI '!D$31,AND($C29="Electric scooter",$D29=1),$E29*'FI '!D$33,AND($C29="Bus",$D29="Almost empty"),$E29*'FI '!I$23,AND($C29="Bus",$D29="Average"),$E29*'FI '!I$24,AND($C29="Bus",$D29="Nearly full"),$E29*'FI '!I$25,AND($C29="Electric bus",$D29="Almost empty"),$E29*'FI '!I$7,AND($C29="Electric bus",$D29="Average"),$E29*'FI '!I$8,AND($C29="Electric bus",$D29="Nearly full"),$E29*'FI '!I$9,AND($C29="Diesel bus",$D29="Almost empty"),$E29*'FI '!I$19,AND($C29="Diesel bus",$D29="Average"),$E29*'FI '!I$20,AND($C29="Diesel bus",$D29="Nearly full"),$E29*'FI '!I$21,AND($C29="Hybrid-electric bus",$D29="Almost empty"),$E29*'FI '!I$11,AND($C29="Hybrid-electric bus",$D29="Average"),$E29*'FI '!I$12,AND($C29="Hybrid-electric bus",$D29="Nearly full"),$E29*'FI '!I$13,AND($C29="Alternative fuel bus",$D29="Almost empty"),$E29*'FI '!I$15,AND($C29="Alternative fuel bus",$D29="Average"),$E29*'FI '!I$16,AND($C29="Alternative fuel bus",$D29="Nearly full"),$E29*'FI '!I$17,AND($C29="Metro, tram, urban light train",$D29="Almost empty"),$E29*'FI '!D$35,AND($C29="Metro, tram, urban light train",$D29="Average"),$E29*'FI '!D$36,AND($C29="Metro, tram, urban light train",$D29="Nearly full"),$E29*'FI '!D$37,AND($C29="Electric passenger train",$D29="Almost empty"),$E29*'FI '!D$39,AND($C29="Electric passenger train",$D29="Average"),$E29*'FI '!D$40,AND($C29="Electric passenger train",$D29="Nearly full"),$E29*'FI '!D$41,AND($C29="Diesel passenger train",$D29="Almost empty"),$E29*'FI '!D$47,AND($C29="Diesel passenger train",$D29="Average"),$E29*'FI '!D$48,AND($C29="Diesel passenger train",$D29="Nearly full"),$E29*'FI '!D$49,AND($C29="Walking"),$E29*0,AND($C29="Bike"),$E29*0,AND($C29="Plane - domestic flight"),$E29*'FI '!$C53,AND($C29="Plane - international - intra EU"),$E29*'FI '!$C55,AND($C29="Plane - international (extra EU)"),$E29*'FI '!$C57)</f>
        <v>#N/A</v>
      </c>
      <c r="H29" s="151"/>
      <c r="I29" s="152">
        <f>H29/10*E29</f>
        <v>0</v>
      </c>
      <c r="J29" s="146" t="e" cm="1">
        <f t="array" ref="J29">_xlfn.IFS(C29="Fuel car",C29*DATA!$C$17,C29="Electric car",C29*DATA!$F$12,C29="Hybrid car",I29*(0.5*DATA!$C$17+0.5*DATA!$F$12))</f>
        <v>#N/A</v>
      </c>
      <c r="L29" s="218"/>
      <c r="M29" s="219"/>
      <c r="N29" s="220"/>
    </row>
    <row r="30" spans="1:17" ht="32" customHeight="1" x14ac:dyDescent="0.2">
      <c r="A30" s="222"/>
      <c r="B30" s="30"/>
      <c r="C30" s="15"/>
      <c r="D30" s="15"/>
      <c r="E30" s="125"/>
      <c r="F30" s="128" t="e" cm="1">
        <f t="array" ref="F30">_xlfn.IFS(AND($C30="Fuel car",$D30=1),$E30*'FI '!C$7,AND($C30="Fuel car",$D30=2),$E30*'FI '!C$8,AND($C30="Fuel car",$D30=3),$E30*'FI '!C$9,AND($C30="Fuel car",$D30=4),$E30*'FI '!C$10,AND($C30="Fuel car",$D30=5),$E30*'FI '!C$11,AND($C30="Motorcycle",$D30=1),$E30*'FI '!C$13,AND($C30="Motorcycle",$D30=2),$E30*'FI '!C$14,AND($C30="Electric car",$D30=1),$E30*'FI '!C$16,AND($C30="Electric car",$D30=2),$E30*'FI '!C$17,AND($C30="Electric car",$D30=3),$E30*'FI '!C$18,AND($C30="Electric car",$D30=4),$E30*'FI '!C$19,AND($C30="Electric car",$D30=5),$E30*'FI '!C$20,AND($C30="Hybrid car",$D30=1),$E30*'FI '!C$22,AND($C30="Hybrid car",$D30=2),$E30*'FI '!C$23,AND($C30="Hybrid car",$D30=3),$E30*'FI '!C$24,AND($C30="Hybrid car",$D30=4),$E30*'FI '!C$25,AND($C30="Hybrid car",$D30=5),$E30*'FI '!C$26,AND($C30="Electric motorcycle",$D30=1),$E30*'FI '!C$28,AND($C30="Electric motorcycle",$D30=2),$E30*'FI '!C$29,AND($C30="Electric bike",$D30=1),$E30*'FI '!C$31,AND($C30="Electric scooter",$D30=1),$E30*'FI '!C$33,AND($C30="Bus",$D30="Almost empty"),$E30*'FI '!H$23,AND($C30="Bus",$D30="Average"),$E30*'FI '!H$24,AND($C30="Bus",$D30="Nearly full"),$E30*'FI '!H$25,AND($C30="Electric bus",$D30="Almost empty"),$E30*'FI '!H$7,AND($C30="Electric bus",$D30="Average"),$E30*'FI '!H$8,AND($C30="Electric bus",$D30="Nearly full"),$E30*'FI '!H$9,AND($C30="Diesel bus",$D30="Almost empty"),$E30*'FI '!H$19,AND($C30="Diesel bus",$D30="Average"),$E30*'FI '!H$20,AND($C30="Diesel bus",$D30="Nearly full"),$E30*'FI '!H$21,AND($C30="Hybrid-electric bus",$D30="Almost empty"),$E30*'FI '!H$11,AND($C30="Hybrid-electric bus",$D30="Average"),$E30*'FI '!H$12,AND($C30="Hybrid-electric bus",$D30="Nearly full"),$E30*'FI '!H$13,AND($C30="Alternative fuel bus",$D30="Almost empty"),$E30*'FI '!H$15,AND($C30="Alternative fuel bus",$D30="Average"),$E30*'FI '!H$16,AND($C30="Alternative fuel bus",$D30="Nearly full"),$E30*'FI '!H$17,AND($C30="Metro, tram, urban light train",$D30="Almost empty"),$E30*'FI '!C$35,AND($C30="Metro, tram, urban light train",$D30="Average"),$E30*'FI '!C$36,AND($C30="Metro, tram, urban light train",$D30="Nearly full"),$E30*'FI '!C$37,AND($C30="Electric passenger train",$D30="Almost empty"),$E30*'FI '!C$39,AND($C30="Electric passenger train",$D30="Average"),$E30*'FI '!C$40,AND($C30="Electric passenger train",$D30="Nearly full"),$E30*'FI '!C$41,AND($C30="Diesel passenger train",$D30="Almost empty"),$E30*'FI '!C$47,AND($C30="Diesel passenger train",$D30="Average"),$E30*'FI '!C$48,AND($C30="Diesel passenger train",$D30="Nearly full"),$E30*'FI '!C$49,AND($C30="Walking"),$E30*0,AND($C30="Bike"),$E30*0,AND($C30="Plane - domestic flight"),$E30*'FI '!$C54,AND($C30="Plane - international - intra EU"),$E30*'FI '!$C56,AND($C30="Plane - international (extra EU)"),$E30*'FI '!$C58)</f>
        <v>#N/A</v>
      </c>
      <c r="G30" s="31" t="e" cm="1">
        <f t="array" ref="G30">_xlfn.IFS(AND($C30="Fuel car",$D30=1),$E30*'FI '!D$7,AND($C30="Fuel car",$D30=2),$E30*'FI '!D$8,AND($C30="Fuel car",$D30=3),$E30*'FI '!D$9,AND($C30="Fuel car",$D30=4),$E30*'FI '!D$10,AND($C30="Fuel car",$D30=5),$E30*'FI '!D$11,AND($C30="Motorcycle",$D30=1),$E30*'FI '!D$13,AND($C30="Motorcycle",$D30=2),$E30*'FI '!D$14,AND($C30="Electric car",$D30=1),$E30*'FI '!D$16,AND($C30="Electric car",$D30=2),$E30*'FI '!D$17,AND($C30="Electric car",$D30=3),$E30*'FI '!D$18,AND($C30="Electric car",$D30=4),$E30*'FI '!D$19,AND($C30="Electric car",$D30=5),$E30*'FI '!D$20,AND($C30="Hybrid car",$D30=1),$E30*'FI '!D$22,AND($C30="Hybrid car",$D30=2),$E30*'FI '!D$23,AND($C30="Hybrid car",$D30=3),$E30*'FI '!D$24,AND($C30="Hybrid car",$D30=4),$E30*'FI '!D$25,AND($C30="Hybrid car",$D30=5),$E30*'FI '!D$26,AND($C30="Electric motorcycle",$D30=1),$E30*'FI '!D$28,AND($C30="Electric motorcycle",$D30=2),$E30*'FI '!D$29,AND($C30="Electric bike",$D30=1),$E30*'FI '!D$31,AND($C30="Electric scooter",$D30=1),$E30*'FI '!D$33,AND($C30="Bus",$D30="Almost empty"),$E30*'FI '!I$23,AND($C30="Bus",$D30="Average"),$E30*'FI '!I$24,AND($C30="Bus",$D30="Nearly full"),$E30*'FI '!I$25,AND($C30="Electric bus",$D30="Almost empty"),$E30*'FI '!I$7,AND($C30="Electric bus",$D30="Average"),$E30*'FI '!I$8,AND($C30="Electric bus",$D30="Nearly full"),$E30*'FI '!I$9,AND($C30="Diesel bus",$D30="Almost empty"),$E30*'FI '!I$19,AND($C30="Diesel bus",$D30="Average"),$E30*'FI '!I$20,AND($C30="Diesel bus",$D30="Nearly full"),$E30*'FI '!I$21,AND($C30="Hybrid-electric bus",$D30="Almost empty"),$E30*'FI '!I$11,AND($C30="Hybrid-electric bus",$D30="Average"),$E30*'FI '!I$12,AND($C30="Hybrid-electric bus",$D30="Nearly full"),$E30*'FI '!I$13,AND($C30="Alternative fuel bus",$D30="Almost empty"),$E30*'FI '!I$15,AND($C30="Alternative fuel bus",$D30="Average"),$E30*'FI '!I$16,AND($C30="Alternative fuel bus",$D30="Nearly full"),$E30*'FI '!I$17,AND($C30="Metro, tram, urban light train",$D30="Almost empty"),$E30*'FI '!D$35,AND($C30="Metro, tram, urban light train",$D30="Average"),$E30*'FI '!D$36,AND($C30="Metro, tram, urban light train",$D30="Nearly full"),$E30*'FI '!D$37,AND($C30="Electric passenger train",$D30="Almost empty"),$E30*'FI '!D$39,AND($C30="Electric passenger train",$D30="Average"),$E30*'FI '!D$40,AND($C30="Electric passenger train",$D30="Nearly full"),$E30*'FI '!D$41,AND($C30="Diesel passenger train",$D30="Almost empty"),$E30*'FI '!D$47,AND($C30="Diesel passenger train",$D30="Average"),$E30*'FI '!D$48,AND($C30="Diesel passenger train",$D30="Nearly full"),$E30*'FI '!D$49,AND($C30="Walking"),$E30*0,AND($C30="Bike"),$E30*0,AND($C30="Plane - domestic flight"),$E30*'FI '!$C54,AND($C30="Plane - international - intra EU"),$E30*'FI '!$C56,AND($C30="Plane - international (extra EU)"),$E30*'FI '!$C58)</f>
        <v>#N/A</v>
      </c>
      <c r="H30" s="145"/>
      <c r="I30" s="148">
        <f t="shared" ref="I30:I43" si="6">H30/10*E30</f>
        <v>0</v>
      </c>
      <c r="J30" s="146" t="e" cm="1">
        <f t="array" ref="J30">_xlfn.IFS(C30="Fuel car",C30*DATA!$C$17,C30="Electric car",C30*DATA!$F$12,C30="Hybrid car",I30*(0.5*DATA!$C$17+0.5*DATA!$F$12))</f>
        <v>#N/A</v>
      </c>
      <c r="L30" s="215" t="s">
        <v>76</v>
      </c>
      <c r="M30" s="216"/>
      <c r="N30" s="217"/>
    </row>
    <row r="31" spans="1:17" x14ac:dyDescent="0.2">
      <c r="A31" s="222"/>
      <c r="B31" s="30"/>
      <c r="C31" s="15"/>
      <c r="D31" s="15"/>
      <c r="E31" s="125"/>
      <c r="F31" s="128" t="e" cm="1">
        <f t="array" ref="F31">_xlfn.IFS(AND($C31="Fuel car",$D31=1),$E31*'FI '!C$7,AND($C31="Fuel car",$D31=2),$E31*'FI '!C$8,AND($C31="Fuel car",$D31=3),$E31*'FI '!C$9,AND($C31="Fuel car",$D31=4),$E31*'FI '!C$10,AND($C31="Fuel car",$D31=5),$E31*'FI '!C$11,AND($C31="Motorcycle",$D31=1),$E31*'FI '!C$13,AND($C31="Motorcycle",$D31=2),$E31*'FI '!C$14,AND($C31="Electric car",$D31=1),$E31*'FI '!C$16,AND($C31="Electric car",$D31=2),$E31*'FI '!C$17,AND($C31="Electric car",$D31=3),$E31*'FI '!C$18,AND($C31="Electric car",$D31=4),$E31*'FI '!C$19,AND($C31="Electric car",$D31=5),$E31*'FI '!C$20,AND($C31="Hybrid car",$D31=1),$E31*'FI '!C$22,AND($C31="Hybrid car",$D31=2),$E31*'FI '!C$23,AND($C31="Hybrid car",$D31=3),$E31*'FI '!C$24,AND($C31="Hybrid car",$D31=4),$E31*'FI '!C$25,AND($C31="Hybrid car",$D31=5),$E31*'FI '!C$26,AND($C31="Electric motorcycle",$D31=1),$E31*'FI '!C$28,AND($C31="Electric motorcycle",$D31=2),$E31*'FI '!C$29,AND($C31="Electric bike",$D31=1),$E31*'FI '!C$31,AND($C31="Electric scooter",$D31=1),$E31*'FI '!C$33,AND($C31="Bus",$D31="Almost empty"),$E31*'FI '!H$23,AND($C31="Bus",$D31="Average"),$E31*'FI '!H$24,AND($C31="Bus",$D31="Nearly full"),$E31*'FI '!H$25,AND($C31="Electric bus",$D31="Almost empty"),$E31*'FI '!H$7,AND($C31="Electric bus",$D31="Average"),$E31*'FI '!H$8,AND($C31="Electric bus",$D31="Nearly full"),$E31*'FI '!H$9,AND($C31="Diesel bus",$D31="Almost empty"),$E31*'FI '!H$19,AND($C31="Diesel bus",$D31="Average"),$E31*'FI '!H$20,AND($C31="Diesel bus",$D31="Nearly full"),$E31*'FI '!H$21,AND($C31="Hybrid-electric bus",$D31="Almost empty"),$E31*'FI '!H$11,AND($C31="Hybrid-electric bus",$D31="Average"),$E31*'FI '!H$12,AND($C31="Hybrid-electric bus",$D31="Nearly full"),$E31*'FI '!H$13,AND($C31="Alternative fuel bus",$D31="Almost empty"),$E31*'FI '!H$15,AND($C31="Alternative fuel bus",$D31="Average"),$E31*'FI '!H$16,AND($C31="Alternative fuel bus",$D31="Nearly full"),$E31*'FI '!H$17,AND($C31="Metro, tram, urban light train",$D31="Almost empty"),$E31*'FI '!C$35,AND($C31="Metro, tram, urban light train",$D31="Average"),$E31*'FI '!C$36,AND($C31="Metro, tram, urban light train",$D31="Nearly full"),$E31*'FI '!C$37,AND($C31="Electric passenger train",$D31="Almost empty"),$E31*'FI '!C$39,AND($C31="Electric passenger train",$D31="Average"),$E31*'FI '!C$40,AND($C31="Electric passenger train",$D31="Nearly full"),$E31*'FI '!C$41,AND($C31="Diesel passenger train",$D31="Almost empty"),$E31*'FI '!C$47,AND($C31="Diesel passenger train",$D31="Average"),$E31*'FI '!C$48,AND($C31="Diesel passenger train",$D31="Nearly full"),$E31*'FI '!C$49,AND($C31="Walking"),$E31*0,AND($C31="Bike"),$E31*0,AND($C31="Plane - domestic flight"),$E31*'FI '!$C55,AND($C31="Plane - international - intra EU"),$E31*'FI '!$C57,AND($C31="Plane - international (extra EU)"),$E31*'FI '!$C59)</f>
        <v>#N/A</v>
      </c>
      <c r="G31" s="31" t="e" cm="1">
        <f t="array" ref="G31">_xlfn.IFS(AND($C31="Fuel car",$D31=1),$E31*'FI '!D$7,AND($C31="Fuel car",$D31=2),$E31*'FI '!D$8,AND($C31="Fuel car",$D31=3),$E31*'FI '!D$9,AND($C31="Fuel car",$D31=4),$E31*'FI '!D$10,AND($C31="Fuel car",$D31=5),$E31*'FI '!D$11,AND($C31="Motorcycle",$D31=1),$E31*'FI '!D$13,AND($C31="Motorcycle",$D31=2),$E31*'FI '!D$14,AND($C31="Electric car",$D31=1),$E31*'FI '!D$16,AND($C31="Electric car",$D31=2),$E31*'FI '!D$17,AND($C31="Electric car",$D31=3),$E31*'FI '!D$18,AND($C31="Electric car",$D31=4),$E31*'FI '!D$19,AND($C31="Electric car",$D31=5),$E31*'FI '!D$20,AND($C31="Hybrid car",$D31=1),$E31*'FI '!D$22,AND($C31="Hybrid car",$D31=2),$E31*'FI '!D$23,AND($C31="Hybrid car",$D31=3),$E31*'FI '!D$24,AND($C31="Hybrid car",$D31=4),$E31*'FI '!D$25,AND($C31="Hybrid car",$D31=5),$E31*'FI '!D$26,AND($C31="Electric motorcycle",$D31=1),$E31*'FI '!D$28,AND($C31="Electric motorcycle",$D31=2),$E31*'FI '!D$29,AND($C31="Electric bike",$D31=1),$E31*'FI '!D$31,AND($C31="Electric scooter",$D31=1),$E31*'FI '!D$33,AND($C31="Bus",$D31="Almost empty"),$E31*'FI '!I$23,AND($C31="Bus",$D31="Average"),$E31*'FI '!I$24,AND($C31="Bus",$D31="Nearly full"),$E31*'FI '!I$25,AND($C31="Electric bus",$D31="Almost empty"),$E31*'FI '!I$7,AND($C31="Electric bus",$D31="Average"),$E31*'FI '!I$8,AND($C31="Electric bus",$D31="Nearly full"),$E31*'FI '!I$9,AND($C31="Diesel bus",$D31="Almost empty"),$E31*'FI '!I$19,AND($C31="Diesel bus",$D31="Average"),$E31*'FI '!I$20,AND($C31="Diesel bus",$D31="Nearly full"),$E31*'FI '!I$21,AND($C31="Hybrid-electric bus",$D31="Almost empty"),$E31*'FI '!I$11,AND($C31="Hybrid-electric bus",$D31="Average"),$E31*'FI '!I$12,AND($C31="Hybrid-electric bus",$D31="Nearly full"),$E31*'FI '!I$13,AND($C31="Alternative fuel bus",$D31="Almost empty"),$E31*'FI '!I$15,AND($C31="Alternative fuel bus",$D31="Average"),$E31*'FI '!I$16,AND($C31="Alternative fuel bus",$D31="Nearly full"),$E31*'FI '!I$17,AND($C31="Metro, tram, urban light train",$D31="Almost empty"),$E31*'FI '!D$35,AND($C31="Metro, tram, urban light train",$D31="Average"),$E31*'FI '!D$36,AND($C31="Metro, tram, urban light train",$D31="Nearly full"),$E31*'FI '!D$37,AND($C31="Electric passenger train",$D31="Almost empty"),$E31*'FI '!D$39,AND($C31="Electric passenger train",$D31="Average"),$E31*'FI '!D$40,AND($C31="Electric passenger train",$D31="Nearly full"),$E31*'FI '!D$41,AND($C31="Diesel passenger train",$D31="Almost empty"),$E31*'FI '!D$47,AND($C31="Diesel passenger train",$D31="Average"),$E31*'FI '!D$48,AND($C31="Diesel passenger train",$D31="Nearly full"),$E31*'FI '!D$49,AND($C31="Walking"),$E31*0,AND($C31="Bike"),$E31*0,AND($C31="Plane - domestic flight"),$E31*'FI '!$C55,AND($C31="Plane - international - intra EU"),$E31*'FI '!$C57,AND($C31="Plane - international (extra EU)"),$E31*'FI '!$C59)</f>
        <v>#N/A</v>
      </c>
      <c r="H31" s="145"/>
      <c r="I31" s="148">
        <f t="shared" si="6"/>
        <v>0</v>
      </c>
      <c r="J31" s="146" t="e" cm="1">
        <f t="array" ref="J31">_xlfn.IFS(C31="Fuel car",C31*DATA!$C$17,C31="Electric car",C31*DATA!$F$12,C31="Hybrid car",I31*(0.5*DATA!$C$17+0.5*DATA!$F$12))</f>
        <v>#N/A</v>
      </c>
      <c r="L31" s="223"/>
      <c r="M31" s="224"/>
      <c r="N31" s="225"/>
    </row>
    <row r="32" spans="1:17" ht="16" thickBot="1" x14ac:dyDescent="0.25">
      <c r="A32" s="222"/>
      <c r="B32" s="30"/>
      <c r="C32" s="15"/>
      <c r="D32" s="15"/>
      <c r="E32" s="125"/>
      <c r="F32" s="128" t="e" cm="1">
        <f t="array" ref="F32">_xlfn.IFS(AND($C32="Fuel car",$D32=1),$E32*'FI '!C$7,AND($C32="Fuel car",$D32=2),$E32*'FI '!C$8,AND($C32="Fuel car",$D32=3),$E32*'FI '!C$9,AND($C32="Fuel car",$D32=4),$E32*'FI '!C$10,AND($C32="Fuel car",$D32=5),$E32*'FI '!C$11,AND($C32="Motorcycle",$D32=1),$E32*'FI '!C$13,AND($C32="Motorcycle",$D32=2),$E32*'FI '!C$14,AND($C32="Electric car",$D32=1),$E32*'FI '!C$16,AND($C32="Electric car",$D32=2),$E32*'FI '!C$17,AND($C32="Electric car",$D32=3),$E32*'FI '!C$18,AND($C32="Electric car",$D32=4),$E32*'FI '!C$19,AND($C32="Electric car",$D32=5),$E32*'FI '!C$20,AND($C32="Hybrid car",$D32=1),$E32*'FI '!C$22,AND($C32="Hybrid car",$D32=2),$E32*'FI '!C$23,AND($C32="Hybrid car",$D32=3),$E32*'FI '!C$24,AND($C32="Hybrid car",$D32=4),$E32*'FI '!C$25,AND($C32="Hybrid car",$D32=5),$E32*'FI '!C$26,AND($C32="Electric motorcycle",$D32=1),$E32*'FI '!C$28,AND($C32="Electric motorcycle",$D32=2),$E32*'FI '!C$29,AND($C32="Electric bike",$D32=1),$E32*'FI '!C$31,AND($C32="Electric scooter",$D32=1),$E32*'FI '!C$33,AND($C32="Bus",$D32="Almost empty"),$E32*'FI '!H$23,AND($C32="Bus",$D32="Average"),$E32*'FI '!H$24,AND($C32="Bus",$D32="Nearly full"),$E32*'FI '!H$25,AND($C32="Electric bus",$D32="Almost empty"),$E32*'FI '!H$7,AND($C32="Electric bus",$D32="Average"),$E32*'FI '!H$8,AND($C32="Electric bus",$D32="Nearly full"),$E32*'FI '!H$9,AND($C32="Diesel bus",$D32="Almost empty"),$E32*'FI '!H$19,AND($C32="Diesel bus",$D32="Average"),$E32*'FI '!H$20,AND($C32="Diesel bus",$D32="Nearly full"),$E32*'FI '!H$21,AND($C32="Hybrid-electric bus",$D32="Almost empty"),$E32*'FI '!H$11,AND($C32="Hybrid-electric bus",$D32="Average"),$E32*'FI '!H$12,AND($C32="Hybrid-electric bus",$D32="Nearly full"),$E32*'FI '!H$13,AND($C32="Alternative fuel bus",$D32="Almost empty"),$E32*'FI '!H$15,AND($C32="Alternative fuel bus",$D32="Average"),$E32*'FI '!H$16,AND($C32="Alternative fuel bus",$D32="Nearly full"),$E32*'FI '!H$17,AND($C32="Metro, tram, urban light train",$D32="Almost empty"),$E32*'FI '!C$35,AND($C32="Metro, tram, urban light train",$D32="Average"),$E32*'FI '!C$36,AND($C32="Metro, tram, urban light train",$D32="Nearly full"),$E32*'FI '!C$37,AND($C32="Electric passenger train",$D32="Almost empty"),$E32*'FI '!C$39,AND($C32="Electric passenger train",$D32="Average"),$E32*'FI '!C$40,AND($C32="Electric passenger train",$D32="Nearly full"),$E32*'FI '!C$41,AND($C32="Diesel passenger train",$D32="Almost empty"),$E32*'FI '!C$47,AND($C32="Diesel passenger train",$D32="Average"),$E32*'FI '!C$48,AND($C32="Diesel passenger train",$D32="Nearly full"),$E32*'FI '!C$49,AND($C32="Walking"),$E32*0,AND($C32="Bike"),$E32*0,AND($C32="Plane - domestic flight"),$E32*'FI '!$C56,AND($C32="Plane - international - intra EU"),$E32*'FI '!$C58,AND($C32="Plane - international (extra EU)"),$E32*'FI '!$C60)</f>
        <v>#N/A</v>
      </c>
      <c r="G32" s="31" t="e" cm="1">
        <f t="array" ref="G32">_xlfn.IFS(AND($C32="Fuel car",$D32=1),$E32*'FI '!D$7,AND($C32="Fuel car",$D32=2),$E32*'FI '!D$8,AND($C32="Fuel car",$D32=3),$E32*'FI '!D$9,AND($C32="Fuel car",$D32=4),$E32*'FI '!D$10,AND($C32="Fuel car",$D32=5),$E32*'FI '!D$11,AND($C32="Motorcycle",$D32=1),$E32*'FI '!D$13,AND($C32="Motorcycle",$D32=2),$E32*'FI '!D$14,AND($C32="Electric car",$D32=1),$E32*'FI '!D$16,AND($C32="Electric car",$D32=2),$E32*'FI '!D$17,AND($C32="Electric car",$D32=3),$E32*'FI '!D$18,AND($C32="Electric car",$D32=4),$E32*'FI '!D$19,AND($C32="Electric car",$D32=5),$E32*'FI '!D$20,AND($C32="Hybrid car",$D32=1),$E32*'FI '!D$22,AND($C32="Hybrid car",$D32=2),$E32*'FI '!D$23,AND($C32="Hybrid car",$D32=3),$E32*'FI '!D$24,AND($C32="Hybrid car",$D32=4),$E32*'FI '!D$25,AND($C32="Hybrid car",$D32=5),$E32*'FI '!D$26,AND($C32="Electric motorcycle",$D32=1),$E32*'FI '!D$28,AND($C32="Electric motorcycle",$D32=2),$E32*'FI '!D$29,AND($C32="Electric bike",$D32=1),$E32*'FI '!D$31,AND($C32="Electric scooter",$D32=1),$E32*'FI '!D$33,AND($C32="Bus",$D32="Almost empty"),$E32*'FI '!I$23,AND($C32="Bus",$D32="Average"),$E32*'FI '!I$24,AND($C32="Bus",$D32="Nearly full"),$E32*'FI '!I$25,AND($C32="Electric bus",$D32="Almost empty"),$E32*'FI '!I$7,AND($C32="Electric bus",$D32="Average"),$E32*'FI '!I$8,AND($C32="Electric bus",$D32="Nearly full"),$E32*'FI '!I$9,AND($C32="Diesel bus",$D32="Almost empty"),$E32*'FI '!I$19,AND($C32="Diesel bus",$D32="Average"),$E32*'FI '!I$20,AND($C32="Diesel bus",$D32="Nearly full"),$E32*'FI '!I$21,AND($C32="Hybrid-electric bus",$D32="Almost empty"),$E32*'FI '!I$11,AND($C32="Hybrid-electric bus",$D32="Average"),$E32*'FI '!I$12,AND($C32="Hybrid-electric bus",$D32="Nearly full"),$E32*'FI '!I$13,AND($C32="Alternative fuel bus",$D32="Almost empty"),$E32*'FI '!I$15,AND($C32="Alternative fuel bus",$D32="Average"),$E32*'FI '!I$16,AND($C32="Alternative fuel bus",$D32="Nearly full"),$E32*'FI '!I$17,AND($C32="Metro, tram, urban light train",$D32="Almost empty"),$E32*'FI '!D$35,AND($C32="Metro, tram, urban light train",$D32="Average"),$E32*'FI '!D$36,AND($C32="Metro, tram, urban light train",$D32="Nearly full"),$E32*'FI '!D$37,AND($C32="Electric passenger train",$D32="Almost empty"),$E32*'FI '!D$39,AND($C32="Electric passenger train",$D32="Average"),$E32*'FI '!D$40,AND($C32="Electric passenger train",$D32="Nearly full"),$E32*'FI '!D$41,AND($C32="Diesel passenger train",$D32="Almost empty"),$E32*'FI '!D$47,AND($C32="Diesel passenger train",$D32="Average"),$E32*'FI '!D$48,AND($C32="Diesel passenger train",$D32="Nearly full"),$E32*'FI '!D$49,AND($C32="Walking"),$E32*0,AND($C32="Bike"),$E32*0,AND($C32="Plane - domestic flight"),$E32*'FI '!$C56,AND($C32="Plane - international - intra EU"),$E32*'FI '!$C58,AND($C32="Plane - international (extra EU)"),$E32*'FI '!$C60)</f>
        <v>#N/A</v>
      </c>
      <c r="H32" s="145"/>
      <c r="I32" s="148">
        <f t="shared" si="6"/>
        <v>0</v>
      </c>
      <c r="J32" s="146" t="e" cm="1">
        <f t="array" ref="J32">_xlfn.IFS(C32="Fuel car",C32*DATA!$C$17,C32="Electric car",C32*DATA!$F$12,C32="Hybrid car",I32*(0.5*DATA!$C$17+0.5*DATA!$F$12))</f>
        <v>#N/A</v>
      </c>
      <c r="L32" s="218"/>
      <c r="M32" s="219"/>
      <c r="N32" s="220"/>
    </row>
    <row r="33" spans="1:14" ht="14.5" customHeight="1" x14ac:dyDescent="0.2">
      <c r="A33" s="222"/>
      <c r="B33" s="30"/>
      <c r="C33" s="15"/>
      <c r="D33" s="15"/>
      <c r="E33" s="125"/>
      <c r="F33" s="128" t="e" cm="1">
        <f t="array" ref="F33">_xlfn.IFS(AND($C33="Fuel car",$D33=1),$E33*'FI '!C$7,AND($C33="Fuel car",$D33=2),$E33*'FI '!C$8,AND($C33="Fuel car",$D33=3),$E33*'FI '!C$9,AND($C33="Fuel car",$D33=4),$E33*'FI '!C$10,AND($C33="Fuel car",$D33=5),$E33*'FI '!C$11,AND($C33="Motorcycle",$D33=1),$E33*'FI '!C$13,AND($C33="Motorcycle",$D33=2),$E33*'FI '!C$14,AND($C33="Electric car",$D33=1),$E33*'FI '!C$16,AND($C33="Electric car",$D33=2),$E33*'FI '!C$17,AND($C33="Electric car",$D33=3),$E33*'FI '!C$18,AND($C33="Electric car",$D33=4),$E33*'FI '!C$19,AND($C33="Electric car",$D33=5),$E33*'FI '!C$20,AND($C33="Hybrid car",$D33=1),$E33*'FI '!C$22,AND($C33="Hybrid car",$D33=2),$E33*'FI '!C$23,AND($C33="Hybrid car",$D33=3),$E33*'FI '!C$24,AND($C33="Hybrid car",$D33=4),$E33*'FI '!C$25,AND($C33="Hybrid car",$D33=5),$E33*'FI '!C$26,AND($C33="Electric motorcycle",$D33=1),$E33*'FI '!C$28,AND($C33="Electric motorcycle",$D33=2),$E33*'FI '!C$29,AND($C33="Electric bike",$D33=1),$E33*'FI '!C$31,AND($C33="Electric scooter",$D33=1),$E33*'FI '!C$33,AND($C33="Bus",$D33="Almost empty"),$E33*'FI '!H$23,AND($C33="Bus",$D33="Average"),$E33*'FI '!H$24,AND($C33="Bus",$D33="Nearly full"),$E33*'FI '!H$25,AND($C33="Electric bus",$D33="Almost empty"),$E33*'FI '!H$7,AND($C33="Electric bus",$D33="Average"),$E33*'FI '!H$8,AND($C33="Electric bus",$D33="Nearly full"),$E33*'FI '!H$9,AND($C33="Diesel bus",$D33="Almost empty"),$E33*'FI '!H$19,AND($C33="Diesel bus",$D33="Average"),$E33*'FI '!H$20,AND($C33="Diesel bus",$D33="Nearly full"),$E33*'FI '!H$21,AND($C33="Hybrid-electric bus",$D33="Almost empty"),$E33*'FI '!H$11,AND($C33="Hybrid-electric bus",$D33="Average"),$E33*'FI '!H$12,AND($C33="Hybrid-electric bus",$D33="Nearly full"),$E33*'FI '!H$13,AND($C33="Alternative fuel bus",$D33="Almost empty"),$E33*'FI '!H$15,AND($C33="Alternative fuel bus",$D33="Average"),$E33*'FI '!H$16,AND($C33="Alternative fuel bus",$D33="Nearly full"),$E33*'FI '!H$17,AND($C33="Metro, tram, urban light train",$D33="Almost empty"),$E33*'FI '!C$35,AND($C33="Metro, tram, urban light train",$D33="Average"),$E33*'FI '!C$36,AND($C33="Metro, tram, urban light train",$D33="Nearly full"),$E33*'FI '!C$37,AND($C33="Electric passenger train",$D33="Almost empty"),$E33*'FI '!C$39,AND($C33="Electric passenger train",$D33="Average"),$E33*'FI '!C$40,AND($C33="Electric passenger train",$D33="Nearly full"),$E33*'FI '!C$41,AND($C33="Diesel passenger train",$D33="Almost empty"),$E33*'FI '!C$47,AND($C33="Diesel passenger train",$D33="Average"),$E33*'FI '!C$48,AND($C33="Diesel passenger train",$D33="Nearly full"),$E33*'FI '!C$49,AND($C33="Walking"),$E33*0,AND($C33="Bike"),$E33*0,AND($C33="Plane - domestic flight"),$E33*'FI '!$C57,AND($C33="Plane - international - intra EU"),$E33*'FI '!$C59,AND($C33="Plane - international (extra EU)"),$E33*'FI '!$C61)</f>
        <v>#N/A</v>
      </c>
      <c r="G33" s="31" t="e" cm="1">
        <f t="array" ref="G33">_xlfn.IFS(AND($C33="Fuel car",$D33=1),$E33*'FI '!D$7,AND($C33="Fuel car",$D33=2),$E33*'FI '!D$8,AND($C33="Fuel car",$D33=3),$E33*'FI '!D$9,AND($C33="Fuel car",$D33=4),$E33*'FI '!D$10,AND($C33="Fuel car",$D33=5),$E33*'FI '!D$11,AND($C33="Motorcycle",$D33=1),$E33*'FI '!D$13,AND($C33="Motorcycle",$D33=2),$E33*'FI '!D$14,AND($C33="Electric car",$D33=1),$E33*'FI '!D$16,AND($C33="Electric car",$D33=2),$E33*'FI '!D$17,AND($C33="Electric car",$D33=3),$E33*'FI '!D$18,AND($C33="Electric car",$D33=4),$E33*'FI '!D$19,AND($C33="Electric car",$D33=5),$E33*'FI '!D$20,AND($C33="Hybrid car",$D33=1),$E33*'FI '!D$22,AND($C33="Hybrid car",$D33=2),$E33*'FI '!D$23,AND($C33="Hybrid car",$D33=3),$E33*'FI '!D$24,AND($C33="Hybrid car",$D33=4),$E33*'FI '!D$25,AND($C33="Hybrid car",$D33=5),$E33*'FI '!D$26,AND($C33="Electric motorcycle",$D33=1),$E33*'FI '!D$28,AND($C33="Electric motorcycle",$D33=2),$E33*'FI '!D$29,AND($C33="Electric bike",$D33=1),$E33*'FI '!D$31,AND($C33="Electric scooter",$D33=1),$E33*'FI '!D$33,AND($C33="Bus",$D33="Almost empty"),$E33*'FI '!I$23,AND($C33="Bus",$D33="Average"),$E33*'FI '!I$24,AND($C33="Bus",$D33="Nearly full"),$E33*'FI '!I$25,AND($C33="Electric bus",$D33="Almost empty"),$E33*'FI '!I$7,AND($C33="Electric bus",$D33="Average"),$E33*'FI '!I$8,AND($C33="Electric bus",$D33="Nearly full"),$E33*'FI '!I$9,AND($C33="Diesel bus",$D33="Almost empty"),$E33*'FI '!I$19,AND($C33="Diesel bus",$D33="Average"),$E33*'FI '!I$20,AND($C33="Diesel bus",$D33="Nearly full"),$E33*'FI '!I$21,AND($C33="Hybrid-electric bus",$D33="Almost empty"),$E33*'FI '!I$11,AND($C33="Hybrid-electric bus",$D33="Average"),$E33*'FI '!I$12,AND($C33="Hybrid-electric bus",$D33="Nearly full"),$E33*'FI '!I$13,AND($C33="Alternative fuel bus",$D33="Almost empty"),$E33*'FI '!I$15,AND($C33="Alternative fuel bus",$D33="Average"),$E33*'FI '!I$16,AND($C33="Alternative fuel bus",$D33="Nearly full"),$E33*'FI '!I$17,AND($C33="Metro, tram, urban light train",$D33="Almost empty"),$E33*'FI '!D$35,AND($C33="Metro, tram, urban light train",$D33="Average"),$E33*'FI '!D$36,AND($C33="Metro, tram, urban light train",$D33="Nearly full"),$E33*'FI '!D$37,AND($C33="Electric passenger train",$D33="Almost empty"),$E33*'FI '!D$39,AND($C33="Electric passenger train",$D33="Average"),$E33*'FI '!D$40,AND($C33="Electric passenger train",$D33="Nearly full"),$E33*'FI '!D$41,AND($C33="Diesel passenger train",$D33="Almost empty"),$E33*'FI '!D$47,AND($C33="Diesel passenger train",$D33="Average"),$E33*'FI '!D$48,AND($C33="Diesel passenger train",$D33="Nearly full"),$E33*'FI '!D$49,AND($C33="Walking"),$E33*0,AND($C33="Bike"),$E33*0,AND($C33="Plane - domestic flight"),$E33*'FI '!$C57,AND($C33="Plane - international - intra EU"),$E33*'FI '!$C59,AND($C33="Plane - international (extra EU)"),$E33*'FI '!$C61)</f>
        <v>#N/A</v>
      </c>
      <c r="H33" s="145"/>
      <c r="I33" s="148">
        <f t="shared" si="6"/>
        <v>0</v>
      </c>
      <c r="J33" s="146" t="e" cm="1">
        <f t="array" ref="J33">_xlfn.IFS(C33="Fuel car",C33*DATA!$C$17,C33="Electric car",C33*DATA!$F$12,C33="Hybrid car",I33*(0.5*DATA!$C$17+0.5*DATA!$F$12))</f>
        <v>#N/A</v>
      </c>
      <c r="L33" s="223" t="s">
        <v>78</v>
      </c>
      <c r="M33" s="224"/>
      <c r="N33" s="225"/>
    </row>
    <row r="34" spans="1:14" x14ac:dyDescent="0.2">
      <c r="A34" s="222"/>
      <c r="B34" s="30"/>
      <c r="C34" s="15"/>
      <c r="D34" s="15"/>
      <c r="E34" s="125"/>
      <c r="F34" s="128" t="e" cm="1">
        <f t="array" ref="F34">_xlfn.IFS(AND($C34="Fuel car",$D34=1),$E34*'FI '!C$7,AND($C34="Fuel car",$D34=2),$E34*'FI '!C$8,AND($C34="Fuel car",$D34=3),$E34*'FI '!C$9,AND($C34="Fuel car",$D34=4),$E34*'FI '!C$10,AND($C34="Fuel car",$D34=5),$E34*'FI '!C$11,AND($C34="Motorcycle",$D34=1),$E34*'FI '!C$13,AND($C34="Motorcycle",$D34=2),$E34*'FI '!C$14,AND($C34="Electric car",$D34=1),$E34*'FI '!C$16,AND($C34="Electric car",$D34=2),$E34*'FI '!C$17,AND($C34="Electric car",$D34=3),$E34*'FI '!C$18,AND($C34="Electric car",$D34=4),$E34*'FI '!C$19,AND($C34="Electric car",$D34=5),$E34*'FI '!C$20,AND($C34="Hybrid car",$D34=1),$E34*'FI '!C$22,AND($C34="Hybrid car",$D34=2),$E34*'FI '!C$23,AND($C34="Hybrid car",$D34=3),$E34*'FI '!C$24,AND($C34="Hybrid car",$D34=4),$E34*'FI '!C$25,AND($C34="Hybrid car",$D34=5),$E34*'FI '!C$26,AND($C34="Electric motorcycle",$D34=1),$E34*'FI '!C$28,AND($C34="Electric motorcycle",$D34=2),$E34*'FI '!C$29,AND($C34="Electric bike",$D34=1),$E34*'FI '!C$31,AND($C34="Electric scooter",$D34=1),$E34*'FI '!C$33,AND($C34="Bus",$D34="Almost empty"),$E34*'FI '!H$23,AND($C34="Bus",$D34="Average"),$E34*'FI '!H$24,AND($C34="Bus",$D34="Nearly full"),$E34*'FI '!H$25,AND($C34="Electric bus",$D34="Almost empty"),$E34*'FI '!H$7,AND($C34="Electric bus",$D34="Average"),$E34*'FI '!H$8,AND($C34="Electric bus",$D34="Nearly full"),$E34*'FI '!H$9,AND($C34="Diesel bus",$D34="Almost empty"),$E34*'FI '!H$19,AND($C34="Diesel bus",$D34="Average"),$E34*'FI '!H$20,AND($C34="Diesel bus",$D34="Nearly full"),$E34*'FI '!H$21,AND($C34="Hybrid-electric bus",$D34="Almost empty"),$E34*'FI '!H$11,AND($C34="Hybrid-electric bus",$D34="Average"),$E34*'FI '!H$12,AND($C34="Hybrid-electric bus",$D34="Nearly full"),$E34*'FI '!H$13,AND($C34="Alternative fuel bus",$D34="Almost empty"),$E34*'FI '!H$15,AND($C34="Alternative fuel bus",$D34="Average"),$E34*'FI '!H$16,AND($C34="Alternative fuel bus",$D34="Nearly full"),$E34*'FI '!H$17,AND($C34="Metro, tram, urban light train",$D34="Almost empty"),$E34*'FI '!C$35,AND($C34="Metro, tram, urban light train",$D34="Average"),$E34*'FI '!C$36,AND($C34="Metro, tram, urban light train",$D34="Nearly full"),$E34*'FI '!C$37,AND($C34="Electric passenger train",$D34="Almost empty"),$E34*'FI '!C$39,AND($C34="Electric passenger train",$D34="Average"),$E34*'FI '!C$40,AND($C34="Electric passenger train",$D34="Nearly full"),$E34*'FI '!C$41,AND($C34="Diesel passenger train",$D34="Almost empty"),$E34*'FI '!C$47,AND($C34="Diesel passenger train",$D34="Average"),$E34*'FI '!C$48,AND($C34="Diesel passenger train",$D34="Nearly full"),$E34*'FI '!C$49,AND($C34="Walking"),$E34*0,AND($C34="Bike"),$E34*0,AND($C34="Plane - domestic flight"),$E34*'FI '!$C58,AND($C34="Plane - international - intra EU"),$E34*'FI '!$C60,AND($C34="Plane - international (extra EU)"),$E34*'FI '!$C62)</f>
        <v>#N/A</v>
      </c>
      <c r="G34" s="31" t="e" cm="1">
        <f t="array" ref="G34">_xlfn.IFS(AND($C34="Fuel car",$D34=1),$E34*'FI '!D$7,AND($C34="Fuel car",$D34=2),$E34*'FI '!D$8,AND($C34="Fuel car",$D34=3),$E34*'FI '!D$9,AND($C34="Fuel car",$D34=4),$E34*'FI '!D$10,AND($C34="Fuel car",$D34=5),$E34*'FI '!D$11,AND($C34="Motorcycle",$D34=1),$E34*'FI '!D$13,AND($C34="Motorcycle",$D34=2),$E34*'FI '!D$14,AND($C34="Electric car",$D34=1),$E34*'FI '!D$16,AND($C34="Electric car",$D34=2),$E34*'FI '!D$17,AND($C34="Electric car",$D34=3),$E34*'FI '!D$18,AND($C34="Electric car",$D34=4),$E34*'FI '!D$19,AND($C34="Electric car",$D34=5),$E34*'FI '!D$20,AND($C34="Hybrid car",$D34=1),$E34*'FI '!D$22,AND($C34="Hybrid car",$D34=2),$E34*'FI '!D$23,AND($C34="Hybrid car",$D34=3),$E34*'FI '!D$24,AND($C34="Hybrid car",$D34=4),$E34*'FI '!D$25,AND($C34="Hybrid car",$D34=5),$E34*'FI '!D$26,AND($C34="Electric motorcycle",$D34=1),$E34*'FI '!D$28,AND($C34="Electric motorcycle",$D34=2),$E34*'FI '!D$29,AND($C34="Electric bike",$D34=1),$E34*'FI '!D$31,AND($C34="Electric scooter",$D34=1),$E34*'FI '!D$33,AND($C34="Bus",$D34="Almost empty"),$E34*'FI '!I$23,AND($C34="Bus",$D34="Average"),$E34*'FI '!I$24,AND($C34="Bus",$D34="Nearly full"),$E34*'FI '!I$25,AND($C34="Electric bus",$D34="Almost empty"),$E34*'FI '!I$7,AND($C34="Electric bus",$D34="Average"),$E34*'FI '!I$8,AND($C34="Electric bus",$D34="Nearly full"),$E34*'FI '!I$9,AND($C34="Diesel bus",$D34="Almost empty"),$E34*'FI '!I$19,AND($C34="Diesel bus",$D34="Average"),$E34*'FI '!I$20,AND($C34="Diesel bus",$D34="Nearly full"),$E34*'FI '!I$21,AND($C34="Hybrid-electric bus",$D34="Almost empty"),$E34*'FI '!I$11,AND($C34="Hybrid-electric bus",$D34="Average"),$E34*'FI '!I$12,AND($C34="Hybrid-electric bus",$D34="Nearly full"),$E34*'FI '!I$13,AND($C34="Alternative fuel bus",$D34="Almost empty"),$E34*'FI '!I$15,AND($C34="Alternative fuel bus",$D34="Average"),$E34*'FI '!I$16,AND($C34="Alternative fuel bus",$D34="Nearly full"),$E34*'FI '!I$17,AND($C34="Metro, tram, urban light train",$D34="Almost empty"),$E34*'FI '!D$35,AND($C34="Metro, tram, urban light train",$D34="Average"),$E34*'FI '!D$36,AND($C34="Metro, tram, urban light train",$D34="Nearly full"),$E34*'FI '!D$37,AND($C34="Electric passenger train",$D34="Almost empty"),$E34*'FI '!D$39,AND($C34="Electric passenger train",$D34="Average"),$E34*'FI '!D$40,AND($C34="Electric passenger train",$D34="Nearly full"),$E34*'FI '!D$41,AND($C34="Diesel passenger train",$D34="Almost empty"),$E34*'FI '!D$47,AND($C34="Diesel passenger train",$D34="Average"),$E34*'FI '!D$48,AND($C34="Diesel passenger train",$D34="Nearly full"),$E34*'FI '!D$49,AND($C34="Walking"),$E34*0,AND($C34="Bike"),$E34*0,AND($C34="Plane - domestic flight"),$E34*'FI '!$C58,AND($C34="Plane - international - intra EU"),$E34*'FI '!$C60,AND($C34="Plane - international (extra EU)"),$E34*'FI '!$C62)</f>
        <v>#N/A</v>
      </c>
      <c r="H34" s="145"/>
      <c r="I34" s="148">
        <f t="shared" si="6"/>
        <v>0</v>
      </c>
      <c r="J34" s="146" t="e" cm="1">
        <f t="array" ref="J34">_xlfn.IFS(C34="Fuel car",C34*DATA!$C$17,C34="Electric car",C34*DATA!$F$12,C34="Hybrid car",I34*(0.5*DATA!$C$17+0.5*DATA!$F$12))</f>
        <v>#N/A</v>
      </c>
      <c r="L34" s="223"/>
      <c r="M34" s="224"/>
      <c r="N34" s="225"/>
    </row>
    <row r="35" spans="1:14" ht="14.5" customHeight="1" x14ac:dyDescent="0.2">
      <c r="A35" s="222"/>
      <c r="B35" s="30"/>
      <c r="C35" s="15"/>
      <c r="D35" s="15"/>
      <c r="E35" s="125"/>
      <c r="F35" s="128" t="e" cm="1">
        <f t="array" ref="F35">_xlfn.IFS(AND($C35="Fuel car",$D35=1),$E35*'FI '!C$7,AND($C35="Fuel car",$D35=2),$E35*'FI '!C$8,AND($C35="Fuel car",$D35=3),$E35*'FI '!C$9,AND($C35="Fuel car",$D35=4),$E35*'FI '!C$10,AND($C35="Fuel car",$D35=5),$E35*'FI '!C$11,AND($C35="Motorcycle",$D35=1),$E35*'FI '!C$13,AND($C35="Motorcycle",$D35=2),$E35*'FI '!C$14,AND($C35="Electric car",$D35=1),$E35*'FI '!C$16,AND($C35="Electric car",$D35=2),$E35*'FI '!C$17,AND($C35="Electric car",$D35=3),$E35*'FI '!C$18,AND($C35="Electric car",$D35=4),$E35*'FI '!C$19,AND($C35="Electric car",$D35=5),$E35*'FI '!C$20,AND($C35="Hybrid car",$D35=1),$E35*'FI '!C$22,AND($C35="Hybrid car",$D35=2),$E35*'FI '!C$23,AND($C35="Hybrid car",$D35=3),$E35*'FI '!C$24,AND($C35="Hybrid car",$D35=4),$E35*'FI '!C$25,AND($C35="Hybrid car",$D35=5),$E35*'FI '!C$26,AND($C35="Electric motorcycle",$D35=1),$E35*'FI '!C$28,AND($C35="Electric motorcycle",$D35=2),$E35*'FI '!C$29,AND($C35="Electric bike",$D35=1),$E35*'FI '!C$31,AND($C35="Electric scooter",$D35=1),$E35*'FI '!C$33,AND($C35="Bus",$D35="Almost empty"),$E35*'FI '!H$23,AND($C35="Bus",$D35="Average"),$E35*'FI '!H$24,AND($C35="Bus",$D35="Nearly full"),$E35*'FI '!H$25,AND($C35="Electric bus",$D35="Almost empty"),$E35*'FI '!H$7,AND($C35="Electric bus",$D35="Average"),$E35*'FI '!H$8,AND($C35="Electric bus",$D35="Nearly full"),$E35*'FI '!H$9,AND($C35="Diesel bus",$D35="Almost empty"),$E35*'FI '!H$19,AND($C35="Diesel bus",$D35="Average"),$E35*'FI '!H$20,AND($C35="Diesel bus",$D35="Nearly full"),$E35*'FI '!H$21,AND($C35="Hybrid-electric bus",$D35="Almost empty"),$E35*'FI '!H$11,AND($C35="Hybrid-electric bus",$D35="Average"),$E35*'FI '!H$12,AND($C35="Hybrid-electric bus",$D35="Nearly full"),$E35*'FI '!H$13,AND($C35="Alternative fuel bus",$D35="Almost empty"),$E35*'FI '!H$15,AND($C35="Alternative fuel bus",$D35="Average"),$E35*'FI '!H$16,AND($C35="Alternative fuel bus",$D35="Nearly full"),$E35*'FI '!H$17,AND($C35="Metro, tram, urban light train",$D35="Almost empty"),$E35*'FI '!C$35,AND($C35="Metro, tram, urban light train",$D35="Average"),$E35*'FI '!C$36,AND($C35="Metro, tram, urban light train",$D35="Nearly full"),$E35*'FI '!C$37,AND($C35="Electric passenger train",$D35="Almost empty"),$E35*'FI '!C$39,AND($C35="Electric passenger train",$D35="Average"),$E35*'FI '!C$40,AND($C35="Electric passenger train",$D35="Nearly full"),$E35*'FI '!C$41,AND($C35="Diesel passenger train",$D35="Almost empty"),$E35*'FI '!C$47,AND($C35="Diesel passenger train",$D35="Average"),$E35*'FI '!C$48,AND($C35="Diesel passenger train",$D35="Nearly full"),$E35*'FI '!C$49,AND($C35="Walking"),$E35*0,AND($C35="Bike"),$E35*0,AND($C35="Plane - domestic flight"),$E35*'FI '!$C59,AND($C35="Plane - international - intra EU"),$E35*'FI '!$C61,AND($C35="Plane - international (extra EU)"),$E35*'FI '!$C63)</f>
        <v>#N/A</v>
      </c>
      <c r="G35" s="31" t="e" cm="1">
        <f t="array" ref="G35">_xlfn.IFS(AND($C35="Fuel car",$D35=1),$E35*'FI '!D$7,AND($C35="Fuel car",$D35=2),$E35*'FI '!D$8,AND($C35="Fuel car",$D35=3),$E35*'FI '!D$9,AND($C35="Fuel car",$D35=4),$E35*'FI '!D$10,AND($C35="Fuel car",$D35=5),$E35*'FI '!D$11,AND($C35="Motorcycle",$D35=1),$E35*'FI '!D$13,AND($C35="Motorcycle",$D35=2),$E35*'FI '!D$14,AND($C35="Electric car",$D35=1),$E35*'FI '!D$16,AND($C35="Electric car",$D35=2),$E35*'FI '!D$17,AND($C35="Electric car",$D35=3),$E35*'FI '!D$18,AND($C35="Electric car",$D35=4),$E35*'FI '!D$19,AND($C35="Electric car",$D35=5),$E35*'FI '!D$20,AND($C35="Hybrid car",$D35=1),$E35*'FI '!D$22,AND($C35="Hybrid car",$D35=2),$E35*'FI '!D$23,AND($C35="Hybrid car",$D35=3),$E35*'FI '!D$24,AND($C35="Hybrid car",$D35=4),$E35*'FI '!D$25,AND($C35="Hybrid car",$D35=5),$E35*'FI '!D$26,AND($C35="Electric motorcycle",$D35=1),$E35*'FI '!D$28,AND($C35="Electric motorcycle",$D35=2),$E35*'FI '!D$29,AND($C35="Electric bike",$D35=1),$E35*'FI '!D$31,AND($C35="Electric scooter",$D35=1),$E35*'FI '!D$33,AND($C35="Bus",$D35="Almost empty"),$E35*'FI '!I$23,AND($C35="Bus",$D35="Average"),$E35*'FI '!I$24,AND($C35="Bus",$D35="Nearly full"),$E35*'FI '!I$25,AND($C35="Electric bus",$D35="Almost empty"),$E35*'FI '!I$7,AND($C35="Electric bus",$D35="Average"),$E35*'FI '!I$8,AND($C35="Electric bus",$D35="Nearly full"),$E35*'FI '!I$9,AND($C35="Diesel bus",$D35="Almost empty"),$E35*'FI '!I$19,AND($C35="Diesel bus",$D35="Average"),$E35*'FI '!I$20,AND($C35="Diesel bus",$D35="Nearly full"),$E35*'FI '!I$21,AND($C35="Hybrid-electric bus",$D35="Almost empty"),$E35*'FI '!I$11,AND($C35="Hybrid-electric bus",$D35="Average"),$E35*'FI '!I$12,AND($C35="Hybrid-electric bus",$D35="Nearly full"),$E35*'FI '!I$13,AND($C35="Alternative fuel bus",$D35="Almost empty"),$E35*'FI '!I$15,AND($C35="Alternative fuel bus",$D35="Average"),$E35*'FI '!I$16,AND($C35="Alternative fuel bus",$D35="Nearly full"),$E35*'FI '!I$17,AND($C35="Metro, tram, urban light train",$D35="Almost empty"),$E35*'FI '!D$35,AND($C35="Metro, tram, urban light train",$D35="Average"),$E35*'FI '!D$36,AND($C35="Metro, tram, urban light train",$D35="Nearly full"),$E35*'FI '!D$37,AND($C35="Electric passenger train",$D35="Almost empty"),$E35*'FI '!D$39,AND($C35="Electric passenger train",$D35="Average"),$E35*'FI '!D$40,AND($C35="Electric passenger train",$D35="Nearly full"),$E35*'FI '!D$41,AND($C35="Diesel passenger train",$D35="Almost empty"),$E35*'FI '!D$47,AND($C35="Diesel passenger train",$D35="Average"),$E35*'FI '!D$48,AND($C35="Diesel passenger train",$D35="Nearly full"),$E35*'FI '!D$49,AND($C35="Walking"),$E35*0,AND($C35="Bike"),$E35*0,AND($C35="Plane - domestic flight"),$E35*'FI '!$C59,AND($C35="Plane - international - intra EU"),$E35*'FI '!$C61,AND($C35="Plane - international (extra EU)"),$E35*'FI '!$C63)</f>
        <v>#N/A</v>
      </c>
      <c r="H35" s="145"/>
      <c r="I35" s="148">
        <f t="shared" si="6"/>
        <v>0</v>
      </c>
      <c r="J35" s="146" t="e" cm="1">
        <f t="array" ref="J35">_xlfn.IFS(C35="Fuel car",C35*DATA!$C$17,C35="Electric car",C35*DATA!$F$12,C35="Hybrid car",I35*(0.5*DATA!$C$17+0.5*DATA!$F$12))</f>
        <v>#N/A</v>
      </c>
      <c r="L35" s="223"/>
      <c r="M35" s="224"/>
      <c r="N35" s="225"/>
    </row>
    <row r="36" spans="1:14" ht="16" thickBot="1" x14ac:dyDescent="0.25">
      <c r="A36" s="222"/>
      <c r="B36" s="30"/>
      <c r="C36" s="15"/>
      <c r="D36" s="15"/>
      <c r="E36" s="125"/>
      <c r="F36" s="128" t="e" cm="1">
        <f t="array" ref="F36">_xlfn.IFS(AND($C36="Fuel car",$D36=1),$E36*'FI '!C$7,AND($C36="Fuel car",$D36=2),$E36*'FI '!C$8,AND($C36="Fuel car",$D36=3),$E36*'FI '!C$9,AND($C36="Fuel car",$D36=4),$E36*'FI '!C$10,AND($C36="Fuel car",$D36=5),$E36*'FI '!C$11,AND($C36="Motorcycle",$D36=1),$E36*'FI '!C$13,AND($C36="Motorcycle",$D36=2),$E36*'FI '!C$14,AND($C36="Electric car",$D36=1),$E36*'FI '!C$16,AND($C36="Electric car",$D36=2),$E36*'FI '!C$17,AND($C36="Electric car",$D36=3),$E36*'FI '!C$18,AND($C36="Electric car",$D36=4),$E36*'FI '!C$19,AND($C36="Electric car",$D36=5),$E36*'FI '!C$20,AND($C36="Hybrid car",$D36=1),$E36*'FI '!C$22,AND($C36="Hybrid car",$D36=2),$E36*'FI '!C$23,AND($C36="Hybrid car",$D36=3),$E36*'FI '!C$24,AND($C36="Hybrid car",$D36=4),$E36*'FI '!C$25,AND($C36="Hybrid car",$D36=5),$E36*'FI '!C$26,AND($C36="Electric motorcycle",$D36=1),$E36*'FI '!C$28,AND($C36="Electric motorcycle",$D36=2),$E36*'FI '!C$29,AND($C36="Electric bike",$D36=1),$E36*'FI '!C$31,AND($C36="Electric scooter",$D36=1),$E36*'FI '!C$33,AND($C36="Bus",$D36="Almost empty"),$E36*'FI '!H$23,AND($C36="Bus",$D36="Average"),$E36*'FI '!H$24,AND($C36="Bus",$D36="Nearly full"),$E36*'FI '!H$25,AND($C36="Electric bus",$D36="Almost empty"),$E36*'FI '!H$7,AND($C36="Electric bus",$D36="Average"),$E36*'FI '!H$8,AND($C36="Electric bus",$D36="Nearly full"),$E36*'FI '!H$9,AND($C36="Diesel bus",$D36="Almost empty"),$E36*'FI '!H$19,AND($C36="Diesel bus",$D36="Average"),$E36*'FI '!H$20,AND($C36="Diesel bus",$D36="Nearly full"),$E36*'FI '!H$21,AND($C36="Hybrid-electric bus",$D36="Almost empty"),$E36*'FI '!H$11,AND($C36="Hybrid-electric bus",$D36="Average"),$E36*'FI '!H$12,AND($C36="Hybrid-electric bus",$D36="Nearly full"),$E36*'FI '!H$13,AND($C36="Alternative fuel bus",$D36="Almost empty"),$E36*'FI '!H$15,AND($C36="Alternative fuel bus",$D36="Average"),$E36*'FI '!H$16,AND($C36="Alternative fuel bus",$D36="Nearly full"),$E36*'FI '!H$17,AND($C36="Metro, tram, urban light train",$D36="Almost empty"),$E36*'FI '!C$35,AND($C36="Metro, tram, urban light train",$D36="Average"),$E36*'FI '!C$36,AND($C36="Metro, tram, urban light train",$D36="Nearly full"),$E36*'FI '!C$37,AND($C36="Electric passenger train",$D36="Almost empty"),$E36*'FI '!C$39,AND($C36="Electric passenger train",$D36="Average"),$E36*'FI '!C$40,AND($C36="Electric passenger train",$D36="Nearly full"),$E36*'FI '!C$41,AND($C36="Diesel passenger train",$D36="Almost empty"),$E36*'FI '!C$47,AND($C36="Diesel passenger train",$D36="Average"),$E36*'FI '!C$48,AND($C36="Diesel passenger train",$D36="Nearly full"),$E36*'FI '!C$49,AND($C36="Walking"),$E36*0,AND($C36="Bike"),$E36*0,AND($C36="Plane - domestic flight"),$E36*'FI '!$C60,AND($C36="Plane - international - intra EU"),$E36*'FI '!$C62,AND($C36="Plane - international (extra EU)"),$E36*'FI '!$C64)</f>
        <v>#N/A</v>
      </c>
      <c r="G36" s="31" t="e" cm="1">
        <f t="array" ref="G36">_xlfn.IFS(AND($C36="Fuel car",$D36=1),$E36*'FI '!D$7,AND($C36="Fuel car",$D36=2),$E36*'FI '!D$8,AND($C36="Fuel car",$D36=3),$E36*'FI '!D$9,AND($C36="Fuel car",$D36=4),$E36*'FI '!D$10,AND($C36="Fuel car",$D36=5),$E36*'FI '!D$11,AND($C36="Motorcycle",$D36=1),$E36*'FI '!D$13,AND($C36="Motorcycle",$D36=2),$E36*'FI '!D$14,AND($C36="Electric car",$D36=1),$E36*'FI '!D$16,AND($C36="Electric car",$D36=2),$E36*'FI '!D$17,AND($C36="Electric car",$D36=3),$E36*'FI '!D$18,AND($C36="Electric car",$D36=4),$E36*'FI '!D$19,AND($C36="Electric car",$D36=5),$E36*'FI '!D$20,AND($C36="Hybrid car",$D36=1),$E36*'FI '!D$22,AND($C36="Hybrid car",$D36=2),$E36*'FI '!D$23,AND($C36="Hybrid car",$D36=3),$E36*'FI '!D$24,AND($C36="Hybrid car",$D36=4),$E36*'FI '!D$25,AND($C36="Hybrid car",$D36=5),$E36*'FI '!D$26,AND($C36="Electric motorcycle",$D36=1),$E36*'FI '!D$28,AND($C36="Electric motorcycle",$D36=2),$E36*'FI '!D$29,AND($C36="Electric bike",$D36=1),$E36*'FI '!D$31,AND($C36="Electric scooter",$D36=1),$E36*'FI '!D$33,AND($C36="Bus",$D36="Almost empty"),$E36*'FI '!I$23,AND($C36="Bus",$D36="Average"),$E36*'FI '!I$24,AND($C36="Bus",$D36="Nearly full"),$E36*'FI '!I$25,AND($C36="Electric bus",$D36="Almost empty"),$E36*'FI '!I$7,AND($C36="Electric bus",$D36="Average"),$E36*'FI '!I$8,AND($C36="Electric bus",$D36="Nearly full"),$E36*'FI '!I$9,AND($C36="Diesel bus",$D36="Almost empty"),$E36*'FI '!I$19,AND($C36="Diesel bus",$D36="Average"),$E36*'FI '!I$20,AND($C36="Diesel bus",$D36="Nearly full"),$E36*'FI '!I$21,AND($C36="Hybrid-electric bus",$D36="Almost empty"),$E36*'FI '!I$11,AND($C36="Hybrid-electric bus",$D36="Average"),$E36*'FI '!I$12,AND($C36="Hybrid-electric bus",$D36="Nearly full"),$E36*'FI '!I$13,AND($C36="Alternative fuel bus",$D36="Almost empty"),$E36*'FI '!I$15,AND($C36="Alternative fuel bus",$D36="Average"),$E36*'FI '!I$16,AND($C36="Alternative fuel bus",$D36="Nearly full"),$E36*'FI '!I$17,AND($C36="Metro, tram, urban light train",$D36="Almost empty"),$E36*'FI '!D$35,AND($C36="Metro, tram, urban light train",$D36="Average"),$E36*'FI '!D$36,AND($C36="Metro, tram, urban light train",$D36="Nearly full"),$E36*'FI '!D$37,AND($C36="Electric passenger train",$D36="Almost empty"),$E36*'FI '!D$39,AND($C36="Electric passenger train",$D36="Average"),$E36*'FI '!D$40,AND($C36="Electric passenger train",$D36="Nearly full"),$E36*'FI '!D$41,AND($C36="Diesel passenger train",$D36="Almost empty"),$E36*'FI '!D$47,AND($C36="Diesel passenger train",$D36="Average"),$E36*'FI '!D$48,AND($C36="Diesel passenger train",$D36="Nearly full"),$E36*'FI '!D$49,AND($C36="Walking"),$E36*0,AND($C36="Bike"),$E36*0,AND($C36="Plane - domestic flight"),$E36*'FI '!$C60,AND($C36="Plane - international - intra EU"),$E36*'FI '!$C62,AND($C36="Plane - international (extra EU)"),$E36*'FI '!$C64)</f>
        <v>#N/A</v>
      </c>
      <c r="H36" s="145"/>
      <c r="I36" s="148">
        <f t="shared" si="6"/>
        <v>0</v>
      </c>
      <c r="J36" s="146" t="e" cm="1">
        <f t="array" ref="J36">_xlfn.IFS(C36="Fuel car",C36*DATA!$C$17,C36="Electric car",C36*DATA!$F$12,C36="Hybrid car",I36*(0.5*DATA!$C$17+0.5*DATA!$F$12))</f>
        <v>#N/A</v>
      </c>
      <c r="L36" s="218"/>
      <c r="M36" s="219"/>
      <c r="N36" s="220"/>
    </row>
    <row r="37" spans="1:14" ht="14.5" customHeight="1" x14ac:dyDescent="0.2">
      <c r="A37" s="222"/>
      <c r="B37" s="30"/>
      <c r="C37" s="15"/>
      <c r="D37" s="15"/>
      <c r="E37" s="125"/>
      <c r="F37" s="128" t="e" cm="1">
        <f t="array" ref="F37">_xlfn.IFS(AND($C37="Fuel car",$D37=1),$E37*'FI '!C$7,AND($C37="Fuel car",$D37=2),$E37*'FI '!C$8,AND($C37="Fuel car",$D37=3),$E37*'FI '!C$9,AND($C37="Fuel car",$D37=4),$E37*'FI '!C$10,AND($C37="Fuel car",$D37=5),$E37*'FI '!C$11,AND($C37="Motorcycle",$D37=1),$E37*'FI '!C$13,AND($C37="Motorcycle",$D37=2),$E37*'FI '!C$14,AND($C37="Electric car",$D37=1),$E37*'FI '!C$16,AND($C37="Electric car",$D37=2),$E37*'FI '!C$17,AND($C37="Electric car",$D37=3),$E37*'FI '!C$18,AND($C37="Electric car",$D37=4),$E37*'FI '!C$19,AND($C37="Electric car",$D37=5),$E37*'FI '!C$20,AND($C37="Hybrid car",$D37=1),$E37*'FI '!C$22,AND($C37="Hybrid car",$D37=2),$E37*'FI '!C$23,AND($C37="Hybrid car",$D37=3),$E37*'FI '!C$24,AND($C37="Hybrid car",$D37=4),$E37*'FI '!C$25,AND($C37="Hybrid car",$D37=5),$E37*'FI '!C$26,AND($C37="Electric motorcycle",$D37=1),$E37*'FI '!C$28,AND($C37="Electric motorcycle",$D37=2),$E37*'FI '!C$29,AND($C37="Electric bike",$D37=1),$E37*'FI '!C$31,AND($C37="Electric scooter",$D37=1),$E37*'FI '!C$33,AND($C37="Bus",$D37="Almost empty"),$E37*'FI '!H$23,AND($C37="Bus",$D37="Average"),$E37*'FI '!H$24,AND($C37="Bus",$D37="Nearly full"),$E37*'FI '!H$25,AND($C37="Electric bus",$D37="Almost empty"),$E37*'FI '!H$7,AND($C37="Electric bus",$D37="Average"),$E37*'FI '!H$8,AND($C37="Electric bus",$D37="Nearly full"),$E37*'FI '!H$9,AND($C37="Diesel bus",$D37="Almost empty"),$E37*'FI '!H$19,AND($C37="Diesel bus",$D37="Average"),$E37*'FI '!H$20,AND($C37="Diesel bus",$D37="Nearly full"),$E37*'FI '!H$21,AND($C37="Hybrid-electric bus",$D37="Almost empty"),$E37*'FI '!H$11,AND($C37="Hybrid-electric bus",$D37="Average"),$E37*'FI '!H$12,AND($C37="Hybrid-electric bus",$D37="Nearly full"),$E37*'FI '!H$13,AND($C37="Alternative fuel bus",$D37="Almost empty"),$E37*'FI '!H$15,AND($C37="Alternative fuel bus",$D37="Average"),$E37*'FI '!H$16,AND($C37="Alternative fuel bus",$D37="Nearly full"),$E37*'FI '!H$17,AND($C37="Metro, tram, urban light train",$D37="Almost empty"),$E37*'FI '!C$35,AND($C37="Metro, tram, urban light train",$D37="Average"),$E37*'FI '!C$36,AND($C37="Metro, tram, urban light train",$D37="Nearly full"),$E37*'FI '!C$37,AND($C37="Electric passenger train",$D37="Almost empty"),$E37*'FI '!C$39,AND($C37="Electric passenger train",$D37="Average"),$E37*'FI '!C$40,AND($C37="Electric passenger train",$D37="Nearly full"),$E37*'FI '!C$41,AND($C37="Diesel passenger train",$D37="Almost empty"),$E37*'FI '!C$47,AND($C37="Diesel passenger train",$D37="Average"),$E37*'FI '!C$48,AND($C37="Diesel passenger train",$D37="Nearly full"),$E37*'FI '!C$49,AND($C37="Walking"),$E37*0,AND($C37="Bike"),$E37*0,AND($C37="Plane - domestic flight"),$E37*'FI '!$C61,AND($C37="Plane - international - intra EU"),$E37*'FI '!$C63,AND($C37="Plane - international (extra EU)"),$E37*'FI '!$C65)</f>
        <v>#N/A</v>
      </c>
      <c r="G37" s="31" t="e" cm="1">
        <f t="array" ref="G37">_xlfn.IFS(AND($C37="Fuel car",$D37=1),$E37*'FI '!D$7,AND($C37="Fuel car",$D37=2),$E37*'FI '!D$8,AND($C37="Fuel car",$D37=3),$E37*'FI '!D$9,AND($C37="Fuel car",$D37=4),$E37*'FI '!D$10,AND($C37="Fuel car",$D37=5),$E37*'FI '!D$11,AND($C37="Motorcycle",$D37=1),$E37*'FI '!D$13,AND($C37="Motorcycle",$D37=2),$E37*'FI '!D$14,AND($C37="Electric car",$D37=1),$E37*'FI '!D$16,AND($C37="Electric car",$D37=2),$E37*'FI '!D$17,AND($C37="Electric car",$D37=3),$E37*'FI '!D$18,AND($C37="Electric car",$D37=4),$E37*'FI '!D$19,AND($C37="Electric car",$D37=5),$E37*'FI '!D$20,AND($C37="Hybrid car",$D37=1),$E37*'FI '!D$22,AND($C37="Hybrid car",$D37=2),$E37*'FI '!D$23,AND($C37="Hybrid car",$D37=3),$E37*'FI '!D$24,AND($C37="Hybrid car",$D37=4),$E37*'FI '!D$25,AND($C37="Hybrid car",$D37=5),$E37*'FI '!D$26,AND($C37="Electric motorcycle",$D37=1),$E37*'FI '!D$28,AND($C37="Electric motorcycle",$D37=2),$E37*'FI '!D$29,AND($C37="Electric bike",$D37=1),$E37*'FI '!D$31,AND($C37="Electric scooter",$D37=1),$E37*'FI '!D$33,AND($C37="Bus",$D37="Almost empty"),$E37*'FI '!I$23,AND($C37="Bus",$D37="Average"),$E37*'FI '!I$24,AND($C37="Bus",$D37="Nearly full"),$E37*'FI '!I$25,AND($C37="Electric bus",$D37="Almost empty"),$E37*'FI '!I$7,AND($C37="Electric bus",$D37="Average"),$E37*'FI '!I$8,AND($C37="Electric bus",$D37="Nearly full"),$E37*'FI '!I$9,AND($C37="Diesel bus",$D37="Almost empty"),$E37*'FI '!I$19,AND($C37="Diesel bus",$D37="Average"),$E37*'FI '!I$20,AND($C37="Diesel bus",$D37="Nearly full"),$E37*'FI '!I$21,AND($C37="Hybrid-electric bus",$D37="Almost empty"),$E37*'FI '!I$11,AND($C37="Hybrid-electric bus",$D37="Average"),$E37*'FI '!I$12,AND($C37="Hybrid-electric bus",$D37="Nearly full"),$E37*'FI '!I$13,AND($C37="Alternative fuel bus",$D37="Almost empty"),$E37*'FI '!I$15,AND($C37="Alternative fuel bus",$D37="Average"),$E37*'FI '!I$16,AND($C37="Alternative fuel bus",$D37="Nearly full"),$E37*'FI '!I$17,AND($C37="Metro, tram, urban light train",$D37="Almost empty"),$E37*'FI '!D$35,AND($C37="Metro, tram, urban light train",$D37="Average"),$E37*'FI '!D$36,AND($C37="Metro, tram, urban light train",$D37="Nearly full"),$E37*'FI '!D$37,AND($C37="Electric passenger train",$D37="Almost empty"),$E37*'FI '!D$39,AND($C37="Electric passenger train",$D37="Average"),$E37*'FI '!D$40,AND($C37="Electric passenger train",$D37="Nearly full"),$E37*'FI '!D$41,AND($C37="Diesel passenger train",$D37="Almost empty"),$E37*'FI '!D$47,AND($C37="Diesel passenger train",$D37="Average"),$E37*'FI '!D$48,AND($C37="Diesel passenger train",$D37="Nearly full"),$E37*'FI '!D$49,AND($C37="Walking"),$E37*0,AND($C37="Bike"),$E37*0,AND($C37="Plane - domestic flight"),$E37*'FI '!$C61,AND($C37="Plane - international - intra EU"),$E37*'FI '!$C63,AND($C37="Plane - international (extra EU)"),$E37*'FI '!$C65)</f>
        <v>#N/A</v>
      </c>
      <c r="H37" s="145"/>
      <c r="I37" s="148">
        <f t="shared" si="6"/>
        <v>0</v>
      </c>
      <c r="J37" s="146" t="e" cm="1">
        <f t="array" ref="J37">_xlfn.IFS(C37="Fuel car",C37*DATA!$C$17,C37="Electric car",C37*DATA!$F$12,C37="Hybrid car",I37*(0.5*DATA!$C$17+0.5*DATA!$F$12))</f>
        <v>#N/A</v>
      </c>
      <c r="L37" s="215" t="s">
        <v>79</v>
      </c>
      <c r="M37" s="216"/>
      <c r="N37" s="217"/>
    </row>
    <row r="38" spans="1:14" ht="16" thickBot="1" x14ac:dyDescent="0.25">
      <c r="A38" s="222"/>
      <c r="B38" s="30"/>
      <c r="C38" s="15"/>
      <c r="D38" s="15"/>
      <c r="E38" s="125"/>
      <c r="F38" s="128" t="e" cm="1">
        <f t="array" ref="F38">_xlfn.IFS(AND($C38="Fuel car",$D38=1),$E38*'FI '!C$7,AND($C38="Fuel car",$D38=2),$E38*'FI '!C$8,AND($C38="Fuel car",$D38=3),$E38*'FI '!C$9,AND($C38="Fuel car",$D38=4),$E38*'FI '!C$10,AND($C38="Fuel car",$D38=5),$E38*'FI '!C$11,AND($C38="Motorcycle",$D38=1),$E38*'FI '!C$13,AND($C38="Motorcycle",$D38=2),$E38*'FI '!C$14,AND($C38="Electric car",$D38=1),$E38*'FI '!C$16,AND($C38="Electric car",$D38=2),$E38*'FI '!C$17,AND($C38="Electric car",$D38=3),$E38*'FI '!C$18,AND($C38="Electric car",$D38=4),$E38*'FI '!C$19,AND($C38="Electric car",$D38=5),$E38*'FI '!C$20,AND($C38="Hybrid car",$D38=1),$E38*'FI '!C$22,AND($C38="Hybrid car",$D38=2),$E38*'FI '!C$23,AND($C38="Hybrid car",$D38=3),$E38*'FI '!C$24,AND($C38="Hybrid car",$D38=4),$E38*'FI '!C$25,AND($C38="Hybrid car",$D38=5),$E38*'FI '!C$26,AND($C38="Electric motorcycle",$D38=1),$E38*'FI '!C$28,AND($C38="Electric motorcycle",$D38=2),$E38*'FI '!C$29,AND($C38="Electric bike",$D38=1),$E38*'FI '!C$31,AND($C38="Electric scooter",$D38=1),$E38*'FI '!C$33,AND($C38="Bus",$D38="Almost empty"),$E38*'FI '!H$23,AND($C38="Bus",$D38="Average"),$E38*'FI '!H$24,AND($C38="Bus",$D38="Nearly full"),$E38*'FI '!H$25,AND($C38="Electric bus",$D38="Almost empty"),$E38*'FI '!H$7,AND($C38="Electric bus",$D38="Average"),$E38*'FI '!H$8,AND($C38="Electric bus",$D38="Nearly full"),$E38*'FI '!H$9,AND($C38="Diesel bus",$D38="Almost empty"),$E38*'FI '!H$19,AND($C38="Diesel bus",$D38="Average"),$E38*'FI '!H$20,AND($C38="Diesel bus",$D38="Nearly full"),$E38*'FI '!H$21,AND($C38="Hybrid-electric bus",$D38="Almost empty"),$E38*'FI '!H$11,AND($C38="Hybrid-electric bus",$D38="Average"),$E38*'FI '!H$12,AND($C38="Hybrid-electric bus",$D38="Nearly full"),$E38*'FI '!H$13,AND($C38="Alternative fuel bus",$D38="Almost empty"),$E38*'FI '!H$15,AND($C38="Alternative fuel bus",$D38="Average"),$E38*'FI '!H$16,AND($C38="Alternative fuel bus",$D38="Nearly full"),$E38*'FI '!H$17,AND($C38="Metro, tram, urban light train",$D38="Almost empty"),$E38*'FI '!C$35,AND($C38="Metro, tram, urban light train",$D38="Average"),$E38*'FI '!C$36,AND($C38="Metro, tram, urban light train",$D38="Nearly full"),$E38*'FI '!C$37,AND($C38="Electric passenger train",$D38="Almost empty"),$E38*'FI '!C$39,AND($C38="Electric passenger train",$D38="Average"),$E38*'FI '!C$40,AND($C38="Electric passenger train",$D38="Nearly full"),$E38*'FI '!C$41,AND($C38="Diesel passenger train",$D38="Almost empty"),$E38*'FI '!C$47,AND($C38="Diesel passenger train",$D38="Average"),$E38*'FI '!C$48,AND($C38="Diesel passenger train",$D38="Nearly full"),$E38*'FI '!C$49,AND($C38="Walking"),$E38*0,AND($C38="Bike"),$E38*0,AND($C38="Plane - domestic flight"),$E38*'FI '!$C62,AND($C38="Plane - international - intra EU"),$E38*'FI '!$C64,AND($C38="Plane - international (extra EU)"),$E38*'FI '!$C66)</f>
        <v>#N/A</v>
      </c>
      <c r="G38" s="31" t="e" cm="1">
        <f t="array" ref="G38">_xlfn.IFS(AND($C38="Fuel car",$D38=1),$E38*'FI '!D$7,AND($C38="Fuel car",$D38=2),$E38*'FI '!D$8,AND($C38="Fuel car",$D38=3),$E38*'FI '!D$9,AND($C38="Fuel car",$D38=4),$E38*'FI '!D$10,AND($C38="Fuel car",$D38=5),$E38*'FI '!D$11,AND($C38="Motorcycle",$D38=1),$E38*'FI '!D$13,AND($C38="Motorcycle",$D38=2),$E38*'FI '!D$14,AND($C38="Electric car",$D38=1),$E38*'FI '!D$16,AND($C38="Electric car",$D38=2),$E38*'FI '!D$17,AND($C38="Electric car",$D38=3),$E38*'FI '!D$18,AND($C38="Electric car",$D38=4),$E38*'FI '!D$19,AND($C38="Electric car",$D38=5),$E38*'FI '!D$20,AND($C38="Hybrid car",$D38=1),$E38*'FI '!D$22,AND($C38="Hybrid car",$D38=2),$E38*'FI '!D$23,AND($C38="Hybrid car",$D38=3),$E38*'FI '!D$24,AND($C38="Hybrid car",$D38=4),$E38*'FI '!D$25,AND($C38="Hybrid car",$D38=5),$E38*'FI '!D$26,AND($C38="Electric motorcycle",$D38=1),$E38*'FI '!D$28,AND($C38="Electric motorcycle",$D38=2),$E38*'FI '!D$29,AND($C38="Electric bike",$D38=1),$E38*'FI '!D$31,AND($C38="Electric scooter",$D38=1),$E38*'FI '!D$33,AND($C38="Bus",$D38="Almost empty"),$E38*'FI '!I$23,AND($C38="Bus",$D38="Average"),$E38*'FI '!I$24,AND($C38="Bus",$D38="Nearly full"),$E38*'FI '!I$25,AND($C38="Electric bus",$D38="Almost empty"),$E38*'FI '!I$7,AND($C38="Electric bus",$D38="Average"),$E38*'FI '!I$8,AND($C38="Electric bus",$D38="Nearly full"),$E38*'FI '!I$9,AND($C38="Diesel bus",$D38="Almost empty"),$E38*'FI '!I$19,AND($C38="Diesel bus",$D38="Average"),$E38*'FI '!I$20,AND($C38="Diesel bus",$D38="Nearly full"),$E38*'FI '!I$21,AND($C38="Hybrid-electric bus",$D38="Almost empty"),$E38*'FI '!I$11,AND($C38="Hybrid-electric bus",$D38="Average"),$E38*'FI '!I$12,AND($C38="Hybrid-electric bus",$D38="Nearly full"),$E38*'FI '!I$13,AND($C38="Alternative fuel bus",$D38="Almost empty"),$E38*'FI '!I$15,AND($C38="Alternative fuel bus",$D38="Average"),$E38*'FI '!I$16,AND($C38="Alternative fuel bus",$D38="Nearly full"),$E38*'FI '!I$17,AND($C38="Metro, tram, urban light train",$D38="Almost empty"),$E38*'FI '!D$35,AND($C38="Metro, tram, urban light train",$D38="Average"),$E38*'FI '!D$36,AND($C38="Metro, tram, urban light train",$D38="Nearly full"),$E38*'FI '!D$37,AND($C38="Electric passenger train",$D38="Almost empty"),$E38*'FI '!D$39,AND($C38="Electric passenger train",$D38="Average"),$E38*'FI '!D$40,AND($C38="Electric passenger train",$D38="Nearly full"),$E38*'FI '!D$41,AND($C38="Diesel passenger train",$D38="Almost empty"),$E38*'FI '!D$47,AND($C38="Diesel passenger train",$D38="Average"),$E38*'FI '!D$48,AND($C38="Diesel passenger train",$D38="Nearly full"),$E38*'FI '!D$49,AND($C38="Walking"),$E38*0,AND($C38="Bike"),$E38*0,AND($C38="Plane - domestic flight"),$E38*'FI '!$C62,AND($C38="Plane - international - intra EU"),$E38*'FI '!$C64,AND($C38="Plane - international (extra EU)"),$E38*'FI '!$C66)</f>
        <v>#N/A</v>
      </c>
      <c r="H38" s="145"/>
      <c r="I38" s="148">
        <f t="shared" si="6"/>
        <v>0</v>
      </c>
      <c r="J38" s="146" t="e" cm="1">
        <f t="array" ref="J38">_xlfn.IFS(C38="Fuel car",C38*DATA!$C$17,C38="Electric car",C38*DATA!$F$12,C38="Hybrid car",I38*(0.5*DATA!$C$17+0.5*DATA!$F$12))</f>
        <v>#N/A</v>
      </c>
      <c r="L38" s="218"/>
      <c r="M38" s="219"/>
      <c r="N38" s="220"/>
    </row>
    <row r="39" spans="1:14" ht="14.5" customHeight="1" x14ac:dyDescent="0.2">
      <c r="A39" s="222"/>
      <c r="B39" s="30"/>
      <c r="C39" s="15"/>
      <c r="D39" s="15"/>
      <c r="E39" s="125"/>
      <c r="F39" s="128" t="e" cm="1">
        <f t="array" ref="F39">_xlfn.IFS(AND($C39="Fuel car",$D39=1),$E39*'FI '!C$7,AND($C39="Fuel car",$D39=2),$E39*'FI '!C$8,AND($C39="Fuel car",$D39=3),$E39*'FI '!C$9,AND($C39="Fuel car",$D39=4),$E39*'FI '!C$10,AND($C39="Fuel car",$D39=5),$E39*'FI '!C$11,AND($C39="Motorcycle",$D39=1),$E39*'FI '!C$13,AND($C39="Motorcycle",$D39=2),$E39*'FI '!C$14,AND($C39="Electric car",$D39=1),$E39*'FI '!C$16,AND($C39="Electric car",$D39=2),$E39*'FI '!C$17,AND($C39="Electric car",$D39=3),$E39*'FI '!C$18,AND($C39="Electric car",$D39=4),$E39*'FI '!C$19,AND($C39="Electric car",$D39=5),$E39*'FI '!C$20,AND($C39="Hybrid car",$D39=1),$E39*'FI '!C$22,AND($C39="Hybrid car",$D39=2),$E39*'FI '!C$23,AND($C39="Hybrid car",$D39=3),$E39*'FI '!C$24,AND($C39="Hybrid car",$D39=4),$E39*'FI '!C$25,AND($C39="Hybrid car",$D39=5),$E39*'FI '!C$26,AND($C39="Electric motorcycle",$D39=1),$E39*'FI '!C$28,AND($C39="Electric motorcycle",$D39=2),$E39*'FI '!C$29,AND($C39="Electric bike",$D39=1),$E39*'FI '!C$31,AND($C39="Electric scooter",$D39=1),$E39*'FI '!C$33,AND($C39="Bus",$D39="Almost empty"),$E39*'FI '!H$23,AND($C39="Bus",$D39="Average"),$E39*'FI '!H$24,AND($C39="Bus",$D39="Nearly full"),$E39*'FI '!H$25,AND($C39="Electric bus",$D39="Almost empty"),$E39*'FI '!H$7,AND($C39="Electric bus",$D39="Average"),$E39*'FI '!H$8,AND($C39="Electric bus",$D39="Nearly full"),$E39*'FI '!H$9,AND($C39="Diesel bus",$D39="Almost empty"),$E39*'FI '!H$19,AND($C39="Diesel bus",$D39="Average"),$E39*'FI '!H$20,AND($C39="Diesel bus",$D39="Nearly full"),$E39*'FI '!H$21,AND($C39="Hybrid-electric bus",$D39="Almost empty"),$E39*'FI '!H$11,AND($C39="Hybrid-electric bus",$D39="Average"),$E39*'FI '!H$12,AND($C39="Hybrid-electric bus",$D39="Nearly full"),$E39*'FI '!H$13,AND($C39="Alternative fuel bus",$D39="Almost empty"),$E39*'FI '!H$15,AND($C39="Alternative fuel bus",$D39="Average"),$E39*'FI '!H$16,AND($C39="Alternative fuel bus",$D39="Nearly full"),$E39*'FI '!H$17,AND($C39="Metro, tram, urban light train",$D39="Almost empty"),$E39*'FI '!C$35,AND($C39="Metro, tram, urban light train",$D39="Average"),$E39*'FI '!C$36,AND($C39="Metro, tram, urban light train",$D39="Nearly full"),$E39*'FI '!C$37,AND($C39="Electric passenger train",$D39="Almost empty"),$E39*'FI '!C$39,AND($C39="Electric passenger train",$D39="Average"),$E39*'FI '!C$40,AND($C39="Electric passenger train",$D39="Nearly full"),$E39*'FI '!C$41,AND($C39="Diesel passenger train",$D39="Almost empty"),$E39*'FI '!C$47,AND($C39="Diesel passenger train",$D39="Average"),$E39*'FI '!C$48,AND($C39="Diesel passenger train",$D39="Nearly full"),$E39*'FI '!C$49,AND($C39="Walking"),$E39*0,AND($C39="Bike"),$E39*0,AND($C39="Plane - domestic flight"),$E39*'FI '!$C63,AND($C39="Plane - international - intra EU"),$E39*'FI '!$C65,AND($C39="Plane - international (extra EU)"),$E39*'FI '!$C67)</f>
        <v>#N/A</v>
      </c>
      <c r="G39" s="31" t="e" cm="1">
        <f t="array" ref="G39">_xlfn.IFS(AND($C39="Fuel car",$D39=1),$E39*'FI '!D$7,AND($C39="Fuel car",$D39=2),$E39*'FI '!D$8,AND($C39="Fuel car",$D39=3),$E39*'FI '!D$9,AND($C39="Fuel car",$D39=4),$E39*'FI '!D$10,AND($C39="Fuel car",$D39=5),$E39*'FI '!D$11,AND($C39="Motorcycle",$D39=1),$E39*'FI '!D$13,AND($C39="Motorcycle",$D39=2),$E39*'FI '!D$14,AND($C39="Electric car",$D39=1),$E39*'FI '!D$16,AND($C39="Electric car",$D39=2),$E39*'FI '!D$17,AND($C39="Electric car",$D39=3),$E39*'FI '!D$18,AND($C39="Electric car",$D39=4),$E39*'FI '!D$19,AND($C39="Electric car",$D39=5),$E39*'FI '!D$20,AND($C39="Hybrid car",$D39=1),$E39*'FI '!D$22,AND($C39="Hybrid car",$D39=2),$E39*'FI '!D$23,AND($C39="Hybrid car",$D39=3),$E39*'FI '!D$24,AND($C39="Hybrid car",$D39=4),$E39*'FI '!D$25,AND($C39="Hybrid car",$D39=5),$E39*'FI '!D$26,AND($C39="Electric motorcycle",$D39=1),$E39*'FI '!D$28,AND($C39="Electric motorcycle",$D39=2),$E39*'FI '!D$29,AND($C39="Electric bike",$D39=1),$E39*'FI '!D$31,AND($C39="Electric scooter",$D39=1),$E39*'FI '!D$33,AND($C39="Bus",$D39="Almost empty"),$E39*'FI '!I$23,AND($C39="Bus",$D39="Average"),$E39*'FI '!I$24,AND($C39="Bus",$D39="Nearly full"),$E39*'FI '!I$25,AND($C39="Electric bus",$D39="Almost empty"),$E39*'FI '!I$7,AND($C39="Electric bus",$D39="Average"),$E39*'FI '!I$8,AND($C39="Electric bus",$D39="Nearly full"),$E39*'FI '!I$9,AND($C39="Diesel bus",$D39="Almost empty"),$E39*'FI '!I$19,AND($C39="Diesel bus",$D39="Average"),$E39*'FI '!I$20,AND($C39="Diesel bus",$D39="Nearly full"),$E39*'FI '!I$21,AND($C39="Hybrid-electric bus",$D39="Almost empty"),$E39*'FI '!I$11,AND($C39="Hybrid-electric bus",$D39="Average"),$E39*'FI '!I$12,AND($C39="Hybrid-electric bus",$D39="Nearly full"),$E39*'FI '!I$13,AND($C39="Alternative fuel bus",$D39="Almost empty"),$E39*'FI '!I$15,AND($C39="Alternative fuel bus",$D39="Average"),$E39*'FI '!I$16,AND($C39="Alternative fuel bus",$D39="Nearly full"),$E39*'FI '!I$17,AND($C39="Metro, tram, urban light train",$D39="Almost empty"),$E39*'FI '!D$35,AND($C39="Metro, tram, urban light train",$D39="Average"),$E39*'FI '!D$36,AND($C39="Metro, tram, urban light train",$D39="Nearly full"),$E39*'FI '!D$37,AND($C39="Electric passenger train",$D39="Almost empty"),$E39*'FI '!D$39,AND($C39="Electric passenger train",$D39="Average"),$E39*'FI '!D$40,AND($C39="Electric passenger train",$D39="Nearly full"),$E39*'FI '!D$41,AND($C39="Diesel passenger train",$D39="Almost empty"),$E39*'FI '!D$47,AND($C39="Diesel passenger train",$D39="Average"),$E39*'FI '!D$48,AND($C39="Diesel passenger train",$D39="Nearly full"),$E39*'FI '!D$49,AND($C39="Walking"),$E39*0,AND($C39="Bike"),$E39*0,AND($C39="Plane - domestic flight"),$E39*'FI '!$C63,AND($C39="Plane - international - intra EU"),$E39*'FI '!$C65,AND($C39="Plane - international (extra EU)"),$E39*'FI '!$C67)</f>
        <v>#N/A</v>
      </c>
      <c r="H39" s="145"/>
      <c r="I39" s="148">
        <f t="shared" si="6"/>
        <v>0</v>
      </c>
      <c r="J39" s="146" t="e" cm="1">
        <f t="array" ref="J39">_xlfn.IFS(C39="Fuel car",C39*DATA!$C$17,C39="Electric car",C39*DATA!$F$12,C39="Hybrid car",I39*(0.5*DATA!$C$17+0.5*DATA!$F$12))</f>
        <v>#N/A</v>
      </c>
      <c r="L39" s="226" t="s">
        <v>80</v>
      </c>
      <c r="M39" s="227"/>
      <c r="N39" s="228"/>
    </row>
    <row r="40" spans="1:14" x14ac:dyDescent="0.2">
      <c r="A40" s="222"/>
      <c r="B40" s="30"/>
      <c r="C40" s="15"/>
      <c r="D40" s="15"/>
      <c r="E40" s="125"/>
      <c r="F40" s="128" t="e" cm="1">
        <f t="array" ref="F40">_xlfn.IFS(AND($C40="Fuel car",$D40=1),$E40*'FI '!C$7,AND($C40="Fuel car",$D40=2),$E40*'FI '!C$8,AND($C40="Fuel car",$D40=3),$E40*'FI '!C$9,AND($C40="Fuel car",$D40=4),$E40*'FI '!C$10,AND($C40="Fuel car",$D40=5),$E40*'FI '!C$11,AND($C40="Motorcycle",$D40=1),$E40*'FI '!C$13,AND($C40="Motorcycle",$D40=2),$E40*'FI '!C$14,AND($C40="Electric car",$D40=1),$E40*'FI '!C$16,AND($C40="Electric car",$D40=2),$E40*'FI '!C$17,AND($C40="Electric car",$D40=3),$E40*'FI '!C$18,AND($C40="Electric car",$D40=4),$E40*'FI '!C$19,AND($C40="Electric car",$D40=5),$E40*'FI '!C$20,AND($C40="Hybrid car",$D40=1),$E40*'FI '!C$22,AND($C40="Hybrid car",$D40=2),$E40*'FI '!C$23,AND($C40="Hybrid car",$D40=3),$E40*'FI '!C$24,AND($C40="Hybrid car",$D40=4),$E40*'FI '!C$25,AND($C40="Hybrid car",$D40=5),$E40*'FI '!C$26,AND($C40="Electric motorcycle",$D40=1),$E40*'FI '!C$28,AND($C40="Electric motorcycle",$D40=2),$E40*'FI '!C$29,AND($C40="Electric bike",$D40=1),$E40*'FI '!C$31,AND($C40="Electric scooter",$D40=1),$E40*'FI '!C$33,AND($C40="Bus",$D40="Almost empty"),$E40*'FI '!H$23,AND($C40="Bus",$D40="Average"),$E40*'FI '!H$24,AND($C40="Bus",$D40="Nearly full"),$E40*'FI '!H$25,AND($C40="Electric bus",$D40="Almost empty"),$E40*'FI '!H$7,AND($C40="Electric bus",$D40="Average"),$E40*'FI '!H$8,AND($C40="Electric bus",$D40="Nearly full"),$E40*'FI '!H$9,AND($C40="Diesel bus",$D40="Almost empty"),$E40*'FI '!H$19,AND($C40="Diesel bus",$D40="Average"),$E40*'FI '!H$20,AND($C40="Diesel bus",$D40="Nearly full"),$E40*'FI '!H$21,AND($C40="Hybrid-electric bus",$D40="Almost empty"),$E40*'FI '!H$11,AND($C40="Hybrid-electric bus",$D40="Average"),$E40*'FI '!H$12,AND($C40="Hybrid-electric bus",$D40="Nearly full"),$E40*'FI '!H$13,AND($C40="Alternative fuel bus",$D40="Almost empty"),$E40*'FI '!H$15,AND($C40="Alternative fuel bus",$D40="Average"),$E40*'FI '!H$16,AND($C40="Alternative fuel bus",$D40="Nearly full"),$E40*'FI '!H$17,AND($C40="Metro, tram, urban light train",$D40="Almost empty"),$E40*'FI '!C$35,AND($C40="Metro, tram, urban light train",$D40="Average"),$E40*'FI '!C$36,AND($C40="Metro, tram, urban light train",$D40="Nearly full"),$E40*'FI '!C$37,AND($C40="Electric passenger train",$D40="Almost empty"),$E40*'FI '!C$39,AND($C40="Electric passenger train",$D40="Average"),$E40*'FI '!C$40,AND($C40="Electric passenger train",$D40="Nearly full"),$E40*'FI '!C$41,AND($C40="Diesel passenger train",$D40="Almost empty"),$E40*'FI '!C$47,AND($C40="Diesel passenger train",$D40="Average"),$E40*'FI '!C$48,AND($C40="Diesel passenger train",$D40="Nearly full"),$E40*'FI '!C$49,AND($C40="Walking"),$E40*0,AND($C40="Bike"),$E40*0,AND($C40="Plane - domestic flight"),$E40*'FI '!$C64,AND($C40="Plane - international - intra EU"),$E40*'FI '!$C66,AND($C40="Plane - international (extra EU)"),$E40*'FI '!$C68)</f>
        <v>#N/A</v>
      </c>
      <c r="G40" s="31" t="e" cm="1">
        <f t="array" ref="G40">_xlfn.IFS(AND($C40="Fuel car",$D40=1),$E40*'FI '!D$7,AND($C40="Fuel car",$D40=2),$E40*'FI '!D$8,AND($C40="Fuel car",$D40=3),$E40*'FI '!D$9,AND($C40="Fuel car",$D40=4),$E40*'FI '!D$10,AND($C40="Fuel car",$D40=5),$E40*'FI '!D$11,AND($C40="Motorcycle",$D40=1),$E40*'FI '!D$13,AND($C40="Motorcycle",$D40=2),$E40*'FI '!D$14,AND($C40="Electric car",$D40=1),$E40*'FI '!D$16,AND($C40="Electric car",$D40=2),$E40*'FI '!D$17,AND($C40="Electric car",$D40=3),$E40*'FI '!D$18,AND($C40="Electric car",$D40=4),$E40*'FI '!D$19,AND($C40="Electric car",$D40=5),$E40*'FI '!D$20,AND($C40="Hybrid car",$D40=1),$E40*'FI '!D$22,AND($C40="Hybrid car",$D40=2),$E40*'FI '!D$23,AND($C40="Hybrid car",$D40=3),$E40*'FI '!D$24,AND($C40="Hybrid car",$D40=4),$E40*'FI '!D$25,AND($C40="Hybrid car",$D40=5),$E40*'FI '!D$26,AND($C40="Electric motorcycle",$D40=1),$E40*'FI '!D$28,AND($C40="Electric motorcycle",$D40=2),$E40*'FI '!D$29,AND($C40="Electric bike",$D40=1),$E40*'FI '!D$31,AND($C40="Electric scooter",$D40=1),$E40*'FI '!D$33,AND($C40="Bus",$D40="Almost empty"),$E40*'FI '!I$23,AND($C40="Bus",$D40="Average"),$E40*'FI '!I$24,AND($C40="Bus",$D40="Nearly full"),$E40*'FI '!I$25,AND($C40="Electric bus",$D40="Almost empty"),$E40*'FI '!I$7,AND($C40="Electric bus",$D40="Average"),$E40*'FI '!I$8,AND($C40="Electric bus",$D40="Nearly full"),$E40*'FI '!I$9,AND($C40="Diesel bus",$D40="Almost empty"),$E40*'FI '!I$19,AND($C40="Diesel bus",$D40="Average"),$E40*'FI '!I$20,AND($C40="Diesel bus",$D40="Nearly full"),$E40*'FI '!I$21,AND($C40="Hybrid-electric bus",$D40="Almost empty"),$E40*'FI '!I$11,AND($C40="Hybrid-electric bus",$D40="Average"),$E40*'FI '!I$12,AND($C40="Hybrid-electric bus",$D40="Nearly full"),$E40*'FI '!I$13,AND($C40="Alternative fuel bus",$D40="Almost empty"),$E40*'FI '!I$15,AND($C40="Alternative fuel bus",$D40="Average"),$E40*'FI '!I$16,AND($C40="Alternative fuel bus",$D40="Nearly full"),$E40*'FI '!I$17,AND($C40="Metro, tram, urban light train",$D40="Almost empty"),$E40*'FI '!D$35,AND($C40="Metro, tram, urban light train",$D40="Average"),$E40*'FI '!D$36,AND($C40="Metro, tram, urban light train",$D40="Nearly full"),$E40*'FI '!D$37,AND($C40="Electric passenger train",$D40="Almost empty"),$E40*'FI '!D$39,AND($C40="Electric passenger train",$D40="Average"),$E40*'FI '!D$40,AND($C40="Electric passenger train",$D40="Nearly full"),$E40*'FI '!D$41,AND($C40="Diesel passenger train",$D40="Almost empty"),$E40*'FI '!D$47,AND($C40="Diesel passenger train",$D40="Average"),$E40*'FI '!D$48,AND($C40="Diesel passenger train",$D40="Nearly full"),$E40*'FI '!D$49,AND($C40="Walking"),$E40*0,AND($C40="Bike"),$E40*0,AND($C40="Plane - domestic flight"),$E40*'FI '!$C64,AND($C40="Plane - international - intra EU"),$E40*'FI '!$C66,AND($C40="Plane - international (extra EU)"),$E40*'FI '!$C68)</f>
        <v>#N/A</v>
      </c>
      <c r="H40" s="145"/>
      <c r="I40" s="148">
        <f t="shared" si="6"/>
        <v>0</v>
      </c>
      <c r="J40" s="146" t="e" cm="1">
        <f t="array" ref="J40">_xlfn.IFS(C40="Fuel car",C40*DATA!$C$17,C40="Electric car",C40*DATA!$F$12,C40="Hybrid car",I40*(0.5*DATA!$C$17+0.5*DATA!$F$12))</f>
        <v>#N/A</v>
      </c>
      <c r="L40" s="229"/>
      <c r="M40" s="230"/>
      <c r="N40" s="231"/>
    </row>
    <row r="41" spans="1:14" ht="14.5" customHeight="1" x14ac:dyDescent="0.2">
      <c r="A41" s="222"/>
      <c r="B41" s="30"/>
      <c r="C41" s="15"/>
      <c r="D41" s="15"/>
      <c r="E41" s="125"/>
      <c r="F41" s="128" t="e" cm="1">
        <f t="array" ref="F41">_xlfn.IFS(AND($C41="Fuel car",$D41=1),$E41*'FI '!C$7,AND($C41="Fuel car",$D41=2),$E41*'FI '!C$8,AND($C41="Fuel car",$D41=3),$E41*'FI '!C$9,AND($C41="Fuel car",$D41=4),$E41*'FI '!C$10,AND($C41="Fuel car",$D41=5),$E41*'FI '!C$11,AND($C41="Motorcycle",$D41=1),$E41*'FI '!C$13,AND($C41="Motorcycle",$D41=2),$E41*'FI '!C$14,AND($C41="Electric car",$D41=1),$E41*'FI '!C$16,AND($C41="Electric car",$D41=2),$E41*'FI '!C$17,AND($C41="Electric car",$D41=3),$E41*'FI '!C$18,AND($C41="Electric car",$D41=4),$E41*'FI '!C$19,AND($C41="Electric car",$D41=5),$E41*'FI '!C$20,AND($C41="Hybrid car",$D41=1),$E41*'FI '!C$22,AND($C41="Hybrid car",$D41=2),$E41*'FI '!C$23,AND($C41="Hybrid car",$D41=3),$E41*'FI '!C$24,AND($C41="Hybrid car",$D41=4),$E41*'FI '!C$25,AND($C41="Hybrid car",$D41=5),$E41*'FI '!C$26,AND($C41="Electric motorcycle",$D41=1),$E41*'FI '!C$28,AND($C41="Electric motorcycle",$D41=2),$E41*'FI '!C$29,AND($C41="Electric bike",$D41=1),$E41*'FI '!C$31,AND($C41="Electric scooter",$D41=1),$E41*'FI '!C$33,AND($C41="Bus",$D41="Almost empty"),$E41*'FI '!H$23,AND($C41="Bus",$D41="Average"),$E41*'FI '!H$24,AND($C41="Bus",$D41="Nearly full"),$E41*'FI '!H$25,AND($C41="Electric bus",$D41="Almost empty"),$E41*'FI '!H$7,AND($C41="Electric bus",$D41="Average"),$E41*'FI '!H$8,AND($C41="Electric bus",$D41="Nearly full"),$E41*'FI '!H$9,AND($C41="Diesel bus",$D41="Almost empty"),$E41*'FI '!H$19,AND($C41="Diesel bus",$D41="Average"),$E41*'FI '!H$20,AND($C41="Diesel bus",$D41="Nearly full"),$E41*'FI '!H$21,AND($C41="Hybrid-electric bus",$D41="Almost empty"),$E41*'FI '!H$11,AND($C41="Hybrid-electric bus",$D41="Average"),$E41*'FI '!H$12,AND($C41="Hybrid-electric bus",$D41="Nearly full"),$E41*'FI '!H$13,AND($C41="Alternative fuel bus",$D41="Almost empty"),$E41*'FI '!H$15,AND($C41="Alternative fuel bus",$D41="Average"),$E41*'FI '!H$16,AND($C41="Alternative fuel bus",$D41="Nearly full"),$E41*'FI '!H$17,AND($C41="Metro, tram, urban light train",$D41="Almost empty"),$E41*'FI '!C$35,AND($C41="Metro, tram, urban light train",$D41="Average"),$E41*'FI '!C$36,AND($C41="Metro, tram, urban light train",$D41="Nearly full"),$E41*'FI '!C$37,AND($C41="Electric passenger train",$D41="Almost empty"),$E41*'FI '!C$39,AND($C41="Electric passenger train",$D41="Average"),$E41*'FI '!C$40,AND($C41="Electric passenger train",$D41="Nearly full"),$E41*'FI '!C$41,AND($C41="Diesel passenger train",$D41="Almost empty"),$E41*'FI '!C$47,AND($C41="Diesel passenger train",$D41="Average"),$E41*'FI '!C$48,AND($C41="Diesel passenger train",$D41="Nearly full"),$E41*'FI '!C$49,AND($C41="Walking"),$E41*0,AND($C41="Bike"),$E41*0,AND($C41="Plane - domestic flight"),$E41*'FI '!$C65,AND($C41="Plane - international - intra EU"),$E41*'FI '!$C67,AND($C41="Plane - international (extra EU)"),$E41*'FI '!$C69)</f>
        <v>#N/A</v>
      </c>
      <c r="G41" s="31" t="e" cm="1">
        <f t="array" ref="G41">_xlfn.IFS(AND($C41="Fuel car",$D41=1),$E41*'FI '!D$7,AND($C41="Fuel car",$D41=2),$E41*'FI '!D$8,AND($C41="Fuel car",$D41=3),$E41*'FI '!D$9,AND($C41="Fuel car",$D41=4),$E41*'FI '!D$10,AND($C41="Fuel car",$D41=5),$E41*'FI '!D$11,AND($C41="Motorcycle",$D41=1),$E41*'FI '!D$13,AND($C41="Motorcycle",$D41=2),$E41*'FI '!D$14,AND($C41="Electric car",$D41=1),$E41*'FI '!D$16,AND($C41="Electric car",$D41=2),$E41*'FI '!D$17,AND($C41="Electric car",$D41=3),$E41*'FI '!D$18,AND($C41="Electric car",$D41=4),$E41*'FI '!D$19,AND($C41="Electric car",$D41=5),$E41*'FI '!D$20,AND($C41="Hybrid car",$D41=1),$E41*'FI '!D$22,AND($C41="Hybrid car",$D41=2),$E41*'FI '!D$23,AND($C41="Hybrid car",$D41=3),$E41*'FI '!D$24,AND($C41="Hybrid car",$D41=4),$E41*'FI '!D$25,AND($C41="Hybrid car",$D41=5),$E41*'FI '!D$26,AND($C41="Electric motorcycle",$D41=1),$E41*'FI '!D$28,AND($C41="Electric motorcycle",$D41=2),$E41*'FI '!D$29,AND($C41="Electric bike",$D41=1),$E41*'FI '!D$31,AND($C41="Electric scooter",$D41=1),$E41*'FI '!D$33,AND($C41="Bus",$D41="Almost empty"),$E41*'FI '!I$23,AND($C41="Bus",$D41="Average"),$E41*'FI '!I$24,AND($C41="Bus",$D41="Nearly full"),$E41*'FI '!I$25,AND($C41="Electric bus",$D41="Almost empty"),$E41*'FI '!I$7,AND($C41="Electric bus",$D41="Average"),$E41*'FI '!I$8,AND($C41="Electric bus",$D41="Nearly full"),$E41*'FI '!I$9,AND($C41="Diesel bus",$D41="Almost empty"),$E41*'FI '!I$19,AND($C41="Diesel bus",$D41="Average"),$E41*'FI '!I$20,AND($C41="Diesel bus",$D41="Nearly full"),$E41*'FI '!I$21,AND($C41="Hybrid-electric bus",$D41="Almost empty"),$E41*'FI '!I$11,AND($C41="Hybrid-electric bus",$D41="Average"),$E41*'FI '!I$12,AND($C41="Hybrid-electric bus",$D41="Nearly full"),$E41*'FI '!I$13,AND($C41="Alternative fuel bus",$D41="Almost empty"),$E41*'FI '!I$15,AND($C41="Alternative fuel bus",$D41="Average"),$E41*'FI '!I$16,AND($C41="Alternative fuel bus",$D41="Nearly full"),$E41*'FI '!I$17,AND($C41="Metro, tram, urban light train",$D41="Almost empty"),$E41*'FI '!D$35,AND($C41="Metro, tram, urban light train",$D41="Average"),$E41*'FI '!D$36,AND($C41="Metro, tram, urban light train",$D41="Nearly full"),$E41*'FI '!D$37,AND($C41="Electric passenger train",$D41="Almost empty"),$E41*'FI '!D$39,AND($C41="Electric passenger train",$D41="Average"),$E41*'FI '!D$40,AND($C41="Electric passenger train",$D41="Nearly full"),$E41*'FI '!D$41,AND($C41="Diesel passenger train",$D41="Almost empty"),$E41*'FI '!D$47,AND($C41="Diesel passenger train",$D41="Average"),$E41*'FI '!D$48,AND($C41="Diesel passenger train",$D41="Nearly full"),$E41*'FI '!D$49,AND($C41="Walking"),$E41*0,AND($C41="Bike"),$E41*0,AND($C41="Plane - domestic flight"),$E41*'FI '!$C65,AND($C41="Plane - international - intra EU"),$E41*'FI '!$C67,AND($C41="Plane - international (extra EU)"),$E41*'FI '!$C69)</f>
        <v>#N/A</v>
      </c>
      <c r="H41" s="145"/>
      <c r="I41" s="148">
        <f t="shared" si="6"/>
        <v>0</v>
      </c>
      <c r="J41" s="146" t="e" cm="1">
        <f t="array" ref="J41">_xlfn.IFS(C41="Fuel car",C41*DATA!$C$17,C41="Electric car",C41*DATA!$F$12,C41="Hybrid car",I41*(0.5*DATA!$C$17+0.5*DATA!$F$12))</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car",$D42=1),$E42*'FI '!C$7,AND($C42="Fuel car",$D42=2),$E42*'FI '!C$8,AND($C42="Fuel car",$D42=3),$E42*'FI '!C$9,AND($C42="Fuel car",$D42=4),$E42*'FI '!C$10,AND($C42="Fuel car",$D42=5),$E42*'FI '!C$11,AND($C42="Motorcycle",$D42=1),$E42*'FI '!C$13,AND($C42="Motorcycle",$D42=2),$E42*'FI '!C$14,AND($C42="Electric car",$D42=1),$E42*'FI '!C$16,AND($C42="Electric car",$D42=2),$E42*'FI '!C$17,AND($C42="Electric car",$D42=3),$E42*'FI '!C$18,AND($C42="Electric car",$D42=4),$E42*'FI '!C$19,AND($C42="Electric car",$D42=5),$E42*'FI '!C$20,AND($C42="Hybrid car",$D42=1),$E42*'FI '!C$22,AND($C42="Hybrid car",$D42=2),$E42*'FI '!C$23,AND($C42="Hybrid car",$D42=3),$E42*'FI '!C$24,AND($C42="Hybrid car",$D42=4),$E42*'FI '!C$25,AND($C42="Hybrid car",$D42=5),$E42*'FI '!C$26,AND($C42="Electric motorcycle",$D42=1),$E42*'FI '!C$28,AND($C42="Electric motorcycle",$D42=2),$E42*'FI '!C$29,AND($C42="Electric bike",$D42=1),$E42*'FI '!C$31,AND($C42="Electric scooter",$D42=1),$E42*'FI '!C$33,AND($C42="Bus",$D42="Almost empty"),$E42*'FI '!H$23,AND($C42="Bus",$D42="Average"),$E42*'FI '!H$24,AND($C42="Bus",$D42="Nearly full"),$E42*'FI '!H$25,AND($C42="Electric bus",$D42="Almost empty"),$E42*'FI '!H$7,AND($C42="Electric bus",$D42="Average"),$E42*'FI '!H$8,AND($C42="Electric bus",$D42="Nearly full"),$E42*'FI '!H$9,AND($C42="Diesel bus",$D42="Almost empty"),$E42*'FI '!H$19,AND($C42="Diesel bus",$D42="Average"),$E42*'FI '!H$20,AND($C42="Diesel bus",$D42="Nearly full"),$E42*'FI '!H$21,AND($C42="Hybrid-electric bus",$D42="Almost empty"),$E42*'FI '!H$11,AND($C42="Hybrid-electric bus",$D42="Average"),$E42*'FI '!H$12,AND($C42="Hybrid-electric bus",$D42="Nearly full"),$E42*'FI '!H$13,AND($C42="Alternative fuel bus",$D42="Almost empty"),$E42*'FI '!H$15,AND($C42="Alternative fuel bus",$D42="Average"),$E42*'FI '!H$16,AND($C42="Alternative fuel bus",$D42="Nearly full"),$E42*'FI '!H$17,AND($C42="Metro, tram, urban light train",$D42="Almost empty"),$E42*'FI '!C$35,AND($C42="Metro, tram, urban light train",$D42="Average"),$E42*'FI '!C$36,AND($C42="Metro, tram, urban light train",$D42="Nearly full"),$E42*'FI '!C$37,AND($C42="Electric passenger train",$D42="Almost empty"),$E42*'FI '!C$39,AND($C42="Electric passenger train",$D42="Average"),$E42*'FI '!C$40,AND($C42="Electric passenger train",$D42="Nearly full"),$E42*'FI '!C$41,AND($C42="Diesel passenger train",$D42="Almost empty"),$E42*'FI '!C$47,AND($C42="Diesel passenger train",$D42="Average"),$E42*'FI '!C$48,AND($C42="Diesel passenger train",$D42="Nearly full"),$E42*'FI '!C$49,AND($C42="Walking"),$E42*0,AND($C42="Bike"),$E42*0,AND($C42="Plane - domestic flight"),$E42*'FI '!$C66,AND($C42="Plane - international - intra EU"),$E42*'FI '!$C68,AND($C42="Plane - international (extra EU)"),$E42*'FI '!$C70)</f>
        <v>#N/A</v>
      </c>
      <c r="G42" s="31" t="e" cm="1">
        <f t="array" ref="G42">_xlfn.IFS(AND($C42="Fuel car",$D42=1),$E42*'FI '!D$7,AND($C42="Fuel car",$D42=2),$E42*'FI '!D$8,AND($C42="Fuel car",$D42=3),$E42*'FI '!D$9,AND($C42="Fuel car",$D42=4),$E42*'FI '!D$10,AND($C42="Fuel car",$D42=5),$E42*'FI '!D$11,AND($C42="Motorcycle",$D42=1),$E42*'FI '!D$13,AND($C42="Motorcycle",$D42=2),$E42*'FI '!D$14,AND($C42="Electric car",$D42=1),$E42*'FI '!D$16,AND($C42="Electric car",$D42=2),$E42*'FI '!D$17,AND($C42="Electric car",$D42=3),$E42*'FI '!D$18,AND($C42="Electric car",$D42=4),$E42*'FI '!D$19,AND($C42="Electric car",$D42=5),$E42*'FI '!D$20,AND($C42="Hybrid car",$D42=1),$E42*'FI '!D$22,AND($C42="Hybrid car",$D42=2),$E42*'FI '!D$23,AND($C42="Hybrid car",$D42=3),$E42*'FI '!D$24,AND($C42="Hybrid car",$D42=4),$E42*'FI '!D$25,AND($C42="Hybrid car",$D42=5),$E42*'FI '!D$26,AND($C42="Electric motorcycle",$D42=1),$E42*'FI '!D$28,AND($C42="Electric motorcycle",$D42=2),$E42*'FI '!D$29,AND($C42="Electric bike",$D42=1),$E42*'FI '!D$31,AND($C42="Electric scooter",$D42=1),$E42*'FI '!D$33,AND($C42="Bus",$D42="Almost empty"),$E42*'FI '!I$23,AND($C42="Bus",$D42="Average"),$E42*'FI '!I$24,AND($C42="Bus",$D42="Nearly full"),$E42*'FI '!I$25,AND($C42="Electric bus",$D42="Almost empty"),$E42*'FI '!I$7,AND($C42="Electric bus",$D42="Average"),$E42*'FI '!I$8,AND($C42="Electric bus",$D42="Nearly full"),$E42*'FI '!I$9,AND($C42="Diesel bus",$D42="Almost empty"),$E42*'FI '!I$19,AND($C42="Diesel bus",$D42="Average"),$E42*'FI '!I$20,AND($C42="Diesel bus",$D42="Nearly full"),$E42*'FI '!I$21,AND($C42="Hybrid-electric bus",$D42="Almost empty"),$E42*'FI '!I$11,AND($C42="Hybrid-electric bus",$D42="Average"),$E42*'FI '!I$12,AND($C42="Hybrid-electric bus",$D42="Nearly full"),$E42*'FI '!I$13,AND($C42="Alternative fuel bus",$D42="Almost empty"),$E42*'FI '!I$15,AND($C42="Alternative fuel bus",$D42="Average"),$E42*'FI '!I$16,AND($C42="Alternative fuel bus",$D42="Nearly full"),$E42*'FI '!I$17,AND($C42="Metro, tram, urban light train",$D42="Almost empty"),$E42*'FI '!D$35,AND($C42="Metro, tram, urban light train",$D42="Average"),$E42*'FI '!D$36,AND($C42="Metro, tram, urban light train",$D42="Nearly full"),$E42*'FI '!D$37,AND($C42="Electric passenger train",$D42="Almost empty"),$E42*'FI '!D$39,AND($C42="Electric passenger train",$D42="Average"),$E42*'FI '!D$40,AND($C42="Electric passenger train",$D42="Nearly full"),$E42*'FI '!D$41,AND($C42="Diesel passenger train",$D42="Almost empty"),$E42*'FI '!D$47,AND($C42="Diesel passenger train",$D42="Average"),$E42*'FI '!D$48,AND($C42="Diesel passenger train",$D42="Nearly full"),$E42*'FI '!D$49,AND($C42="Walking"),$E42*0,AND($C42="Bike"),$E42*0,AND($C42="Plane - domestic flight"),$E42*'FI '!$C66,AND($C42="Plane - international - intra EU"),$E42*'FI '!$C68,AND($C42="Plane - international (extra EU)"),$E42*'FI '!$C70)</f>
        <v>#N/A</v>
      </c>
      <c r="H42" s="145"/>
      <c r="I42" s="148">
        <f t="shared" si="6"/>
        <v>0</v>
      </c>
      <c r="J42" s="146" t="e" cm="1">
        <f t="array" ref="J42">_xlfn.IFS(C42="Fuel car",C42*DATA!$C$17,C42="Electric car",C42*DATA!$F$12,C42="Hybrid car",I42*(0.5*DATA!$C$17+0.5*DATA!$F$12))</f>
        <v>#N/A</v>
      </c>
      <c r="L42" s="235"/>
      <c r="M42" s="236"/>
      <c r="N42" s="237"/>
    </row>
    <row r="43" spans="1:14" ht="14.5" customHeight="1" thickBot="1" x14ac:dyDescent="0.25">
      <c r="A43" s="222"/>
      <c r="B43" s="30"/>
      <c r="C43" s="15"/>
      <c r="D43" s="15"/>
      <c r="E43" s="125"/>
      <c r="F43" s="128" t="e" cm="1">
        <f t="array" ref="F43">_xlfn.IFS(AND($C43="Fuel car",$D43=1),$E43*'FI '!C$7,AND($C43="Fuel car",$D43=2),$E43*'FI '!C$8,AND($C43="Fuel car",$D43=3),$E43*'FI '!C$9,AND($C43="Fuel car",$D43=4),$E43*'FI '!C$10,AND($C43="Fuel car",$D43=5),$E43*'FI '!C$11,AND($C43="Motorcycle",$D43=1),$E43*'FI '!C$13,AND($C43="Motorcycle",$D43=2),$E43*'FI '!C$14,AND($C43="Electric car",$D43=1),$E43*'FI '!C$16,AND($C43="Electric car",$D43=2),$E43*'FI '!C$17,AND($C43="Electric car",$D43=3),$E43*'FI '!C$18,AND($C43="Electric car",$D43=4),$E43*'FI '!C$19,AND($C43="Electric car",$D43=5),$E43*'FI '!C$20,AND($C43="Hybrid car",$D43=1),$E43*'FI '!C$22,AND($C43="Hybrid car",$D43=2),$E43*'FI '!C$23,AND($C43="Hybrid car",$D43=3),$E43*'FI '!C$24,AND($C43="Hybrid car",$D43=4),$E43*'FI '!C$25,AND($C43="Hybrid car",$D43=5),$E43*'FI '!C$26,AND($C43="Electric motorcycle",$D43=1),$E43*'FI '!C$28,AND($C43="Electric motorcycle",$D43=2),$E43*'FI '!C$29,AND($C43="Electric bike",$D43=1),$E43*'FI '!C$31,AND($C43="Electric scooter",$D43=1),$E43*'FI '!C$33,AND($C43="Bus",$D43="Almost empty"),$E43*'FI '!H$23,AND($C43="Bus",$D43="Average"),$E43*'FI '!H$24,AND($C43="Bus",$D43="Nearly full"),$E43*'FI '!H$25,AND($C43="Electric bus",$D43="Almost empty"),$E43*'FI '!H$7,AND($C43="Electric bus",$D43="Average"),$E43*'FI '!H$8,AND($C43="Electric bus",$D43="Nearly full"),$E43*'FI '!H$9,AND($C43="Diesel bus",$D43="Almost empty"),$E43*'FI '!H$19,AND($C43="Diesel bus",$D43="Average"),$E43*'FI '!H$20,AND($C43="Diesel bus",$D43="Nearly full"),$E43*'FI '!H$21,AND($C43="Hybrid-electric bus",$D43="Almost empty"),$E43*'FI '!H$11,AND($C43="Hybrid-electric bus",$D43="Average"),$E43*'FI '!H$12,AND($C43="Hybrid-electric bus",$D43="Nearly full"),$E43*'FI '!H$13,AND($C43="Alternative fuel bus",$D43="Almost empty"),$E43*'FI '!H$15,AND($C43="Alternative fuel bus",$D43="Average"),$E43*'FI '!H$16,AND($C43="Alternative fuel bus",$D43="Nearly full"),$E43*'FI '!H$17,AND($C43="Metro, tram, urban light train",$D43="Almost empty"),$E43*'FI '!C$35,AND($C43="Metro, tram, urban light train",$D43="Average"),$E43*'FI '!C$36,AND($C43="Metro, tram, urban light train",$D43="Nearly full"),$E43*'FI '!C$37,AND($C43="Electric passenger train",$D43="Almost empty"),$E43*'FI '!C$39,AND($C43="Electric passenger train",$D43="Average"),$E43*'FI '!C$40,AND($C43="Electric passenger train",$D43="Nearly full"),$E43*'FI '!C$41,AND($C43="Diesel passenger train",$D43="Almost empty"),$E43*'FI '!C$47,AND($C43="Diesel passenger train",$D43="Average"),$E43*'FI '!C$48,AND($C43="Diesel passenger train",$D43="Nearly full"),$E43*'FI '!C$49,AND($C43="Walking"),$E43*0,AND($C43="Bike"),$E43*0,AND($C43="Plane - domestic flight"),$E43*'FI '!$C67,AND($C43="Plane - international - intra EU"),$E43*'FI '!$C69,AND($C43="Plane - international (extra EU)"),$E43*'FI '!$C71)</f>
        <v>#N/A</v>
      </c>
      <c r="G43" s="31" t="e" cm="1">
        <f t="array" ref="G43">_xlfn.IFS(AND($C43="Fuel car",$D43=1),$E43*'FI '!D$7,AND($C43="Fuel car",$D43=2),$E43*'FI '!D$8,AND($C43="Fuel car",$D43=3),$E43*'FI '!D$9,AND($C43="Fuel car",$D43=4),$E43*'FI '!D$10,AND($C43="Fuel car",$D43=5),$E43*'FI '!D$11,AND($C43="Motorcycle",$D43=1),$E43*'FI '!D$13,AND($C43="Motorcycle",$D43=2),$E43*'FI '!D$14,AND($C43="Electric car",$D43=1),$E43*'FI '!D$16,AND($C43="Electric car",$D43=2),$E43*'FI '!D$17,AND($C43="Electric car",$D43=3),$E43*'FI '!D$18,AND($C43="Electric car",$D43=4),$E43*'FI '!D$19,AND($C43="Electric car",$D43=5),$E43*'FI '!D$20,AND($C43="Hybrid car",$D43=1),$E43*'FI '!D$22,AND($C43="Hybrid car",$D43=2),$E43*'FI '!D$23,AND($C43="Hybrid car",$D43=3),$E43*'FI '!D$24,AND($C43="Hybrid car",$D43=4),$E43*'FI '!D$25,AND($C43="Hybrid car",$D43=5),$E43*'FI '!D$26,AND($C43="Electric motorcycle",$D43=1),$E43*'FI '!D$28,AND($C43="Electric motorcycle",$D43=2),$E43*'FI '!D$29,AND($C43="Electric bike",$D43=1),$E43*'FI '!D$31,AND($C43="Electric scooter",$D43=1),$E43*'FI '!D$33,AND($C43="Bus",$D43="Almost empty"),$E43*'FI '!I$23,AND($C43="Bus",$D43="Average"),$E43*'FI '!I$24,AND($C43="Bus",$D43="Nearly full"),$E43*'FI '!I$25,AND($C43="Electric bus",$D43="Almost empty"),$E43*'FI '!I$7,AND($C43="Electric bus",$D43="Average"),$E43*'FI '!I$8,AND($C43="Electric bus",$D43="Nearly full"),$E43*'FI '!I$9,AND($C43="Diesel bus",$D43="Almost empty"),$E43*'FI '!I$19,AND($C43="Diesel bus",$D43="Average"),$E43*'FI '!I$20,AND($C43="Diesel bus",$D43="Nearly full"),$E43*'FI '!I$21,AND($C43="Hybrid-electric bus",$D43="Almost empty"),$E43*'FI '!I$11,AND($C43="Hybrid-electric bus",$D43="Average"),$E43*'FI '!I$12,AND($C43="Hybrid-electric bus",$D43="Nearly full"),$E43*'FI '!I$13,AND($C43="Alternative fuel bus",$D43="Almost empty"),$E43*'FI '!I$15,AND($C43="Alternative fuel bus",$D43="Average"),$E43*'FI '!I$16,AND($C43="Alternative fuel bus",$D43="Nearly full"),$E43*'FI '!I$17,AND($C43="Metro, tram, urban light train",$D43="Almost empty"),$E43*'FI '!D$35,AND($C43="Metro, tram, urban light train",$D43="Average"),$E43*'FI '!D$36,AND($C43="Metro, tram, urban light train",$D43="Nearly full"),$E43*'FI '!D$37,AND($C43="Electric passenger train",$D43="Almost empty"),$E43*'FI '!D$39,AND($C43="Electric passenger train",$D43="Average"),$E43*'FI '!D$40,AND($C43="Electric passenger train",$D43="Nearly full"),$E43*'FI '!D$41,AND($C43="Diesel passenger train",$D43="Almost empty"),$E43*'FI '!D$47,AND($C43="Diesel passenger train",$D43="Average"),$E43*'FI '!D$48,AND($C43="Diesel passenger train",$D43="Nearly full"),$E43*'FI '!D$49,AND($C43="Walking"),$E43*0,AND($C43="Bike"),$E43*0,AND($C43="Plane - domestic flight"),$E43*'FI '!$C67,AND($C43="Plane - international - intra EU"),$E43*'FI '!$C69,AND($C43="Plane - international (extra EU)"),$E43*'FI '!$C71)</f>
        <v>#N/A</v>
      </c>
      <c r="H43" s="109"/>
      <c r="I43" s="154">
        <f t="shared" si="6"/>
        <v>0</v>
      </c>
      <c r="J43" s="147" t="e" cm="1">
        <f t="array" ref="J43">_xlfn.IFS(C43="Fuel car",C43*DATA!$C$17,C43="Electric car",C43*DATA!$F$12,C43="Hybrid car",I43*(0.5*DATA!$C$17+0.5*DATA!$F$12))</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car",$D44=1),$E44*'FI '!C$7,AND($C44="Fuel car",$D44=2),$E44*'FI '!C$8,AND($C44="Fuel car",$D44=3),$E44*'FI '!C$9,AND($C44="Fuel car",$D44=4),$E44*'FI '!C$10,AND($C44="Fuel car",$D44=5),$E44*'FI '!C$11,AND($C44="Motorcycle",$D44=1),$E44*'FI '!C$13,AND($C44="Motorcycle",$D44=2),$E44*'FI '!C$14,AND($C44="Electric car",$D44=1),$E44*'FI '!C$16,AND($C44="Electric car",$D44=2),$E44*'FI '!C$17,AND($C44="Electric car",$D44=3),$E44*'FI '!C$18,AND($C44="Electric car",$D44=4),$E44*'FI '!C$19,AND($C44="Electric car",$D44=5),$E44*'FI '!C$20,AND($C44="Hybrid car",$D44=1),$E44*'FI '!C$22,AND($C44="Hybrid car",$D44=2),$E44*'FI '!C$23,AND($C44="Hybrid car",$D44=3),$E44*'FI '!C$24,AND($C44="Hybrid car",$D44=4),$E44*'FI '!C$25,AND($C44="Hybrid car",$D44=5),$E44*'FI '!C$26,AND($C44="Electric motorcycle",$D44=1),$E44*'FI '!C$28,AND($C44="Electric motorcycle",$D44=2),$E44*'FI '!C$29,AND($C44="Electric bike",$D44=1),$E44*'FI '!C$31,AND($C44="Electric scooter",$D44=1),$E44*'FI '!C$33,AND($C44="Bus",$D44="Almost empty"),$E44*'FI '!H$23,AND($C44="Bus",$D44="Average"),$E44*'FI '!H$24,AND($C44="Bus",$D44="Nearly full"),$E44*'FI '!H$25,AND($C44="Electric bus",$D44="Almost empty"),$E44*'FI '!H$7,AND($C44="Electric bus",$D44="Average"),$E44*'FI '!H$8,AND($C44="Electric bus",$D44="Nearly full"),$E44*'FI '!H$9,AND($C44="Diesel bus",$D44="Almost empty"),$E44*'FI '!H$19,AND($C44="Diesel bus",$D44="Average"),$E44*'FI '!H$20,AND($C44="Diesel bus",$D44="Nearly full"),$E44*'FI '!H$21,AND($C44="Hybrid-electric bus",$D44="Almost empty"),$E44*'FI '!H$11,AND($C44="Hybrid-electric bus",$D44="Average"),$E44*'FI '!H$12,AND($C44="Hybrid-electric bus",$D44="Nearly full"),$E44*'FI '!H$13,AND($C44="Alternative fuel bus",$D44="Almost empty"),$E44*'FI '!H$15,AND($C44="Alternative fuel bus",$D44="Average"),$E44*'FI '!H$16,AND($C44="Alternative fuel bus",$D44="Nearly full"),$E44*'FI '!H$17,AND($C44="Metro, tram, urban light train",$D44="Almost empty"),$E44*'FI '!C$35,AND($C44="Metro, tram, urban light train",$D44="Average"),$E44*'FI '!C$36,AND($C44="Metro, tram, urban light train",$D44="Nearly full"),$E44*'FI '!C$37,AND($C44="Electric passenger train",$D44="Almost empty"),$E44*'FI '!C$39,AND($C44="Electric passenger train",$D44="Average"),$E44*'FI '!C$40,AND($C44="Electric passenger train",$D44="Nearly full"),$E44*'FI '!C$41,AND($C44="Diesel passenger train",$D44="Almost empty"),$E44*'FI '!C$47,AND($C44="Diesel passenger train",$D44="Average"),$E44*'FI '!C$48,AND($C44="Diesel passenger train",$D44="Nearly full"),$E44*'FI '!C$49,AND($C44="Walking"),$E44*0,AND($C44="Bike"),$E44*0,AND($C44="Plane - domestic flight"),$E44*'FI '!$C68,AND($C44="Plane - international - intra EU"),$E44*'FI '!$C70,AND($C44="Plane - international (extra EU)"),$E44*'FI '!$C72)</f>
        <v>#N/A</v>
      </c>
      <c r="G44" s="31" t="e" cm="1">
        <f t="array" ref="G44">_xlfn.IFS(AND($C44="Fuel car",$D44=1),$E44*'FI '!D$7,AND($C44="Fuel car",$D44=2),$E44*'FI '!D$8,AND($C44="Fuel car",$D44=3),$E44*'FI '!D$9,AND($C44="Fuel car",$D44=4),$E44*'FI '!D$10,AND($C44="Fuel car",$D44=5),$E44*'FI '!D$11,AND($C44="Motorcycle",$D44=1),$E44*'FI '!D$13,AND($C44="Motorcycle",$D44=2),$E44*'FI '!D$14,AND($C44="Electric car",$D44=1),$E44*'FI '!D$16,AND($C44="Electric car",$D44=2),$E44*'FI '!D$17,AND($C44="Electric car",$D44=3),$E44*'FI '!D$18,AND($C44="Electric car",$D44=4),$E44*'FI '!D$19,AND($C44="Electric car",$D44=5),$E44*'FI '!D$20,AND($C44="Hybrid car",$D44=1),$E44*'FI '!D$22,AND($C44="Hybrid car",$D44=2),$E44*'FI '!D$23,AND($C44="Hybrid car",$D44=3),$E44*'FI '!D$24,AND($C44="Hybrid car",$D44=4),$E44*'FI '!D$25,AND($C44="Hybrid car",$D44=5),$E44*'FI '!D$26,AND($C44="Electric motorcycle",$D44=1),$E44*'FI '!D$28,AND($C44="Electric motorcycle",$D44=2),$E44*'FI '!D$29,AND($C44="Electric bike",$D44=1),$E44*'FI '!D$31,AND($C44="Electric scooter",$D44=1),$E44*'FI '!D$33,AND($C44="Bus",$D44="Almost empty"),$E44*'FI '!I$23,AND($C44="Bus",$D44="Average"),$E44*'FI '!I$24,AND($C44="Bus",$D44="Nearly full"),$E44*'FI '!I$25,AND($C44="Electric bus",$D44="Almost empty"),$E44*'FI '!I$7,AND($C44="Electric bus",$D44="Average"),$E44*'FI '!I$8,AND($C44="Electric bus",$D44="Nearly full"),$E44*'FI '!I$9,AND($C44="Diesel bus",$D44="Almost empty"),$E44*'FI '!I$19,AND($C44="Diesel bus",$D44="Average"),$E44*'FI '!I$20,AND($C44="Diesel bus",$D44="Nearly full"),$E44*'FI '!I$21,AND($C44="Hybrid-electric bus",$D44="Almost empty"),$E44*'FI '!I$11,AND($C44="Hybrid-electric bus",$D44="Average"),$E44*'FI '!I$12,AND($C44="Hybrid-electric bus",$D44="Nearly full"),$E44*'FI '!I$13,AND($C44="Alternative fuel bus",$D44="Almost empty"),$E44*'FI '!I$15,AND($C44="Alternative fuel bus",$D44="Average"),$E44*'FI '!I$16,AND($C44="Alternative fuel bus",$D44="Nearly full"),$E44*'FI '!I$17,AND($C44="Metro, tram, urban light train",$D44="Almost empty"),$E44*'FI '!D$35,AND($C44="Metro, tram, urban light train",$D44="Average"),$E44*'FI '!D$36,AND($C44="Metro, tram, urban light train",$D44="Nearly full"),$E44*'FI '!D$37,AND($C44="Electric passenger train",$D44="Almost empty"),$E44*'FI '!D$39,AND($C44="Electric passenger train",$D44="Average"),$E44*'FI '!D$40,AND($C44="Electric passenger train",$D44="Nearly full"),$E44*'FI '!D$41,AND($C44="Diesel passenger train",$D44="Almost empty"),$E44*'FI '!D$47,AND($C44="Diesel passenger train",$D44="Average"),$E44*'FI '!D$48,AND($C44="Diesel passenger train",$D44="Nearly full"),$E44*'FI '!D$49,AND($C44="Walking"),$E44*0,AND($C44="Bike"),$E44*0,AND($C44="Plane - domestic flight"),$E44*'FI '!$C68,AND($C44="Plane - international - intra EU"),$E44*'FI '!$C70,AND($C44="Plane - international (extra EU)"),$E44*'FI '!$C72)</f>
        <v>#N/A</v>
      </c>
      <c r="L44" s="218"/>
      <c r="M44" s="219"/>
      <c r="N44" s="220"/>
    </row>
    <row r="45" spans="1:14" ht="14.5" customHeight="1" x14ac:dyDescent="0.2">
      <c r="A45" s="222"/>
      <c r="B45" s="30"/>
      <c r="C45" s="15"/>
      <c r="D45" s="15"/>
      <c r="E45" s="125"/>
      <c r="F45" s="128" t="e" cm="1">
        <f t="array" ref="F45">_xlfn.IFS(AND($C45="Fuel car",$D45=1),$E45*'FI '!C$7,AND($C45="Fuel car",$D45=2),$E45*'FI '!C$8,AND($C45="Fuel car",$D45=3),$E45*'FI '!C$9,AND($C45="Fuel car",$D45=4),$E45*'FI '!C$10,AND($C45="Fuel car",$D45=5),$E45*'FI '!C$11,AND($C45="Motorcycle",$D45=1),$E45*'FI '!C$13,AND($C45="Motorcycle",$D45=2),$E45*'FI '!C$14,AND($C45="Electric car",$D45=1),$E45*'FI '!C$16,AND($C45="Electric car",$D45=2),$E45*'FI '!C$17,AND($C45="Electric car",$D45=3),$E45*'FI '!C$18,AND($C45="Electric car",$D45=4),$E45*'FI '!C$19,AND($C45="Electric car",$D45=5),$E45*'FI '!C$20,AND($C45="Hybrid car",$D45=1),$E45*'FI '!C$22,AND($C45="Hybrid car",$D45=2),$E45*'FI '!C$23,AND($C45="Hybrid car",$D45=3),$E45*'FI '!C$24,AND($C45="Hybrid car",$D45=4),$E45*'FI '!C$25,AND($C45="Hybrid car",$D45=5),$E45*'FI '!C$26,AND($C45="Electric motorcycle",$D45=1),$E45*'FI '!C$28,AND($C45="Electric motorcycle",$D45=2),$E45*'FI '!C$29,AND($C45="Electric bike",$D45=1),$E45*'FI '!C$31,AND($C45="Electric scooter",$D45=1),$E45*'FI '!C$33,AND($C45="Bus",$D45="Almost empty"),$E45*'FI '!H$23,AND($C45="Bus",$D45="Average"),$E45*'FI '!H$24,AND($C45="Bus",$D45="Nearly full"),$E45*'FI '!H$25,AND($C45="Electric bus",$D45="Almost empty"),$E45*'FI '!H$7,AND($C45="Electric bus",$D45="Average"),$E45*'FI '!H$8,AND($C45="Electric bus",$D45="Nearly full"),$E45*'FI '!H$9,AND($C45="Diesel bus",$D45="Almost empty"),$E45*'FI '!H$19,AND($C45="Diesel bus",$D45="Average"),$E45*'FI '!H$20,AND($C45="Diesel bus",$D45="Nearly full"),$E45*'FI '!H$21,AND($C45="Hybrid-electric bus",$D45="Almost empty"),$E45*'FI '!H$11,AND($C45="Hybrid-electric bus",$D45="Average"),$E45*'FI '!H$12,AND($C45="Hybrid-electric bus",$D45="Nearly full"),$E45*'FI '!H$13,AND($C45="Alternative fuel bus",$D45="Almost empty"),$E45*'FI '!H$15,AND($C45="Alternative fuel bus",$D45="Average"),$E45*'FI '!H$16,AND($C45="Alternative fuel bus",$D45="Nearly full"),$E45*'FI '!H$17,AND($C45="Metro, tram, urban light train",$D45="Almost empty"),$E45*'FI '!C$35,AND($C45="Metro, tram, urban light train",$D45="Average"),$E45*'FI '!C$36,AND($C45="Metro, tram, urban light train",$D45="Nearly full"),$E45*'FI '!C$37,AND($C45="Electric passenger train",$D45="Almost empty"),$E45*'FI '!C$39,AND($C45="Electric passenger train",$D45="Average"),$E45*'FI '!C$40,AND($C45="Electric passenger train",$D45="Nearly full"),$E45*'FI '!C$41,AND($C45="Diesel passenger train",$D45="Almost empty"),$E45*'FI '!C$47,AND($C45="Diesel passenger train",$D45="Average"),$E45*'FI '!C$48,AND($C45="Diesel passenger train",$D45="Nearly full"),$E45*'FI '!C$49,AND($C45="Walking"),$E45*0,AND($C45="Bike"),$E45*0,AND($C45="Plane - domestic flight"),$E45*'FI '!$C69,AND($C45="Plane - international - intra EU"),$E45*'FI '!$C71,AND($C45="Plane - international (extra EU)"),$E45*'FI '!$C73)</f>
        <v>#N/A</v>
      </c>
      <c r="G45" s="31" t="e" cm="1">
        <f t="array" ref="G45">_xlfn.IFS(AND($C45="Fuel car",$D45=1),$E45*'FI '!D$7,AND($C45="Fuel car",$D45=2),$E45*'FI '!D$8,AND($C45="Fuel car",$D45=3),$E45*'FI '!D$9,AND($C45="Fuel car",$D45=4),$E45*'FI '!D$10,AND($C45="Fuel car",$D45=5),$E45*'FI '!D$11,AND($C45="Motorcycle",$D45=1),$E45*'FI '!D$13,AND($C45="Motorcycle",$D45=2),$E45*'FI '!D$14,AND($C45="Electric car",$D45=1),$E45*'FI '!D$16,AND($C45="Electric car",$D45=2),$E45*'FI '!D$17,AND($C45="Electric car",$D45=3),$E45*'FI '!D$18,AND($C45="Electric car",$D45=4),$E45*'FI '!D$19,AND($C45="Electric car",$D45=5),$E45*'FI '!D$20,AND($C45="Hybrid car",$D45=1),$E45*'FI '!D$22,AND($C45="Hybrid car",$D45=2),$E45*'FI '!D$23,AND($C45="Hybrid car",$D45=3),$E45*'FI '!D$24,AND($C45="Hybrid car",$D45=4),$E45*'FI '!D$25,AND($C45="Hybrid car",$D45=5),$E45*'FI '!D$26,AND($C45="Electric motorcycle",$D45=1),$E45*'FI '!D$28,AND($C45="Electric motorcycle",$D45=2),$E45*'FI '!D$29,AND($C45="Electric bike",$D45=1),$E45*'FI '!D$31,AND($C45="Electric scooter",$D45=1),$E45*'FI '!D$33,AND($C45="Bus",$D45="Almost empty"),$E45*'FI '!I$23,AND($C45="Bus",$D45="Average"),$E45*'FI '!I$24,AND($C45="Bus",$D45="Nearly full"),$E45*'FI '!I$25,AND($C45="Electric bus",$D45="Almost empty"),$E45*'FI '!I$7,AND($C45="Electric bus",$D45="Average"),$E45*'FI '!I$8,AND($C45="Electric bus",$D45="Nearly full"),$E45*'FI '!I$9,AND($C45="Diesel bus",$D45="Almost empty"),$E45*'FI '!I$19,AND($C45="Diesel bus",$D45="Average"),$E45*'FI '!I$20,AND($C45="Diesel bus",$D45="Nearly full"),$E45*'FI '!I$21,AND($C45="Hybrid-electric bus",$D45="Almost empty"),$E45*'FI '!I$11,AND($C45="Hybrid-electric bus",$D45="Average"),$E45*'FI '!I$12,AND($C45="Hybrid-electric bus",$D45="Nearly full"),$E45*'FI '!I$13,AND($C45="Alternative fuel bus",$D45="Almost empty"),$E45*'FI '!I$15,AND($C45="Alternative fuel bus",$D45="Average"),$E45*'FI '!I$16,AND($C45="Alternative fuel bus",$D45="Nearly full"),$E45*'FI '!I$17,AND($C45="Metro, tram, urban light train",$D45="Almost empty"),$E45*'FI '!D$35,AND($C45="Metro, tram, urban light train",$D45="Average"),$E45*'FI '!D$36,AND($C45="Metro, tram, urban light train",$D45="Nearly full"),$E45*'FI '!D$37,AND($C45="Electric passenger train",$D45="Almost empty"),$E45*'FI '!D$39,AND($C45="Electric passenger train",$D45="Average"),$E45*'FI '!D$40,AND($C45="Electric passenger train",$D45="Nearly full"),$E45*'FI '!D$41,AND($C45="Diesel passenger train",$D45="Almost empty"),$E45*'FI '!D$47,AND($C45="Diesel passenger train",$D45="Average"),$E45*'FI '!D$48,AND($C45="Diesel passenger train",$D45="Nearly full"),$E45*'FI '!D$49,AND($C45="Walking"),$E45*0,AND($C45="Bike"),$E45*0,AND($C45="Plane - domestic flight"),$E45*'FI '!$C69,AND($C45="Plane - international - intra EU"),$E45*'FI '!$C71,AND($C45="Plane - international (extra EU)"),$E45*'FI '!$C73)</f>
        <v>#N/A</v>
      </c>
      <c r="L45" s="198" t="s">
        <v>256</v>
      </c>
      <c r="M45" s="199"/>
      <c r="N45" s="200"/>
    </row>
    <row r="46" spans="1:14" ht="16" thickBot="1" x14ac:dyDescent="0.25">
      <c r="A46" s="222"/>
      <c r="B46" s="30"/>
      <c r="C46" s="15"/>
      <c r="D46" s="15"/>
      <c r="E46" s="125"/>
      <c r="F46" s="128" t="e" cm="1">
        <f t="array" ref="F46">_xlfn.IFS(AND($C46="Fuel car",$D46=1),$E46*'FI '!C$7,AND($C46="Fuel car",$D46=2),$E46*'FI '!C$8,AND($C46="Fuel car",$D46=3),$E46*'FI '!C$9,AND($C46="Fuel car",$D46=4),$E46*'FI '!C$10,AND($C46="Fuel car",$D46=5),$E46*'FI '!C$11,AND($C46="Motorcycle",$D46=1),$E46*'FI '!C$13,AND($C46="Motorcycle",$D46=2),$E46*'FI '!C$14,AND($C46="Electric car",$D46=1),$E46*'FI '!C$16,AND($C46="Electric car",$D46=2),$E46*'FI '!C$17,AND($C46="Electric car",$D46=3),$E46*'FI '!C$18,AND($C46="Electric car",$D46=4),$E46*'FI '!C$19,AND($C46="Electric car",$D46=5),$E46*'FI '!C$20,AND($C46="Hybrid car",$D46=1),$E46*'FI '!C$22,AND($C46="Hybrid car",$D46=2),$E46*'FI '!C$23,AND($C46="Hybrid car",$D46=3),$E46*'FI '!C$24,AND($C46="Hybrid car",$D46=4),$E46*'FI '!C$25,AND($C46="Hybrid car",$D46=5),$E46*'FI '!C$26,AND($C46="Electric motorcycle",$D46=1),$E46*'FI '!C$28,AND($C46="Electric motorcycle",$D46=2),$E46*'FI '!C$29,AND($C46="Electric bike",$D46=1),$E46*'FI '!C$31,AND($C46="Electric scooter",$D46=1),$E46*'FI '!C$33,AND($C46="Bus",$D46="Almost empty"),$E46*'FI '!H$23,AND($C46="Bus",$D46="Average"),$E46*'FI '!H$24,AND($C46="Bus",$D46="Nearly full"),$E46*'FI '!H$25,AND($C46="Electric bus",$D46="Almost empty"),$E46*'FI '!H$7,AND($C46="Electric bus",$D46="Average"),$E46*'FI '!H$8,AND($C46="Electric bus",$D46="Nearly full"),$E46*'FI '!H$9,AND($C46="Diesel bus",$D46="Almost empty"),$E46*'FI '!H$19,AND($C46="Diesel bus",$D46="Average"),$E46*'FI '!H$20,AND($C46="Diesel bus",$D46="Nearly full"),$E46*'FI '!H$21,AND($C46="Hybrid-electric bus",$D46="Almost empty"),$E46*'FI '!H$11,AND($C46="Hybrid-electric bus",$D46="Average"),$E46*'FI '!H$12,AND($C46="Hybrid-electric bus",$D46="Nearly full"),$E46*'FI '!H$13,AND($C46="Alternative fuel bus",$D46="Almost empty"),$E46*'FI '!H$15,AND($C46="Alternative fuel bus",$D46="Average"),$E46*'FI '!H$16,AND($C46="Alternative fuel bus",$D46="Nearly full"),$E46*'FI '!H$17,AND($C46="Metro, tram, urban light train",$D46="Almost empty"),$E46*'FI '!C$35,AND($C46="Metro, tram, urban light train",$D46="Average"),$E46*'FI '!C$36,AND($C46="Metro, tram, urban light train",$D46="Nearly full"),$E46*'FI '!C$37,AND($C46="Electric passenger train",$D46="Almost empty"),$E46*'FI '!C$39,AND($C46="Electric passenger train",$D46="Average"),$E46*'FI '!C$40,AND($C46="Electric passenger train",$D46="Nearly full"),$E46*'FI '!C$41,AND($C46="Diesel passenger train",$D46="Almost empty"),$E46*'FI '!C$47,AND($C46="Diesel passenger train",$D46="Average"),$E46*'FI '!C$48,AND($C46="Diesel passenger train",$D46="Nearly full"),$E46*'FI '!C$49,AND($C46="Walking"),$E46*0,AND($C46="Bike"),$E46*0,AND($C46="Plane - domestic flight"),$E46*'FI '!$C70,AND($C46="Plane - international - intra EU"),$E46*'FI '!$C72,AND($C46="Plane - international (extra EU)"),$E46*'FI '!$C74)</f>
        <v>#N/A</v>
      </c>
      <c r="G46" s="31" t="e" cm="1">
        <f t="array" ref="G46">_xlfn.IFS(AND($C46="Fuel car",$D46=1),$E46*'FI '!D$7,AND($C46="Fuel car",$D46=2),$E46*'FI '!D$8,AND($C46="Fuel car",$D46=3),$E46*'FI '!D$9,AND($C46="Fuel car",$D46=4),$E46*'FI '!D$10,AND($C46="Fuel car",$D46=5),$E46*'FI '!D$11,AND($C46="Motorcycle",$D46=1),$E46*'FI '!D$13,AND($C46="Motorcycle",$D46=2),$E46*'FI '!D$14,AND($C46="Electric car",$D46=1),$E46*'FI '!D$16,AND($C46="Electric car",$D46=2),$E46*'FI '!D$17,AND($C46="Electric car",$D46=3),$E46*'FI '!D$18,AND($C46="Electric car",$D46=4),$E46*'FI '!D$19,AND($C46="Electric car",$D46=5),$E46*'FI '!D$20,AND($C46="Hybrid car",$D46=1),$E46*'FI '!D$22,AND($C46="Hybrid car",$D46=2),$E46*'FI '!D$23,AND($C46="Hybrid car",$D46=3),$E46*'FI '!D$24,AND($C46="Hybrid car",$D46=4),$E46*'FI '!D$25,AND($C46="Hybrid car",$D46=5),$E46*'FI '!D$26,AND($C46="Electric motorcycle",$D46=1),$E46*'FI '!D$28,AND($C46="Electric motorcycle",$D46=2),$E46*'FI '!D$29,AND($C46="Electric bike",$D46=1),$E46*'FI '!D$31,AND($C46="Electric scooter",$D46=1),$E46*'FI '!D$33,AND($C46="Bus",$D46="Almost empty"),$E46*'FI '!I$23,AND($C46="Bus",$D46="Average"),$E46*'FI '!I$24,AND($C46="Bus",$D46="Nearly full"),$E46*'FI '!I$25,AND($C46="Electric bus",$D46="Almost empty"),$E46*'FI '!I$7,AND($C46="Electric bus",$D46="Average"),$E46*'FI '!I$8,AND($C46="Electric bus",$D46="Nearly full"),$E46*'FI '!I$9,AND($C46="Diesel bus",$D46="Almost empty"),$E46*'FI '!I$19,AND($C46="Diesel bus",$D46="Average"),$E46*'FI '!I$20,AND($C46="Diesel bus",$D46="Nearly full"),$E46*'FI '!I$21,AND($C46="Hybrid-electric bus",$D46="Almost empty"),$E46*'FI '!I$11,AND($C46="Hybrid-electric bus",$D46="Average"),$E46*'FI '!I$12,AND($C46="Hybrid-electric bus",$D46="Nearly full"),$E46*'FI '!I$13,AND($C46="Alternative fuel bus",$D46="Almost empty"),$E46*'FI '!I$15,AND($C46="Alternative fuel bus",$D46="Average"),$E46*'FI '!I$16,AND($C46="Alternative fuel bus",$D46="Nearly full"),$E46*'FI '!I$17,AND($C46="Metro, tram, urban light train",$D46="Almost empty"),$E46*'FI '!D$35,AND($C46="Metro, tram, urban light train",$D46="Average"),$E46*'FI '!D$36,AND($C46="Metro, tram, urban light train",$D46="Nearly full"),$E46*'FI '!D$37,AND($C46="Electric passenger train",$D46="Almost empty"),$E46*'FI '!D$39,AND($C46="Electric passenger train",$D46="Average"),$E46*'FI '!D$40,AND($C46="Electric passenger train",$D46="Nearly full"),$E46*'FI '!D$41,AND($C46="Diesel passenger train",$D46="Almost empty"),$E46*'FI '!D$47,AND($C46="Diesel passenger train",$D46="Average"),$E46*'FI '!D$48,AND($C46="Diesel passenger train",$D46="Nearly full"),$E46*'FI '!D$49,AND($C46="Walking"),$E46*0,AND($C46="Bike"),$E46*0,AND($C46="Plane - domestic flight"),$E46*'FI '!$C70,AND($C46="Plane - international - intra EU"),$E46*'FI '!$C72,AND($C46="Plane - international (extra EU)"),$E46*'FI '!$C74)</f>
        <v>#N/A</v>
      </c>
      <c r="L46" s="246"/>
      <c r="M46" s="247"/>
      <c r="N46" s="248"/>
    </row>
    <row r="47" spans="1:14" ht="20" thickBot="1" x14ac:dyDescent="0.25">
      <c r="A47" s="222"/>
      <c r="B47" s="30"/>
      <c r="C47" s="15"/>
      <c r="D47" s="15"/>
      <c r="E47" s="125"/>
      <c r="F47" s="128" t="e" cm="1">
        <f t="array" ref="F47">_xlfn.IFS(AND($C47="Fuel car",$D47=1),$E47*'FI '!C$7,AND($C47="Fuel car",$D47=2),$E47*'FI '!C$8,AND($C47="Fuel car",$D47=3),$E47*'FI '!C$9,AND($C47="Fuel car",$D47=4),$E47*'FI '!C$10,AND($C47="Fuel car",$D47=5),$E47*'FI '!C$11,AND($C47="Motorcycle",$D47=1),$E47*'FI '!C$13,AND($C47="Motorcycle",$D47=2),$E47*'FI '!C$14,AND($C47="Electric car",$D47=1),$E47*'FI '!C$16,AND($C47="Electric car",$D47=2),$E47*'FI '!C$17,AND($C47="Electric car",$D47=3),$E47*'FI '!C$18,AND($C47="Electric car",$D47=4),$E47*'FI '!C$19,AND($C47="Electric car",$D47=5),$E47*'FI '!C$20,AND($C47="Hybrid car",$D47=1),$E47*'FI '!C$22,AND($C47="Hybrid car",$D47=2),$E47*'FI '!C$23,AND($C47="Hybrid car",$D47=3),$E47*'FI '!C$24,AND($C47="Hybrid car",$D47=4),$E47*'FI '!C$25,AND($C47="Hybrid car",$D47=5),$E47*'FI '!C$26,AND($C47="Electric motorcycle",$D47=1),$E47*'FI '!C$28,AND($C47="Electric motorcycle",$D47=2),$E47*'FI '!C$29,AND($C47="Electric bike",$D47=1),$E47*'FI '!C$31,AND($C47="Electric scooter",$D47=1),$E47*'FI '!C$33,AND($C47="Bus",$D47="Almost empty"),$E47*'FI '!H$23,AND($C47="Bus",$D47="Average"),$E47*'FI '!H$24,AND($C47="Bus",$D47="Nearly full"),$E47*'FI '!H$25,AND($C47="Electric bus",$D47="Almost empty"),$E47*'FI '!H$7,AND($C47="Electric bus",$D47="Average"),$E47*'FI '!H$8,AND($C47="Electric bus",$D47="Nearly full"),$E47*'FI '!H$9,AND($C47="Diesel bus",$D47="Almost empty"),$E47*'FI '!H$19,AND($C47="Diesel bus",$D47="Average"),$E47*'FI '!H$20,AND($C47="Diesel bus",$D47="Nearly full"),$E47*'FI '!H$21,AND($C47="Hybrid-electric bus",$D47="Almost empty"),$E47*'FI '!H$11,AND($C47="Hybrid-electric bus",$D47="Average"),$E47*'FI '!H$12,AND($C47="Hybrid-electric bus",$D47="Nearly full"),$E47*'FI '!H$13,AND($C47="Alternative fuel bus",$D47="Almost empty"),$E47*'FI '!H$15,AND($C47="Alternative fuel bus",$D47="Average"),$E47*'FI '!H$16,AND($C47="Alternative fuel bus",$D47="Nearly full"),$E47*'FI '!H$17,AND($C47="Metro, tram, urban light train",$D47="Almost empty"),$E47*'FI '!C$35,AND($C47="Metro, tram, urban light train",$D47="Average"),$E47*'FI '!C$36,AND($C47="Metro, tram, urban light train",$D47="Nearly full"),$E47*'FI '!C$37,AND($C47="Electric passenger train",$D47="Almost empty"),$E47*'FI '!C$39,AND($C47="Electric passenger train",$D47="Average"),$E47*'FI '!C$40,AND($C47="Electric passenger train",$D47="Nearly full"),$E47*'FI '!C$41,AND($C47="Diesel passenger train",$D47="Almost empty"),$E47*'FI '!C$47,AND($C47="Diesel passenger train",$D47="Average"),$E47*'FI '!C$48,AND($C47="Diesel passenger train",$D47="Nearly full"),$E47*'FI '!C$49,AND($C47="Walking"),$E47*0,AND($C47="Bike"),$E47*0,AND($C47="Plane - domestic flight"),$E47*'FI '!$C71,AND($C47="Plane - international - intra EU"),$E47*'FI '!$C73,AND($C47="Plane - international (extra EU)"),$E47*'FI '!$C75)</f>
        <v>#N/A</v>
      </c>
      <c r="G47" s="31" t="e" cm="1">
        <f t="array" ref="G47">_xlfn.IFS(AND($C47="Fuel car",$D47=1),$E47*'FI '!D$7,AND($C47="Fuel car",$D47=2),$E47*'FI '!D$8,AND($C47="Fuel car",$D47=3),$E47*'FI '!D$9,AND($C47="Fuel car",$D47=4),$E47*'FI '!D$10,AND($C47="Fuel car",$D47=5),$E47*'FI '!D$11,AND($C47="Motorcycle",$D47=1),$E47*'FI '!D$13,AND($C47="Motorcycle",$D47=2),$E47*'FI '!D$14,AND($C47="Electric car",$D47=1),$E47*'FI '!D$16,AND($C47="Electric car",$D47=2),$E47*'FI '!D$17,AND($C47="Electric car",$D47=3),$E47*'FI '!D$18,AND($C47="Electric car",$D47=4),$E47*'FI '!D$19,AND($C47="Electric car",$D47=5),$E47*'FI '!D$20,AND($C47="Hybrid car",$D47=1),$E47*'FI '!D$22,AND($C47="Hybrid car",$D47=2),$E47*'FI '!D$23,AND($C47="Hybrid car",$D47=3),$E47*'FI '!D$24,AND($C47="Hybrid car",$D47=4),$E47*'FI '!D$25,AND($C47="Hybrid car",$D47=5),$E47*'FI '!D$26,AND($C47="Electric motorcycle",$D47=1),$E47*'FI '!D$28,AND($C47="Electric motorcycle",$D47=2),$E47*'FI '!D$29,AND($C47="Electric bike",$D47=1),$E47*'FI '!D$31,AND($C47="Electric scooter",$D47=1),$E47*'FI '!D$33,AND($C47="Bus",$D47="Almost empty"),$E47*'FI '!I$23,AND($C47="Bus",$D47="Average"),$E47*'FI '!I$24,AND($C47="Bus",$D47="Nearly full"),$E47*'FI '!I$25,AND($C47="Electric bus",$D47="Almost empty"),$E47*'FI '!I$7,AND($C47="Electric bus",$D47="Average"),$E47*'FI '!I$8,AND($C47="Electric bus",$D47="Nearly full"),$E47*'FI '!I$9,AND($C47="Diesel bus",$D47="Almost empty"),$E47*'FI '!I$19,AND($C47="Diesel bus",$D47="Average"),$E47*'FI '!I$20,AND($C47="Diesel bus",$D47="Nearly full"),$E47*'FI '!I$21,AND($C47="Hybrid-electric bus",$D47="Almost empty"),$E47*'FI '!I$11,AND($C47="Hybrid-electric bus",$D47="Average"),$E47*'FI '!I$12,AND($C47="Hybrid-electric bus",$D47="Nearly full"),$E47*'FI '!I$13,AND($C47="Alternative fuel bus",$D47="Almost empty"),$E47*'FI '!I$15,AND($C47="Alternative fuel bus",$D47="Average"),$E47*'FI '!I$16,AND($C47="Alternative fuel bus",$D47="Nearly full"),$E47*'FI '!I$17,AND($C47="Metro, tram, urban light train",$D47="Almost empty"),$E47*'FI '!D$35,AND($C47="Metro, tram, urban light train",$D47="Average"),$E47*'FI '!D$36,AND($C47="Metro, tram, urban light train",$D47="Nearly full"),$E47*'FI '!D$37,AND($C47="Electric passenger train",$D47="Almost empty"),$E47*'FI '!D$39,AND($C47="Electric passenger train",$D47="Average"),$E47*'FI '!D$40,AND($C47="Electric passenger train",$D47="Nearly full"),$E47*'FI '!D$41,AND($C47="Diesel passenger train",$D47="Almost empty"),$E47*'FI '!D$47,AND($C47="Diesel passenger train",$D47="Average"),$E47*'FI '!D$48,AND($C47="Diesel passenger train",$D47="Nearly full"),$E47*'FI '!D$49,AND($C47="Walking"),$E47*0,AND($C47="Bike"),$E47*0,AND($C47="Plane - domestic flight"),$E47*'FI '!$C71,AND($C47="Plane - international - intra EU"),$E47*'FI '!$C73,AND($C47="Plane - international (extra EU)"),$E47*'FI '!$C75)</f>
        <v>#N/A</v>
      </c>
      <c r="L47" s="238" t="s">
        <v>56</v>
      </c>
      <c r="M47" s="239"/>
      <c r="N47" s="240"/>
    </row>
    <row r="48" spans="1:14" ht="16" thickBot="1" x14ac:dyDescent="0.25">
      <c r="A48" s="222"/>
      <c r="B48" s="30"/>
      <c r="C48" s="15"/>
      <c r="D48" s="15"/>
      <c r="E48" s="125"/>
      <c r="F48" s="128" t="e" cm="1">
        <f t="array" ref="F48">_xlfn.IFS(AND($C48="Fuel car",$D48=1),$E48*'FI '!C$7,AND($C48="Fuel car",$D48=2),$E48*'FI '!C$8,AND($C48="Fuel car",$D48=3),$E48*'FI '!C$9,AND($C48="Fuel car",$D48=4),$E48*'FI '!C$10,AND($C48="Fuel car",$D48=5),$E48*'FI '!C$11,AND($C48="Motorcycle",$D48=1),$E48*'FI '!C$13,AND($C48="Motorcycle",$D48=2),$E48*'FI '!C$14,AND($C48="Electric car",$D48=1),$E48*'FI '!C$16,AND($C48="Electric car",$D48=2),$E48*'FI '!C$17,AND($C48="Electric car",$D48=3),$E48*'FI '!C$18,AND($C48="Electric car",$D48=4),$E48*'FI '!C$19,AND($C48="Electric car",$D48=5),$E48*'FI '!C$20,AND($C48="Hybrid car",$D48=1),$E48*'FI '!C$22,AND($C48="Hybrid car",$D48=2),$E48*'FI '!C$23,AND($C48="Hybrid car",$D48=3),$E48*'FI '!C$24,AND($C48="Hybrid car",$D48=4),$E48*'FI '!C$25,AND($C48="Hybrid car",$D48=5),$E48*'FI '!C$26,AND($C48="Electric motorcycle",$D48=1),$E48*'FI '!C$28,AND($C48="Electric motorcycle",$D48=2),$E48*'FI '!C$29,AND($C48="Electric bike",$D48=1),$E48*'FI '!C$31,AND($C48="Electric scooter",$D48=1),$E48*'FI '!C$33,AND($C48="Bus",$D48="Almost empty"),$E48*'FI '!H$23,AND($C48="Bus",$D48="Average"),$E48*'FI '!H$24,AND($C48="Bus",$D48="Nearly full"),$E48*'FI '!H$25,AND($C48="Electric bus",$D48="Almost empty"),$E48*'FI '!H$7,AND($C48="Electric bus",$D48="Average"),$E48*'FI '!H$8,AND($C48="Electric bus",$D48="Nearly full"),$E48*'FI '!H$9,AND($C48="Diesel bus",$D48="Almost empty"),$E48*'FI '!H$19,AND($C48="Diesel bus",$D48="Average"),$E48*'FI '!H$20,AND($C48="Diesel bus",$D48="Nearly full"),$E48*'FI '!H$21,AND($C48="Hybrid-electric bus",$D48="Almost empty"),$E48*'FI '!H$11,AND($C48="Hybrid-electric bus",$D48="Average"),$E48*'FI '!H$12,AND($C48="Hybrid-electric bus",$D48="Nearly full"),$E48*'FI '!H$13,AND($C48="Alternative fuel bus",$D48="Almost empty"),$E48*'FI '!H$15,AND($C48="Alternative fuel bus",$D48="Average"),$E48*'FI '!H$16,AND($C48="Alternative fuel bus",$D48="Nearly full"),$E48*'FI '!H$17,AND($C48="Metro, tram, urban light train",$D48="Almost empty"),$E48*'FI '!C$35,AND($C48="Metro, tram, urban light train",$D48="Average"),$E48*'FI '!C$36,AND($C48="Metro, tram, urban light train",$D48="Nearly full"),$E48*'FI '!C$37,AND($C48="Electric passenger train",$D48="Almost empty"),$E48*'FI '!C$39,AND($C48="Electric passenger train",$D48="Average"),$E48*'FI '!C$40,AND($C48="Electric passenger train",$D48="Nearly full"),$E48*'FI '!C$41,AND($C48="Diesel passenger train",$D48="Almost empty"),$E48*'FI '!C$47,AND($C48="Diesel passenger train",$D48="Average"),$E48*'FI '!C$48,AND($C48="Diesel passenger train",$D48="Nearly full"),$E48*'FI '!C$49,AND($C48="Walking"),$E48*0,AND($C48="Bike"),$E48*0,AND($C48="Plane - domestic flight"),$E48*'FI '!$C72,AND($C48="Plane - international - intra EU"),$E48*'FI '!$C74,AND($C48="Plane - international (extra EU)"),$E48*'FI '!$C76)</f>
        <v>#N/A</v>
      </c>
      <c r="G48" s="31" t="e" cm="1">
        <f t="array" ref="G48">_xlfn.IFS(AND($C48="Fuel car",$D48=1),$E48*'FI '!D$7,AND($C48="Fuel car",$D48=2),$E48*'FI '!D$8,AND($C48="Fuel car",$D48=3),$E48*'FI '!D$9,AND($C48="Fuel car",$D48=4),$E48*'FI '!D$10,AND($C48="Fuel car",$D48=5),$E48*'FI '!D$11,AND($C48="Motorcycle",$D48=1),$E48*'FI '!D$13,AND($C48="Motorcycle",$D48=2),$E48*'FI '!D$14,AND($C48="Electric car",$D48=1),$E48*'FI '!D$16,AND($C48="Electric car",$D48=2),$E48*'FI '!D$17,AND($C48="Electric car",$D48=3),$E48*'FI '!D$18,AND($C48="Electric car",$D48=4),$E48*'FI '!D$19,AND($C48="Electric car",$D48=5),$E48*'FI '!D$20,AND($C48="Hybrid car",$D48=1),$E48*'FI '!D$22,AND($C48="Hybrid car",$D48=2),$E48*'FI '!D$23,AND($C48="Hybrid car",$D48=3),$E48*'FI '!D$24,AND($C48="Hybrid car",$D48=4),$E48*'FI '!D$25,AND($C48="Hybrid car",$D48=5),$E48*'FI '!D$26,AND($C48="Electric motorcycle",$D48=1),$E48*'FI '!D$28,AND($C48="Electric motorcycle",$D48=2),$E48*'FI '!D$29,AND($C48="Electric bike",$D48=1),$E48*'FI '!D$31,AND($C48="Electric scooter",$D48=1),$E48*'FI '!D$33,AND($C48="Bus",$D48="Almost empty"),$E48*'FI '!I$23,AND($C48="Bus",$D48="Average"),$E48*'FI '!I$24,AND($C48="Bus",$D48="Nearly full"),$E48*'FI '!I$25,AND($C48="Electric bus",$D48="Almost empty"),$E48*'FI '!I$7,AND($C48="Electric bus",$D48="Average"),$E48*'FI '!I$8,AND($C48="Electric bus",$D48="Nearly full"),$E48*'FI '!I$9,AND($C48="Diesel bus",$D48="Almost empty"),$E48*'FI '!I$19,AND($C48="Diesel bus",$D48="Average"),$E48*'FI '!I$20,AND($C48="Diesel bus",$D48="Nearly full"),$E48*'FI '!I$21,AND($C48="Hybrid-electric bus",$D48="Almost empty"),$E48*'FI '!I$11,AND($C48="Hybrid-electric bus",$D48="Average"),$E48*'FI '!I$12,AND($C48="Hybrid-electric bus",$D48="Nearly full"),$E48*'FI '!I$13,AND($C48="Alternative fuel bus",$D48="Almost empty"),$E48*'FI '!I$15,AND($C48="Alternative fuel bus",$D48="Average"),$E48*'FI '!I$16,AND($C48="Alternative fuel bus",$D48="Nearly full"),$E48*'FI '!I$17,AND($C48="Metro, tram, urban light train",$D48="Almost empty"),$E48*'FI '!D$35,AND($C48="Metro, tram, urban light train",$D48="Average"),$E48*'FI '!D$36,AND($C48="Metro, tram, urban light train",$D48="Nearly full"),$E48*'FI '!D$37,AND($C48="Electric passenger train",$D48="Almost empty"),$E48*'FI '!D$39,AND($C48="Electric passenger train",$D48="Average"),$E48*'FI '!D$40,AND($C48="Electric passenger train",$D48="Nearly full"),$E48*'FI '!D$41,AND($C48="Diesel passenger train",$D48="Almost empty"),$E48*'FI '!D$47,AND($C48="Diesel passenger train",$D48="Average"),$E48*'FI '!D$48,AND($C48="Diesel passenger train",$D48="Nearly full"),$E48*'FI '!D$49,AND($C48="Walking"),$E48*0,AND($C48="Bike"),$E48*0,AND($C48="Plane - domestic flight"),$E48*'FI '!$C72,AND($C48="Plane - international - intra EU"),$E48*'FI '!$C74,AND($C48="Plane - international (extra EU)"),$E48*'FI '!$C76)</f>
        <v>#N/A</v>
      </c>
      <c r="H48" s="196" t="s">
        <v>67</v>
      </c>
      <c r="I48" s="197"/>
      <c r="L48" s="249"/>
      <c r="M48" s="250"/>
      <c r="N48" s="251"/>
    </row>
    <row r="49" spans="1:14" x14ac:dyDescent="0.2">
      <c r="A49" s="222"/>
      <c r="B49" s="30"/>
      <c r="C49" s="15"/>
      <c r="D49" s="15"/>
      <c r="E49" s="125"/>
      <c r="F49" s="128" t="e" cm="1">
        <f t="array" ref="F49">_xlfn.IFS(AND($C49="Fuel car",$D49=1),$E49*'FI '!C$7,AND($C49="Fuel car",$D49=2),$E49*'FI '!C$8,AND($C49="Fuel car",$D49=3),$E49*'FI '!C$9,AND($C49="Fuel car",$D49=4),$E49*'FI '!C$10,AND($C49="Fuel car",$D49=5),$E49*'FI '!C$11,AND($C49="Motorcycle",$D49=1),$E49*'FI '!C$13,AND($C49="Motorcycle",$D49=2),$E49*'FI '!C$14,AND($C49="Electric car",$D49=1),$E49*'FI '!C$16,AND($C49="Electric car",$D49=2),$E49*'FI '!C$17,AND($C49="Electric car",$D49=3),$E49*'FI '!C$18,AND($C49="Electric car",$D49=4),$E49*'FI '!C$19,AND($C49="Electric car",$D49=5),$E49*'FI '!C$20,AND($C49="Hybrid car",$D49=1),$E49*'FI '!C$22,AND($C49="Hybrid car",$D49=2),$E49*'FI '!C$23,AND($C49="Hybrid car",$D49=3),$E49*'FI '!C$24,AND($C49="Hybrid car",$D49=4),$E49*'FI '!C$25,AND($C49="Hybrid car",$D49=5),$E49*'FI '!C$26,AND($C49="Electric motorcycle",$D49=1),$E49*'FI '!C$28,AND($C49="Electric motorcycle",$D49=2),$E49*'FI '!C$29,AND($C49="Electric bike",$D49=1),$E49*'FI '!C$31,AND($C49="Electric scooter",$D49=1),$E49*'FI '!C$33,AND($C49="Bus",$D49="Almost empty"),$E49*'FI '!H$23,AND($C49="Bus",$D49="Average"),$E49*'FI '!H$24,AND($C49="Bus",$D49="Nearly full"),$E49*'FI '!H$25,AND($C49="Electric bus",$D49="Almost empty"),$E49*'FI '!H$7,AND($C49="Electric bus",$D49="Average"),$E49*'FI '!H$8,AND($C49="Electric bus",$D49="Nearly full"),$E49*'FI '!H$9,AND($C49="Diesel bus",$D49="Almost empty"),$E49*'FI '!H$19,AND($C49="Diesel bus",$D49="Average"),$E49*'FI '!H$20,AND($C49="Diesel bus",$D49="Nearly full"),$E49*'FI '!H$21,AND($C49="Hybrid-electric bus",$D49="Almost empty"),$E49*'FI '!H$11,AND($C49="Hybrid-electric bus",$D49="Average"),$E49*'FI '!H$12,AND($C49="Hybrid-electric bus",$D49="Nearly full"),$E49*'FI '!H$13,AND($C49="Alternative fuel bus",$D49="Almost empty"),$E49*'FI '!H$15,AND($C49="Alternative fuel bus",$D49="Average"),$E49*'FI '!H$16,AND($C49="Alternative fuel bus",$D49="Nearly full"),$E49*'FI '!H$17,AND($C49="Metro, tram, urban light train",$D49="Almost empty"),$E49*'FI '!C$35,AND($C49="Metro, tram, urban light train",$D49="Average"),$E49*'FI '!C$36,AND($C49="Metro, tram, urban light train",$D49="Nearly full"),$E49*'FI '!C$37,AND($C49="Electric passenger train",$D49="Almost empty"),$E49*'FI '!C$39,AND($C49="Electric passenger train",$D49="Average"),$E49*'FI '!C$40,AND($C49="Electric passenger train",$D49="Nearly full"),$E49*'FI '!C$41,AND($C49="Diesel passenger train",$D49="Almost empty"),$E49*'FI '!C$47,AND($C49="Diesel passenger train",$D49="Average"),$E49*'FI '!C$48,AND($C49="Diesel passenger train",$D49="Nearly full"),$E49*'FI '!C$49,AND($C49="Walking"),$E49*0,AND($C49="Bike"),$E49*0,AND($C49="Plane - domestic flight"),$E49*'FI '!$C73,AND($C49="Plane - international - intra EU"),$E49*'FI '!$C75,AND($C49="Plane - international (extra EU)"),$E49*'FI '!$C77)</f>
        <v>#N/A</v>
      </c>
      <c r="G49" s="31" t="e" cm="1">
        <f t="array" ref="G49">_xlfn.IFS(AND($C49="Fuel car",$D49=1),$E49*'FI '!D$7,AND($C49="Fuel car",$D49=2),$E49*'FI '!D$8,AND($C49="Fuel car",$D49=3),$E49*'FI '!D$9,AND($C49="Fuel car",$D49=4),$E49*'FI '!D$10,AND($C49="Fuel car",$D49=5),$E49*'FI '!D$11,AND($C49="Motorcycle",$D49=1),$E49*'FI '!D$13,AND($C49="Motorcycle",$D49=2),$E49*'FI '!D$14,AND($C49="Electric car",$D49=1),$E49*'FI '!D$16,AND($C49="Electric car",$D49=2),$E49*'FI '!D$17,AND($C49="Electric car",$D49=3),$E49*'FI '!D$18,AND($C49="Electric car",$D49=4),$E49*'FI '!D$19,AND($C49="Electric car",$D49=5),$E49*'FI '!D$20,AND($C49="Hybrid car",$D49=1),$E49*'FI '!D$22,AND($C49="Hybrid car",$D49=2),$E49*'FI '!D$23,AND($C49="Hybrid car",$D49=3),$E49*'FI '!D$24,AND($C49="Hybrid car",$D49=4),$E49*'FI '!D$25,AND($C49="Hybrid car",$D49=5),$E49*'FI '!D$26,AND($C49="Electric motorcycle",$D49=1),$E49*'FI '!D$28,AND($C49="Electric motorcycle",$D49=2),$E49*'FI '!D$29,AND($C49="Electric bike",$D49=1),$E49*'FI '!D$31,AND($C49="Electric scooter",$D49=1),$E49*'FI '!D$33,AND($C49="Bus",$D49="Almost empty"),$E49*'FI '!I$23,AND($C49="Bus",$D49="Average"),$E49*'FI '!I$24,AND($C49="Bus",$D49="Nearly full"),$E49*'FI '!I$25,AND($C49="Electric bus",$D49="Almost empty"),$E49*'FI '!I$7,AND($C49="Electric bus",$D49="Average"),$E49*'FI '!I$8,AND($C49="Electric bus",$D49="Nearly full"),$E49*'FI '!I$9,AND($C49="Diesel bus",$D49="Almost empty"),$E49*'FI '!I$19,AND($C49="Diesel bus",$D49="Average"),$E49*'FI '!I$20,AND($C49="Diesel bus",$D49="Nearly full"),$E49*'FI '!I$21,AND($C49="Hybrid-electric bus",$D49="Almost empty"),$E49*'FI '!I$11,AND($C49="Hybrid-electric bus",$D49="Average"),$E49*'FI '!I$12,AND($C49="Hybrid-electric bus",$D49="Nearly full"),$E49*'FI '!I$13,AND($C49="Alternative fuel bus",$D49="Almost empty"),$E49*'FI '!I$15,AND($C49="Alternative fuel bus",$D49="Average"),$E49*'FI '!I$16,AND($C49="Alternative fuel bus",$D49="Nearly full"),$E49*'FI '!I$17,AND($C49="Metro, tram, urban light train",$D49="Almost empty"),$E49*'FI '!D$35,AND($C49="Metro, tram, urban light train",$D49="Average"),$E49*'FI '!D$36,AND($C49="Metro, tram, urban light train",$D49="Nearly full"),$E49*'FI '!D$37,AND($C49="Electric passenger train",$D49="Almost empty"),$E49*'FI '!D$39,AND($C49="Electric passenger train",$D49="Average"),$E49*'FI '!D$40,AND($C49="Electric passenger train",$D49="Nearly full"),$E49*'FI '!D$41,AND($C49="Diesel passenger train",$D49="Almost empty"),$E49*'FI '!D$47,AND($C49="Diesel passenger train",$D49="Average"),$E49*'FI '!D$48,AND($C49="Diesel passenger train",$D49="Nearly full"),$E49*'FI '!D$49,AND($C49="Walking"),$E49*0,AND($C49="Bike"),$E49*0,AND($C49="Plane - domestic flight"),$E49*'FI '!$C73,AND($C49="Plane - international - intra EU"),$E49*'FI '!$C75,AND($C49="Plane - international (extra EU)"),$E49*'FI '!$C77)</f>
        <v>#N/A</v>
      </c>
      <c r="H49" s="244" t="s">
        <v>74</v>
      </c>
      <c r="I49" s="141"/>
      <c r="L49" s="252"/>
      <c r="M49" s="253"/>
      <c r="N49" s="254"/>
    </row>
    <row r="50" spans="1:14" ht="16" thickBot="1" x14ac:dyDescent="0.25">
      <c r="A50" s="222"/>
      <c r="B50" s="51"/>
      <c r="C50" s="15"/>
      <c r="D50" s="15"/>
      <c r="E50" s="126"/>
      <c r="F50" s="128" t="e" cm="1">
        <f t="array" ref="F50">_xlfn.IFS(AND($C50="Fuel car",$D50=1),$E50*'FI '!C$7,AND($C50="Fuel car",$D50=2),$E50*'FI '!C$8,AND($C50="Fuel car",$D50=3),$E50*'FI '!C$9,AND($C50="Fuel car",$D50=4),$E50*'FI '!C$10,AND($C50="Fuel car",$D50=5),$E50*'FI '!C$11,AND($C50="Motorcycle",$D50=1),$E50*'FI '!C$13,AND($C50="Motorcycle",$D50=2),$E50*'FI '!C$14,AND($C50="Electric car",$D50=1),$E50*'FI '!C$16,AND($C50="Electric car",$D50=2),$E50*'FI '!C$17,AND($C50="Electric car",$D50=3),$E50*'FI '!C$18,AND($C50="Electric car",$D50=4),$E50*'FI '!C$19,AND($C50="Electric car",$D50=5),$E50*'FI '!C$20,AND($C50="Hybrid car",$D50=1),$E50*'FI '!C$22,AND($C50="Hybrid car",$D50=2),$E50*'FI '!C$23,AND($C50="Hybrid car",$D50=3),$E50*'FI '!C$24,AND($C50="Hybrid car",$D50=4),$E50*'FI '!C$25,AND($C50="Hybrid car",$D50=5),$E50*'FI '!C$26,AND($C50="Electric motorcycle",$D50=1),$E50*'FI '!C$28,AND($C50="Electric motorcycle",$D50=2),$E50*'FI '!C$29,AND($C50="Electric bike",$D50=1),$E50*'FI '!C$31,AND($C50="Electric scooter",$D50=1),$E50*'FI '!C$33,AND($C50="Bus",$D50="Almost empty"),$E50*'FI '!H$23,AND($C50="Bus",$D50="Average"),$E50*'FI '!H$24,AND($C50="Bus",$D50="Nearly full"),$E50*'FI '!H$25,AND($C50="Electric bus",$D50="Almost empty"),$E50*'FI '!H$7,AND($C50="Electric bus",$D50="Average"),$E50*'FI '!H$8,AND($C50="Electric bus",$D50="Nearly full"),$E50*'FI '!H$9,AND($C50="Diesel bus",$D50="Almost empty"),$E50*'FI '!H$19,AND($C50="Diesel bus",$D50="Average"),$E50*'FI '!H$20,AND($C50="Diesel bus",$D50="Nearly full"),$E50*'FI '!H$21,AND($C50="Hybrid-electric bus",$D50="Almost empty"),$E50*'FI '!H$11,AND($C50="Hybrid-electric bus",$D50="Average"),$E50*'FI '!H$12,AND($C50="Hybrid-electric bus",$D50="Nearly full"),$E50*'FI '!H$13,AND($C50="Alternative fuel bus",$D50="Almost empty"),$E50*'FI '!H$15,AND($C50="Alternative fuel bus",$D50="Average"),$E50*'FI '!H$16,AND($C50="Alternative fuel bus",$D50="Nearly full"),$E50*'FI '!H$17,AND($C50="Metro, tram, urban light train",$D50="Almost empty"),$E50*'FI '!C$35,AND($C50="Metro, tram, urban light train",$D50="Average"),$E50*'FI '!C$36,AND($C50="Metro, tram, urban light train",$D50="Nearly full"),$E50*'FI '!C$37,AND($C50="Electric passenger train",$D50="Almost empty"),$E50*'FI '!C$39,AND($C50="Electric passenger train",$D50="Average"),$E50*'FI '!C$40,AND($C50="Electric passenger train",$D50="Nearly full"),$E50*'FI '!C$41,AND($C50="Diesel passenger train",$D50="Almost empty"),$E50*'FI '!C$47,AND($C50="Diesel passenger train",$D50="Average"),$E50*'FI '!C$48,AND($C50="Diesel passenger train",$D50="Nearly full"),$E50*'FI '!C$49,AND($C50="Walking"),$E50*0,AND($C50="Bike"),$E50*0,AND($C50="Plane - domestic flight"),$E50*'FI '!$C74,AND($C50="Plane - international - intra EU"),$E50*'FI '!$C76,AND($C50="Plane - international (extra EU)"),$E50*'FI '!$C78)</f>
        <v>#N/A</v>
      </c>
      <c r="G50" s="31" t="e" cm="1">
        <f t="array" ref="G50">_xlfn.IFS(AND($C50="Fuel car",$D50=1),$E50*'FI '!D$7,AND($C50="Fuel car",$D50=2),$E50*'FI '!D$8,AND($C50="Fuel car",$D50=3),$E50*'FI '!D$9,AND($C50="Fuel car",$D50=4),$E50*'FI '!D$10,AND($C50="Fuel car",$D50=5),$E50*'FI '!D$11,AND($C50="Motorcycle",$D50=1),$E50*'FI '!D$13,AND($C50="Motorcycle",$D50=2),$E50*'FI '!D$14,AND($C50="Electric car",$D50=1),$E50*'FI '!D$16,AND($C50="Electric car",$D50=2),$E50*'FI '!D$17,AND($C50="Electric car",$D50=3),$E50*'FI '!D$18,AND($C50="Electric car",$D50=4),$E50*'FI '!D$19,AND($C50="Electric car",$D50=5),$E50*'FI '!D$20,AND($C50="Hybrid car",$D50=1),$E50*'FI '!D$22,AND($C50="Hybrid car",$D50=2),$E50*'FI '!D$23,AND($C50="Hybrid car",$D50=3),$E50*'FI '!D$24,AND($C50="Hybrid car",$D50=4),$E50*'FI '!D$25,AND($C50="Hybrid car",$D50=5),$E50*'FI '!D$26,AND($C50="Electric motorcycle",$D50=1),$E50*'FI '!D$28,AND($C50="Electric motorcycle",$D50=2),$E50*'FI '!D$29,AND($C50="Electric bike",$D50=1),$E50*'FI '!D$31,AND($C50="Electric scooter",$D50=1),$E50*'FI '!D$33,AND($C50="Bus",$D50="Almost empty"),$E50*'FI '!I$23,AND($C50="Bus",$D50="Average"),$E50*'FI '!I$24,AND($C50="Bus",$D50="Nearly full"),$E50*'FI '!I$25,AND($C50="Electric bus",$D50="Almost empty"),$E50*'FI '!I$7,AND($C50="Electric bus",$D50="Average"),$E50*'FI '!I$8,AND($C50="Electric bus",$D50="Nearly full"),$E50*'FI '!I$9,AND($C50="Diesel bus",$D50="Almost empty"),$E50*'FI '!I$19,AND($C50="Diesel bus",$D50="Average"),$E50*'FI '!I$20,AND($C50="Diesel bus",$D50="Nearly full"),$E50*'FI '!I$21,AND($C50="Hybrid-electric bus",$D50="Almost empty"),$E50*'FI '!I$11,AND($C50="Hybrid-electric bus",$D50="Average"),$E50*'FI '!I$12,AND($C50="Hybrid-electric bus",$D50="Nearly full"),$E50*'FI '!I$13,AND($C50="Alternative fuel bus",$D50="Almost empty"),$E50*'FI '!I$15,AND($C50="Alternative fuel bus",$D50="Average"),$E50*'FI '!I$16,AND($C50="Alternative fuel bus",$D50="Nearly full"),$E50*'FI '!I$17,AND($C50="Metro, tram, urban light train",$D50="Almost empty"),$E50*'FI '!D$35,AND($C50="Metro, tram, urban light train",$D50="Average"),$E50*'FI '!D$36,AND($C50="Metro, tram, urban light train",$D50="Nearly full"),$E50*'FI '!D$37,AND($C50="Electric passenger train",$D50="Almost empty"),$E50*'FI '!D$39,AND($C50="Electric passenger train",$D50="Average"),$E50*'FI '!D$40,AND($C50="Electric passenger train",$D50="Nearly full"),$E50*'FI '!D$41,AND($C50="Diesel passenger train",$D50="Almost empty"),$E50*'FI '!D$47,AND($C50="Diesel passenger train",$D50="Average"),$E50*'FI '!D$48,AND($C50="Diesel passenger train",$D50="Nearly full"),$E50*'FI '!D$49,AND($C50="Walking"),$E50*0,AND($C50="Bike"),$E50*0,AND($C50="Plane - domestic flight"),$E50*'FI '!$C74,AND($C50="Plane - international - intra EU"),$E50*'FI '!$C76,AND($C50="Plane - international (extra EU)"),$E50*'FI '!$C78)</f>
        <v>#N/A</v>
      </c>
      <c r="H50" s="245"/>
      <c r="I50" s="142"/>
      <c r="L50" s="252"/>
      <c r="M50" s="253"/>
      <c r="N50" s="254"/>
    </row>
    <row r="51" spans="1:14" ht="33" thickBot="1" x14ac:dyDescent="0.25">
      <c r="A51" s="222"/>
      <c r="B51" s="53"/>
      <c r="C51" s="32"/>
      <c r="D51" s="34"/>
      <c r="E51" s="113"/>
      <c r="F51" s="129" t="e" cm="1">
        <f t="array" ref="F51">_xlfn.IFS(AND($C51="Fuel car",$D51=1),$E51*'FI '!C$7,AND($C51="Fuel car",$D51=2),$E51*'FI '!C$8,AND($C51="Fuel car",$D51=3),$E51*'FI '!C$9,AND($C51="Fuel car",$D51=4),$E51*'FI '!C$10,AND($C51="Fuel car",$D51=5),$E51*'FI '!C$11,AND($C51="Motorcycle",$D51=1),$E51*'FI '!C$13,AND($C51="Motorcycle",$D51=2),$E51*'FI '!C$14,AND($C51="Electric car",$D51=1),$E51*'FI '!C$16,AND($C51="Electric car",$D51=2),$E51*'FI '!C$17,AND($C51="Electric car",$D51=3),$E51*'FI '!C$18,AND($C51="Electric car",$D51=4),$E51*'FI '!C$19,AND($C51="Electric car",$D51=5),$E51*'FI '!C$20,AND($C51="Hybrid car",$D51=1),$E51*'FI '!C$22,AND($C51="Hybrid car",$D51=2),$E51*'FI '!C$23,AND($C51="Hybrid car",$D51=3),$E51*'FI '!C$24,AND($C51="Hybrid car",$D51=4),$E51*'FI '!C$25,AND($C51="Hybrid car",$D51=5),$E51*'FI '!C$26,AND($C51="Electric motorcycle",$D51=1),$E51*'FI '!C$28,AND($C51="Electric motorcycle",$D51=2),$E51*'FI '!C$29,AND($C51="Electric bike",$D51=1),$E51*'FI '!C$31,AND($C51="Electric scooter",$D51=1),$E51*'FI '!C$33,AND($C51="Bus",$D51="Almost empty"),$E51*'FI '!H$23,AND($C51="Bus",$D51="Average"),$E51*'FI '!H$24,AND($C51="Bus",$D51="Nearly full"),$E51*'FI '!H$25,AND($C51="Electric bus",$D51="Almost empty"),$E51*'FI '!H$7,AND($C51="Electric bus",$D51="Average"),$E51*'FI '!H$8,AND($C51="Electric bus",$D51="Nearly full"),$E51*'FI '!H$9,AND($C51="Diesel bus",$D51="Almost empty"),$E51*'FI '!H$19,AND($C51="Diesel bus",$D51="Average"),$E51*'FI '!H$20,AND($C51="Diesel bus",$D51="Nearly full"),$E51*'FI '!H$21,AND($C51="Hybrid-electric bus",$D51="Almost empty"),$E51*'FI '!H$11,AND($C51="Hybrid-electric bus",$D51="Average"),$E51*'FI '!H$12,AND($C51="Hybrid-electric bus",$D51="Nearly full"),$E51*'FI '!H$13,AND($C51="Alternative fuel bus",$D51="Almost empty"),$E51*'FI '!H$15,AND($C51="Alternative fuel bus",$D51="Average"),$E51*'FI '!H$16,AND($C51="Alternative fuel bus",$D51="Nearly full"),$E51*'FI '!H$17,AND($C51="Metro, tram, urban light train",$D51="Almost empty"),$E51*'FI '!C$35,AND($C51="Metro, tram, urban light train",$D51="Average"),$E51*'FI '!C$36,AND($C51="Metro, tram, urban light train",$D51="Nearly full"),$E51*'FI '!C$37,AND($C51="Electric passenger train",$D51="Almost empty"),$E51*'FI '!C$39,AND($C51="Electric passenger train",$D51="Average"),$E51*'FI '!C$40,AND($C51="Electric passenger train",$D51="Nearly full"),$E51*'FI '!C$41,AND($C51="Diesel passenger train",$D51="Almost empty"),$E51*'FI '!C$47,AND($C51="Diesel passenger train",$D51="Average"),$E51*'FI '!C$48,AND($C51="Diesel passenger train",$D51="Nearly full"),$E51*'FI '!C$49,AND($C51="Walking"),$E51*0,AND($C51="Bike"),$E51*0,AND($C51="Plane - domestic flight"),$E51*'FI '!$C75,AND($C51="Plane - international - intra EU"),$E51*'FI '!$C77,AND($C51="Plane - international (extra EU)"),$E51*'FI '!$C79)</f>
        <v>#N/A</v>
      </c>
      <c r="G51" s="35" t="e" cm="1">
        <f t="array" ref="G51">_xlfn.IFS(AND($C51="Fuel car",$D51=1),$E51*'FI '!D$7,AND($C51="Fuel car",$D51=2),$E51*'FI '!D$8,AND($C51="Fuel car",$D51=3),$E51*'FI '!D$9,AND($C51="Fuel car",$D51=4),$E51*'FI '!D$10,AND($C51="Fuel car",$D51=5),$E51*'FI '!D$11,AND($C51="Motorcycle",$D51=1),$E51*'FI '!D$13,AND($C51="Motorcycle",$D51=2),$E51*'FI '!D$14,AND($C51="Electric car",$D51=1),$E51*'FI '!D$16,AND($C51="Electric car",$D51=2),$E51*'FI '!D$17,AND($C51="Electric car",$D51=3),$E51*'FI '!D$18,AND($C51="Electric car",$D51=4),$E51*'FI '!D$19,AND($C51="Electric car",$D51=5),$E51*'FI '!D$20,AND($C51="Hybrid car",$D51=1),$E51*'FI '!D$22,AND($C51="Hybrid car",$D51=2),$E51*'FI '!D$23,AND($C51="Hybrid car",$D51=3),$E51*'FI '!D$24,AND($C51="Hybrid car",$D51=4),$E51*'FI '!D$25,AND($C51="Hybrid car",$D51=5),$E51*'FI '!D$26,AND($C51="Electric motorcycle",$D51=1),$E51*'FI '!D$28,AND($C51="Electric motorcycle",$D51=2),$E51*'FI '!D$29,AND($C51="Electric bike",$D51=1),$E51*'FI '!D$31,AND($C51="Electric scooter",$D51=1),$E51*'FI '!D$33,AND($C51="Bus",$D51="Almost empty"),$E51*'FI '!I$23,AND($C51="Bus",$D51="Average"),$E51*'FI '!I$24,AND($C51="Bus",$D51="Nearly full"),$E51*'FI '!I$25,AND($C51="Electric bus",$D51="Almost empty"),$E51*'FI '!I$7,AND($C51="Electric bus",$D51="Average"),$E51*'FI '!I$8,AND($C51="Electric bus",$D51="Nearly full"),$E51*'FI '!I$9,AND($C51="Diesel bus",$D51="Almost empty"),$E51*'FI '!I$19,AND($C51="Diesel bus",$D51="Average"),$E51*'FI '!I$20,AND($C51="Diesel bus",$D51="Nearly full"),$E51*'FI '!I$21,AND($C51="Hybrid-electric bus",$D51="Almost empty"),$E51*'FI '!I$11,AND($C51="Hybrid-electric bus",$D51="Average"),$E51*'FI '!I$12,AND($C51="Hybrid-electric bus",$D51="Nearly full"),$E51*'FI '!I$13,AND($C51="Alternative fuel bus",$D51="Almost empty"),$E51*'FI '!I$15,AND($C51="Alternative fuel bus",$D51="Average"),$E51*'FI '!I$16,AND($C51="Alternative fuel bus",$D51="Nearly full"),$E51*'FI '!I$17,AND($C51="Metro, tram, urban light train",$D51="Almost empty"),$E51*'FI '!D$35,AND($C51="Metro, tram, urban light train",$D51="Average"),$E51*'FI '!D$36,AND($C51="Metro, tram, urban light train",$D51="Nearly full"),$E51*'FI '!D$37,AND($C51="Electric passenger train",$D51="Almost empty"),$E51*'FI '!D$39,AND($C51="Electric passenger train",$D51="Average"),$E51*'FI '!D$40,AND($C51="Electric passenger train",$D51="Nearly full"),$E51*'FI '!D$41,AND($C51="Diesel passenger train",$D51="Almost empty"),$E51*'FI '!D$47,AND($C51="Diesel passenger train",$D51="Average"),$E51*'FI '!D$48,AND($C51="Diesel passenger train",$D51="Nearly full"),$E51*'FI '!D$49,AND($C51="Walking"),$E51*0,AND($C51="Bike"),$E51*0,AND($C51="Plane - domestic flight"),$E51*'FI '!$C75,AND($C51="Plane - international - intra EU"),$E51*'FI '!$C77,AND($C51="Plane - international (extra EU)"),$E51*'FI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_xlfn.IFS(AND(D57&lt;='FI '!L4),"A+",AND(D57&lt;='FI '!M4,D57&gt;'FI '!L4),"A",AND(D57&lt;='FI '!N4,D57&gt;'FI '!M4),"B",AND(D57&lt;='FI '!O4,D57&gt;'FI '!N4),"C",AND(D57&lt;='FI '!P4,D57&gt;'FI '!O4),"D",AND(D57&lt;='FI '!Q4,D57&gt;'FI '!P4),"E",AND(D57&lt;='FI '!R4,D57&gt;'FI '!Q4),"F",AND(D57&gt;'FI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_xlfn.IFS(D58="#","#",AND(D58&lt;='FI '!L5),"A+",AND(D58&lt;='FI '!M5,D58&gt;'FI '!L5),"A",AND(D58&lt;='FI '!N5,D58&gt;'FI '!M5),"B",AND(D58&lt;='FI '!O5,D58&gt;'FI '!N5),"C",AND(D58&lt;='FI '!P5,D58&gt;'FI '!O5),"D",AND(D58&lt;='FI '!Q5,D58&gt;'FI '!P5),"E",AND(D58&lt;='FI '!R5,D58&gt;'FI '!Q5),"F",AND(D58&gt;'FI '!R5),"G")</f>
        <v>#</v>
      </c>
    </row>
    <row r="59" spans="1:14" ht="32" x14ac:dyDescent="0.2">
      <c r="A59" s="262"/>
      <c r="B59" s="264"/>
      <c r="C59" s="21" t="s">
        <v>88</v>
      </c>
      <c r="D59" s="47" t="e">
        <f>IF(ISNUMBER(D58), D57 + D58, D57)</f>
        <v>#DIV/0!</v>
      </c>
      <c r="E59" s="277"/>
      <c r="G59" s="264"/>
      <c r="H59" t="s">
        <v>88</v>
      </c>
      <c r="I59" s="56" t="e" cm="1">
        <f t="array" ref="I59">_xlfn.IFS(AND(D59&lt;='FI '!L6),"A+",AND(D59&lt;='FI '!M6,D59&gt;'FI '!L6),"A",AND(D59&lt;='FI '!N6,D59&gt;'FI '!M6),"B",AND(D59&lt;='FI '!O6,D59&gt;'FI '!N6),"C",AND(D59&lt;='FI '!P6,D59&gt;'FI '!O6),"D",AND(D59&lt;='FI '!Q6,D59&gt;'FI '!P6),"E",AND(D59&lt;='FI '!R6,D59&gt;'FI '!Q6),"F",AND(D59&gt;'FI '!R6),"G")</f>
        <v>#DIV/0!</v>
      </c>
    </row>
    <row r="60" spans="1:14" ht="16" x14ac:dyDescent="0.2">
      <c r="A60" s="262"/>
      <c r="B60" s="264"/>
      <c r="C60" s="21" t="s">
        <v>89</v>
      </c>
      <c r="D60" s="99">
        <f>I30</f>
        <v>0</v>
      </c>
      <c r="E60" s="277"/>
      <c r="G60" s="264"/>
      <c r="H60" t="s">
        <v>89</v>
      </c>
      <c r="I60" s="56" t="str" cm="1">
        <f t="array" ref="I60">_xlfn.IFS(AND(D60&lt;='FI '!L7),"A+",AND(D60&lt;='FI '!M7,D60&gt;'FI '!L7),"A",AND(D60&lt;='FI '!N7,D60&gt;'FI '!M7),"B",AND(D60&lt;='FI '!O7,D60&gt;'FI '!N7),"C",AND(D60&lt;='FI '!P7,D60&gt;'FI '!O7),"D",AND(D60&lt;='FI '!Q7,D60&gt;'FI '!P7),"E",AND(D60&lt;='FI '!R7,D60&gt;'FI '!Q7),"F",AND(D60&gt;'FI '!R7),"G")</f>
        <v>A+</v>
      </c>
    </row>
    <row r="61" spans="1:14" ht="16" thickBot="1" x14ac:dyDescent="0.25">
      <c r="A61" s="262"/>
      <c r="B61" s="265"/>
      <c r="C61" s="16" t="s">
        <v>57</v>
      </c>
      <c r="D61" s="58" t="e">
        <f>SUM(D59:D60)</f>
        <v>#DIV/0!</v>
      </c>
      <c r="E61" s="261"/>
      <c r="G61" s="265"/>
      <c r="H61" s="16" t="s">
        <v>57</v>
      </c>
      <c r="I61" s="1" t="e" cm="1">
        <f t="array" ref="I61">_xlfn.IFS(AND(D61&lt;='FI '!L8),"A+",AND(D61&lt;='FI '!M8,D61&gt;'FI '!L8),"A",AND(D61&lt;='FI '!N8,D61&gt;'FI '!M8),"B",AND(D61&lt;='FI '!O8,D61&gt;'FI '!N8),"C",AND(D61&lt;='FI '!P8,D61&gt;'FI '!O8),"D",AND(D61&lt;='FI '!Q8,D61&gt;'FI '!P8),"E",AND(D61&lt;='FI '!R8,D61&gt;'FI '!Q8),"F",AND(D61&gt;'FI '!R8),"G")</f>
        <v>#DIV/0!</v>
      </c>
    </row>
    <row r="62" spans="1:14" ht="32" x14ac:dyDescent="0.2">
      <c r="A62" s="262"/>
      <c r="B62" s="263" t="s">
        <v>90</v>
      </c>
      <c r="C62" s="57" t="s">
        <v>85</v>
      </c>
      <c r="D62" s="100" t="e">
        <f>I16</f>
        <v>#DIV/0!</v>
      </c>
      <c r="E62" s="266" t="s">
        <v>91</v>
      </c>
      <c r="G62" s="263" t="s">
        <v>90</v>
      </c>
      <c r="H62" s="46" t="s">
        <v>85</v>
      </c>
      <c r="I62" s="55" t="e" cm="1">
        <f t="array" ref="I62">_xlfn.IFS(AND(D62&lt;='FI '!L9),"A+",AND(D62&lt;='FI '!M9,D62&gt;'FI '!L9),"A",AND(D62&lt;='FI '!N9,D62&gt;'FI '!M9),"B",AND(D62&lt;='FI '!O9,D62&gt;'FI '!N9),"C",AND(D62&lt;='FI '!P9,D62&gt;'FI '!O9),"D",AND(D62&lt;='FI '!Q9,D62&gt;'FI '!P9),"E",AND(D62&lt;='FI '!R9,D62&gt;'FI '!Q9),"F",AND(D62&gt;'FI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_xlfn.IFS(D63="#","#",AND(D63&lt;='FI '!L10),"A+",AND(D63&lt;='FI '!M10,D63&gt;'FI '!L10),"A",AND(D63&lt;='FI '!N10,D63&gt;'FI '!M10),"B",AND(D63&lt;='FI '!O10,D63&gt;'FI '!N10),"C",AND(D63&lt;='FI '!P10,D63&gt;'FI '!O10),"D",AND(D63&lt;='FI '!Q10,D63&gt;'FI '!P10),"E",AND(D63&lt;='FI '!R10,D63&gt;'FI '!Q10),"F",AND(D63&gt;'FI '!R10),"G")</f>
        <v>#</v>
      </c>
    </row>
    <row r="64" spans="1:14" ht="32" x14ac:dyDescent="0.2">
      <c r="A64" s="262"/>
      <c r="B64" s="264"/>
      <c r="C64" s="21" t="s">
        <v>92</v>
      </c>
      <c r="D64" s="47" t="e">
        <f>IF(ISNUMBER(D63), D62 + D63, D62)</f>
        <v>#DIV/0!</v>
      </c>
      <c r="E64" s="202"/>
      <c r="G64" s="264"/>
      <c r="H64" t="s">
        <v>92</v>
      </c>
      <c r="I64" s="56" t="e" cm="1">
        <f t="array" ref="I64">_xlfn.IFS(AND(D64&lt;='FI '!L11),"A+",AND(D64&lt;='FI '!M11,D64&gt;'FI '!L11),"A",AND(D64&lt;='FI '!N11,D64&gt;'FI '!M11),"B",AND(D64&lt;='FI '!O11,D64&gt;'FI '!N11),"C",AND(D64&lt;='FI '!P11,D64&gt;'FI '!O11),"D",AND(D64&lt;='FI '!Q11,D64&gt;'FI '!P11),"E",AND(D64&lt;='FI '!R11,D64&gt;'FI '!Q11),"F",AND(D64&gt;'FI '!R11),"G")</f>
        <v>#DIV/0!</v>
      </c>
    </row>
    <row r="65" spans="1:9" x14ac:dyDescent="0.2">
      <c r="A65" s="262"/>
      <c r="B65" s="264"/>
      <c r="C65" t="s">
        <v>89</v>
      </c>
      <c r="D65" s="99">
        <f>I31</f>
        <v>0</v>
      </c>
      <c r="E65" s="202"/>
      <c r="G65" s="264"/>
      <c r="H65" t="s">
        <v>89</v>
      </c>
      <c r="I65" s="56" t="str" cm="1">
        <f t="array" ref="I65">_xlfn.IFS(AND(D65&lt;='FI '!L12),"A+",AND(D65&lt;='FI '!M12,D65&gt;'FI '!L12),"A",AND(D65&lt;='FI '!N12,D65&gt;'FI '!M12),"B",AND(D65&lt;='FI '!O12,D65&gt;'FI '!N12),"C",AND(D65&lt;='FI '!P12,D65&gt;'FI '!O12),"D",AND(D65&lt;='FI '!Q12,D65&gt;'FI '!P12),"E",AND(D65&lt;='FI '!R12,D65&gt;'FI '!Q12),"F",AND(D65&gt;'FI '!R12),"G")</f>
        <v>A+</v>
      </c>
    </row>
    <row r="66" spans="1:9" ht="16" thickBot="1" x14ac:dyDescent="0.25">
      <c r="A66" s="262"/>
      <c r="B66" s="265"/>
      <c r="C66" s="16" t="s">
        <v>57</v>
      </c>
      <c r="D66" s="16" t="e">
        <f>SUM(D64:D65)</f>
        <v>#DIV/0!</v>
      </c>
      <c r="E66" s="267"/>
      <c r="G66" s="265"/>
      <c r="H66" s="16" t="s">
        <v>57</v>
      </c>
      <c r="I66" s="1" t="e" cm="1">
        <f t="array" ref="I66">_xlfn.IFS(AND(D66&lt;='FI '!L13),"A+",AND(D66&lt;='FI '!M13,D66&gt;'FI '!L13),"A",AND(D66&lt;='FI '!N13,D66&gt;'FI '!M13),"B",AND(D66&lt;='FI '!O13,D66&gt;'FI '!N13),"C",AND(D66&lt;='FI '!P13,D66&gt;'FI '!O13),"D",AND(D66&lt;='FI '!Q13,D66&gt;'FI '!P13),"E",AND(D66&lt;='FI '!R13,D66&gt;'FI '!Q13),"F",AND(D66&gt;'FI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23" priority="7" operator="equal">
      <formula>"A+"</formula>
    </cfRule>
    <cfRule type="containsText" dxfId="322" priority="8" operator="containsText" text="A">
      <formula>NOT(ISERROR(SEARCH("A",I57)))</formula>
    </cfRule>
    <cfRule type="containsText" dxfId="321" priority="9" operator="containsText" text="B">
      <formula>NOT(ISERROR(SEARCH("B",I57)))</formula>
    </cfRule>
    <cfRule type="containsText" dxfId="320" priority="10" operator="containsText" text="C">
      <formula>NOT(ISERROR(SEARCH("C",I57)))</formula>
    </cfRule>
    <cfRule type="containsText" dxfId="319" priority="11" operator="containsText" text="D">
      <formula>NOT(ISERROR(SEARCH("D",I57)))</formula>
    </cfRule>
    <cfRule type="containsText" dxfId="318" priority="12" operator="containsText" text="E">
      <formula>NOT(ISERROR(SEARCH("E",I57)))</formula>
    </cfRule>
    <cfRule type="containsText" dxfId="317" priority="13" operator="containsText" text="F">
      <formula>NOT(ISERROR(SEARCH("F",I57)))</formula>
    </cfRule>
    <cfRule type="containsText" dxfId="316" priority="14" operator="containsText" text="G">
      <formula>NOT(ISERROR(SEARCH("G",I57)))</formula>
    </cfRule>
  </conditionalFormatting>
  <conditionalFormatting sqref="K5:K15">
    <cfRule type="expression" dxfId="19" priority="2" stopIfTrue="1">
      <formula>$O$19="No"</formula>
    </cfRule>
  </conditionalFormatting>
  <conditionalFormatting sqref="L5:L15">
    <cfRule type="expression" dxfId="18"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C20A289C-78DD-7A43-A431-CB65CE06F169}">
      <formula1>AND(Q19="Yes", ISNUMBER(L5))</formula1>
    </dataValidation>
    <dataValidation type="custom" operator="lessThan" allowBlank="1" showErrorMessage="1" errorTitle="Error" error="You can only enter values if you have selected HOME PV. The value must be a number." sqref="K5:K15" xr:uid="{256E2E78-F9F8-6B4B-A046-B657E4603CE8}">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6F093A77-79E7-490F-8D91-CC188517C720}">
          <x14:formula1>
            <xm:f>DATA!$J$3:$J$10</xm:f>
          </x14:formula1>
          <xm:sqref>D29:D51</xm:sqref>
        </x14:dataValidation>
        <x14:dataValidation type="list" allowBlank="1" showInputMessage="1" showErrorMessage="1" xr:uid="{273557B6-540F-3744-BEF3-03538FCC60B2}">
          <x14:formula1>
            <xm:f>DATA!$B$15:$B$23</xm:f>
          </x14:formula1>
          <xm:sqref>J2</xm:sqref>
        </x14:dataValidation>
        <x14:dataValidation type="list" allowBlank="1" showInputMessage="1" showErrorMessage="1" xr:uid="{85F2C0DB-53B3-4796-B568-31DC0890D93A}">
          <x14:formula1>
            <xm:f>DATA!$H$3:$H$23</xm:f>
          </x14:formula1>
          <xm:sqref>C29:C51</xm:sqref>
        </x14:dataValidation>
        <x14:dataValidation type="list" allowBlank="1" showInputMessage="1" showErrorMessage="1" xr:uid="{85161895-B98D-0C42-A304-497E4AE0F83C}">
          <x14:formula1>
            <xm:f>DATA!$B$3:$B$13</xm:f>
          </x14:formula1>
          <xm:sqref>H2</xm:sqref>
        </x14:dataValidation>
        <x14:dataValidation type="list" allowBlank="1" showInputMessage="1" showErrorMessage="1" xr:uid="{42EEBB30-D169-8A46-865E-E8C04F65F7F0}">
          <x14:formula1>
            <xm:f>DATA!$L$4:$L$5</xm:f>
          </x14:formula1>
          <xm:sqref>O18:O19 Q19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8B49-BEF9-45B2-9B38-3E025A8AC288}">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6640625" customWidth="1"/>
    <col min="5" max="5" width="19.33203125" customWidth="1"/>
    <col min="6" max="6" width="16"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102</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IF($O$18="Yes",(E5/$F$2)*DATA!$C$9,(E5/$F$2)*DATA!F$13)+IF(ISBLANK(K5),0,K5/$F$2)*DATA!$C$9-IF(ISBLANK(L5),0,L5/$F$2)*DATA!F$13</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IF($O$18="Yes",(E6/$F$2)*DATA!$C$9,(E6/$F$2)*DATA!F$13)+IF(ISBLANK(K6),0,K6/$F$2)*DATA!$C$9-IF(ISBLANK(L6),0,L6/$F$2)*DATA!F$13</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IF($O$18="Yes",(E7/$F$2)*DATA!$C$9,(E7/$F$2)*DATA!F$13)+IF(ISBLANK(K7),0,K7/$F$2)*DATA!$C$9-IF(ISBLANK(L7),0,L7/$F$2)*DATA!F$13</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IF($O$18="Yes",(E8/$F$2)*DATA!$C$9,(E8/$F$2)*DATA!F$13)+IF(ISBLANK(K8),0,K8/$F$2)*DATA!$C$9-IF(ISBLANK(L8),0,L8/$F$2)*DATA!F$13</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IF($O$18="Yes",(E9/$F$2)*DATA!$C$9,(E9/$F$2)*DATA!F$13)+IF(ISBLANK(K9),0,K9/$F$2)*DATA!$C$9-IF(ISBLANK(L9),0,L9/$F$2)*DATA!F$13</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IF($O$18="Yes",(E10/$F$2)*DATA!$C$9,(E10/$F$2)*DATA!F$13)+IF(ISBLANK(K10),0,K10/$F$2)*DATA!$C$9-IF(ISBLANK(L10),0,L10/$F$2)*DATA!F$13</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IF($O$18="Yes",(E11/$F$2)*DATA!$C$9,(E11/$F$2)*DATA!F$13)+IF(ISBLANK(K11),0,K11/$F$2)*DATA!$C$9-IF(ISBLANK(L11),0,L11/$F$2)*DATA!F$13</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IF($O$18="Yes",(E12/$F$2)*DATA!$C$9,(E12/$F$2)*DATA!F$13)+IF(ISBLANK(K12),0,K12/$F$2)*DATA!$C$9-IF(ISBLANK(L12),0,L12/$F$2)*DATA!F$13</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IF($O$18="Yes",(E13/$F$2)*DATA!$C$9,(E13/$F$2)*DATA!F$13)+IF(ISBLANK(K13),0,K13/$F$2)*DATA!$C$9-IF(ISBLANK(L13),0,L13/$F$2)*DATA!F$13</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IF($O$18="Yes",(E14/$F$2)*DATA!$C$9,(E14/$F$2)*DATA!F$13)+IF(ISBLANK(K14),0,K14/$F$2)*DATA!$C$9-IF(ISBLANK(L14),0,L14/$F$2)*DATA!F$13</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IF($O$18="Yes",(E15/$F$2)*DATA!$C$9,(E15/$F$2)*DATA!F$13)+IF(ISBLANK(K15),0,K15/$F$2)*DATA!$C$9-IF(ISBLANK(L15),0,L15/$F$2)*DATA!F$13</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car",$D29=1),$E29*'FR '!C$7,AND($C29="Fuel car",$D29=2),$E29*'FR '!C$8,AND($C29="Fuel car",$D29=3),$E29*'FR '!C$9,AND($C29="Fuel car",$D29=4),$E29*'FR '!C$10,AND($C29="Fuel car",$D29=5),$E29*'FR '!C$11,AND($C29="Motorcycle",$D29=1),$E29*'FR '!C$13,AND($C29="Motorcycle",$D29=2),$E29*'FR '!C$14,AND($C29="Electric car",$D29=1),$E29*'FR '!C$16,AND($C29="Electric car",$D29=2),$E29*'FR '!C$17,AND($C29="Electric car",$D29=3),$E29*'FR '!C$18,AND($C29="Electric car",$D29=4),$E29*'FR '!C$19,AND($C29="Electric car",$D29=5),$E29*'FR '!C$20,AND($C29="Hybrid car",$D29=1),$E29*'FR '!C$22,AND($C29="Hybrid car",$D29=2),$E29*'FR '!C$23,AND($C29="Hybrid car",$D29=3),$E29*'FR '!C$24,AND($C29="Hybrid car",$D29=4),$E29*'FR '!C$25,AND($C29="Hybrid car",$D29=5),$E29*'FR '!C$26,AND($C29="Electric motorcycle",$D29=1),$E29*'FR '!C$28,AND($C29="Electric motorcycle",$D29=2),$E29*'FR '!C$29,AND($C29="Electric bike",$D29=1),$E29*'FR '!C$31,AND($C29="Electric scooter",$D29=1),$E29*'FR '!C$33,AND($C29="Bus",$D29="Almost empty"),$E29*'FR '!H$23,AND($C29="Bus",$D29="Average"),$E29*'FR '!H$24,AND($C29="Bus",$D29="Nearly full"),$E29*'FR '!H$25,AND($C29="Electric bus",$D29="Almost empty"),$E29*'FR '!H$7,AND($C29="Electric bus",$D29="Average"),$E29*'FR '!H$8,AND($C29="Electric bus",$D29="Nearly full"),$E29*'FR '!H$9,AND($C29="Diesel bus",$D29="Almost empty"),$E29*'FR '!H$19,AND($C29="Diesel bus",$D29="Average"),$E29*'FR '!H$20,AND($C29="Diesel bus",$D29="Nearly full"),$E29*'FR '!H$21,AND($C29="Hybrid-electric bus",$D29="Almost empty"),$E29*'FR '!H$11,AND($C29="Hybrid-electric bus",$D29="Average"),$E29*'FR '!H$12,AND($C29="Hybrid-electric bus",$D29="Nearly full"),$E29*'FR '!H$13,AND($C29="Alternative fuel bus",$D29="Almost empty"),$E29*'FR '!H$15,AND($C29="Alternative fuel bus",$D29="Average"),$E29*'FR '!H$16,AND($C29="Alternative fuel bus",$D29="Nearly full"),$E29*'FR '!H$17,AND($C29="Metro, tram, urban light train",$D29="Almost empty"),$E29*'FR '!C$35,AND($C29="Metro, tram, urban light train",$D29="Average"),$E29*'FR '!C$36,AND($C29="Metro, tram, urban light train",$D29="Nearly full"),$E29*'FR '!C$37,AND($C29="Electric passenger train",$D29="Almost empty"),$E29*'FR '!C$39,AND($C29="Electric passenger train",$D29="Average"),$E29*'FR '!C$40,AND($C29="Electric passenger train",$D29="Nearly full"),$E29*'FR '!C$41,AND($C29="Diesel passenger train",$D29="Almost empty"),$E29*'FR '!C$47,AND($C29="Diesel passenger train",$D29="Average"),$E29*'FR '!C$48,AND($C29="Diesel passenger train",$D29="Nearly full"),$E29*'FR '!C$49,AND($C29="Walking"),$E29*0,AND($C29="Bike"),$E29*0,AND($C29="Plane - domestic flight"),$E29*'FR '!$C53,AND($C29="Plane - international - intra EU"),$E29*'FR '!$C55,AND($C29="Plane - international (extra EU)"),$E29*'FR '!$C57)</f>
        <v>#N/A</v>
      </c>
      <c r="G29" s="104" t="e" cm="1">
        <f t="array" ref="G29">_xlfn.IFS(AND($C29="Fuel car",$D29=1),$E29*'FR '!D$7,AND($C29="Fuel car",$D29=2),$E29*'FR '!D$8,AND($C29="Fuel car",$D29=3),$E29*'FR '!D$9,AND($C29="Fuel car",$D29=4),$E29*'FR '!D$10,AND($C29="Fuel car",$D29=5),$E29*'FR '!D$11,AND($C29="Motorcycle",$D29=1),$E29*'FR '!D$13,AND($C29="Motorcycle",$D29=2),$E29*'FR '!D$14,AND($C29="Electric car",$D29=1),$E29*'FR '!D$16,AND($C29="Electric car",$D29=2),$E29*'FR '!D$17,AND($C29="Electric car",$D29=3),$E29*'FR '!D$18,AND($C29="Electric car",$D29=4),$E29*'FR '!D$19,AND($C29="Electric car",$D29=5),$E29*'FR '!D$20,AND($C29="Hybrid car",$D29=1),$E29*'FR '!D$22,AND($C29="Hybrid car",$D29=2),$E29*'FR '!D$23,AND($C29="Hybrid car",$D29=3),$E29*'FR '!D$24,AND($C29="Hybrid car",$D29=4),$E29*'FR '!D$25,AND($C29="Hybrid car",$D29=5),$E29*'FR '!D$26,AND($C29="Electric motorcycle",$D29=1),$E29*'FR '!D$28,AND($C29="Electric motorcycle",$D29=2),$E29*'FR '!D$29,AND($C29="Electric bike",$D29=1),$E29*'FR '!D$31,AND($C29="Electric scooter",$D29=1),$E29*'FR '!D$33,AND($C29="Bus",$D29="Almost empty"),$E29*'FR '!I$23,AND($C29="Bus",$D29="Average"),$E29*'FR '!I$24,AND($C29="Bus",$D29="Nearly full"),$E29*'FR '!I$25,AND($C29="Electric bus",$D29="Almost empty"),$E29*'FR '!I$7,AND($C29="Electric bus",$D29="Average"),$E29*'FR '!I$8,AND($C29="Electric bus",$D29="Nearly full"),$E29*'FR '!I$9,AND($C29="Diesel bus",$D29="Almost empty"),$E29*'FR '!I$19,AND($C29="Diesel bus",$D29="Average"),$E29*'FR '!I$20,AND($C29="Diesel bus",$D29="Nearly full"),$E29*'FR '!I$21,AND($C29="Hybrid-electric bus",$D29="Almost empty"),$E29*'FR '!I$11,AND($C29="Hybrid-electric bus",$D29="Average"),$E29*'FR '!I$12,AND($C29="Hybrid-electric bus",$D29="Nearly full"),$E29*'FR '!I$13,AND($C29="Alternative fuel bus",$D29="Almost empty"),$E29*'FR '!I$15,AND($C29="Alternative fuel bus",$D29="Average"),$E29*'FR '!I$16,AND($C29="Alternative fuel bus",$D29="Nearly full"),$E29*'FR '!I$17,AND($C29="Metro, tram, urban light train",$D29="Almost empty"),$E29*'FR '!D$35,AND($C29="Metro, tram, urban light train",$D29="Average"),$E29*'FR '!D$36,AND($C29="Metro, tram, urban light train",$D29="Nearly full"),$E29*'FR '!D$37,AND($C29="Electric passenger train",$D29="Almost empty"),$E29*'FR '!D$39,AND($C29="Electric passenger train",$D29="Average"),$E29*'FR '!D$40,AND($C29="Electric passenger train",$D29="Nearly full"),$E29*'FR '!D$41,AND($C29="Diesel passenger train",$D29="Almost empty"),$E29*'FR '!D$47,AND($C29="Diesel passenger train",$D29="Average"),$E29*'FR '!D$48,AND($C29="Diesel passenger train",$D29="Nearly full"),$E29*'FR '!D$49,AND($C29="Walking"),$E29*0,AND($C29="Bike"),$E29*0,AND($C29="Plane - domestic flight"),$E29*'FR '!$C53,AND($C29="Plane - international - intra EU"),$E29*'FR '!$C55,AND($C29="Plane - international (extra EU)"),$E29*'FR '!$C57)</f>
        <v>#N/A</v>
      </c>
      <c r="H29" s="151"/>
      <c r="I29" s="152">
        <f>H29/10*E29</f>
        <v>0</v>
      </c>
      <c r="J29" s="146" t="e" cm="1">
        <f t="array" ref="J29">_xlfn.IFS(C29="Fuel car",C29*DATA!$C$17,C29="Electric car",C29*DATA!$F$13,C29="Hybrid car",I29*(0.5*DATA!$C$17+0.5*DATA!$F$13))</f>
        <v>#N/A</v>
      </c>
      <c r="L29" s="218"/>
      <c r="M29" s="219"/>
      <c r="N29" s="220"/>
    </row>
    <row r="30" spans="1:17" ht="32" customHeight="1" x14ac:dyDescent="0.2">
      <c r="A30" s="222"/>
      <c r="B30" s="30"/>
      <c r="C30" s="15"/>
      <c r="D30" s="15"/>
      <c r="E30" s="125"/>
      <c r="F30" s="128" t="e" cm="1">
        <f t="array" ref="F30">_xlfn.IFS(AND($C30="Fuel car",$D30=1),$E30*'FR '!C$7,AND($C30="Fuel car",$D30=2),$E30*'FR '!C$8,AND($C30="Fuel car",$D30=3),$E30*'FR '!C$9,AND($C30="Fuel car",$D30=4),$E30*'FR '!C$10,AND($C30="Fuel car",$D30=5),$E30*'FR '!C$11,AND($C30="Motorcycle",$D30=1),$E30*'FR '!C$13,AND($C30="Motorcycle",$D30=2),$E30*'FR '!C$14,AND($C30="Electric car",$D30=1),$E30*'FR '!C$16,AND($C30="Electric car",$D30=2),$E30*'FR '!C$17,AND($C30="Electric car",$D30=3),$E30*'FR '!C$18,AND($C30="Electric car",$D30=4),$E30*'FR '!C$19,AND($C30="Electric car",$D30=5),$E30*'FR '!C$20,AND($C30="Hybrid car",$D30=1),$E30*'FR '!C$22,AND($C30="Hybrid car",$D30=2),$E30*'FR '!C$23,AND($C30="Hybrid car",$D30=3),$E30*'FR '!C$24,AND($C30="Hybrid car",$D30=4),$E30*'FR '!C$25,AND($C30="Hybrid car",$D30=5),$E30*'FR '!C$26,AND($C30="Electric motorcycle",$D30=1),$E30*'FR '!C$28,AND($C30="Electric motorcycle",$D30=2),$E30*'FR '!C$29,AND($C30="Electric bike",$D30=1),$E30*'FR '!C$31,AND($C30="Electric scooter",$D30=1),$E30*'FR '!C$33,AND($C30="Bus",$D30="Almost empty"),$E30*'FR '!H$23,AND($C30="Bus",$D30="Average"),$E30*'FR '!H$24,AND($C30="Bus",$D30="Nearly full"),$E30*'FR '!H$25,AND($C30="Electric bus",$D30="Almost empty"),$E30*'FR '!H$7,AND($C30="Electric bus",$D30="Average"),$E30*'FR '!H$8,AND($C30="Electric bus",$D30="Nearly full"),$E30*'FR '!H$9,AND($C30="Diesel bus",$D30="Almost empty"),$E30*'FR '!H$19,AND($C30="Diesel bus",$D30="Average"),$E30*'FR '!H$20,AND($C30="Diesel bus",$D30="Nearly full"),$E30*'FR '!H$21,AND($C30="Hybrid-electric bus",$D30="Almost empty"),$E30*'FR '!H$11,AND($C30="Hybrid-electric bus",$D30="Average"),$E30*'FR '!H$12,AND($C30="Hybrid-electric bus",$D30="Nearly full"),$E30*'FR '!H$13,AND($C30="Alternative fuel bus",$D30="Almost empty"),$E30*'FR '!H$15,AND($C30="Alternative fuel bus",$D30="Average"),$E30*'FR '!H$16,AND($C30="Alternative fuel bus",$D30="Nearly full"),$E30*'FR '!H$17,AND($C30="Metro, tram, urban light train",$D30="Almost empty"),$E30*'FR '!C$35,AND($C30="Metro, tram, urban light train",$D30="Average"),$E30*'FR '!C$36,AND($C30="Metro, tram, urban light train",$D30="Nearly full"),$E30*'FR '!C$37,AND($C30="Electric passenger train",$D30="Almost empty"),$E30*'FR '!C$39,AND($C30="Electric passenger train",$D30="Average"),$E30*'FR '!C$40,AND($C30="Electric passenger train",$D30="Nearly full"),$E30*'FR '!C$41,AND($C30="Diesel passenger train",$D30="Almost empty"),$E30*'FR '!C$47,AND($C30="Diesel passenger train",$D30="Average"),$E30*'FR '!C$48,AND($C30="Diesel passenger train",$D30="Nearly full"),$E30*'FR '!C$49,AND($C30="Walking"),$E30*0,AND($C30="Bike"),$E30*0,AND($C30="Plane - domestic flight"),$E30*'FR '!$C54,AND($C30="Plane - international - intra EU"),$E30*'FR '!$C56,AND($C30="Plane - international (extra EU)"),$E30*'FR '!$C58)</f>
        <v>#N/A</v>
      </c>
      <c r="G30" s="31" t="e" cm="1">
        <f t="array" ref="G30">_xlfn.IFS(AND($C30="Fuel car",$D30=1),$E30*'FR '!D$7,AND($C30="Fuel car",$D30=2),$E30*'FR '!D$8,AND($C30="Fuel car",$D30=3),$E30*'FR '!D$9,AND($C30="Fuel car",$D30=4),$E30*'FR '!D$10,AND($C30="Fuel car",$D30=5),$E30*'FR '!D$11,AND($C30="Motorcycle",$D30=1),$E30*'FR '!D$13,AND($C30="Motorcycle",$D30=2),$E30*'FR '!D$14,AND($C30="Electric car",$D30=1),$E30*'FR '!D$16,AND($C30="Electric car",$D30=2),$E30*'FR '!D$17,AND($C30="Electric car",$D30=3),$E30*'FR '!D$18,AND($C30="Electric car",$D30=4),$E30*'FR '!D$19,AND($C30="Electric car",$D30=5),$E30*'FR '!D$20,AND($C30="Hybrid car",$D30=1),$E30*'FR '!D$22,AND($C30="Hybrid car",$D30=2),$E30*'FR '!D$23,AND($C30="Hybrid car",$D30=3),$E30*'FR '!D$24,AND($C30="Hybrid car",$D30=4),$E30*'FR '!D$25,AND($C30="Hybrid car",$D30=5),$E30*'FR '!D$26,AND($C30="Electric motorcycle",$D30=1),$E30*'FR '!D$28,AND($C30="Electric motorcycle",$D30=2),$E30*'FR '!D$29,AND($C30="Electric bike",$D30=1),$E30*'FR '!D$31,AND($C30="Electric scooter",$D30=1),$E30*'FR '!D$33,AND($C30="Bus",$D30="Almost empty"),$E30*'FR '!I$23,AND($C30="Bus",$D30="Average"),$E30*'FR '!I$24,AND($C30="Bus",$D30="Nearly full"),$E30*'FR '!I$25,AND($C30="Electric bus",$D30="Almost empty"),$E30*'FR '!I$7,AND($C30="Electric bus",$D30="Average"),$E30*'FR '!I$8,AND($C30="Electric bus",$D30="Nearly full"),$E30*'FR '!I$9,AND($C30="Diesel bus",$D30="Almost empty"),$E30*'FR '!I$19,AND($C30="Diesel bus",$D30="Average"),$E30*'FR '!I$20,AND($C30="Diesel bus",$D30="Nearly full"),$E30*'FR '!I$21,AND($C30="Hybrid-electric bus",$D30="Almost empty"),$E30*'FR '!I$11,AND($C30="Hybrid-electric bus",$D30="Average"),$E30*'FR '!I$12,AND($C30="Hybrid-electric bus",$D30="Nearly full"),$E30*'FR '!I$13,AND($C30="Alternative fuel bus",$D30="Almost empty"),$E30*'FR '!I$15,AND($C30="Alternative fuel bus",$D30="Average"),$E30*'FR '!I$16,AND($C30="Alternative fuel bus",$D30="Nearly full"),$E30*'FR '!I$17,AND($C30="Metro, tram, urban light train",$D30="Almost empty"),$E30*'FR '!D$35,AND($C30="Metro, tram, urban light train",$D30="Average"),$E30*'FR '!D$36,AND($C30="Metro, tram, urban light train",$D30="Nearly full"),$E30*'FR '!D$37,AND($C30="Electric passenger train",$D30="Almost empty"),$E30*'FR '!D$39,AND($C30="Electric passenger train",$D30="Average"),$E30*'FR '!D$40,AND($C30="Electric passenger train",$D30="Nearly full"),$E30*'FR '!D$41,AND($C30="Diesel passenger train",$D30="Almost empty"),$E30*'FR '!D$47,AND($C30="Diesel passenger train",$D30="Average"),$E30*'FR '!D$48,AND($C30="Diesel passenger train",$D30="Nearly full"),$E30*'FR '!D$49,AND($C30="Walking"),$E30*0,AND($C30="Bike"),$E30*0,AND($C30="Plane - domestic flight"),$E30*'FR '!$C54,AND($C30="Plane - international - intra EU"),$E30*'FR '!$C56,AND($C30="Plane - international (extra EU)"),$E30*'FR '!$C58)</f>
        <v>#N/A</v>
      </c>
      <c r="H30" s="145"/>
      <c r="I30" s="148">
        <f t="shared" ref="I30:I43" si="6">H30/10*E30</f>
        <v>0</v>
      </c>
      <c r="J30" s="146" t="e" cm="1">
        <f t="array" ref="J30">_xlfn.IFS(C30="Fuel car",C30*DATA!$C$17,C30="Electric car",C30*DATA!$F$13,C30="Hybrid car",I30*(0.5*DATA!$C$17+0.5*DATA!$F$13))</f>
        <v>#N/A</v>
      </c>
      <c r="L30" s="215" t="s">
        <v>76</v>
      </c>
      <c r="M30" s="216"/>
      <c r="N30" s="217"/>
    </row>
    <row r="31" spans="1:17" x14ac:dyDescent="0.2">
      <c r="A31" s="222"/>
      <c r="B31" s="30"/>
      <c r="C31" s="15"/>
      <c r="D31" s="15"/>
      <c r="E31" s="125"/>
      <c r="F31" s="128" t="e" cm="1">
        <f t="array" ref="F31">_xlfn.IFS(AND($C31="Fuel car",$D31=1),$E31*'FR '!C$7,AND($C31="Fuel car",$D31=2),$E31*'FR '!C$8,AND($C31="Fuel car",$D31=3),$E31*'FR '!C$9,AND($C31="Fuel car",$D31=4),$E31*'FR '!C$10,AND($C31="Fuel car",$D31=5),$E31*'FR '!C$11,AND($C31="Motorcycle",$D31=1),$E31*'FR '!C$13,AND($C31="Motorcycle",$D31=2),$E31*'FR '!C$14,AND($C31="Electric car",$D31=1),$E31*'FR '!C$16,AND($C31="Electric car",$D31=2),$E31*'FR '!C$17,AND($C31="Electric car",$D31=3),$E31*'FR '!C$18,AND($C31="Electric car",$D31=4),$E31*'FR '!C$19,AND($C31="Electric car",$D31=5),$E31*'FR '!C$20,AND($C31="Hybrid car",$D31=1),$E31*'FR '!C$22,AND($C31="Hybrid car",$D31=2),$E31*'FR '!C$23,AND($C31="Hybrid car",$D31=3),$E31*'FR '!C$24,AND($C31="Hybrid car",$D31=4),$E31*'FR '!C$25,AND($C31="Hybrid car",$D31=5),$E31*'FR '!C$26,AND($C31="Electric motorcycle",$D31=1),$E31*'FR '!C$28,AND($C31="Electric motorcycle",$D31=2),$E31*'FR '!C$29,AND($C31="Electric bike",$D31=1),$E31*'FR '!C$31,AND($C31="Electric scooter",$D31=1),$E31*'FR '!C$33,AND($C31="Bus",$D31="Almost empty"),$E31*'FR '!H$23,AND($C31="Bus",$D31="Average"),$E31*'FR '!H$24,AND($C31="Bus",$D31="Nearly full"),$E31*'FR '!H$25,AND($C31="Electric bus",$D31="Almost empty"),$E31*'FR '!H$7,AND($C31="Electric bus",$D31="Average"),$E31*'FR '!H$8,AND($C31="Electric bus",$D31="Nearly full"),$E31*'FR '!H$9,AND($C31="Diesel bus",$D31="Almost empty"),$E31*'FR '!H$19,AND($C31="Diesel bus",$D31="Average"),$E31*'FR '!H$20,AND($C31="Diesel bus",$D31="Nearly full"),$E31*'FR '!H$21,AND($C31="Hybrid-electric bus",$D31="Almost empty"),$E31*'FR '!H$11,AND($C31="Hybrid-electric bus",$D31="Average"),$E31*'FR '!H$12,AND($C31="Hybrid-electric bus",$D31="Nearly full"),$E31*'FR '!H$13,AND($C31="Alternative fuel bus",$D31="Almost empty"),$E31*'FR '!H$15,AND($C31="Alternative fuel bus",$D31="Average"),$E31*'FR '!H$16,AND($C31="Alternative fuel bus",$D31="Nearly full"),$E31*'FR '!H$17,AND($C31="Metro, tram, urban light train",$D31="Almost empty"),$E31*'FR '!C$35,AND($C31="Metro, tram, urban light train",$D31="Average"),$E31*'FR '!C$36,AND($C31="Metro, tram, urban light train",$D31="Nearly full"),$E31*'FR '!C$37,AND($C31="Electric passenger train",$D31="Almost empty"),$E31*'FR '!C$39,AND($C31="Electric passenger train",$D31="Average"),$E31*'FR '!C$40,AND($C31="Electric passenger train",$D31="Nearly full"),$E31*'FR '!C$41,AND($C31="Diesel passenger train",$D31="Almost empty"),$E31*'FR '!C$47,AND($C31="Diesel passenger train",$D31="Average"),$E31*'FR '!C$48,AND($C31="Diesel passenger train",$D31="Nearly full"),$E31*'FR '!C$49,AND($C31="Walking"),$E31*0,AND($C31="Bike"),$E31*0,AND($C31="Plane - domestic flight"),$E31*'FR '!$C55,AND($C31="Plane - international - intra EU"),$E31*'FR '!$C57,AND($C31="Plane - international (extra EU)"),$E31*'FR '!$C59)</f>
        <v>#N/A</v>
      </c>
      <c r="G31" s="31" t="e" cm="1">
        <f t="array" ref="G31">_xlfn.IFS(AND($C31="Fuel car",$D31=1),$E31*'FR '!D$7,AND($C31="Fuel car",$D31=2),$E31*'FR '!D$8,AND($C31="Fuel car",$D31=3),$E31*'FR '!D$9,AND($C31="Fuel car",$D31=4),$E31*'FR '!D$10,AND($C31="Fuel car",$D31=5),$E31*'FR '!D$11,AND($C31="Motorcycle",$D31=1),$E31*'FR '!D$13,AND($C31="Motorcycle",$D31=2),$E31*'FR '!D$14,AND($C31="Electric car",$D31=1),$E31*'FR '!D$16,AND($C31="Electric car",$D31=2),$E31*'FR '!D$17,AND($C31="Electric car",$D31=3),$E31*'FR '!D$18,AND($C31="Electric car",$D31=4),$E31*'FR '!D$19,AND($C31="Electric car",$D31=5),$E31*'FR '!D$20,AND($C31="Hybrid car",$D31=1),$E31*'FR '!D$22,AND($C31="Hybrid car",$D31=2),$E31*'FR '!D$23,AND($C31="Hybrid car",$D31=3),$E31*'FR '!D$24,AND($C31="Hybrid car",$D31=4),$E31*'FR '!D$25,AND($C31="Hybrid car",$D31=5),$E31*'FR '!D$26,AND($C31="Electric motorcycle",$D31=1),$E31*'FR '!D$28,AND($C31="Electric motorcycle",$D31=2),$E31*'FR '!D$29,AND($C31="Electric bike",$D31=1),$E31*'FR '!D$31,AND($C31="Electric scooter",$D31=1),$E31*'FR '!D$33,AND($C31="Bus",$D31="Almost empty"),$E31*'FR '!I$23,AND($C31="Bus",$D31="Average"),$E31*'FR '!I$24,AND($C31="Bus",$D31="Nearly full"),$E31*'FR '!I$25,AND($C31="Electric bus",$D31="Almost empty"),$E31*'FR '!I$7,AND($C31="Electric bus",$D31="Average"),$E31*'FR '!I$8,AND($C31="Electric bus",$D31="Nearly full"),$E31*'FR '!I$9,AND($C31="Diesel bus",$D31="Almost empty"),$E31*'FR '!I$19,AND($C31="Diesel bus",$D31="Average"),$E31*'FR '!I$20,AND($C31="Diesel bus",$D31="Nearly full"),$E31*'FR '!I$21,AND($C31="Hybrid-electric bus",$D31="Almost empty"),$E31*'FR '!I$11,AND($C31="Hybrid-electric bus",$D31="Average"),$E31*'FR '!I$12,AND($C31="Hybrid-electric bus",$D31="Nearly full"),$E31*'FR '!I$13,AND($C31="Alternative fuel bus",$D31="Almost empty"),$E31*'FR '!I$15,AND($C31="Alternative fuel bus",$D31="Average"),$E31*'FR '!I$16,AND($C31="Alternative fuel bus",$D31="Nearly full"),$E31*'FR '!I$17,AND($C31="Metro, tram, urban light train",$D31="Almost empty"),$E31*'FR '!D$35,AND($C31="Metro, tram, urban light train",$D31="Average"),$E31*'FR '!D$36,AND($C31="Metro, tram, urban light train",$D31="Nearly full"),$E31*'FR '!D$37,AND($C31="Electric passenger train",$D31="Almost empty"),$E31*'FR '!D$39,AND($C31="Electric passenger train",$D31="Average"),$E31*'FR '!D$40,AND($C31="Electric passenger train",$D31="Nearly full"),$E31*'FR '!D$41,AND($C31="Diesel passenger train",$D31="Almost empty"),$E31*'FR '!D$47,AND($C31="Diesel passenger train",$D31="Average"),$E31*'FR '!D$48,AND($C31="Diesel passenger train",$D31="Nearly full"),$E31*'FR '!D$49,AND($C31="Walking"),$E31*0,AND($C31="Bike"),$E31*0,AND($C31="Plane - domestic flight"),$E31*'FR '!$C55,AND($C31="Plane - international - intra EU"),$E31*'FR '!$C57,AND($C31="Plane - international (extra EU)"),$E31*'FR '!$C59)</f>
        <v>#N/A</v>
      </c>
      <c r="H31" s="145"/>
      <c r="I31" s="148">
        <f t="shared" si="6"/>
        <v>0</v>
      </c>
      <c r="J31" s="146" t="e" cm="1">
        <f t="array" ref="J31">_xlfn.IFS(C31="Fuel car",C31*DATA!$C$17,C31="Electric car",C31*DATA!$F$13,C31="Hybrid car",I31*(0.5*DATA!$C$17+0.5*DATA!$F$13))</f>
        <v>#N/A</v>
      </c>
      <c r="L31" s="223"/>
      <c r="M31" s="224"/>
      <c r="N31" s="225"/>
    </row>
    <row r="32" spans="1:17" ht="16" thickBot="1" x14ac:dyDescent="0.25">
      <c r="A32" s="222"/>
      <c r="B32" s="30"/>
      <c r="C32" s="15"/>
      <c r="D32" s="15"/>
      <c r="E32" s="125"/>
      <c r="F32" s="128" t="e" cm="1">
        <f t="array" ref="F32">_xlfn.IFS(AND($C32="Fuel car",$D32=1),$E32*'FR '!C$7,AND($C32="Fuel car",$D32=2),$E32*'FR '!C$8,AND($C32="Fuel car",$D32=3),$E32*'FR '!C$9,AND($C32="Fuel car",$D32=4),$E32*'FR '!C$10,AND($C32="Fuel car",$D32=5),$E32*'FR '!C$11,AND($C32="Motorcycle",$D32=1),$E32*'FR '!C$13,AND($C32="Motorcycle",$D32=2),$E32*'FR '!C$14,AND($C32="Electric car",$D32=1),$E32*'FR '!C$16,AND($C32="Electric car",$D32=2),$E32*'FR '!C$17,AND($C32="Electric car",$D32=3),$E32*'FR '!C$18,AND($C32="Electric car",$D32=4),$E32*'FR '!C$19,AND($C32="Electric car",$D32=5),$E32*'FR '!C$20,AND($C32="Hybrid car",$D32=1),$E32*'FR '!C$22,AND($C32="Hybrid car",$D32=2),$E32*'FR '!C$23,AND($C32="Hybrid car",$D32=3),$E32*'FR '!C$24,AND($C32="Hybrid car",$D32=4),$E32*'FR '!C$25,AND($C32="Hybrid car",$D32=5),$E32*'FR '!C$26,AND($C32="Electric motorcycle",$D32=1),$E32*'FR '!C$28,AND($C32="Electric motorcycle",$D32=2),$E32*'FR '!C$29,AND($C32="Electric bike",$D32=1),$E32*'FR '!C$31,AND($C32="Electric scooter",$D32=1),$E32*'FR '!C$33,AND($C32="Bus",$D32="Almost empty"),$E32*'FR '!H$23,AND($C32="Bus",$D32="Average"),$E32*'FR '!H$24,AND($C32="Bus",$D32="Nearly full"),$E32*'FR '!H$25,AND($C32="Electric bus",$D32="Almost empty"),$E32*'FR '!H$7,AND($C32="Electric bus",$D32="Average"),$E32*'FR '!H$8,AND($C32="Electric bus",$D32="Nearly full"),$E32*'FR '!H$9,AND($C32="Diesel bus",$D32="Almost empty"),$E32*'FR '!H$19,AND($C32="Diesel bus",$D32="Average"),$E32*'FR '!H$20,AND($C32="Diesel bus",$D32="Nearly full"),$E32*'FR '!H$21,AND($C32="Hybrid-electric bus",$D32="Almost empty"),$E32*'FR '!H$11,AND($C32="Hybrid-electric bus",$D32="Average"),$E32*'FR '!H$12,AND($C32="Hybrid-electric bus",$D32="Nearly full"),$E32*'FR '!H$13,AND($C32="Alternative fuel bus",$D32="Almost empty"),$E32*'FR '!H$15,AND($C32="Alternative fuel bus",$D32="Average"),$E32*'FR '!H$16,AND($C32="Alternative fuel bus",$D32="Nearly full"),$E32*'FR '!H$17,AND($C32="Metro, tram, urban light train",$D32="Almost empty"),$E32*'FR '!C$35,AND($C32="Metro, tram, urban light train",$D32="Average"),$E32*'FR '!C$36,AND($C32="Metro, tram, urban light train",$D32="Nearly full"),$E32*'FR '!C$37,AND($C32="Electric passenger train",$D32="Almost empty"),$E32*'FR '!C$39,AND($C32="Electric passenger train",$D32="Average"),$E32*'FR '!C$40,AND($C32="Electric passenger train",$D32="Nearly full"),$E32*'FR '!C$41,AND($C32="Diesel passenger train",$D32="Almost empty"),$E32*'FR '!C$47,AND($C32="Diesel passenger train",$D32="Average"),$E32*'FR '!C$48,AND($C32="Diesel passenger train",$D32="Nearly full"),$E32*'FR '!C$49,AND($C32="Walking"),$E32*0,AND($C32="Bike"),$E32*0,AND($C32="Plane - domestic flight"),$E32*'FR '!$C56,AND($C32="Plane - international - intra EU"),$E32*'FR '!$C58,AND($C32="Plane - international (extra EU)"),$E32*'FR '!$C60)</f>
        <v>#N/A</v>
      </c>
      <c r="G32" s="31" t="e" cm="1">
        <f t="array" ref="G32">_xlfn.IFS(AND($C32="Fuel car",$D32=1),$E32*'FR '!D$7,AND($C32="Fuel car",$D32=2),$E32*'FR '!D$8,AND($C32="Fuel car",$D32=3),$E32*'FR '!D$9,AND($C32="Fuel car",$D32=4),$E32*'FR '!D$10,AND($C32="Fuel car",$D32=5),$E32*'FR '!D$11,AND($C32="Motorcycle",$D32=1),$E32*'FR '!D$13,AND($C32="Motorcycle",$D32=2),$E32*'FR '!D$14,AND($C32="Electric car",$D32=1),$E32*'FR '!D$16,AND($C32="Electric car",$D32=2),$E32*'FR '!D$17,AND($C32="Electric car",$D32=3),$E32*'FR '!D$18,AND($C32="Electric car",$D32=4),$E32*'FR '!D$19,AND($C32="Electric car",$D32=5),$E32*'FR '!D$20,AND($C32="Hybrid car",$D32=1),$E32*'FR '!D$22,AND($C32="Hybrid car",$D32=2),$E32*'FR '!D$23,AND($C32="Hybrid car",$D32=3),$E32*'FR '!D$24,AND($C32="Hybrid car",$D32=4),$E32*'FR '!D$25,AND($C32="Hybrid car",$D32=5),$E32*'FR '!D$26,AND($C32="Electric motorcycle",$D32=1),$E32*'FR '!D$28,AND($C32="Electric motorcycle",$D32=2),$E32*'FR '!D$29,AND($C32="Electric bike",$D32=1),$E32*'FR '!D$31,AND($C32="Electric scooter",$D32=1),$E32*'FR '!D$33,AND($C32="Bus",$D32="Almost empty"),$E32*'FR '!I$23,AND($C32="Bus",$D32="Average"),$E32*'FR '!I$24,AND($C32="Bus",$D32="Nearly full"),$E32*'FR '!I$25,AND($C32="Electric bus",$D32="Almost empty"),$E32*'FR '!I$7,AND($C32="Electric bus",$D32="Average"),$E32*'FR '!I$8,AND($C32="Electric bus",$D32="Nearly full"),$E32*'FR '!I$9,AND($C32="Diesel bus",$D32="Almost empty"),$E32*'FR '!I$19,AND($C32="Diesel bus",$D32="Average"),$E32*'FR '!I$20,AND($C32="Diesel bus",$D32="Nearly full"),$E32*'FR '!I$21,AND($C32="Hybrid-electric bus",$D32="Almost empty"),$E32*'FR '!I$11,AND($C32="Hybrid-electric bus",$D32="Average"),$E32*'FR '!I$12,AND($C32="Hybrid-electric bus",$D32="Nearly full"),$E32*'FR '!I$13,AND($C32="Alternative fuel bus",$D32="Almost empty"),$E32*'FR '!I$15,AND($C32="Alternative fuel bus",$D32="Average"),$E32*'FR '!I$16,AND($C32="Alternative fuel bus",$D32="Nearly full"),$E32*'FR '!I$17,AND($C32="Metro, tram, urban light train",$D32="Almost empty"),$E32*'FR '!D$35,AND($C32="Metro, tram, urban light train",$D32="Average"),$E32*'FR '!D$36,AND($C32="Metro, tram, urban light train",$D32="Nearly full"),$E32*'FR '!D$37,AND($C32="Electric passenger train",$D32="Almost empty"),$E32*'FR '!D$39,AND($C32="Electric passenger train",$D32="Average"),$E32*'FR '!D$40,AND($C32="Electric passenger train",$D32="Nearly full"),$E32*'FR '!D$41,AND($C32="Diesel passenger train",$D32="Almost empty"),$E32*'FR '!D$47,AND($C32="Diesel passenger train",$D32="Average"),$E32*'FR '!D$48,AND($C32="Diesel passenger train",$D32="Nearly full"),$E32*'FR '!D$49,AND($C32="Walking"),$E32*0,AND($C32="Bike"),$E32*0,AND($C32="Plane - domestic flight"),$E32*'FR '!$C56,AND($C32="Plane - international - intra EU"),$E32*'FR '!$C58,AND($C32="Plane - international (extra EU)"),$E32*'FR '!$C60)</f>
        <v>#N/A</v>
      </c>
      <c r="H32" s="145"/>
      <c r="I32" s="148">
        <f t="shared" si="6"/>
        <v>0</v>
      </c>
      <c r="J32" s="146" t="e" cm="1">
        <f t="array" ref="J32">_xlfn.IFS(C32="Fuel car",C32*DATA!$C$17,C32="Electric car",C32*DATA!$F$13,C32="Hybrid car",I32*(0.5*DATA!$C$17+0.5*DATA!$F$13))</f>
        <v>#N/A</v>
      </c>
      <c r="L32" s="218"/>
      <c r="M32" s="219"/>
      <c r="N32" s="220"/>
    </row>
    <row r="33" spans="1:14" ht="14.5" customHeight="1" x14ac:dyDescent="0.2">
      <c r="A33" s="222"/>
      <c r="B33" s="30"/>
      <c r="C33" s="15"/>
      <c r="D33" s="15"/>
      <c r="E33" s="125"/>
      <c r="F33" s="128" t="e" cm="1">
        <f t="array" ref="F33">_xlfn.IFS(AND($C33="Fuel car",$D33=1),$E33*'FR '!C$7,AND($C33="Fuel car",$D33=2),$E33*'FR '!C$8,AND($C33="Fuel car",$D33=3),$E33*'FR '!C$9,AND($C33="Fuel car",$D33=4),$E33*'FR '!C$10,AND($C33="Fuel car",$D33=5),$E33*'FR '!C$11,AND($C33="Motorcycle",$D33=1),$E33*'FR '!C$13,AND($C33="Motorcycle",$D33=2),$E33*'FR '!C$14,AND($C33="Electric car",$D33=1),$E33*'FR '!C$16,AND($C33="Electric car",$D33=2),$E33*'FR '!C$17,AND($C33="Electric car",$D33=3),$E33*'FR '!C$18,AND($C33="Electric car",$D33=4),$E33*'FR '!C$19,AND($C33="Electric car",$D33=5),$E33*'FR '!C$20,AND($C33="Hybrid car",$D33=1),$E33*'FR '!C$22,AND($C33="Hybrid car",$D33=2),$E33*'FR '!C$23,AND($C33="Hybrid car",$D33=3),$E33*'FR '!C$24,AND($C33="Hybrid car",$D33=4),$E33*'FR '!C$25,AND($C33="Hybrid car",$D33=5),$E33*'FR '!C$26,AND($C33="Electric motorcycle",$D33=1),$E33*'FR '!C$28,AND($C33="Electric motorcycle",$D33=2),$E33*'FR '!C$29,AND($C33="Electric bike",$D33=1),$E33*'FR '!C$31,AND($C33="Electric scooter",$D33=1),$E33*'FR '!C$33,AND($C33="Bus",$D33="Almost empty"),$E33*'FR '!H$23,AND($C33="Bus",$D33="Average"),$E33*'FR '!H$24,AND($C33="Bus",$D33="Nearly full"),$E33*'FR '!H$25,AND($C33="Electric bus",$D33="Almost empty"),$E33*'FR '!H$7,AND($C33="Electric bus",$D33="Average"),$E33*'FR '!H$8,AND($C33="Electric bus",$D33="Nearly full"),$E33*'FR '!H$9,AND($C33="Diesel bus",$D33="Almost empty"),$E33*'FR '!H$19,AND($C33="Diesel bus",$D33="Average"),$E33*'FR '!H$20,AND($C33="Diesel bus",$D33="Nearly full"),$E33*'FR '!H$21,AND($C33="Hybrid-electric bus",$D33="Almost empty"),$E33*'FR '!H$11,AND($C33="Hybrid-electric bus",$D33="Average"),$E33*'FR '!H$12,AND($C33="Hybrid-electric bus",$D33="Nearly full"),$E33*'FR '!H$13,AND($C33="Alternative fuel bus",$D33="Almost empty"),$E33*'FR '!H$15,AND($C33="Alternative fuel bus",$D33="Average"),$E33*'FR '!H$16,AND($C33="Alternative fuel bus",$D33="Nearly full"),$E33*'FR '!H$17,AND($C33="Metro, tram, urban light train",$D33="Almost empty"),$E33*'FR '!C$35,AND($C33="Metro, tram, urban light train",$D33="Average"),$E33*'FR '!C$36,AND($C33="Metro, tram, urban light train",$D33="Nearly full"),$E33*'FR '!C$37,AND($C33="Electric passenger train",$D33="Almost empty"),$E33*'FR '!C$39,AND($C33="Electric passenger train",$D33="Average"),$E33*'FR '!C$40,AND($C33="Electric passenger train",$D33="Nearly full"),$E33*'FR '!C$41,AND($C33="Diesel passenger train",$D33="Almost empty"),$E33*'FR '!C$47,AND($C33="Diesel passenger train",$D33="Average"),$E33*'FR '!C$48,AND($C33="Diesel passenger train",$D33="Nearly full"),$E33*'FR '!C$49,AND($C33="Walking"),$E33*0,AND($C33="Bike"),$E33*0,AND($C33="Plane - domestic flight"),$E33*'FR '!$C57,AND($C33="Plane - international - intra EU"),$E33*'FR '!$C59,AND($C33="Plane - international (extra EU)"),$E33*'FR '!$C61)</f>
        <v>#N/A</v>
      </c>
      <c r="G33" s="31" t="e" cm="1">
        <f t="array" ref="G33">_xlfn.IFS(AND($C33="Fuel car",$D33=1),$E33*'FR '!D$7,AND($C33="Fuel car",$D33=2),$E33*'FR '!D$8,AND($C33="Fuel car",$D33=3),$E33*'FR '!D$9,AND($C33="Fuel car",$D33=4),$E33*'FR '!D$10,AND($C33="Fuel car",$D33=5),$E33*'FR '!D$11,AND($C33="Motorcycle",$D33=1),$E33*'FR '!D$13,AND($C33="Motorcycle",$D33=2),$E33*'FR '!D$14,AND($C33="Electric car",$D33=1),$E33*'FR '!D$16,AND($C33="Electric car",$D33=2),$E33*'FR '!D$17,AND($C33="Electric car",$D33=3),$E33*'FR '!D$18,AND($C33="Electric car",$D33=4),$E33*'FR '!D$19,AND($C33="Electric car",$D33=5),$E33*'FR '!D$20,AND($C33="Hybrid car",$D33=1),$E33*'FR '!D$22,AND($C33="Hybrid car",$D33=2),$E33*'FR '!D$23,AND($C33="Hybrid car",$D33=3),$E33*'FR '!D$24,AND($C33="Hybrid car",$D33=4),$E33*'FR '!D$25,AND($C33="Hybrid car",$D33=5),$E33*'FR '!D$26,AND($C33="Electric motorcycle",$D33=1),$E33*'FR '!D$28,AND($C33="Electric motorcycle",$D33=2),$E33*'FR '!D$29,AND($C33="Electric bike",$D33=1),$E33*'FR '!D$31,AND($C33="Electric scooter",$D33=1),$E33*'FR '!D$33,AND($C33="Bus",$D33="Almost empty"),$E33*'FR '!I$23,AND($C33="Bus",$D33="Average"),$E33*'FR '!I$24,AND($C33="Bus",$D33="Nearly full"),$E33*'FR '!I$25,AND($C33="Electric bus",$D33="Almost empty"),$E33*'FR '!I$7,AND($C33="Electric bus",$D33="Average"),$E33*'FR '!I$8,AND($C33="Electric bus",$D33="Nearly full"),$E33*'FR '!I$9,AND($C33="Diesel bus",$D33="Almost empty"),$E33*'FR '!I$19,AND($C33="Diesel bus",$D33="Average"),$E33*'FR '!I$20,AND($C33="Diesel bus",$D33="Nearly full"),$E33*'FR '!I$21,AND($C33="Hybrid-electric bus",$D33="Almost empty"),$E33*'FR '!I$11,AND($C33="Hybrid-electric bus",$D33="Average"),$E33*'FR '!I$12,AND($C33="Hybrid-electric bus",$D33="Nearly full"),$E33*'FR '!I$13,AND($C33="Alternative fuel bus",$D33="Almost empty"),$E33*'FR '!I$15,AND($C33="Alternative fuel bus",$D33="Average"),$E33*'FR '!I$16,AND($C33="Alternative fuel bus",$D33="Nearly full"),$E33*'FR '!I$17,AND($C33="Metro, tram, urban light train",$D33="Almost empty"),$E33*'FR '!D$35,AND($C33="Metro, tram, urban light train",$D33="Average"),$E33*'FR '!D$36,AND($C33="Metro, tram, urban light train",$D33="Nearly full"),$E33*'FR '!D$37,AND($C33="Electric passenger train",$D33="Almost empty"),$E33*'FR '!D$39,AND($C33="Electric passenger train",$D33="Average"),$E33*'FR '!D$40,AND($C33="Electric passenger train",$D33="Nearly full"),$E33*'FR '!D$41,AND($C33="Diesel passenger train",$D33="Almost empty"),$E33*'FR '!D$47,AND($C33="Diesel passenger train",$D33="Average"),$E33*'FR '!D$48,AND($C33="Diesel passenger train",$D33="Nearly full"),$E33*'FR '!D$49,AND($C33="Walking"),$E33*0,AND($C33="Bike"),$E33*0,AND($C33="Plane - domestic flight"),$E33*'FR '!$C57,AND($C33="Plane - international - intra EU"),$E33*'FR '!$C59,AND($C33="Plane - international (extra EU)"),$E33*'FR '!$C61)</f>
        <v>#N/A</v>
      </c>
      <c r="H33" s="145"/>
      <c r="I33" s="148">
        <f t="shared" si="6"/>
        <v>0</v>
      </c>
      <c r="J33" s="146" t="e" cm="1">
        <f t="array" ref="J33">_xlfn.IFS(C33="Fuel car",C33*DATA!$C$17,C33="Electric car",C33*DATA!$F$13,C33="Hybrid car",I33*(0.5*DATA!$C$17+0.5*DATA!$F$13))</f>
        <v>#N/A</v>
      </c>
      <c r="L33" s="223" t="s">
        <v>78</v>
      </c>
      <c r="M33" s="224"/>
      <c r="N33" s="225"/>
    </row>
    <row r="34" spans="1:14" x14ac:dyDescent="0.2">
      <c r="A34" s="222"/>
      <c r="B34" s="30"/>
      <c r="C34" s="15"/>
      <c r="D34" s="15"/>
      <c r="E34" s="125"/>
      <c r="F34" s="128" t="e" cm="1">
        <f t="array" ref="F34">_xlfn.IFS(AND($C34="Fuel car",$D34=1),$E34*'FR '!C$7,AND($C34="Fuel car",$D34=2),$E34*'FR '!C$8,AND($C34="Fuel car",$D34=3),$E34*'FR '!C$9,AND($C34="Fuel car",$D34=4),$E34*'FR '!C$10,AND($C34="Fuel car",$D34=5),$E34*'FR '!C$11,AND($C34="Motorcycle",$D34=1),$E34*'FR '!C$13,AND($C34="Motorcycle",$D34=2),$E34*'FR '!C$14,AND($C34="Electric car",$D34=1),$E34*'FR '!C$16,AND($C34="Electric car",$D34=2),$E34*'FR '!C$17,AND($C34="Electric car",$D34=3),$E34*'FR '!C$18,AND($C34="Electric car",$D34=4),$E34*'FR '!C$19,AND($C34="Electric car",$D34=5),$E34*'FR '!C$20,AND($C34="Hybrid car",$D34=1),$E34*'FR '!C$22,AND($C34="Hybrid car",$D34=2),$E34*'FR '!C$23,AND($C34="Hybrid car",$D34=3),$E34*'FR '!C$24,AND($C34="Hybrid car",$D34=4),$E34*'FR '!C$25,AND($C34="Hybrid car",$D34=5),$E34*'FR '!C$26,AND($C34="Electric motorcycle",$D34=1),$E34*'FR '!C$28,AND($C34="Electric motorcycle",$D34=2),$E34*'FR '!C$29,AND($C34="Electric bike",$D34=1),$E34*'FR '!C$31,AND($C34="Electric scooter",$D34=1),$E34*'FR '!C$33,AND($C34="Bus",$D34="Almost empty"),$E34*'FR '!H$23,AND($C34="Bus",$D34="Average"),$E34*'FR '!H$24,AND($C34="Bus",$D34="Nearly full"),$E34*'FR '!H$25,AND($C34="Electric bus",$D34="Almost empty"),$E34*'FR '!H$7,AND($C34="Electric bus",$D34="Average"),$E34*'FR '!H$8,AND($C34="Electric bus",$D34="Nearly full"),$E34*'FR '!H$9,AND($C34="Diesel bus",$D34="Almost empty"),$E34*'FR '!H$19,AND($C34="Diesel bus",$D34="Average"),$E34*'FR '!H$20,AND($C34="Diesel bus",$D34="Nearly full"),$E34*'FR '!H$21,AND($C34="Hybrid-electric bus",$D34="Almost empty"),$E34*'FR '!H$11,AND($C34="Hybrid-electric bus",$D34="Average"),$E34*'FR '!H$12,AND($C34="Hybrid-electric bus",$D34="Nearly full"),$E34*'FR '!H$13,AND($C34="Alternative fuel bus",$D34="Almost empty"),$E34*'FR '!H$15,AND($C34="Alternative fuel bus",$D34="Average"),$E34*'FR '!H$16,AND($C34="Alternative fuel bus",$D34="Nearly full"),$E34*'FR '!H$17,AND($C34="Metro, tram, urban light train",$D34="Almost empty"),$E34*'FR '!C$35,AND($C34="Metro, tram, urban light train",$D34="Average"),$E34*'FR '!C$36,AND($C34="Metro, tram, urban light train",$D34="Nearly full"),$E34*'FR '!C$37,AND($C34="Electric passenger train",$D34="Almost empty"),$E34*'FR '!C$39,AND($C34="Electric passenger train",$D34="Average"),$E34*'FR '!C$40,AND($C34="Electric passenger train",$D34="Nearly full"),$E34*'FR '!C$41,AND($C34="Diesel passenger train",$D34="Almost empty"),$E34*'FR '!C$47,AND($C34="Diesel passenger train",$D34="Average"),$E34*'FR '!C$48,AND($C34="Diesel passenger train",$D34="Nearly full"),$E34*'FR '!C$49,AND($C34="Walking"),$E34*0,AND($C34="Bike"),$E34*0,AND($C34="Plane - domestic flight"),$E34*'FR '!$C58,AND($C34="Plane - international - intra EU"),$E34*'FR '!$C60,AND($C34="Plane - international (extra EU)"),$E34*'FR '!$C62)</f>
        <v>#N/A</v>
      </c>
      <c r="G34" s="31" t="e" cm="1">
        <f t="array" ref="G34">_xlfn.IFS(AND($C34="Fuel car",$D34=1),$E34*'FR '!D$7,AND($C34="Fuel car",$D34=2),$E34*'FR '!D$8,AND($C34="Fuel car",$D34=3),$E34*'FR '!D$9,AND($C34="Fuel car",$D34=4),$E34*'FR '!D$10,AND($C34="Fuel car",$D34=5),$E34*'FR '!D$11,AND($C34="Motorcycle",$D34=1),$E34*'FR '!D$13,AND($C34="Motorcycle",$D34=2),$E34*'FR '!D$14,AND($C34="Electric car",$D34=1),$E34*'FR '!D$16,AND($C34="Electric car",$D34=2),$E34*'FR '!D$17,AND($C34="Electric car",$D34=3),$E34*'FR '!D$18,AND($C34="Electric car",$D34=4),$E34*'FR '!D$19,AND($C34="Electric car",$D34=5),$E34*'FR '!D$20,AND($C34="Hybrid car",$D34=1),$E34*'FR '!D$22,AND($C34="Hybrid car",$D34=2),$E34*'FR '!D$23,AND($C34="Hybrid car",$D34=3),$E34*'FR '!D$24,AND($C34="Hybrid car",$D34=4),$E34*'FR '!D$25,AND($C34="Hybrid car",$D34=5),$E34*'FR '!D$26,AND($C34="Electric motorcycle",$D34=1),$E34*'FR '!D$28,AND($C34="Electric motorcycle",$D34=2),$E34*'FR '!D$29,AND($C34="Electric bike",$D34=1),$E34*'FR '!D$31,AND($C34="Electric scooter",$D34=1),$E34*'FR '!D$33,AND($C34="Bus",$D34="Almost empty"),$E34*'FR '!I$23,AND($C34="Bus",$D34="Average"),$E34*'FR '!I$24,AND($C34="Bus",$D34="Nearly full"),$E34*'FR '!I$25,AND($C34="Electric bus",$D34="Almost empty"),$E34*'FR '!I$7,AND($C34="Electric bus",$D34="Average"),$E34*'FR '!I$8,AND($C34="Electric bus",$D34="Nearly full"),$E34*'FR '!I$9,AND($C34="Diesel bus",$D34="Almost empty"),$E34*'FR '!I$19,AND($C34="Diesel bus",$D34="Average"),$E34*'FR '!I$20,AND($C34="Diesel bus",$D34="Nearly full"),$E34*'FR '!I$21,AND($C34="Hybrid-electric bus",$D34="Almost empty"),$E34*'FR '!I$11,AND($C34="Hybrid-electric bus",$D34="Average"),$E34*'FR '!I$12,AND($C34="Hybrid-electric bus",$D34="Nearly full"),$E34*'FR '!I$13,AND($C34="Alternative fuel bus",$D34="Almost empty"),$E34*'FR '!I$15,AND($C34="Alternative fuel bus",$D34="Average"),$E34*'FR '!I$16,AND($C34="Alternative fuel bus",$D34="Nearly full"),$E34*'FR '!I$17,AND($C34="Metro, tram, urban light train",$D34="Almost empty"),$E34*'FR '!D$35,AND($C34="Metro, tram, urban light train",$D34="Average"),$E34*'FR '!D$36,AND($C34="Metro, tram, urban light train",$D34="Nearly full"),$E34*'FR '!D$37,AND($C34="Electric passenger train",$D34="Almost empty"),$E34*'FR '!D$39,AND($C34="Electric passenger train",$D34="Average"),$E34*'FR '!D$40,AND($C34="Electric passenger train",$D34="Nearly full"),$E34*'FR '!D$41,AND($C34="Diesel passenger train",$D34="Almost empty"),$E34*'FR '!D$47,AND($C34="Diesel passenger train",$D34="Average"),$E34*'FR '!D$48,AND($C34="Diesel passenger train",$D34="Nearly full"),$E34*'FR '!D$49,AND($C34="Walking"),$E34*0,AND($C34="Bike"),$E34*0,AND($C34="Plane - domestic flight"),$E34*'FR '!$C58,AND($C34="Plane - international - intra EU"),$E34*'FR '!$C60,AND($C34="Plane - international (extra EU)"),$E34*'FR '!$C62)</f>
        <v>#N/A</v>
      </c>
      <c r="H34" s="145"/>
      <c r="I34" s="148">
        <f t="shared" si="6"/>
        <v>0</v>
      </c>
      <c r="J34" s="146" t="e" cm="1">
        <f t="array" ref="J34">_xlfn.IFS(C34="Fuel car",C34*DATA!$C$17,C34="Electric car",C34*DATA!$F$13,C34="Hybrid car",I34*(0.5*DATA!$C$17+0.5*DATA!$F$13))</f>
        <v>#N/A</v>
      </c>
      <c r="L34" s="223"/>
      <c r="M34" s="224"/>
      <c r="N34" s="225"/>
    </row>
    <row r="35" spans="1:14" ht="14.5" customHeight="1" x14ac:dyDescent="0.2">
      <c r="A35" s="222"/>
      <c r="B35" s="30"/>
      <c r="C35" s="15"/>
      <c r="D35" s="15"/>
      <c r="E35" s="125"/>
      <c r="F35" s="128" t="e" cm="1">
        <f t="array" ref="F35">_xlfn.IFS(AND($C35="Fuel car",$D35=1),$E35*'FR '!C$7,AND($C35="Fuel car",$D35=2),$E35*'FR '!C$8,AND($C35="Fuel car",$D35=3),$E35*'FR '!C$9,AND($C35="Fuel car",$D35=4),$E35*'FR '!C$10,AND($C35="Fuel car",$D35=5),$E35*'FR '!C$11,AND($C35="Motorcycle",$D35=1),$E35*'FR '!C$13,AND($C35="Motorcycle",$D35=2),$E35*'FR '!C$14,AND($C35="Electric car",$D35=1),$E35*'FR '!C$16,AND($C35="Electric car",$D35=2),$E35*'FR '!C$17,AND($C35="Electric car",$D35=3),$E35*'FR '!C$18,AND($C35="Electric car",$D35=4),$E35*'FR '!C$19,AND($C35="Electric car",$D35=5),$E35*'FR '!C$20,AND($C35="Hybrid car",$D35=1),$E35*'FR '!C$22,AND($C35="Hybrid car",$D35=2),$E35*'FR '!C$23,AND($C35="Hybrid car",$D35=3),$E35*'FR '!C$24,AND($C35="Hybrid car",$D35=4),$E35*'FR '!C$25,AND($C35="Hybrid car",$D35=5),$E35*'FR '!C$26,AND($C35="Electric motorcycle",$D35=1),$E35*'FR '!C$28,AND($C35="Electric motorcycle",$D35=2),$E35*'FR '!C$29,AND($C35="Electric bike",$D35=1),$E35*'FR '!C$31,AND($C35="Electric scooter",$D35=1),$E35*'FR '!C$33,AND($C35="Bus",$D35="Almost empty"),$E35*'FR '!H$23,AND($C35="Bus",$D35="Average"),$E35*'FR '!H$24,AND($C35="Bus",$D35="Nearly full"),$E35*'FR '!H$25,AND($C35="Electric bus",$D35="Almost empty"),$E35*'FR '!H$7,AND($C35="Electric bus",$D35="Average"),$E35*'FR '!H$8,AND($C35="Electric bus",$D35="Nearly full"),$E35*'FR '!H$9,AND($C35="Diesel bus",$D35="Almost empty"),$E35*'FR '!H$19,AND($C35="Diesel bus",$D35="Average"),$E35*'FR '!H$20,AND($C35="Diesel bus",$D35="Nearly full"),$E35*'FR '!H$21,AND($C35="Hybrid-electric bus",$D35="Almost empty"),$E35*'FR '!H$11,AND($C35="Hybrid-electric bus",$D35="Average"),$E35*'FR '!H$12,AND($C35="Hybrid-electric bus",$D35="Nearly full"),$E35*'FR '!H$13,AND($C35="Alternative fuel bus",$D35="Almost empty"),$E35*'FR '!H$15,AND($C35="Alternative fuel bus",$D35="Average"),$E35*'FR '!H$16,AND($C35="Alternative fuel bus",$D35="Nearly full"),$E35*'FR '!H$17,AND($C35="Metro, tram, urban light train",$D35="Almost empty"),$E35*'FR '!C$35,AND($C35="Metro, tram, urban light train",$D35="Average"),$E35*'FR '!C$36,AND($C35="Metro, tram, urban light train",$D35="Nearly full"),$E35*'FR '!C$37,AND($C35="Electric passenger train",$D35="Almost empty"),$E35*'FR '!C$39,AND($C35="Electric passenger train",$D35="Average"),$E35*'FR '!C$40,AND($C35="Electric passenger train",$D35="Nearly full"),$E35*'FR '!C$41,AND($C35="Diesel passenger train",$D35="Almost empty"),$E35*'FR '!C$47,AND($C35="Diesel passenger train",$D35="Average"),$E35*'FR '!C$48,AND($C35="Diesel passenger train",$D35="Nearly full"),$E35*'FR '!C$49,AND($C35="Walking"),$E35*0,AND($C35="Bike"),$E35*0,AND($C35="Plane - domestic flight"),$E35*'FR '!$C59,AND($C35="Plane - international - intra EU"),$E35*'FR '!$C61,AND($C35="Plane - international (extra EU)"),$E35*'FR '!$C63)</f>
        <v>#N/A</v>
      </c>
      <c r="G35" s="31" t="e" cm="1">
        <f t="array" ref="G35">_xlfn.IFS(AND($C35="Fuel car",$D35=1),$E35*'FR '!D$7,AND($C35="Fuel car",$D35=2),$E35*'FR '!D$8,AND($C35="Fuel car",$D35=3),$E35*'FR '!D$9,AND($C35="Fuel car",$D35=4),$E35*'FR '!D$10,AND($C35="Fuel car",$D35=5),$E35*'FR '!D$11,AND($C35="Motorcycle",$D35=1),$E35*'FR '!D$13,AND($C35="Motorcycle",$D35=2),$E35*'FR '!D$14,AND($C35="Electric car",$D35=1),$E35*'FR '!D$16,AND($C35="Electric car",$D35=2),$E35*'FR '!D$17,AND($C35="Electric car",$D35=3),$E35*'FR '!D$18,AND($C35="Electric car",$D35=4),$E35*'FR '!D$19,AND($C35="Electric car",$D35=5),$E35*'FR '!D$20,AND($C35="Hybrid car",$D35=1),$E35*'FR '!D$22,AND($C35="Hybrid car",$D35=2),$E35*'FR '!D$23,AND($C35="Hybrid car",$D35=3),$E35*'FR '!D$24,AND($C35="Hybrid car",$D35=4),$E35*'FR '!D$25,AND($C35="Hybrid car",$D35=5),$E35*'FR '!D$26,AND($C35="Electric motorcycle",$D35=1),$E35*'FR '!D$28,AND($C35="Electric motorcycle",$D35=2),$E35*'FR '!D$29,AND($C35="Electric bike",$D35=1),$E35*'FR '!D$31,AND($C35="Electric scooter",$D35=1),$E35*'FR '!D$33,AND($C35="Bus",$D35="Almost empty"),$E35*'FR '!I$23,AND($C35="Bus",$D35="Average"),$E35*'FR '!I$24,AND($C35="Bus",$D35="Nearly full"),$E35*'FR '!I$25,AND($C35="Electric bus",$D35="Almost empty"),$E35*'FR '!I$7,AND($C35="Electric bus",$D35="Average"),$E35*'FR '!I$8,AND($C35="Electric bus",$D35="Nearly full"),$E35*'FR '!I$9,AND($C35="Diesel bus",$D35="Almost empty"),$E35*'FR '!I$19,AND($C35="Diesel bus",$D35="Average"),$E35*'FR '!I$20,AND($C35="Diesel bus",$D35="Nearly full"),$E35*'FR '!I$21,AND($C35="Hybrid-electric bus",$D35="Almost empty"),$E35*'FR '!I$11,AND($C35="Hybrid-electric bus",$D35="Average"),$E35*'FR '!I$12,AND($C35="Hybrid-electric bus",$D35="Nearly full"),$E35*'FR '!I$13,AND($C35="Alternative fuel bus",$D35="Almost empty"),$E35*'FR '!I$15,AND($C35="Alternative fuel bus",$D35="Average"),$E35*'FR '!I$16,AND($C35="Alternative fuel bus",$D35="Nearly full"),$E35*'FR '!I$17,AND($C35="Metro, tram, urban light train",$D35="Almost empty"),$E35*'FR '!D$35,AND($C35="Metro, tram, urban light train",$D35="Average"),$E35*'FR '!D$36,AND($C35="Metro, tram, urban light train",$D35="Nearly full"),$E35*'FR '!D$37,AND($C35="Electric passenger train",$D35="Almost empty"),$E35*'FR '!D$39,AND($C35="Electric passenger train",$D35="Average"),$E35*'FR '!D$40,AND($C35="Electric passenger train",$D35="Nearly full"),$E35*'FR '!D$41,AND($C35="Diesel passenger train",$D35="Almost empty"),$E35*'FR '!D$47,AND($C35="Diesel passenger train",$D35="Average"),$E35*'FR '!D$48,AND($C35="Diesel passenger train",$D35="Nearly full"),$E35*'FR '!D$49,AND($C35="Walking"),$E35*0,AND($C35="Bike"),$E35*0,AND($C35="Plane - domestic flight"),$E35*'FR '!$C59,AND($C35="Plane - international - intra EU"),$E35*'FR '!$C61,AND($C35="Plane - international (extra EU)"),$E35*'FR '!$C63)</f>
        <v>#N/A</v>
      </c>
      <c r="H35" s="145"/>
      <c r="I35" s="148">
        <f t="shared" si="6"/>
        <v>0</v>
      </c>
      <c r="J35" s="146" t="e" cm="1">
        <f t="array" ref="J35">_xlfn.IFS(C35="Fuel car",C35*DATA!$C$17,C35="Electric car",C35*DATA!$F$13,C35="Hybrid car",I35*(0.5*DATA!$C$17+0.5*DATA!$F$13))</f>
        <v>#N/A</v>
      </c>
      <c r="L35" s="223"/>
      <c r="M35" s="224"/>
      <c r="N35" s="225"/>
    </row>
    <row r="36" spans="1:14" ht="16" thickBot="1" x14ac:dyDescent="0.25">
      <c r="A36" s="222"/>
      <c r="B36" s="30"/>
      <c r="C36" s="15"/>
      <c r="D36" s="15"/>
      <c r="E36" s="125"/>
      <c r="F36" s="128" t="e" cm="1">
        <f t="array" ref="F36">_xlfn.IFS(AND($C36="Fuel car",$D36=1),$E36*'FR '!C$7,AND($C36="Fuel car",$D36=2),$E36*'FR '!C$8,AND($C36="Fuel car",$D36=3),$E36*'FR '!C$9,AND($C36="Fuel car",$D36=4),$E36*'FR '!C$10,AND($C36="Fuel car",$D36=5),$E36*'FR '!C$11,AND($C36="Motorcycle",$D36=1),$E36*'FR '!C$13,AND($C36="Motorcycle",$D36=2),$E36*'FR '!C$14,AND($C36="Electric car",$D36=1),$E36*'FR '!C$16,AND($C36="Electric car",$D36=2),$E36*'FR '!C$17,AND($C36="Electric car",$D36=3),$E36*'FR '!C$18,AND($C36="Electric car",$D36=4),$E36*'FR '!C$19,AND($C36="Electric car",$D36=5),$E36*'FR '!C$20,AND($C36="Hybrid car",$D36=1),$E36*'FR '!C$22,AND($C36="Hybrid car",$D36=2),$E36*'FR '!C$23,AND($C36="Hybrid car",$D36=3),$E36*'FR '!C$24,AND($C36="Hybrid car",$D36=4),$E36*'FR '!C$25,AND($C36="Hybrid car",$D36=5),$E36*'FR '!C$26,AND($C36="Electric motorcycle",$D36=1),$E36*'FR '!C$28,AND($C36="Electric motorcycle",$D36=2),$E36*'FR '!C$29,AND($C36="Electric bike",$D36=1),$E36*'FR '!C$31,AND($C36="Electric scooter",$D36=1),$E36*'FR '!C$33,AND($C36="Bus",$D36="Almost empty"),$E36*'FR '!H$23,AND($C36="Bus",$D36="Average"),$E36*'FR '!H$24,AND($C36="Bus",$D36="Nearly full"),$E36*'FR '!H$25,AND($C36="Electric bus",$D36="Almost empty"),$E36*'FR '!H$7,AND($C36="Electric bus",$D36="Average"),$E36*'FR '!H$8,AND($C36="Electric bus",$D36="Nearly full"),$E36*'FR '!H$9,AND($C36="Diesel bus",$D36="Almost empty"),$E36*'FR '!H$19,AND($C36="Diesel bus",$D36="Average"),$E36*'FR '!H$20,AND($C36="Diesel bus",$D36="Nearly full"),$E36*'FR '!H$21,AND($C36="Hybrid-electric bus",$D36="Almost empty"),$E36*'FR '!H$11,AND($C36="Hybrid-electric bus",$D36="Average"),$E36*'FR '!H$12,AND($C36="Hybrid-electric bus",$D36="Nearly full"),$E36*'FR '!H$13,AND($C36="Alternative fuel bus",$D36="Almost empty"),$E36*'FR '!H$15,AND($C36="Alternative fuel bus",$D36="Average"),$E36*'FR '!H$16,AND($C36="Alternative fuel bus",$D36="Nearly full"),$E36*'FR '!H$17,AND($C36="Metro, tram, urban light train",$D36="Almost empty"),$E36*'FR '!C$35,AND($C36="Metro, tram, urban light train",$D36="Average"),$E36*'FR '!C$36,AND($C36="Metro, tram, urban light train",$D36="Nearly full"),$E36*'FR '!C$37,AND($C36="Electric passenger train",$D36="Almost empty"),$E36*'FR '!C$39,AND($C36="Electric passenger train",$D36="Average"),$E36*'FR '!C$40,AND($C36="Electric passenger train",$D36="Nearly full"),$E36*'FR '!C$41,AND($C36="Diesel passenger train",$D36="Almost empty"),$E36*'FR '!C$47,AND($C36="Diesel passenger train",$D36="Average"),$E36*'FR '!C$48,AND($C36="Diesel passenger train",$D36="Nearly full"),$E36*'FR '!C$49,AND($C36="Walking"),$E36*0,AND($C36="Bike"),$E36*0,AND($C36="Plane - domestic flight"),$E36*'FR '!$C60,AND($C36="Plane - international - intra EU"),$E36*'FR '!$C62,AND($C36="Plane - international (extra EU)"),$E36*'FR '!$C64)</f>
        <v>#N/A</v>
      </c>
      <c r="G36" s="31" t="e" cm="1">
        <f t="array" ref="G36">_xlfn.IFS(AND($C36="Fuel car",$D36=1),$E36*'FR '!D$7,AND($C36="Fuel car",$D36=2),$E36*'FR '!D$8,AND($C36="Fuel car",$D36=3),$E36*'FR '!D$9,AND($C36="Fuel car",$D36=4),$E36*'FR '!D$10,AND($C36="Fuel car",$D36=5),$E36*'FR '!D$11,AND($C36="Motorcycle",$D36=1),$E36*'FR '!D$13,AND($C36="Motorcycle",$D36=2),$E36*'FR '!D$14,AND($C36="Electric car",$D36=1),$E36*'FR '!D$16,AND($C36="Electric car",$D36=2),$E36*'FR '!D$17,AND($C36="Electric car",$D36=3),$E36*'FR '!D$18,AND($C36="Electric car",$D36=4),$E36*'FR '!D$19,AND($C36="Electric car",$D36=5),$E36*'FR '!D$20,AND($C36="Hybrid car",$D36=1),$E36*'FR '!D$22,AND($C36="Hybrid car",$D36=2),$E36*'FR '!D$23,AND($C36="Hybrid car",$D36=3),$E36*'FR '!D$24,AND($C36="Hybrid car",$D36=4),$E36*'FR '!D$25,AND($C36="Hybrid car",$D36=5),$E36*'FR '!D$26,AND($C36="Electric motorcycle",$D36=1),$E36*'FR '!D$28,AND($C36="Electric motorcycle",$D36=2),$E36*'FR '!D$29,AND($C36="Electric bike",$D36=1),$E36*'FR '!D$31,AND($C36="Electric scooter",$D36=1),$E36*'FR '!D$33,AND($C36="Bus",$D36="Almost empty"),$E36*'FR '!I$23,AND($C36="Bus",$D36="Average"),$E36*'FR '!I$24,AND($C36="Bus",$D36="Nearly full"),$E36*'FR '!I$25,AND($C36="Electric bus",$D36="Almost empty"),$E36*'FR '!I$7,AND($C36="Electric bus",$D36="Average"),$E36*'FR '!I$8,AND($C36="Electric bus",$D36="Nearly full"),$E36*'FR '!I$9,AND($C36="Diesel bus",$D36="Almost empty"),$E36*'FR '!I$19,AND($C36="Diesel bus",$D36="Average"),$E36*'FR '!I$20,AND($C36="Diesel bus",$D36="Nearly full"),$E36*'FR '!I$21,AND($C36="Hybrid-electric bus",$D36="Almost empty"),$E36*'FR '!I$11,AND($C36="Hybrid-electric bus",$D36="Average"),$E36*'FR '!I$12,AND($C36="Hybrid-electric bus",$D36="Nearly full"),$E36*'FR '!I$13,AND($C36="Alternative fuel bus",$D36="Almost empty"),$E36*'FR '!I$15,AND($C36="Alternative fuel bus",$D36="Average"),$E36*'FR '!I$16,AND($C36="Alternative fuel bus",$D36="Nearly full"),$E36*'FR '!I$17,AND($C36="Metro, tram, urban light train",$D36="Almost empty"),$E36*'FR '!D$35,AND($C36="Metro, tram, urban light train",$D36="Average"),$E36*'FR '!D$36,AND($C36="Metro, tram, urban light train",$D36="Nearly full"),$E36*'FR '!D$37,AND($C36="Electric passenger train",$D36="Almost empty"),$E36*'FR '!D$39,AND($C36="Electric passenger train",$D36="Average"),$E36*'FR '!D$40,AND($C36="Electric passenger train",$D36="Nearly full"),$E36*'FR '!D$41,AND($C36="Diesel passenger train",$D36="Almost empty"),$E36*'FR '!D$47,AND($C36="Diesel passenger train",$D36="Average"),$E36*'FR '!D$48,AND($C36="Diesel passenger train",$D36="Nearly full"),$E36*'FR '!D$49,AND($C36="Walking"),$E36*0,AND($C36="Bike"),$E36*0,AND($C36="Plane - domestic flight"),$E36*'FR '!$C60,AND($C36="Plane - international - intra EU"),$E36*'FR '!$C62,AND($C36="Plane - international (extra EU)"),$E36*'FR '!$C64)</f>
        <v>#N/A</v>
      </c>
      <c r="H36" s="145"/>
      <c r="I36" s="148">
        <f t="shared" si="6"/>
        <v>0</v>
      </c>
      <c r="J36" s="146" t="e" cm="1">
        <f t="array" ref="J36">_xlfn.IFS(C36="Fuel car",C36*DATA!$C$17,C36="Electric car",C36*DATA!$F$13,C36="Hybrid car",I36*(0.5*DATA!$C$17+0.5*DATA!$F$13))</f>
        <v>#N/A</v>
      </c>
      <c r="L36" s="218"/>
      <c r="M36" s="219"/>
      <c r="N36" s="220"/>
    </row>
    <row r="37" spans="1:14" ht="14.5" customHeight="1" x14ac:dyDescent="0.2">
      <c r="A37" s="222"/>
      <c r="B37" s="30"/>
      <c r="C37" s="15"/>
      <c r="D37" s="15"/>
      <c r="E37" s="125"/>
      <c r="F37" s="128" t="e" cm="1">
        <f t="array" ref="F37">_xlfn.IFS(AND($C37="Fuel car",$D37=1),$E37*'FR '!C$7,AND($C37="Fuel car",$D37=2),$E37*'FR '!C$8,AND($C37="Fuel car",$D37=3),$E37*'FR '!C$9,AND($C37="Fuel car",$D37=4),$E37*'FR '!C$10,AND($C37="Fuel car",$D37=5),$E37*'FR '!C$11,AND($C37="Motorcycle",$D37=1),$E37*'FR '!C$13,AND($C37="Motorcycle",$D37=2),$E37*'FR '!C$14,AND($C37="Electric car",$D37=1),$E37*'FR '!C$16,AND($C37="Electric car",$D37=2),$E37*'FR '!C$17,AND($C37="Electric car",$D37=3),$E37*'FR '!C$18,AND($C37="Electric car",$D37=4),$E37*'FR '!C$19,AND($C37="Electric car",$D37=5),$E37*'FR '!C$20,AND($C37="Hybrid car",$D37=1),$E37*'FR '!C$22,AND($C37="Hybrid car",$D37=2),$E37*'FR '!C$23,AND($C37="Hybrid car",$D37=3),$E37*'FR '!C$24,AND($C37="Hybrid car",$D37=4),$E37*'FR '!C$25,AND($C37="Hybrid car",$D37=5),$E37*'FR '!C$26,AND($C37="Electric motorcycle",$D37=1),$E37*'FR '!C$28,AND($C37="Electric motorcycle",$D37=2),$E37*'FR '!C$29,AND($C37="Electric bike",$D37=1),$E37*'FR '!C$31,AND($C37="Electric scooter",$D37=1),$E37*'FR '!C$33,AND($C37="Bus",$D37="Almost empty"),$E37*'FR '!H$23,AND($C37="Bus",$D37="Average"),$E37*'FR '!H$24,AND($C37="Bus",$D37="Nearly full"),$E37*'FR '!H$25,AND($C37="Electric bus",$D37="Almost empty"),$E37*'FR '!H$7,AND($C37="Electric bus",$D37="Average"),$E37*'FR '!H$8,AND($C37="Electric bus",$D37="Nearly full"),$E37*'FR '!H$9,AND($C37="Diesel bus",$D37="Almost empty"),$E37*'FR '!H$19,AND($C37="Diesel bus",$D37="Average"),$E37*'FR '!H$20,AND($C37="Diesel bus",$D37="Nearly full"),$E37*'FR '!H$21,AND($C37="Hybrid-electric bus",$D37="Almost empty"),$E37*'FR '!H$11,AND($C37="Hybrid-electric bus",$D37="Average"),$E37*'FR '!H$12,AND($C37="Hybrid-electric bus",$D37="Nearly full"),$E37*'FR '!H$13,AND($C37="Alternative fuel bus",$D37="Almost empty"),$E37*'FR '!H$15,AND($C37="Alternative fuel bus",$D37="Average"),$E37*'FR '!H$16,AND($C37="Alternative fuel bus",$D37="Nearly full"),$E37*'FR '!H$17,AND($C37="Metro, tram, urban light train",$D37="Almost empty"),$E37*'FR '!C$35,AND($C37="Metro, tram, urban light train",$D37="Average"),$E37*'FR '!C$36,AND($C37="Metro, tram, urban light train",$D37="Nearly full"),$E37*'FR '!C$37,AND($C37="Electric passenger train",$D37="Almost empty"),$E37*'FR '!C$39,AND($C37="Electric passenger train",$D37="Average"),$E37*'FR '!C$40,AND($C37="Electric passenger train",$D37="Nearly full"),$E37*'FR '!C$41,AND($C37="Diesel passenger train",$D37="Almost empty"),$E37*'FR '!C$47,AND($C37="Diesel passenger train",$D37="Average"),$E37*'FR '!C$48,AND($C37="Diesel passenger train",$D37="Nearly full"),$E37*'FR '!C$49,AND($C37="Walking"),$E37*0,AND($C37="Bike"),$E37*0,AND($C37="Plane - domestic flight"),$E37*'FR '!$C61,AND($C37="Plane - international - intra EU"),$E37*'FR '!$C63,AND($C37="Plane - international (extra EU)"),$E37*'FR '!$C65)</f>
        <v>#N/A</v>
      </c>
      <c r="G37" s="31" t="e" cm="1">
        <f t="array" ref="G37">_xlfn.IFS(AND($C37="Fuel car",$D37=1),$E37*'FR '!D$7,AND($C37="Fuel car",$D37=2),$E37*'FR '!D$8,AND($C37="Fuel car",$D37=3),$E37*'FR '!D$9,AND($C37="Fuel car",$D37=4),$E37*'FR '!D$10,AND($C37="Fuel car",$D37=5),$E37*'FR '!D$11,AND($C37="Motorcycle",$D37=1),$E37*'FR '!D$13,AND($C37="Motorcycle",$D37=2),$E37*'FR '!D$14,AND($C37="Electric car",$D37=1),$E37*'FR '!D$16,AND($C37="Electric car",$D37=2),$E37*'FR '!D$17,AND($C37="Electric car",$D37=3),$E37*'FR '!D$18,AND($C37="Electric car",$D37=4),$E37*'FR '!D$19,AND($C37="Electric car",$D37=5),$E37*'FR '!D$20,AND($C37="Hybrid car",$D37=1),$E37*'FR '!D$22,AND($C37="Hybrid car",$D37=2),$E37*'FR '!D$23,AND($C37="Hybrid car",$D37=3),$E37*'FR '!D$24,AND($C37="Hybrid car",$D37=4),$E37*'FR '!D$25,AND($C37="Hybrid car",$D37=5),$E37*'FR '!D$26,AND($C37="Electric motorcycle",$D37=1),$E37*'FR '!D$28,AND($C37="Electric motorcycle",$D37=2),$E37*'FR '!D$29,AND($C37="Electric bike",$D37=1),$E37*'FR '!D$31,AND($C37="Electric scooter",$D37=1),$E37*'FR '!D$33,AND($C37="Bus",$D37="Almost empty"),$E37*'FR '!I$23,AND($C37="Bus",$D37="Average"),$E37*'FR '!I$24,AND($C37="Bus",$D37="Nearly full"),$E37*'FR '!I$25,AND($C37="Electric bus",$D37="Almost empty"),$E37*'FR '!I$7,AND($C37="Electric bus",$D37="Average"),$E37*'FR '!I$8,AND($C37="Electric bus",$D37="Nearly full"),$E37*'FR '!I$9,AND($C37="Diesel bus",$D37="Almost empty"),$E37*'FR '!I$19,AND($C37="Diesel bus",$D37="Average"),$E37*'FR '!I$20,AND($C37="Diesel bus",$D37="Nearly full"),$E37*'FR '!I$21,AND($C37="Hybrid-electric bus",$D37="Almost empty"),$E37*'FR '!I$11,AND($C37="Hybrid-electric bus",$D37="Average"),$E37*'FR '!I$12,AND($C37="Hybrid-electric bus",$D37="Nearly full"),$E37*'FR '!I$13,AND($C37="Alternative fuel bus",$D37="Almost empty"),$E37*'FR '!I$15,AND($C37="Alternative fuel bus",$D37="Average"),$E37*'FR '!I$16,AND($C37="Alternative fuel bus",$D37="Nearly full"),$E37*'FR '!I$17,AND($C37="Metro, tram, urban light train",$D37="Almost empty"),$E37*'FR '!D$35,AND($C37="Metro, tram, urban light train",$D37="Average"),$E37*'FR '!D$36,AND($C37="Metro, tram, urban light train",$D37="Nearly full"),$E37*'FR '!D$37,AND($C37="Electric passenger train",$D37="Almost empty"),$E37*'FR '!D$39,AND($C37="Electric passenger train",$D37="Average"),$E37*'FR '!D$40,AND($C37="Electric passenger train",$D37="Nearly full"),$E37*'FR '!D$41,AND($C37="Diesel passenger train",$D37="Almost empty"),$E37*'FR '!D$47,AND($C37="Diesel passenger train",$D37="Average"),$E37*'FR '!D$48,AND($C37="Diesel passenger train",$D37="Nearly full"),$E37*'FR '!D$49,AND($C37="Walking"),$E37*0,AND($C37="Bike"),$E37*0,AND($C37="Plane - domestic flight"),$E37*'FR '!$C61,AND($C37="Plane - international - intra EU"),$E37*'FR '!$C63,AND($C37="Plane - international (extra EU)"),$E37*'FR '!$C65)</f>
        <v>#N/A</v>
      </c>
      <c r="H37" s="145"/>
      <c r="I37" s="148">
        <f t="shared" si="6"/>
        <v>0</v>
      </c>
      <c r="J37" s="146" t="e" cm="1">
        <f t="array" ref="J37">_xlfn.IFS(C37="Fuel car",C37*DATA!$C$17,C37="Electric car",C37*DATA!$F$13,C37="Hybrid car",I37*(0.5*DATA!$C$17+0.5*DATA!$F$13))</f>
        <v>#N/A</v>
      </c>
      <c r="L37" s="215" t="s">
        <v>79</v>
      </c>
      <c r="M37" s="216"/>
      <c r="N37" s="217"/>
    </row>
    <row r="38" spans="1:14" ht="16" thickBot="1" x14ac:dyDescent="0.25">
      <c r="A38" s="222"/>
      <c r="B38" s="30"/>
      <c r="C38" s="15"/>
      <c r="D38" s="15"/>
      <c r="E38" s="125"/>
      <c r="F38" s="128" t="e" cm="1">
        <f t="array" ref="F38">_xlfn.IFS(AND($C38="Fuel car",$D38=1),$E38*'FR '!C$7,AND($C38="Fuel car",$D38=2),$E38*'FR '!C$8,AND($C38="Fuel car",$D38=3),$E38*'FR '!C$9,AND($C38="Fuel car",$D38=4),$E38*'FR '!C$10,AND($C38="Fuel car",$D38=5),$E38*'FR '!C$11,AND($C38="Motorcycle",$D38=1),$E38*'FR '!C$13,AND($C38="Motorcycle",$D38=2),$E38*'FR '!C$14,AND($C38="Electric car",$D38=1),$E38*'FR '!C$16,AND($C38="Electric car",$D38=2),$E38*'FR '!C$17,AND($C38="Electric car",$D38=3),$E38*'FR '!C$18,AND($C38="Electric car",$D38=4),$E38*'FR '!C$19,AND($C38="Electric car",$D38=5),$E38*'FR '!C$20,AND($C38="Hybrid car",$D38=1),$E38*'FR '!C$22,AND($C38="Hybrid car",$D38=2),$E38*'FR '!C$23,AND($C38="Hybrid car",$D38=3),$E38*'FR '!C$24,AND($C38="Hybrid car",$D38=4),$E38*'FR '!C$25,AND($C38="Hybrid car",$D38=5),$E38*'FR '!C$26,AND($C38="Electric motorcycle",$D38=1),$E38*'FR '!C$28,AND($C38="Electric motorcycle",$D38=2),$E38*'FR '!C$29,AND($C38="Electric bike",$D38=1),$E38*'FR '!C$31,AND($C38="Electric scooter",$D38=1),$E38*'FR '!C$33,AND($C38="Bus",$D38="Almost empty"),$E38*'FR '!H$23,AND($C38="Bus",$D38="Average"),$E38*'FR '!H$24,AND($C38="Bus",$D38="Nearly full"),$E38*'FR '!H$25,AND($C38="Electric bus",$D38="Almost empty"),$E38*'FR '!H$7,AND($C38="Electric bus",$D38="Average"),$E38*'FR '!H$8,AND($C38="Electric bus",$D38="Nearly full"),$E38*'FR '!H$9,AND($C38="Diesel bus",$D38="Almost empty"),$E38*'FR '!H$19,AND($C38="Diesel bus",$D38="Average"),$E38*'FR '!H$20,AND($C38="Diesel bus",$D38="Nearly full"),$E38*'FR '!H$21,AND($C38="Hybrid-electric bus",$D38="Almost empty"),$E38*'FR '!H$11,AND($C38="Hybrid-electric bus",$D38="Average"),$E38*'FR '!H$12,AND($C38="Hybrid-electric bus",$D38="Nearly full"),$E38*'FR '!H$13,AND($C38="Alternative fuel bus",$D38="Almost empty"),$E38*'FR '!H$15,AND($C38="Alternative fuel bus",$D38="Average"),$E38*'FR '!H$16,AND($C38="Alternative fuel bus",$D38="Nearly full"),$E38*'FR '!H$17,AND($C38="Metro, tram, urban light train",$D38="Almost empty"),$E38*'FR '!C$35,AND($C38="Metro, tram, urban light train",$D38="Average"),$E38*'FR '!C$36,AND($C38="Metro, tram, urban light train",$D38="Nearly full"),$E38*'FR '!C$37,AND($C38="Electric passenger train",$D38="Almost empty"),$E38*'FR '!C$39,AND($C38="Electric passenger train",$D38="Average"),$E38*'FR '!C$40,AND($C38="Electric passenger train",$D38="Nearly full"),$E38*'FR '!C$41,AND($C38="Diesel passenger train",$D38="Almost empty"),$E38*'FR '!C$47,AND($C38="Diesel passenger train",$D38="Average"),$E38*'FR '!C$48,AND($C38="Diesel passenger train",$D38="Nearly full"),$E38*'FR '!C$49,AND($C38="Walking"),$E38*0,AND($C38="Bike"),$E38*0,AND($C38="Plane - domestic flight"),$E38*'FR '!$C62,AND($C38="Plane - international - intra EU"),$E38*'FR '!$C64,AND($C38="Plane - international (extra EU)"),$E38*'FR '!$C66)</f>
        <v>#N/A</v>
      </c>
      <c r="G38" s="31" t="e" cm="1">
        <f t="array" ref="G38">_xlfn.IFS(AND($C38="Fuel car",$D38=1),$E38*'FR '!D$7,AND($C38="Fuel car",$D38=2),$E38*'FR '!D$8,AND($C38="Fuel car",$D38=3),$E38*'FR '!D$9,AND($C38="Fuel car",$D38=4),$E38*'FR '!D$10,AND($C38="Fuel car",$D38=5),$E38*'FR '!D$11,AND($C38="Motorcycle",$D38=1),$E38*'FR '!D$13,AND($C38="Motorcycle",$D38=2),$E38*'FR '!D$14,AND($C38="Electric car",$D38=1),$E38*'FR '!D$16,AND($C38="Electric car",$D38=2),$E38*'FR '!D$17,AND($C38="Electric car",$D38=3),$E38*'FR '!D$18,AND($C38="Electric car",$D38=4),$E38*'FR '!D$19,AND($C38="Electric car",$D38=5),$E38*'FR '!D$20,AND($C38="Hybrid car",$D38=1),$E38*'FR '!D$22,AND($C38="Hybrid car",$D38=2),$E38*'FR '!D$23,AND($C38="Hybrid car",$D38=3),$E38*'FR '!D$24,AND($C38="Hybrid car",$D38=4),$E38*'FR '!D$25,AND($C38="Hybrid car",$D38=5),$E38*'FR '!D$26,AND($C38="Electric motorcycle",$D38=1),$E38*'FR '!D$28,AND($C38="Electric motorcycle",$D38=2),$E38*'FR '!D$29,AND($C38="Electric bike",$D38=1),$E38*'FR '!D$31,AND($C38="Electric scooter",$D38=1),$E38*'FR '!D$33,AND($C38="Bus",$D38="Almost empty"),$E38*'FR '!I$23,AND($C38="Bus",$D38="Average"),$E38*'FR '!I$24,AND($C38="Bus",$D38="Nearly full"),$E38*'FR '!I$25,AND($C38="Electric bus",$D38="Almost empty"),$E38*'FR '!I$7,AND($C38="Electric bus",$D38="Average"),$E38*'FR '!I$8,AND($C38="Electric bus",$D38="Nearly full"),$E38*'FR '!I$9,AND($C38="Diesel bus",$D38="Almost empty"),$E38*'FR '!I$19,AND($C38="Diesel bus",$D38="Average"),$E38*'FR '!I$20,AND($C38="Diesel bus",$D38="Nearly full"),$E38*'FR '!I$21,AND($C38="Hybrid-electric bus",$D38="Almost empty"),$E38*'FR '!I$11,AND($C38="Hybrid-electric bus",$D38="Average"),$E38*'FR '!I$12,AND($C38="Hybrid-electric bus",$D38="Nearly full"),$E38*'FR '!I$13,AND($C38="Alternative fuel bus",$D38="Almost empty"),$E38*'FR '!I$15,AND($C38="Alternative fuel bus",$D38="Average"),$E38*'FR '!I$16,AND($C38="Alternative fuel bus",$D38="Nearly full"),$E38*'FR '!I$17,AND($C38="Metro, tram, urban light train",$D38="Almost empty"),$E38*'FR '!D$35,AND($C38="Metro, tram, urban light train",$D38="Average"),$E38*'FR '!D$36,AND($C38="Metro, tram, urban light train",$D38="Nearly full"),$E38*'FR '!D$37,AND($C38="Electric passenger train",$D38="Almost empty"),$E38*'FR '!D$39,AND($C38="Electric passenger train",$D38="Average"),$E38*'FR '!D$40,AND($C38="Electric passenger train",$D38="Nearly full"),$E38*'FR '!D$41,AND($C38="Diesel passenger train",$D38="Almost empty"),$E38*'FR '!D$47,AND($C38="Diesel passenger train",$D38="Average"),$E38*'FR '!D$48,AND($C38="Diesel passenger train",$D38="Nearly full"),$E38*'FR '!D$49,AND($C38="Walking"),$E38*0,AND($C38="Bike"),$E38*0,AND($C38="Plane - domestic flight"),$E38*'FR '!$C62,AND($C38="Plane - international - intra EU"),$E38*'FR '!$C64,AND($C38="Plane - international (extra EU)"),$E38*'FR '!$C66)</f>
        <v>#N/A</v>
      </c>
      <c r="H38" s="145"/>
      <c r="I38" s="148">
        <f t="shared" si="6"/>
        <v>0</v>
      </c>
      <c r="J38" s="146" t="e" cm="1">
        <f t="array" ref="J38">_xlfn.IFS(C38="Fuel car",C38*DATA!$C$17,C38="Electric car",C38*DATA!$F$13,C38="Hybrid car",I38*(0.5*DATA!$C$17+0.5*DATA!$F$13))</f>
        <v>#N/A</v>
      </c>
      <c r="L38" s="218"/>
      <c r="M38" s="219"/>
      <c r="N38" s="220"/>
    </row>
    <row r="39" spans="1:14" ht="14.5" customHeight="1" x14ac:dyDescent="0.2">
      <c r="A39" s="222"/>
      <c r="B39" s="30"/>
      <c r="C39" s="15"/>
      <c r="D39" s="15"/>
      <c r="E39" s="125"/>
      <c r="F39" s="128" t="e" cm="1">
        <f t="array" ref="F39">_xlfn.IFS(AND($C39="Fuel car",$D39=1),$E39*'FR '!C$7,AND($C39="Fuel car",$D39=2),$E39*'FR '!C$8,AND($C39="Fuel car",$D39=3),$E39*'FR '!C$9,AND($C39="Fuel car",$D39=4),$E39*'FR '!C$10,AND($C39="Fuel car",$D39=5),$E39*'FR '!C$11,AND($C39="Motorcycle",$D39=1),$E39*'FR '!C$13,AND($C39="Motorcycle",$D39=2),$E39*'FR '!C$14,AND($C39="Electric car",$D39=1),$E39*'FR '!C$16,AND($C39="Electric car",$D39=2),$E39*'FR '!C$17,AND($C39="Electric car",$D39=3),$E39*'FR '!C$18,AND($C39="Electric car",$D39=4),$E39*'FR '!C$19,AND($C39="Electric car",$D39=5),$E39*'FR '!C$20,AND($C39="Hybrid car",$D39=1),$E39*'FR '!C$22,AND($C39="Hybrid car",$D39=2),$E39*'FR '!C$23,AND($C39="Hybrid car",$D39=3),$E39*'FR '!C$24,AND($C39="Hybrid car",$D39=4),$E39*'FR '!C$25,AND($C39="Hybrid car",$D39=5),$E39*'FR '!C$26,AND($C39="Electric motorcycle",$D39=1),$E39*'FR '!C$28,AND($C39="Electric motorcycle",$D39=2),$E39*'FR '!C$29,AND($C39="Electric bike",$D39=1),$E39*'FR '!C$31,AND($C39="Electric scooter",$D39=1),$E39*'FR '!C$33,AND($C39="Bus",$D39="Almost empty"),$E39*'FR '!H$23,AND($C39="Bus",$D39="Average"),$E39*'FR '!H$24,AND($C39="Bus",$D39="Nearly full"),$E39*'FR '!H$25,AND($C39="Electric bus",$D39="Almost empty"),$E39*'FR '!H$7,AND($C39="Electric bus",$D39="Average"),$E39*'FR '!H$8,AND($C39="Electric bus",$D39="Nearly full"),$E39*'FR '!H$9,AND($C39="Diesel bus",$D39="Almost empty"),$E39*'FR '!H$19,AND($C39="Diesel bus",$D39="Average"),$E39*'FR '!H$20,AND($C39="Diesel bus",$D39="Nearly full"),$E39*'FR '!H$21,AND($C39="Hybrid-electric bus",$D39="Almost empty"),$E39*'FR '!H$11,AND($C39="Hybrid-electric bus",$D39="Average"),$E39*'FR '!H$12,AND($C39="Hybrid-electric bus",$D39="Nearly full"),$E39*'FR '!H$13,AND($C39="Alternative fuel bus",$D39="Almost empty"),$E39*'FR '!H$15,AND($C39="Alternative fuel bus",$D39="Average"),$E39*'FR '!H$16,AND($C39="Alternative fuel bus",$D39="Nearly full"),$E39*'FR '!H$17,AND($C39="Metro, tram, urban light train",$D39="Almost empty"),$E39*'FR '!C$35,AND($C39="Metro, tram, urban light train",$D39="Average"),$E39*'FR '!C$36,AND($C39="Metro, tram, urban light train",$D39="Nearly full"),$E39*'FR '!C$37,AND($C39="Electric passenger train",$D39="Almost empty"),$E39*'FR '!C$39,AND($C39="Electric passenger train",$D39="Average"),$E39*'FR '!C$40,AND($C39="Electric passenger train",$D39="Nearly full"),$E39*'FR '!C$41,AND($C39="Diesel passenger train",$D39="Almost empty"),$E39*'FR '!C$47,AND($C39="Diesel passenger train",$D39="Average"),$E39*'FR '!C$48,AND($C39="Diesel passenger train",$D39="Nearly full"),$E39*'FR '!C$49,AND($C39="Walking"),$E39*0,AND($C39="Bike"),$E39*0,AND($C39="Plane - domestic flight"),$E39*'FR '!$C63,AND($C39="Plane - international - intra EU"),$E39*'FR '!$C65,AND($C39="Plane - international (extra EU)"),$E39*'FR '!$C67)</f>
        <v>#N/A</v>
      </c>
      <c r="G39" s="31" t="e" cm="1">
        <f t="array" ref="G39">_xlfn.IFS(AND($C39="Fuel car",$D39=1),$E39*'FR '!D$7,AND($C39="Fuel car",$D39=2),$E39*'FR '!D$8,AND($C39="Fuel car",$D39=3),$E39*'FR '!D$9,AND($C39="Fuel car",$D39=4),$E39*'FR '!D$10,AND($C39="Fuel car",$D39=5),$E39*'FR '!D$11,AND($C39="Motorcycle",$D39=1),$E39*'FR '!D$13,AND($C39="Motorcycle",$D39=2),$E39*'FR '!D$14,AND($C39="Electric car",$D39=1),$E39*'FR '!D$16,AND($C39="Electric car",$D39=2),$E39*'FR '!D$17,AND($C39="Electric car",$D39=3),$E39*'FR '!D$18,AND($C39="Electric car",$D39=4),$E39*'FR '!D$19,AND($C39="Electric car",$D39=5),$E39*'FR '!D$20,AND($C39="Hybrid car",$D39=1),$E39*'FR '!D$22,AND($C39="Hybrid car",$D39=2),$E39*'FR '!D$23,AND($C39="Hybrid car",$D39=3),$E39*'FR '!D$24,AND($C39="Hybrid car",$D39=4),$E39*'FR '!D$25,AND($C39="Hybrid car",$D39=5),$E39*'FR '!D$26,AND($C39="Electric motorcycle",$D39=1),$E39*'FR '!D$28,AND($C39="Electric motorcycle",$D39=2),$E39*'FR '!D$29,AND($C39="Electric bike",$D39=1),$E39*'FR '!D$31,AND($C39="Electric scooter",$D39=1),$E39*'FR '!D$33,AND($C39="Bus",$D39="Almost empty"),$E39*'FR '!I$23,AND($C39="Bus",$D39="Average"),$E39*'FR '!I$24,AND($C39="Bus",$D39="Nearly full"),$E39*'FR '!I$25,AND($C39="Electric bus",$D39="Almost empty"),$E39*'FR '!I$7,AND($C39="Electric bus",$D39="Average"),$E39*'FR '!I$8,AND($C39="Electric bus",$D39="Nearly full"),$E39*'FR '!I$9,AND($C39="Diesel bus",$D39="Almost empty"),$E39*'FR '!I$19,AND($C39="Diesel bus",$D39="Average"),$E39*'FR '!I$20,AND($C39="Diesel bus",$D39="Nearly full"),$E39*'FR '!I$21,AND($C39="Hybrid-electric bus",$D39="Almost empty"),$E39*'FR '!I$11,AND($C39="Hybrid-electric bus",$D39="Average"),$E39*'FR '!I$12,AND($C39="Hybrid-electric bus",$D39="Nearly full"),$E39*'FR '!I$13,AND($C39="Alternative fuel bus",$D39="Almost empty"),$E39*'FR '!I$15,AND($C39="Alternative fuel bus",$D39="Average"),$E39*'FR '!I$16,AND($C39="Alternative fuel bus",$D39="Nearly full"),$E39*'FR '!I$17,AND($C39="Metro, tram, urban light train",$D39="Almost empty"),$E39*'FR '!D$35,AND($C39="Metro, tram, urban light train",$D39="Average"),$E39*'FR '!D$36,AND($C39="Metro, tram, urban light train",$D39="Nearly full"),$E39*'FR '!D$37,AND($C39="Electric passenger train",$D39="Almost empty"),$E39*'FR '!D$39,AND($C39="Electric passenger train",$D39="Average"),$E39*'FR '!D$40,AND($C39="Electric passenger train",$D39="Nearly full"),$E39*'FR '!D$41,AND($C39="Diesel passenger train",$D39="Almost empty"),$E39*'FR '!D$47,AND($C39="Diesel passenger train",$D39="Average"),$E39*'FR '!D$48,AND($C39="Diesel passenger train",$D39="Nearly full"),$E39*'FR '!D$49,AND($C39="Walking"),$E39*0,AND($C39="Bike"),$E39*0,AND($C39="Plane - domestic flight"),$E39*'FR '!$C63,AND($C39="Plane - international - intra EU"),$E39*'FR '!$C65,AND($C39="Plane - international (extra EU)"),$E39*'FR '!$C67)</f>
        <v>#N/A</v>
      </c>
      <c r="H39" s="145"/>
      <c r="I39" s="148">
        <f t="shared" si="6"/>
        <v>0</v>
      </c>
      <c r="J39" s="146" t="e" cm="1">
        <f t="array" ref="J39">_xlfn.IFS(C39="Fuel car",C39*DATA!$C$17,C39="Electric car",C39*DATA!$F$13,C39="Hybrid car",I39*(0.5*DATA!$C$17+0.5*DATA!$F$13))</f>
        <v>#N/A</v>
      </c>
      <c r="L39" s="226" t="s">
        <v>80</v>
      </c>
      <c r="M39" s="227"/>
      <c r="N39" s="228"/>
    </row>
    <row r="40" spans="1:14" x14ac:dyDescent="0.2">
      <c r="A40" s="222"/>
      <c r="B40" s="30"/>
      <c r="C40" s="15"/>
      <c r="D40" s="15"/>
      <c r="E40" s="125"/>
      <c r="F40" s="128" t="e" cm="1">
        <f t="array" ref="F40">_xlfn.IFS(AND($C40="Fuel car",$D40=1),$E40*'FR '!C$7,AND($C40="Fuel car",$D40=2),$E40*'FR '!C$8,AND($C40="Fuel car",$D40=3),$E40*'FR '!C$9,AND($C40="Fuel car",$D40=4),$E40*'FR '!C$10,AND($C40="Fuel car",$D40=5),$E40*'FR '!C$11,AND($C40="Motorcycle",$D40=1),$E40*'FR '!C$13,AND($C40="Motorcycle",$D40=2),$E40*'FR '!C$14,AND($C40="Electric car",$D40=1),$E40*'FR '!C$16,AND($C40="Electric car",$D40=2),$E40*'FR '!C$17,AND($C40="Electric car",$D40=3),$E40*'FR '!C$18,AND($C40="Electric car",$D40=4),$E40*'FR '!C$19,AND($C40="Electric car",$D40=5),$E40*'FR '!C$20,AND($C40="Hybrid car",$D40=1),$E40*'FR '!C$22,AND($C40="Hybrid car",$D40=2),$E40*'FR '!C$23,AND($C40="Hybrid car",$D40=3),$E40*'FR '!C$24,AND($C40="Hybrid car",$D40=4),$E40*'FR '!C$25,AND($C40="Hybrid car",$D40=5),$E40*'FR '!C$26,AND($C40="Electric motorcycle",$D40=1),$E40*'FR '!C$28,AND($C40="Electric motorcycle",$D40=2),$E40*'FR '!C$29,AND($C40="Electric bike",$D40=1),$E40*'FR '!C$31,AND($C40="Electric scooter",$D40=1),$E40*'FR '!C$33,AND($C40="Bus",$D40="Almost empty"),$E40*'FR '!H$23,AND($C40="Bus",$D40="Average"),$E40*'FR '!H$24,AND($C40="Bus",$D40="Nearly full"),$E40*'FR '!H$25,AND($C40="Electric bus",$D40="Almost empty"),$E40*'FR '!H$7,AND($C40="Electric bus",$D40="Average"),$E40*'FR '!H$8,AND($C40="Electric bus",$D40="Nearly full"),$E40*'FR '!H$9,AND($C40="Diesel bus",$D40="Almost empty"),$E40*'FR '!H$19,AND($C40="Diesel bus",$D40="Average"),$E40*'FR '!H$20,AND($C40="Diesel bus",$D40="Nearly full"),$E40*'FR '!H$21,AND($C40="Hybrid-electric bus",$D40="Almost empty"),$E40*'FR '!H$11,AND($C40="Hybrid-electric bus",$D40="Average"),$E40*'FR '!H$12,AND($C40="Hybrid-electric bus",$D40="Nearly full"),$E40*'FR '!H$13,AND($C40="Alternative fuel bus",$D40="Almost empty"),$E40*'FR '!H$15,AND($C40="Alternative fuel bus",$D40="Average"),$E40*'FR '!H$16,AND($C40="Alternative fuel bus",$D40="Nearly full"),$E40*'FR '!H$17,AND($C40="Metro, tram, urban light train",$D40="Almost empty"),$E40*'FR '!C$35,AND($C40="Metro, tram, urban light train",$D40="Average"),$E40*'FR '!C$36,AND($C40="Metro, tram, urban light train",$D40="Nearly full"),$E40*'FR '!C$37,AND($C40="Electric passenger train",$D40="Almost empty"),$E40*'FR '!C$39,AND($C40="Electric passenger train",$D40="Average"),$E40*'FR '!C$40,AND($C40="Electric passenger train",$D40="Nearly full"),$E40*'FR '!C$41,AND($C40="Diesel passenger train",$D40="Almost empty"),$E40*'FR '!C$47,AND($C40="Diesel passenger train",$D40="Average"),$E40*'FR '!C$48,AND($C40="Diesel passenger train",$D40="Nearly full"),$E40*'FR '!C$49,AND($C40="Walking"),$E40*0,AND($C40="Bike"),$E40*0,AND($C40="Plane - domestic flight"),$E40*'FR '!$C64,AND($C40="Plane - international - intra EU"),$E40*'FR '!$C66,AND($C40="Plane - international (extra EU)"),$E40*'FR '!$C68)</f>
        <v>#N/A</v>
      </c>
      <c r="G40" s="31" t="e" cm="1">
        <f t="array" ref="G40">_xlfn.IFS(AND($C40="Fuel car",$D40=1),$E40*'FR '!D$7,AND($C40="Fuel car",$D40=2),$E40*'FR '!D$8,AND($C40="Fuel car",$D40=3),$E40*'FR '!D$9,AND($C40="Fuel car",$D40=4),$E40*'FR '!D$10,AND($C40="Fuel car",$D40=5),$E40*'FR '!D$11,AND($C40="Motorcycle",$D40=1),$E40*'FR '!D$13,AND($C40="Motorcycle",$D40=2),$E40*'FR '!D$14,AND($C40="Electric car",$D40=1),$E40*'FR '!D$16,AND($C40="Electric car",$D40=2),$E40*'FR '!D$17,AND($C40="Electric car",$D40=3),$E40*'FR '!D$18,AND($C40="Electric car",$D40=4),$E40*'FR '!D$19,AND($C40="Electric car",$D40=5),$E40*'FR '!D$20,AND($C40="Hybrid car",$D40=1),$E40*'FR '!D$22,AND($C40="Hybrid car",$D40=2),$E40*'FR '!D$23,AND($C40="Hybrid car",$D40=3),$E40*'FR '!D$24,AND($C40="Hybrid car",$D40=4),$E40*'FR '!D$25,AND($C40="Hybrid car",$D40=5),$E40*'FR '!D$26,AND($C40="Electric motorcycle",$D40=1),$E40*'FR '!D$28,AND($C40="Electric motorcycle",$D40=2),$E40*'FR '!D$29,AND($C40="Electric bike",$D40=1),$E40*'FR '!D$31,AND($C40="Electric scooter",$D40=1),$E40*'FR '!D$33,AND($C40="Bus",$D40="Almost empty"),$E40*'FR '!I$23,AND($C40="Bus",$D40="Average"),$E40*'FR '!I$24,AND($C40="Bus",$D40="Nearly full"),$E40*'FR '!I$25,AND($C40="Electric bus",$D40="Almost empty"),$E40*'FR '!I$7,AND($C40="Electric bus",$D40="Average"),$E40*'FR '!I$8,AND($C40="Electric bus",$D40="Nearly full"),$E40*'FR '!I$9,AND($C40="Diesel bus",$D40="Almost empty"),$E40*'FR '!I$19,AND($C40="Diesel bus",$D40="Average"),$E40*'FR '!I$20,AND($C40="Diesel bus",$D40="Nearly full"),$E40*'FR '!I$21,AND($C40="Hybrid-electric bus",$D40="Almost empty"),$E40*'FR '!I$11,AND($C40="Hybrid-electric bus",$D40="Average"),$E40*'FR '!I$12,AND($C40="Hybrid-electric bus",$D40="Nearly full"),$E40*'FR '!I$13,AND($C40="Alternative fuel bus",$D40="Almost empty"),$E40*'FR '!I$15,AND($C40="Alternative fuel bus",$D40="Average"),$E40*'FR '!I$16,AND($C40="Alternative fuel bus",$D40="Nearly full"),$E40*'FR '!I$17,AND($C40="Metro, tram, urban light train",$D40="Almost empty"),$E40*'FR '!D$35,AND($C40="Metro, tram, urban light train",$D40="Average"),$E40*'FR '!D$36,AND($C40="Metro, tram, urban light train",$D40="Nearly full"),$E40*'FR '!D$37,AND($C40="Electric passenger train",$D40="Almost empty"),$E40*'FR '!D$39,AND($C40="Electric passenger train",$D40="Average"),$E40*'FR '!D$40,AND($C40="Electric passenger train",$D40="Nearly full"),$E40*'FR '!D$41,AND($C40="Diesel passenger train",$D40="Almost empty"),$E40*'FR '!D$47,AND($C40="Diesel passenger train",$D40="Average"),$E40*'FR '!D$48,AND($C40="Diesel passenger train",$D40="Nearly full"),$E40*'FR '!D$49,AND($C40="Walking"),$E40*0,AND($C40="Bike"),$E40*0,AND($C40="Plane - domestic flight"),$E40*'FR '!$C64,AND($C40="Plane - international - intra EU"),$E40*'FR '!$C66,AND($C40="Plane - international (extra EU)"),$E40*'FR '!$C68)</f>
        <v>#N/A</v>
      </c>
      <c r="H40" s="145"/>
      <c r="I40" s="148">
        <f t="shared" si="6"/>
        <v>0</v>
      </c>
      <c r="J40" s="146" t="e" cm="1">
        <f t="array" ref="J40">_xlfn.IFS(C40="Fuel car",C40*DATA!$C$17,C40="Electric car",C40*DATA!$F$13,C40="Hybrid car",I40*(0.5*DATA!$C$17+0.5*DATA!$F$13))</f>
        <v>#N/A</v>
      </c>
      <c r="L40" s="229"/>
      <c r="M40" s="230"/>
      <c r="N40" s="231"/>
    </row>
    <row r="41" spans="1:14" ht="14.5" customHeight="1" x14ac:dyDescent="0.2">
      <c r="A41" s="222"/>
      <c r="B41" s="30"/>
      <c r="C41" s="15"/>
      <c r="D41" s="15"/>
      <c r="E41" s="125"/>
      <c r="F41" s="128" t="e" cm="1">
        <f t="array" ref="F41">_xlfn.IFS(AND($C41="Fuel car",$D41=1),$E41*'FR '!C$7,AND($C41="Fuel car",$D41=2),$E41*'FR '!C$8,AND($C41="Fuel car",$D41=3),$E41*'FR '!C$9,AND($C41="Fuel car",$D41=4),$E41*'FR '!C$10,AND($C41="Fuel car",$D41=5),$E41*'FR '!C$11,AND($C41="Motorcycle",$D41=1),$E41*'FR '!C$13,AND($C41="Motorcycle",$D41=2),$E41*'FR '!C$14,AND($C41="Electric car",$D41=1),$E41*'FR '!C$16,AND($C41="Electric car",$D41=2),$E41*'FR '!C$17,AND($C41="Electric car",$D41=3),$E41*'FR '!C$18,AND($C41="Electric car",$D41=4),$E41*'FR '!C$19,AND($C41="Electric car",$D41=5),$E41*'FR '!C$20,AND($C41="Hybrid car",$D41=1),$E41*'FR '!C$22,AND($C41="Hybrid car",$D41=2),$E41*'FR '!C$23,AND($C41="Hybrid car",$D41=3),$E41*'FR '!C$24,AND($C41="Hybrid car",$D41=4),$E41*'FR '!C$25,AND($C41="Hybrid car",$D41=5),$E41*'FR '!C$26,AND($C41="Electric motorcycle",$D41=1),$E41*'FR '!C$28,AND($C41="Electric motorcycle",$D41=2),$E41*'FR '!C$29,AND($C41="Electric bike",$D41=1),$E41*'FR '!C$31,AND($C41="Electric scooter",$D41=1),$E41*'FR '!C$33,AND($C41="Bus",$D41="Almost empty"),$E41*'FR '!H$23,AND($C41="Bus",$D41="Average"),$E41*'FR '!H$24,AND($C41="Bus",$D41="Nearly full"),$E41*'FR '!H$25,AND($C41="Electric bus",$D41="Almost empty"),$E41*'FR '!H$7,AND($C41="Electric bus",$D41="Average"),$E41*'FR '!H$8,AND($C41="Electric bus",$D41="Nearly full"),$E41*'FR '!H$9,AND($C41="Diesel bus",$D41="Almost empty"),$E41*'FR '!H$19,AND($C41="Diesel bus",$D41="Average"),$E41*'FR '!H$20,AND($C41="Diesel bus",$D41="Nearly full"),$E41*'FR '!H$21,AND($C41="Hybrid-electric bus",$D41="Almost empty"),$E41*'FR '!H$11,AND($C41="Hybrid-electric bus",$D41="Average"),$E41*'FR '!H$12,AND($C41="Hybrid-electric bus",$D41="Nearly full"),$E41*'FR '!H$13,AND($C41="Alternative fuel bus",$D41="Almost empty"),$E41*'FR '!H$15,AND($C41="Alternative fuel bus",$D41="Average"),$E41*'FR '!H$16,AND($C41="Alternative fuel bus",$D41="Nearly full"),$E41*'FR '!H$17,AND($C41="Metro, tram, urban light train",$D41="Almost empty"),$E41*'FR '!C$35,AND($C41="Metro, tram, urban light train",$D41="Average"),$E41*'FR '!C$36,AND($C41="Metro, tram, urban light train",$D41="Nearly full"),$E41*'FR '!C$37,AND($C41="Electric passenger train",$D41="Almost empty"),$E41*'FR '!C$39,AND($C41="Electric passenger train",$D41="Average"),$E41*'FR '!C$40,AND($C41="Electric passenger train",$D41="Nearly full"),$E41*'FR '!C$41,AND($C41="Diesel passenger train",$D41="Almost empty"),$E41*'FR '!C$47,AND($C41="Diesel passenger train",$D41="Average"),$E41*'FR '!C$48,AND($C41="Diesel passenger train",$D41="Nearly full"),$E41*'FR '!C$49,AND($C41="Walking"),$E41*0,AND($C41="Bike"),$E41*0,AND($C41="Plane - domestic flight"),$E41*'FR '!$C65,AND($C41="Plane - international - intra EU"),$E41*'FR '!$C67,AND($C41="Plane - international (extra EU)"),$E41*'FR '!$C69)</f>
        <v>#N/A</v>
      </c>
      <c r="G41" s="31" t="e" cm="1">
        <f t="array" ref="G41">_xlfn.IFS(AND($C41="Fuel car",$D41=1),$E41*'FR '!D$7,AND($C41="Fuel car",$D41=2),$E41*'FR '!D$8,AND($C41="Fuel car",$D41=3),$E41*'FR '!D$9,AND($C41="Fuel car",$D41=4),$E41*'FR '!D$10,AND($C41="Fuel car",$D41=5),$E41*'FR '!D$11,AND($C41="Motorcycle",$D41=1),$E41*'FR '!D$13,AND($C41="Motorcycle",$D41=2),$E41*'FR '!D$14,AND($C41="Electric car",$D41=1),$E41*'FR '!D$16,AND($C41="Electric car",$D41=2),$E41*'FR '!D$17,AND($C41="Electric car",$D41=3),$E41*'FR '!D$18,AND($C41="Electric car",$D41=4),$E41*'FR '!D$19,AND($C41="Electric car",$D41=5),$E41*'FR '!D$20,AND($C41="Hybrid car",$D41=1),$E41*'FR '!D$22,AND($C41="Hybrid car",$D41=2),$E41*'FR '!D$23,AND($C41="Hybrid car",$D41=3),$E41*'FR '!D$24,AND($C41="Hybrid car",$D41=4),$E41*'FR '!D$25,AND($C41="Hybrid car",$D41=5),$E41*'FR '!D$26,AND($C41="Electric motorcycle",$D41=1),$E41*'FR '!D$28,AND($C41="Electric motorcycle",$D41=2),$E41*'FR '!D$29,AND($C41="Electric bike",$D41=1),$E41*'FR '!D$31,AND($C41="Electric scooter",$D41=1),$E41*'FR '!D$33,AND($C41="Bus",$D41="Almost empty"),$E41*'FR '!I$23,AND($C41="Bus",$D41="Average"),$E41*'FR '!I$24,AND($C41="Bus",$D41="Nearly full"),$E41*'FR '!I$25,AND($C41="Electric bus",$D41="Almost empty"),$E41*'FR '!I$7,AND($C41="Electric bus",$D41="Average"),$E41*'FR '!I$8,AND($C41="Electric bus",$D41="Nearly full"),$E41*'FR '!I$9,AND($C41="Diesel bus",$D41="Almost empty"),$E41*'FR '!I$19,AND($C41="Diesel bus",$D41="Average"),$E41*'FR '!I$20,AND($C41="Diesel bus",$D41="Nearly full"),$E41*'FR '!I$21,AND($C41="Hybrid-electric bus",$D41="Almost empty"),$E41*'FR '!I$11,AND($C41="Hybrid-electric bus",$D41="Average"),$E41*'FR '!I$12,AND($C41="Hybrid-electric bus",$D41="Nearly full"),$E41*'FR '!I$13,AND($C41="Alternative fuel bus",$D41="Almost empty"),$E41*'FR '!I$15,AND($C41="Alternative fuel bus",$D41="Average"),$E41*'FR '!I$16,AND($C41="Alternative fuel bus",$D41="Nearly full"),$E41*'FR '!I$17,AND($C41="Metro, tram, urban light train",$D41="Almost empty"),$E41*'FR '!D$35,AND($C41="Metro, tram, urban light train",$D41="Average"),$E41*'FR '!D$36,AND($C41="Metro, tram, urban light train",$D41="Nearly full"),$E41*'FR '!D$37,AND($C41="Electric passenger train",$D41="Almost empty"),$E41*'FR '!D$39,AND($C41="Electric passenger train",$D41="Average"),$E41*'FR '!D$40,AND($C41="Electric passenger train",$D41="Nearly full"),$E41*'FR '!D$41,AND($C41="Diesel passenger train",$D41="Almost empty"),$E41*'FR '!D$47,AND($C41="Diesel passenger train",$D41="Average"),$E41*'FR '!D$48,AND($C41="Diesel passenger train",$D41="Nearly full"),$E41*'FR '!D$49,AND($C41="Walking"),$E41*0,AND($C41="Bike"),$E41*0,AND($C41="Plane - domestic flight"),$E41*'FR '!$C65,AND($C41="Plane - international - intra EU"),$E41*'FR '!$C67,AND($C41="Plane - international (extra EU)"),$E41*'FR '!$C69)</f>
        <v>#N/A</v>
      </c>
      <c r="H41" s="145"/>
      <c r="I41" s="148">
        <f t="shared" si="6"/>
        <v>0</v>
      </c>
      <c r="J41" s="146" t="e" cm="1">
        <f t="array" ref="J41">_xlfn.IFS(C41="Fuel car",C41*DATA!$C$17,C41="Electric car",C41*DATA!$F$13,C41="Hybrid car",I41*(0.5*DATA!$C$17+0.5*DATA!$F$13))</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car",$D42=1),$E42*'FR '!C$7,AND($C42="Fuel car",$D42=2),$E42*'FR '!C$8,AND($C42="Fuel car",$D42=3),$E42*'FR '!C$9,AND($C42="Fuel car",$D42=4),$E42*'FR '!C$10,AND($C42="Fuel car",$D42=5),$E42*'FR '!C$11,AND($C42="Motorcycle",$D42=1),$E42*'FR '!C$13,AND($C42="Motorcycle",$D42=2),$E42*'FR '!C$14,AND($C42="Electric car",$D42=1),$E42*'FR '!C$16,AND($C42="Electric car",$D42=2),$E42*'FR '!C$17,AND($C42="Electric car",$D42=3),$E42*'FR '!C$18,AND($C42="Electric car",$D42=4),$E42*'FR '!C$19,AND($C42="Electric car",$D42=5),$E42*'FR '!C$20,AND($C42="Hybrid car",$D42=1),$E42*'FR '!C$22,AND($C42="Hybrid car",$D42=2),$E42*'FR '!C$23,AND($C42="Hybrid car",$D42=3),$E42*'FR '!C$24,AND($C42="Hybrid car",$D42=4),$E42*'FR '!C$25,AND($C42="Hybrid car",$D42=5),$E42*'FR '!C$26,AND($C42="Electric motorcycle",$D42=1),$E42*'FR '!C$28,AND($C42="Electric motorcycle",$D42=2),$E42*'FR '!C$29,AND($C42="Electric bike",$D42=1),$E42*'FR '!C$31,AND($C42="Electric scooter",$D42=1),$E42*'FR '!C$33,AND($C42="Bus",$D42="Almost empty"),$E42*'FR '!H$23,AND($C42="Bus",$D42="Average"),$E42*'FR '!H$24,AND($C42="Bus",$D42="Nearly full"),$E42*'FR '!H$25,AND($C42="Electric bus",$D42="Almost empty"),$E42*'FR '!H$7,AND($C42="Electric bus",$D42="Average"),$E42*'FR '!H$8,AND($C42="Electric bus",$D42="Nearly full"),$E42*'FR '!H$9,AND($C42="Diesel bus",$D42="Almost empty"),$E42*'FR '!H$19,AND($C42="Diesel bus",$D42="Average"),$E42*'FR '!H$20,AND($C42="Diesel bus",$D42="Nearly full"),$E42*'FR '!H$21,AND($C42="Hybrid-electric bus",$D42="Almost empty"),$E42*'FR '!H$11,AND($C42="Hybrid-electric bus",$D42="Average"),$E42*'FR '!H$12,AND($C42="Hybrid-electric bus",$D42="Nearly full"),$E42*'FR '!H$13,AND($C42="Alternative fuel bus",$D42="Almost empty"),$E42*'FR '!H$15,AND($C42="Alternative fuel bus",$D42="Average"),$E42*'FR '!H$16,AND($C42="Alternative fuel bus",$D42="Nearly full"),$E42*'FR '!H$17,AND($C42="Metro, tram, urban light train",$D42="Almost empty"),$E42*'FR '!C$35,AND($C42="Metro, tram, urban light train",$D42="Average"),$E42*'FR '!C$36,AND($C42="Metro, tram, urban light train",$D42="Nearly full"),$E42*'FR '!C$37,AND($C42="Electric passenger train",$D42="Almost empty"),$E42*'FR '!C$39,AND($C42="Electric passenger train",$D42="Average"),$E42*'FR '!C$40,AND($C42="Electric passenger train",$D42="Nearly full"),$E42*'FR '!C$41,AND($C42="Diesel passenger train",$D42="Almost empty"),$E42*'FR '!C$47,AND($C42="Diesel passenger train",$D42="Average"),$E42*'FR '!C$48,AND($C42="Diesel passenger train",$D42="Nearly full"),$E42*'FR '!C$49,AND($C42="Walking"),$E42*0,AND($C42="Bike"),$E42*0,AND($C42="Plane - domestic flight"),$E42*'FR '!$C66,AND($C42="Plane - international - intra EU"),$E42*'FR '!$C68,AND($C42="Plane - international (extra EU)"),$E42*'FR '!$C70)</f>
        <v>#N/A</v>
      </c>
      <c r="G42" s="31" t="e" cm="1">
        <f t="array" ref="G42">_xlfn.IFS(AND($C42="Fuel car",$D42=1),$E42*'FR '!D$7,AND($C42="Fuel car",$D42=2),$E42*'FR '!D$8,AND($C42="Fuel car",$D42=3),$E42*'FR '!D$9,AND($C42="Fuel car",$D42=4),$E42*'FR '!D$10,AND($C42="Fuel car",$D42=5),$E42*'FR '!D$11,AND($C42="Motorcycle",$D42=1),$E42*'FR '!D$13,AND($C42="Motorcycle",$D42=2),$E42*'FR '!D$14,AND($C42="Electric car",$D42=1),$E42*'FR '!D$16,AND($C42="Electric car",$D42=2),$E42*'FR '!D$17,AND($C42="Electric car",$D42=3),$E42*'FR '!D$18,AND($C42="Electric car",$D42=4),$E42*'FR '!D$19,AND($C42="Electric car",$D42=5),$E42*'FR '!D$20,AND($C42="Hybrid car",$D42=1),$E42*'FR '!D$22,AND($C42="Hybrid car",$D42=2),$E42*'FR '!D$23,AND($C42="Hybrid car",$D42=3),$E42*'FR '!D$24,AND($C42="Hybrid car",$D42=4),$E42*'FR '!D$25,AND($C42="Hybrid car",$D42=5),$E42*'FR '!D$26,AND($C42="Electric motorcycle",$D42=1),$E42*'FR '!D$28,AND($C42="Electric motorcycle",$D42=2),$E42*'FR '!D$29,AND($C42="Electric bike",$D42=1),$E42*'FR '!D$31,AND($C42="Electric scooter",$D42=1),$E42*'FR '!D$33,AND($C42="Bus",$D42="Almost empty"),$E42*'FR '!I$23,AND($C42="Bus",$D42="Average"),$E42*'FR '!I$24,AND($C42="Bus",$D42="Nearly full"),$E42*'FR '!I$25,AND($C42="Electric bus",$D42="Almost empty"),$E42*'FR '!I$7,AND($C42="Electric bus",$D42="Average"),$E42*'FR '!I$8,AND($C42="Electric bus",$D42="Nearly full"),$E42*'FR '!I$9,AND($C42="Diesel bus",$D42="Almost empty"),$E42*'FR '!I$19,AND($C42="Diesel bus",$D42="Average"),$E42*'FR '!I$20,AND($C42="Diesel bus",$D42="Nearly full"),$E42*'FR '!I$21,AND($C42="Hybrid-electric bus",$D42="Almost empty"),$E42*'FR '!I$11,AND($C42="Hybrid-electric bus",$D42="Average"),$E42*'FR '!I$12,AND($C42="Hybrid-electric bus",$D42="Nearly full"),$E42*'FR '!I$13,AND($C42="Alternative fuel bus",$D42="Almost empty"),$E42*'FR '!I$15,AND($C42="Alternative fuel bus",$D42="Average"),$E42*'FR '!I$16,AND($C42="Alternative fuel bus",$D42="Nearly full"),$E42*'FR '!I$17,AND($C42="Metro, tram, urban light train",$D42="Almost empty"),$E42*'FR '!D$35,AND($C42="Metro, tram, urban light train",$D42="Average"),$E42*'FR '!D$36,AND($C42="Metro, tram, urban light train",$D42="Nearly full"),$E42*'FR '!D$37,AND($C42="Electric passenger train",$D42="Almost empty"),$E42*'FR '!D$39,AND($C42="Electric passenger train",$D42="Average"),$E42*'FR '!D$40,AND($C42="Electric passenger train",$D42="Nearly full"),$E42*'FR '!D$41,AND($C42="Diesel passenger train",$D42="Almost empty"),$E42*'FR '!D$47,AND($C42="Diesel passenger train",$D42="Average"),$E42*'FR '!D$48,AND($C42="Diesel passenger train",$D42="Nearly full"),$E42*'FR '!D$49,AND($C42="Walking"),$E42*0,AND($C42="Bike"),$E42*0,AND($C42="Plane - domestic flight"),$E42*'FR '!$C66,AND($C42="Plane - international - intra EU"),$E42*'FR '!$C68,AND($C42="Plane - international (extra EU)"),$E42*'FR '!$C70)</f>
        <v>#N/A</v>
      </c>
      <c r="H42" s="145"/>
      <c r="I42" s="148">
        <f t="shared" si="6"/>
        <v>0</v>
      </c>
      <c r="J42" s="146" t="e" cm="1">
        <f t="array" ref="J42">_xlfn.IFS(C42="Fuel car",C42*DATA!$C$17,C42="Electric car",C42*DATA!$F$13,C42="Hybrid car",I42*(0.5*DATA!$C$17+0.5*DATA!$F$13))</f>
        <v>#N/A</v>
      </c>
      <c r="L42" s="235"/>
      <c r="M42" s="236"/>
      <c r="N42" s="237"/>
    </row>
    <row r="43" spans="1:14" ht="14.5" customHeight="1" thickBot="1" x14ac:dyDescent="0.25">
      <c r="A43" s="222"/>
      <c r="B43" s="30"/>
      <c r="C43" s="15"/>
      <c r="D43" s="15"/>
      <c r="E43" s="125"/>
      <c r="F43" s="128" t="e" cm="1">
        <f t="array" ref="F43">_xlfn.IFS(AND($C43="Fuel car",$D43=1),$E43*'FR '!C$7,AND($C43="Fuel car",$D43=2),$E43*'FR '!C$8,AND($C43="Fuel car",$D43=3),$E43*'FR '!C$9,AND($C43="Fuel car",$D43=4),$E43*'FR '!C$10,AND($C43="Fuel car",$D43=5),$E43*'FR '!C$11,AND($C43="Motorcycle",$D43=1),$E43*'FR '!C$13,AND($C43="Motorcycle",$D43=2),$E43*'FR '!C$14,AND($C43="Electric car",$D43=1),$E43*'FR '!C$16,AND($C43="Electric car",$D43=2),$E43*'FR '!C$17,AND($C43="Electric car",$D43=3),$E43*'FR '!C$18,AND($C43="Electric car",$D43=4),$E43*'FR '!C$19,AND($C43="Electric car",$D43=5),$E43*'FR '!C$20,AND($C43="Hybrid car",$D43=1),$E43*'FR '!C$22,AND($C43="Hybrid car",$D43=2),$E43*'FR '!C$23,AND($C43="Hybrid car",$D43=3),$E43*'FR '!C$24,AND($C43="Hybrid car",$D43=4),$E43*'FR '!C$25,AND($C43="Hybrid car",$D43=5),$E43*'FR '!C$26,AND($C43="Electric motorcycle",$D43=1),$E43*'FR '!C$28,AND($C43="Electric motorcycle",$D43=2),$E43*'FR '!C$29,AND($C43="Electric bike",$D43=1),$E43*'FR '!C$31,AND($C43="Electric scooter",$D43=1),$E43*'FR '!C$33,AND($C43="Bus",$D43="Almost empty"),$E43*'FR '!H$23,AND($C43="Bus",$D43="Average"),$E43*'FR '!H$24,AND($C43="Bus",$D43="Nearly full"),$E43*'FR '!H$25,AND($C43="Electric bus",$D43="Almost empty"),$E43*'FR '!H$7,AND($C43="Electric bus",$D43="Average"),$E43*'FR '!H$8,AND($C43="Electric bus",$D43="Nearly full"),$E43*'FR '!H$9,AND($C43="Diesel bus",$D43="Almost empty"),$E43*'FR '!H$19,AND($C43="Diesel bus",$D43="Average"),$E43*'FR '!H$20,AND($C43="Diesel bus",$D43="Nearly full"),$E43*'FR '!H$21,AND($C43="Hybrid-electric bus",$D43="Almost empty"),$E43*'FR '!H$11,AND($C43="Hybrid-electric bus",$D43="Average"),$E43*'FR '!H$12,AND($C43="Hybrid-electric bus",$D43="Nearly full"),$E43*'FR '!H$13,AND($C43="Alternative fuel bus",$D43="Almost empty"),$E43*'FR '!H$15,AND($C43="Alternative fuel bus",$D43="Average"),$E43*'FR '!H$16,AND($C43="Alternative fuel bus",$D43="Nearly full"),$E43*'FR '!H$17,AND($C43="Metro, tram, urban light train",$D43="Almost empty"),$E43*'FR '!C$35,AND($C43="Metro, tram, urban light train",$D43="Average"),$E43*'FR '!C$36,AND($C43="Metro, tram, urban light train",$D43="Nearly full"),$E43*'FR '!C$37,AND($C43="Electric passenger train",$D43="Almost empty"),$E43*'FR '!C$39,AND($C43="Electric passenger train",$D43="Average"),$E43*'FR '!C$40,AND($C43="Electric passenger train",$D43="Nearly full"),$E43*'FR '!C$41,AND($C43="Diesel passenger train",$D43="Almost empty"),$E43*'FR '!C$47,AND($C43="Diesel passenger train",$D43="Average"),$E43*'FR '!C$48,AND($C43="Diesel passenger train",$D43="Nearly full"),$E43*'FR '!C$49,AND($C43="Walking"),$E43*0,AND($C43="Bike"),$E43*0,AND($C43="Plane - domestic flight"),$E43*'FR '!$C67,AND($C43="Plane - international - intra EU"),$E43*'FR '!$C69,AND($C43="Plane - international (extra EU)"),$E43*'FR '!$C71)</f>
        <v>#N/A</v>
      </c>
      <c r="G43" s="31" t="e" cm="1">
        <f t="array" ref="G43">_xlfn.IFS(AND($C43="Fuel car",$D43=1),$E43*'FR '!D$7,AND($C43="Fuel car",$D43=2),$E43*'FR '!D$8,AND($C43="Fuel car",$D43=3),$E43*'FR '!D$9,AND($C43="Fuel car",$D43=4),$E43*'FR '!D$10,AND($C43="Fuel car",$D43=5),$E43*'FR '!D$11,AND($C43="Motorcycle",$D43=1),$E43*'FR '!D$13,AND($C43="Motorcycle",$D43=2),$E43*'FR '!D$14,AND($C43="Electric car",$D43=1),$E43*'FR '!D$16,AND($C43="Electric car",$D43=2),$E43*'FR '!D$17,AND($C43="Electric car",$D43=3),$E43*'FR '!D$18,AND($C43="Electric car",$D43=4),$E43*'FR '!D$19,AND($C43="Electric car",$D43=5),$E43*'FR '!D$20,AND($C43="Hybrid car",$D43=1),$E43*'FR '!D$22,AND($C43="Hybrid car",$D43=2),$E43*'FR '!D$23,AND($C43="Hybrid car",$D43=3),$E43*'FR '!D$24,AND($C43="Hybrid car",$D43=4),$E43*'FR '!D$25,AND($C43="Hybrid car",$D43=5),$E43*'FR '!D$26,AND($C43="Electric motorcycle",$D43=1),$E43*'FR '!D$28,AND($C43="Electric motorcycle",$D43=2),$E43*'FR '!D$29,AND($C43="Electric bike",$D43=1),$E43*'FR '!D$31,AND($C43="Electric scooter",$D43=1),$E43*'FR '!D$33,AND($C43="Bus",$D43="Almost empty"),$E43*'FR '!I$23,AND($C43="Bus",$D43="Average"),$E43*'FR '!I$24,AND($C43="Bus",$D43="Nearly full"),$E43*'FR '!I$25,AND($C43="Electric bus",$D43="Almost empty"),$E43*'FR '!I$7,AND($C43="Electric bus",$D43="Average"),$E43*'FR '!I$8,AND($C43="Electric bus",$D43="Nearly full"),$E43*'FR '!I$9,AND($C43="Diesel bus",$D43="Almost empty"),$E43*'FR '!I$19,AND($C43="Diesel bus",$D43="Average"),$E43*'FR '!I$20,AND($C43="Diesel bus",$D43="Nearly full"),$E43*'FR '!I$21,AND($C43="Hybrid-electric bus",$D43="Almost empty"),$E43*'FR '!I$11,AND($C43="Hybrid-electric bus",$D43="Average"),$E43*'FR '!I$12,AND($C43="Hybrid-electric bus",$D43="Nearly full"),$E43*'FR '!I$13,AND($C43="Alternative fuel bus",$D43="Almost empty"),$E43*'FR '!I$15,AND($C43="Alternative fuel bus",$D43="Average"),$E43*'FR '!I$16,AND($C43="Alternative fuel bus",$D43="Nearly full"),$E43*'FR '!I$17,AND($C43="Metro, tram, urban light train",$D43="Almost empty"),$E43*'FR '!D$35,AND($C43="Metro, tram, urban light train",$D43="Average"),$E43*'FR '!D$36,AND($C43="Metro, tram, urban light train",$D43="Nearly full"),$E43*'FR '!D$37,AND($C43="Electric passenger train",$D43="Almost empty"),$E43*'FR '!D$39,AND($C43="Electric passenger train",$D43="Average"),$E43*'FR '!D$40,AND($C43="Electric passenger train",$D43="Nearly full"),$E43*'FR '!D$41,AND($C43="Diesel passenger train",$D43="Almost empty"),$E43*'FR '!D$47,AND($C43="Diesel passenger train",$D43="Average"),$E43*'FR '!D$48,AND($C43="Diesel passenger train",$D43="Nearly full"),$E43*'FR '!D$49,AND($C43="Walking"),$E43*0,AND($C43="Bike"),$E43*0,AND($C43="Plane - domestic flight"),$E43*'FR '!$C67,AND($C43="Plane - international - intra EU"),$E43*'FR '!$C69,AND($C43="Plane - international (extra EU)"),$E43*'FR '!$C71)</f>
        <v>#N/A</v>
      </c>
      <c r="H43" s="109"/>
      <c r="I43" s="154">
        <f t="shared" si="6"/>
        <v>0</v>
      </c>
      <c r="J43" s="147" t="e" cm="1">
        <f t="array" ref="J43">_xlfn.IFS(C43="Fuel car",C43*DATA!$C$17,C43="Electric car",C43*DATA!$F$13,C43="Hybrid car",I43*(0.5*DATA!$C$17+0.5*DATA!$F$13))</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car",$D44=1),$E44*'FR '!C$7,AND($C44="Fuel car",$D44=2),$E44*'FR '!C$8,AND($C44="Fuel car",$D44=3),$E44*'FR '!C$9,AND($C44="Fuel car",$D44=4),$E44*'FR '!C$10,AND($C44="Fuel car",$D44=5),$E44*'FR '!C$11,AND($C44="Motorcycle",$D44=1),$E44*'FR '!C$13,AND($C44="Motorcycle",$D44=2),$E44*'FR '!C$14,AND($C44="Electric car",$D44=1),$E44*'FR '!C$16,AND($C44="Electric car",$D44=2),$E44*'FR '!C$17,AND($C44="Electric car",$D44=3),$E44*'FR '!C$18,AND($C44="Electric car",$D44=4),$E44*'FR '!C$19,AND($C44="Electric car",$D44=5),$E44*'FR '!C$20,AND($C44="Hybrid car",$D44=1),$E44*'FR '!C$22,AND($C44="Hybrid car",$D44=2),$E44*'FR '!C$23,AND($C44="Hybrid car",$D44=3),$E44*'FR '!C$24,AND($C44="Hybrid car",$D44=4),$E44*'FR '!C$25,AND($C44="Hybrid car",$D44=5),$E44*'FR '!C$26,AND($C44="Electric motorcycle",$D44=1),$E44*'FR '!C$28,AND($C44="Electric motorcycle",$D44=2),$E44*'FR '!C$29,AND($C44="Electric bike",$D44=1),$E44*'FR '!C$31,AND($C44="Electric scooter",$D44=1),$E44*'FR '!C$33,AND($C44="Bus",$D44="Almost empty"),$E44*'FR '!H$23,AND($C44="Bus",$D44="Average"),$E44*'FR '!H$24,AND($C44="Bus",$D44="Nearly full"),$E44*'FR '!H$25,AND($C44="Electric bus",$D44="Almost empty"),$E44*'FR '!H$7,AND($C44="Electric bus",$D44="Average"),$E44*'FR '!H$8,AND($C44="Electric bus",$D44="Nearly full"),$E44*'FR '!H$9,AND($C44="Diesel bus",$D44="Almost empty"),$E44*'FR '!H$19,AND($C44="Diesel bus",$D44="Average"),$E44*'FR '!H$20,AND($C44="Diesel bus",$D44="Nearly full"),$E44*'FR '!H$21,AND($C44="Hybrid-electric bus",$D44="Almost empty"),$E44*'FR '!H$11,AND($C44="Hybrid-electric bus",$D44="Average"),$E44*'FR '!H$12,AND($C44="Hybrid-electric bus",$D44="Nearly full"),$E44*'FR '!H$13,AND($C44="Alternative fuel bus",$D44="Almost empty"),$E44*'FR '!H$15,AND($C44="Alternative fuel bus",$D44="Average"),$E44*'FR '!H$16,AND($C44="Alternative fuel bus",$D44="Nearly full"),$E44*'FR '!H$17,AND($C44="Metro, tram, urban light train",$D44="Almost empty"),$E44*'FR '!C$35,AND($C44="Metro, tram, urban light train",$D44="Average"),$E44*'FR '!C$36,AND($C44="Metro, tram, urban light train",$D44="Nearly full"),$E44*'FR '!C$37,AND($C44="Electric passenger train",$D44="Almost empty"),$E44*'FR '!C$39,AND($C44="Electric passenger train",$D44="Average"),$E44*'FR '!C$40,AND($C44="Electric passenger train",$D44="Nearly full"),$E44*'FR '!C$41,AND($C44="Diesel passenger train",$D44="Almost empty"),$E44*'FR '!C$47,AND($C44="Diesel passenger train",$D44="Average"),$E44*'FR '!C$48,AND($C44="Diesel passenger train",$D44="Nearly full"),$E44*'FR '!C$49,AND($C44="Walking"),$E44*0,AND($C44="Bike"),$E44*0,AND($C44="Plane - domestic flight"),$E44*'FR '!$C68,AND($C44="Plane - international - intra EU"),$E44*'FR '!$C70,AND($C44="Plane - international (extra EU)"),$E44*'FR '!$C72)</f>
        <v>#N/A</v>
      </c>
      <c r="G44" s="31" t="e" cm="1">
        <f t="array" ref="G44">_xlfn.IFS(AND($C44="Fuel car",$D44=1),$E44*'FR '!D$7,AND($C44="Fuel car",$D44=2),$E44*'FR '!D$8,AND($C44="Fuel car",$D44=3),$E44*'FR '!D$9,AND($C44="Fuel car",$D44=4),$E44*'FR '!D$10,AND($C44="Fuel car",$D44=5),$E44*'FR '!D$11,AND($C44="Motorcycle",$D44=1),$E44*'FR '!D$13,AND($C44="Motorcycle",$D44=2),$E44*'FR '!D$14,AND($C44="Electric car",$D44=1),$E44*'FR '!D$16,AND($C44="Electric car",$D44=2),$E44*'FR '!D$17,AND($C44="Electric car",$D44=3),$E44*'FR '!D$18,AND($C44="Electric car",$D44=4),$E44*'FR '!D$19,AND($C44="Electric car",$D44=5),$E44*'FR '!D$20,AND($C44="Hybrid car",$D44=1),$E44*'FR '!D$22,AND($C44="Hybrid car",$D44=2),$E44*'FR '!D$23,AND($C44="Hybrid car",$D44=3),$E44*'FR '!D$24,AND($C44="Hybrid car",$D44=4),$E44*'FR '!D$25,AND($C44="Hybrid car",$D44=5),$E44*'FR '!D$26,AND($C44="Electric motorcycle",$D44=1),$E44*'FR '!D$28,AND($C44="Electric motorcycle",$D44=2),$E44*'FR '!D$29,AND($C44="Electric bike",$D44=1),$E44*'FR '!D$31,AND($C44="Electric scooter",$D44=1),$E44*'FR '!D$33,AND($C44="Bus",$D44="Almost empty"),$E44*'FR '!I$23,AND($C44="Bus",$D44="Average"),$E44*'FR '!I$24,AND($C44="Bus",$D44="Nearly full"),$E44*'FR '!I$25,AND($C44="Electric bus",$D44="Almost empty"),$E44*'FR '!I$7,AND($C44="Electric bus",$D44="Average"),$E44*'FR '!I$8,AND($C44="Electric bus",$D44="Nearly full"),$E44*'FR '!I$9,AND($C44="Diesel bus",$D44="Almost empty"),$E44*'FR '!I$19,AND($C44="Diesel bus",$D44="Average"),$E44*'FR '!I$20,AND($C44="Diesel bus",$D44="Nearly full"),$E44*'FR '!I$21,AND($C44="Hybrid-electric bus",$D44="Almost empty"),$E44*'FR '!I$11,AND($C44="Hybrid-electric bus",$D44="Average"),$E44*'FR '!I$12,AND($C44="Hybrid-electric bus",$D44="Nearly full"),$E44*'FR '!I$13,AND($C44="Alternative fuel bus",$D44="Almost empty"),$E44*'FR '!I$15,AND($C44="Alternative fuel bus",$D44="Average"),$E44*'FR '!I$16,AND($C44="Alternative fuel bus",$D44="Nearly full"),$E44*'FR '!I$17,AND($C44="Metro, tram, urban light train",$D44="Almost empty"),$E44*'FR '!D$35,AND($C44="Metro, tram, urban light train",$D44="Average"),$E44*'FR '!D$36,AND($C44="Metro, tram, urban light train",$D44="Nearly full"),$E44*'FR '!D$37,AND($C44="Electric passenger train",$D44="Almost empty"),$E44*'FR '!D$39,AND($C44="Electric passenger train",$D44="Average"),$E44*'FR '!D$40,AND($C44="Electric passenger train",$D44="Nearly full"),$E44*'FR '!D$41,AND($C44="Diesel passenger train",$D44="Almost empty"),$E44*'FR '!D$47,AND($C44="Diesel passenger train",$D44="Average"),$E44*'FR '!D$48,AND($C44="Diesel passenger train",$D44="Nearly full"),$E44*'FR '!D$49,AND($C44="Walking"),$E44*0,AND($C44="Bike"),$E44*0,AND($C44="Plane - domestic flight"),$E44*'FR '!$C68,AND($C44="Plane - international - intra EU"),$E44*'FR '!$C70,AND($C44="Plane - international (extra EU)"),$E44*'FR '!$C72)</f>
        <v>#N/A</v>
      </c>
      <c r="L44" s="218"/>
      <c r="M44" s="219"/>
      <c r="N44" s="220"/>
    </row>
    <row r="45" spans="1:14" ht="18.5" customHeight="1" x14ac:dyDescent="0.2">
      <c r="A45" s="222"/>
      <c r="B45" s="30"/>
      <c r="C45" s="15"/>
      <c r="D45" s="15"/>
      <c r="E45" s="125"/>
      <c r="F45" s="128" t="e" cm="1">
        <f t="array" ref="F45">_xlfn.IFS(AND($C45="Fuel car",$D45=1),$E45*'FR '!C$7,AND($C45="Fuel car",$D45=2),$E45*'FR '!C$8,AND($C45="Fuel car",$D45=3),$E45*'FR '!C$9,AND($C45="Fuel car",$D45=4),$E45*'FR '!C$10,AND($C45="Fuel car",$D45=5),$E45*'FR '!C$11,AND($C45="Motorcycle",$D45=1),$E45*'FR '!C$13,AND($C45="Motorcycle",$D45=2),$E45*'FR '!C$14,AND($C45="Electric car",$D45=1),$E45*'FR '!C$16,AND($C45="Electric car",$D45=2),$E45*'FR '!C$17,AND($C45="Electric car",$D45=3),$E45*'FR '!C$18,AND($C45="Electric car",$D45=4),$E45*'FR '!C$19,AND($C45="Electric car",$D45=5),$E45*'FR '!C$20,AND($C45="Hybrid car",$D45=1),$E45*'FR '!C$22,AND($C45="Hybrid car",$D45=2),$E45*'FR '!C$23,AND($C45="Hybrid car",$D45=3),$E45*'FR '!C$24,AND($C45="Hybrid car",$D45=4),$E45*'FR '!C$25,AND($C45="Hybrid car",$D45=5),$E45*'FR '!C$26,AND($C45="Electric motorcycle",$D45=1),$E45*'FR '!C$28,AND($C45="Electric motorcycle",$D45=2),$E45*'FR '!C$29,AND($C45="Electric bike",$D45=1),$E45*'FR '!C$31,AND($C45="Electric scooter",$D45=1),$E45*'FR '!C$33,AND($C45="Bus",$D45="Almost empty"),$E45*'FR '!H$23,AND($C45="Bus",$D45="Average"),$E45*'FR '!H$24,AND($C45="Bus",$D45="Nearly full"),$E45*'FR '!H$25,AND($C45="Electric bus",$D45="Almost empty"),$E45*'FR '!H$7,AND($C45="Electric bus",$D45="Average"),$E45*'FR '!H$8,AND($C45="Electric bus",$D45="Nearly full"),$E45*'FR '!H$9,AND($C45="Diesel bus",$D45="Almost empty"),$E45*'FR '!H$19,AND($C45="Diesel bus",$D45="Average"),$E45*'FR '!H$20,AND($C45="Diesel bus",$D45="Nearly full"),$E45*'FR '!H$21,AND($C45="Hybrid-electric bus",$D45="Almost empty"),$E45*'FR '!H$11,AND($C45="Hybrid-electric bus",$D45="Average"),$E45*'FR '!H$12,AND($C45="Hybrid-electric bus",$D45="Nearly full"),$E45*'FR '!H$13,AND($C45="Alternative fuel bus",$D45="Almost empty"),$E45*'FR '!H$15,AND($C45="Alternative fuel bus",$D45="Average"),$E45*'FR '!H$16,AND($C45="Alternative fuel bus",$D45="Nearly full"),$E45*'FR '!H$17,AND($C45="Metro, tram, urban light train",$D45="Almost empty"),$E45*'FR '!C$35,AND($C45="Metro, tram, urban light train",$D45="Average"),$E45*'FR '!C$36,AND($C45="Metro, tram, urban light train",$D45="Nearly full"),$E45*'FR '!C$37,AND($C45="Electric passenger train",$D45="Almost empty"),$E45*'FR '!C$39,AND($C45="Electric passenger train",$D45="Average"),$E45*'FR '!C$40,AND($C45="Electric passenger train",$D45="Nearly full"),$E45*'FR '!C$41,AND($C45="Diesel passenger train",$D45="Almost empty"),$E45*'FR '!C$47,AND($C45="Diesel passenger train",$D45="Average"),$E45*'FR '!C$48,AND($C45="Diesel passenger train",$D45="Nearly full"),$E45*'FR '!C$49,AND($C45="Walking"),$E45*0,AND($C45="Bike"),$E45*0,AND($C45="Plane - domestic flight"),$E45*'FR '!$C69,AND($C45="Plane - international - intra EU"),$E45*'FR '!$C71,AND($C45="Plane - international (extra EU)"),$E45*'FR '!$C73)</f>
        <v>#N/A</v>
      </c>
      <c r="G45" s="31" t="e" cm="1">
        <f t="array" ref="G45">_xlfn.IFS(AND($C45="Fuel car",$D45=1),$E45*'FR '!D$7,AND($C45="Fuel car",$D45=2),$E45*'FR '!D$8,AND($C45="Fuel car",$D45=3),$E45*'FR '!D$9,AND($C45="Fuel car",$D45=4),$E45*'FR '!D$10,AND($C45="Fuel car",$D45=5),$E45*'FR '!D$11,AND($C45="Motorcycle",$D45=1),$E45*'FR '!D$13,AND($C45="Motorcycle",$D45=2),$E45*'FR '!D$14,AND($C45="Electric car",$D45=1),$E45*'FR '!D$16,AND($C45="Electric car",$D45=2),$E45*'FR '!D$17,AND($C45="Electric car",$D45=3),$E45*'FR '!D$18,AND($C45="Electric car",$D45=4),$E45*'FR '!D$19,AND($C45="Electric car",$D45=5),$E45*'FR '!D$20,AND($C45="Hybrid car",$D45=1),$E45*'FR '!D$22,AND($C45="Hybrid car",$D45=2),$E45*'FR '!D$23,AND($C45="Hybrid car",$D45=3),$E45*'FR '!D$24,AND($C45="Hybrid car",$D45=4),$E45*'FR '!D$25,AND($C45="Hybrid car",$D45=5),$E45*'FR '!D$26,AND($C45="Electric motorcycle",$D45=1),$E45*'FR '!D$28,AND($C45="Electric motorcycle",$D45=2),$E45*'FR '!D$29,AND($C45="Electric bike",$D45=1),$E45*'FR '!D$31,AND($C45="Electric scooter",$D45=1),$E45*'FR '!D$33,AND($C45="Bus",$D45="Almost empty"),$E45*'FR '!I$23,AND($C45="Bus",$D45="Average"),$E45*'FR '!I$24,AND($C45="Bus",$D45="Nearly full"),$E45*'FR '!I$25,AND($C45="Electric bus",$D45="Almost empty"),$E45*'FR '!I$7,AND($C45="Electric bus",$D45="Average"),$E45*'FR '!I$8,AND($C45="Electric bus",$D45="Nearly full"),$E45*'FR '!I$9,AND($C45="Diesel bus",$D45="Almost empty"),$E45*'FR '!I$19,AND($C45="Diesel bus",$D45="Average"),$E45*'FR '!I$20,AND($C45="Diesel bus",$D45="Nearly full"),$E45*'FR '!I$21,AND($C45="Hybrid-electric bus",$D45="Almost empty"),$E45*'FR '!I$11,AND($C45="Hybrid-electric bus",$D45="Average"),$E45*'FR '!I$12,AND($C45="Hybrid-electric bus",$D45="Nearly full"),$E45*'FR '!I$13,AND($C45="Alternative fuel bus",$D45="Almost empty"),$E45*'FR '!I$15,AND($C45="Alternative fuel bus",$D45="Average"),$E45*'FR '!I$16,AND($C45="Alternative fuel bus",$D45="Nearly full"),$E45*'FR '!I$17,AND($C45="Metro, tram, urban light train",$D45="Almost empty"),$E45*'FR '!D$35,AND($C45="Metro, tram, urban light train",$D45="Average"),$E45*'FR '!D$36,AND($C45="Metro, tram, urban light train",$D45="Nearly full"),$E45*'FR '!D$37,AND($C45="Electric passenger train",$D45="Almost empty"),$E45*'FR '!D$39,AND($C45="Electric passenger train",$D45="Average"),$E45*'FR '!D$40,AND($C45="Electric passenger train",$D45="Nearly full"),$E45*'FR '!D$41,AND($C45="Diesel passenger train",$D45="Almost empty"),$E45*'FR '!D$47,AND($C45="Diesel passenger train",$D45="Average"),$E45*'FR '!D$48,AND($C45="Diesel passenger train",$D45="Nearly full"),$E45*'FR '!D$49,AND($C45="Walking"),$E45*0,AND($C45="Bike"),$E45*0,AND($C45="Plane - domestic flight"),$E45*'FR '!$C69,AND($C45="Plane - international - intra EU"),$E45*'FR '!$C71,AND($C45="Plane - international (extra EU)"),$E45*'FR '!$C73)</f>
        <v>#N/A</v>
      </c>
      <c r="L45" s="198" t="s">
        <v>256</v>
      </c>
      <c r="M45" s="199"/>
      <c r="N45" s="200"/>
    </row>
    <row r="46" spans="1:14" ht="16" thickBot="1" x14ac:dyDescent="0.25">
      <c r="A46" s="222"/>
      <c r="B46" s="30"/>
      <c r="C46" s="15"/>
      <c r="D46" s="15"/>
      <c r="E46" s="125"/>
      <c r="F46" s="128" t="e" cm="1">
        <f t="array" ref="F46">_xlfn.IFS(AND($C46="Fuel car",$D46=1),$E46*'FR '!C$7,AND($C46="Fuel car",$D46=2),$E46*'FR '!C$8,AND($C46="Fuel car",$D46=3),$E46*'FR '!C$9,AND($C46="Fuel car",$D46=4),$E46*'FR '!C$10,AND($C46="Fuel car",$D46=5),$E46*'FR '!C$11,AND($C46="Motorcycle",$D46=1),$E46*'FR '!C$13,AND($C46="Motorcycle",$D46=2),$E46*'FR '!C$14,AND($C46="Electric car",$D46=1),$E46*'FR '!C$16,AND($C46="Electric car",$D46=2),$E46*'FR '!C$17,AND($C46="Electric car",$D46=3),$E46*'FR '!C$18,AND($C46="Electric car",$D46=4),$E46*'FR '!C$19,AND($C46="Electric car",$D46=5),$E46*'FR '!C$20,AND($C46="Hybrid car",$D46=1),$E46*'FR '!C$22,AND($C46="Hybrid car",$D46=2),$E46*'FR '!C$23,AND($C46="Hybrid car",$D46=3),$E46*'FR '!C$24,AND($C46="Hybrid car",$D46=4),$E46*'FR '!C$25,AND($C46="Hybrid car",$D46=5),$E46*'FR '!C$26,AND($C46="Electric motorcycle",$D46=1),$E46*'FR '!C$28,AND($C46="Electric motorcycle",$D46=2),$E46*'FR '!C$29,AND($C46="Electric bike",$D46=1),$E46*'FR '!C$31,AND($C46="Electric scooter",$D46=1),$E46*'FR '!C$33,AND($C46="Bus",$D46="Almost empty"),$E46*'FR '!H$23,AND($C46="Bus",$D46="Average"),$E46*'FR '!H$24,AND($C46="Bus",$D46="Nearly full"),$E46*'FR '!H$25,AND($C46="Electric bus",$D46="Almost empty"),$E46*'FR '!H$7,AND($C46="Electric bus",$D46="Average"),$E46*'FR '!H$8,AND($C46="Electric bus",$D46="Nearly full"),$E46*'FR '!H$9,AND($C46="Diesel bus",$D46="Almost empty"),$E46*'FR '!H$19,AND($C46="Diesel bus",$D46="Average"),$E46*'FR '!H$20,AND($C46="Diesel bus",$D46="Nearly full"),$E46*'FR '!H$21,AND($C46="Hybrid-electric bus",$D46="Almost empty"),$E46*'FR '!H$11,AND($C46="Hybrid-electric bus",$D46="Average"),$E46*'FR '!H$12,AND($C46="Hybrid-electric bus",$D46="Nearly full"),$E46*'FR '!H$13,AND($C46="Alternative fuel bus",$D46="Almost empty"),$E46*'FR '!H$15,AND($C46="Alternative fuel bus",$D46="Average"),$E46*'FR '!H$16,AND($C46="Alternative fuel bus",$D46="Nearly full"),$E46*'FR '!H$17,AND($C46="Metro, tram, urban light train",$D46="Almost empty"),$E46*'FR '!C$35,AND($C46="Metro, tram, urban light train",$D46="Average"),$E46*'FR '!C$36,AND($C46="Metro, tram, urban light train",$D46="Nearly full"),$E46*'FR '!C$37,AND($C46="Electric passenger train",$D46="Almost empty"),$E46*'FR '!C$39,AND($C46="Electric passenger train",$D46="Average"),$E46*'FR '!C$40,AND($C46="Electric passenger train",$D46="Nearly full"),$E46*'FR '!C$41,AND($C46="Diesel passenger train",$D46="Almost empty"),$E46*'FR '!C$47,AND($C46="Diesel passenger train",$D46="Average"),$E46*'FR '!C$48,AND($C46="Diesel passenger train",$D46="Nearly full"),$E46*'FR '!C$49,AND($C46="Walking"),$E46*0,AND($C46="Bike"),$E46*0,AND($C46="Plane - domestic flight"),$E46*'FR '!$C70,AND($C46="Plane - international - intra EU"),$E46*'FR '!$C72,AND($C46="Plane - international (extra EU)"),$E46*'FR '!$C74)</f>
        <v>#N/A</v>
      </c>
      <c r="G46" s="31" t="e" cm="1">
        <f t="array" ref="G46">_xlfn.IFS(AND($C46="Fuel car",$D46=1),$E46*'FR '!D$7,AND($C46="Fuel car",$D46=2),$E46*'FR '!D$8,AND($C46="Fuel car",$D46=3),$E46*'FR '!D$9,AND($C46="Fuel car",$D46=4),$E46*'FR '!D$10,AND($C46="Fuel car",$D46=5),$E46*'FR '!D$11,AND($C46="Motorcycle",$D46=1),$E46*'FR '!D$13,AND($C46="Motorcycle",$D46=2),$E46*'FR '!D$14,AND($C46="Electric car",$D46=1),$E46*'FR '!D$16,AND($C46="Electric car",$D46=2),$E46*'FR '!D$17,AND($C46="Electric car",$D46=3),$E46*'FR '!D$18,AND($C46="Electric car",$D46=4),$E46*'FR '!D$19,AND($C46="Electric car",$D46=5),$E46*'FR '!D$20,AND($C46="Hybrid car",$D46=1),$E46*'FR '!D$22,AND($C46="Hybrid car",$D46=2),$E46*'FR '!D$23,AND($C46="Hybrid car",$D46=3),$E46*'FR '!D$24,AND($C46="Hybrid car",$D46=4),$E46*'FR '!D$25,AND($C46="Hybrid car",$D46=5),$E46*'FR '!D$26,AND($C46="Electric motorcycle",$D46=1),$E46*'FR '!D$28,AND($C46="Electric motorcycle",$D46=2),$E46*'FR '!D$29,AND($C46="Electric bike",$D46=1),$E46*'FR '!D$31,AND($C46="Electric scooter",$D46=1),$E46*'FR '!D$33,AND($C46="Bus",$D46="Almost empty"),$E46*'FR '!I$23,AND($C46="Bus",$D46="Average"),$E46*'FR '!I$24,AND($C46="Bus",$D46="Nearly full"),$E46*'FR '!I$25,AND($C46="Electric bus",$D46="Almost empty"),$E46*'FR '!I$7,AND($C46="Electric bus",$D46="Average"),$E46*'FR '!I$8,AND($C46="Electric bus",$D46="Nearly full"),$E46*'FR '!I$9,AND($C46="Diesel bus",$D46="Almost empty"),$E46*'FR '!I$19,AND($C46="Diesel bus",$D46="Average"),$E46*'FR '!I$20,AND($C46="Diesel bus",$D46="Nearly full"),$E46*'FR '!I$21,AND($C46="Hybrid-electric bus",$D46="Almost empty"),$E46*'FR '!I$11,AND($C46="Hybrid-electric bus",$D46="Average"),$E46*'FR '!I$12,AND($C46="Hybrid-electric bus",$D46="Nearly full"),$E46*'FR '!I$13,AND($C46="Alternative fuel bus",$D46="Almost empty"),$E46*'FR '!I$15,AND($C46="Alternative fuel bus",$D46="Average"),$E46*'FR '!I$16,AND($C46="Alternative fuel bus",$D46="Nearly full"),$E46*'FR '!I$17,AND($C46="Metro, tram, urban light train",$D46="Almost empty"),$E46*'FR '!D$35,AND($C46="Metro, tram, urban light train",$D46="Average"),$E46*'FR '!D$36,AND($C46="Metro, tram, urban light train",$D46="Nearly full"),$E46*'FR '!D$37,AND($C46="Electric passenger train",$D46="Almost empty"),$E46*'FR '!D$39,AND($C46="Electric passenger train",$D46="Average"),$E46*'FR '!D$40,AND($C46="Electric passenger train",$D46="Nearly full"),$E46*'FR '!D$41,AND($C46="Diesel passenger train",$D46="Almost empty"),$E46*'FR '!D$47,AND($C46="Diesel passenger train",$D46="Average"),$E46*'FR '!D$48,AND($C46="Diesel passenger train",$D46="Nearly full"),$E46*'FR '!D$49,AND($C46="Walking"),$E46*0,AND($C46="Bike"),$E46*0,AND($C46="Plane - domestic flight"),$E46*'FR '!$C70,AND($C46="Plane - international - intra EU"),$E46*'FR '!$C72,AND($C46="Plane - international (extra EU)"),$E46*'FR '!$C74)</f>
        <v>#N/A</v>
      </c>
      <c r="L46" s="246"/>
      <c r="M46" s="247"/>
      <c r="N46" s="248"/>
    </row>
    <row r="47" spans="1:14" ht="20" thickBot="1" x14ac:dyDescent="0.25">
      <c r="A47" s="222"/>
      <c r="B47" s="30"/>
      <c r="C47" s="15"/>
      <c r="D47" s="15"/>
      <c r="E47" s="125"/>
      <c r="F47" s="128" t="e" cm="1">
        <f t="array" ref="F47">_xlfn.IFS(AND($C47="Fuel car",$D47=1),$E47*'FR '!C$7,AND($C47="Fuel car",$D47=2),$E47*'FR '!C$8,AND($C47="Fuel car",$D47=3),$E47*'FR '!C$9,AND($C47="Fuel car",$D47=4),$E47*'FR '!C$10,AND($C47="Fuel car",$D47=5),$E47*'FR '!C$11,AND($C47="Motorcycle",$D47=1),$E47*'FR '!C$13,AND($C47="Motorcycle",$D47=2),$E47*'FR '!C$14,AND($C47="Electric car",$D47=1),$E47*'FR '!C$16,AND($C47="Electric car",$D47=2),$E47*'FR '!C$17,AND($C47="Electric car",$D47=3),$E47*'FR '!C$18,AND($C47="Electric car",$D47=4),$E47*'FR '!C$19,AND($C47="Electric car",$D47=5),$E47*'FR '!C$20,AND($C47="Hybrid car",$D47=1),$E47*'FR '!C$22,AND($C47="Hybrid car",$D47=2),$E47*'FR '!C$23,AND($C47="Hybrid car",$D47=3),$E47*'FR '!C$24,AND($C47="Hybrid car",$D47=4),$E47*'FR '!C$25,AND($C47="Hybrid car",$D47=5),$E47*'FR '!C$26,AND($C47="Electric motorcycle",$D47=1),$E47*'FR '!C$28,AND($C47="Electric motorcycle",$D47=2),$E47*'FR '!C$29,AND($C47="Electric bike",$D47=1),$E47*'FR '!C$31,AND($C47="Electric scooter",$D47=1),$E47*'FR '!C$33,AND($C47="Bus",$D47="Almost empty"),$E47*'FR '!H$23,AND($C47="Bus",$D47="Average"),$E47*'FR '!H$24,AND($C47="Bus",$D47="Nearly full"),$E47*'FR '!H$25,AND($C47="Electric bus",$D47="Almost empty"),$E47*'FR '!H$7,AND($C47="Electric bus",$D47="Average"),$E47*'FR '!H$8,AND($C47="Electric bus",$D47="Nearly full"),$E47*'FR '!H$9,AND($C47="Diesel bus",$D47="Almost empty"),$E47*'FR '!H$19,AND($C47="Diesel bus",$D47="Average"),$E47*'FR '!H$20,AND($C47="Diesel bus",$D47="Nearly full"),$E47*'FR '!H$21,AND($C47="Hybrid-electric bus",$D47="Almost empty"),$E47*'FR '!H$11,AND($C47="Hybrid-electric bus",$D47="Average"),$E47*'FR '!H$12,AND($C47="Hybrid-electric bus",$D47="Nearly full"),$E47*'FR '!H$13,AND($C47="Alternative fuel bus",$D47="Almost empty"),$E47*'FR '!H$15,AND($C47="Alternative fuel bus",$D47="Average"),$E47*'FR '!H$16,AND($C47="Alternative fuel bus",$D47="Nearly full"),$E47*'FR '!H$17,AND($C47="Metro, tram, urban light train",$D47="Almost empty"),$E47*'FR '!C$35,AND($C47="Metro, tram, urban light train",$D47="Average"),$E47*'FR '!C$36,AND($C47="Metro, tram, urban light train",$D47="Nearly full"),$E47*'FR '!C$37,AND($C47="Electric passenger train",$D47="Almost empty"),$E47*'FR '!C$39,AND($C47="Electric passenger train",$D47="Average"),$E47*'FR '!C$40,AND($C47="Electric passenger train",$D47="Nearly full"),$E47*'FR '!C$41,AND($C47="Diesel passenger train",$D47="Almost empty"),$E47*'FR '!C$47,AND($C47="Diesel passenger train",$D47="Average"),$E47*'FR '!C$48,AND($C47="Diesel passenger train",$D47="Nearly full"),$E47*'FR '!C$49,AND($C47="Walking"),$E47*0,AND($C47="Bike"),$E47*0,AND($C47="Plane - domestic flight"),$E47*'FR '!$C71,AND($C47="Plane - international - intra EU"),$E47*'FR '!$C73,AND($C47="Plane - international (extra EU)"),$E47*'FR '!$C75)</f>
        <v>#N/A</v>
      </c>
      <c r="G47" s="31" t="e" cm="1">
        <f t="array" ref="G47">_xlfn.IFS(AND($C47="Fuel car",$D47=1),$E47*'FR '!D$7,AND($C47="Fuel car",$D47=2),$E47*'FR '!D$8,AND($C47="Fuel car",$D47=3),$E47*'FR '!D$9,AND($C47="Fuel car",$D47=4),$E47*'FR '!D$10,AND($C47="Fuel car",$D47=5),$E47*'FR '!D$11,AND($C47="Motorcycle",$D47=1),$E47*'FR '!D$13,AND($C47="Motorcycle",$D47=2),$E47*'FR '!D$14,AND($C47="Electric car",$D47=1),$E47*'FR '!D$16,AND($C47="Electric car",$D47=2),$E47*'FR '!D$17,AND($C47="Electric car",$D47=3),$E47*'FR '!D$18,AND($C47="Electric car",$D47=4),$E47*'FR '!D$19,AND($C47="Electric car",$D47=5),$E47*'FR '!D$20,AND($C47="Hybrid car",$D47=1),$E47*'FR '!D$22,AND($C47="Hybrid car",$D47=2),$E47*'FR '!D$23,AND($C47="Hybrid car",$D47=3),$E47*'FR '!D$24,AND($C47="Hybrid car",$D47=4),$E47*'FR '!D$25,AND($C47="Hybrid car",$D47=5),$E47*'FR '!D$26,AND($C47="Electric motorcycle",$D47=1),$E47*'FR '!D$28,AND($C47="Electric motorcycle",$D47=2),$E47*'FR '!D$29,AND($C47="Electric bike",$D47=1),$E47*'FR '!D$31,AND($C47="Electric scooter",$D47=1),$E47*'FR '!D$33,AND($C47="Bus",$D47="Almost empty"),$E47*'FR '!I$23,AND($C47="Bus",$D47="Average"),$E47*'FR '!I$24,AND($C47="Bus",$D47="Nearly full"),$E47*'FR '!I$25,AND($C47="Electric bus",$D47="Almost empty"),$E47*'FR '!I$7,AND($C47="Electric bus",$D47="Average"),$E47*'FR '!I$8,AND($C47="Electric bus",$D47="Nearly full"),$E47*'FR '!I$9,AND($C47="Diesel bus",$D47="Almost empty"),$E47*'FR '!I$19,AND($C47="Diesel bus",$D47="Average"),$E47*'FR '!I$20,AND($C47="Diesel bus",$D47="Nearly full"),$E47*'FR '!I$21,AND($C47="Hybrid-electric bus",$D47="Almost empty"),$E47*'FR '!I$11,AND($C47="Hybrid-electric bus",$D47="Average"),$E47*'FR '!I$12,AND($C47="Hybrid-electric bus",$D47="Nearly full"),$E47*'FR '!I$13,AND($C47="Alternative fuel bus",$D47="Almost empty"),$E47*'FR '!I$15,AND($C47="Alternative fuel bus",$D47="Average"),$E47*'FR '!I$16,AND($C47="Alternative fuel bus",$D47="Nearly full"),$E47*'FR '!I$17,AND($C47="Metro, tram, urban light train",$D47="Almost empty"),$E47*'FR '!D$35,AND($C47="Metro, tram, urban light train",$D47="Average"),$E47*'FR '!D$36,AND($C47="Metro, tram, urban light train",$D47="Nearly full"),$E47*'FR '!D$37,AND($C47="Electric passenger train",$D47="Almost empty"),$E47*'FR '!D$39,AND($C47="Electric passenger train",$D47="Average"),$E47*'FR '!D$40,AND($C47="Electric passenger train",$D47="Nearly full"),$E47*'FR '!D$41,AND($C47="Diesel passenger train",$D47="Almost empty"),$E47*'FR '!D$47,AND($C47="Diesel passenger train",$D47="Average"),$E47*'FR '!D$48,AND($C47="Diesel passenger train",$D47="Nearly full"),$E47*'FR '!D$49,AND($C47="Walking"),$E47*0,AND($C47="Bike"),$E47*0,AND($C47="Plane - domestic flight"),$E47*'FR '!$C71,AND($C47="Plane - international - intra EU"),$E47*'FR '!$C73,AND($C47="Plane - international (extra EU)"),$E47*'FR '!$C75)</f>
        <v>#N/A</v>
      </c>
      <c r="L47" s="238" t="s">
        <v>56</v>
      </c>
      <c r="M47" s="239"/>
      <c r="N47" s="240"/>
    </row>
    <row r="48" spans="1:14" ht="16" thickBot="1" x14ac:dyDescent="0.25">
      <c r="A48" s="222"/>
      <c r="B48" s="30"/>
      <c r="C48" s="15"/>
      <c r="D48" s="15"/>
      <c r="E48" s="125"/>
      <c r="F48" s="128" t="e" cm="1">
        <f t="array" ref="F48">_xlfn.IFS(AND($C48="Fuel car",$D48=1),$E48*'FR '!C$7,AND($C48="Fuel car",$D48=2),$E48*'FR '!C$8,AND($C48="Fuel car",$D48=3),$E48*'FR '!C$9,AND($C48="Fuel car",$D48=4),$E48*'FR '!C$10,AND($C48="Fuel car",$D48=5),$E48*'FR '!C$11,AND($C48="Motorcycle",$D48=1),$E48*'FR '!C$13,AND($C48="Motorcycle",$D48=2),$E48*'FR '!C$14,AND($C48="Electric car",$D48=1),$E48*'FR '!C$16,AND($C48="Electric car",$D48=2),$E48*'FR '!C$17,AND($C48="Electric car",$D48=3),$E48*'FR '!C$18,AND($C48="Electric car",$D48=4),$E48*'FR '!C$19,AND($C48="Electric car",$D48=5),$E48*'FR '!C$20,AND($C48="Hybrid car",$D48=1),$E48*'FR '!C$22,AND($C48="Hybrid car",$D48=2),$E48*'FR '!C$23,AND($C48="Hybrid car",$D48=3),$E48*'FR '!C$24,AND($C48="Hybrid car",$D48=4),$E48*'FR '!C$25,AND($C48="Hybrid car",$D48=5),$E48*'FR '!C$26,AND($C48="Electric motorcycle",$D48=1),$E48*'FR '!C$28,AND($C48="Electric motorcycle",$D48=2),$E48*'FR '!C$29,AND($C48="Electric bike",$D48=1),$E48*'FR '!C$31,AND($C48="Electric scooter",$D48=1),$E48*'FR '!C$33,AND($C48="Bus",$D48="Almost empty"),$E48*'FR '!H$23,AND($C48="Bus",$D48="Average"),$E48*'FR '!H$24,AND($C48="Bus",$D48="Nearly full"),$E48*'FR '!H$25,AND($C48="Electric bus",$D48="Almost empty"),$E48*'FR '!H$7,AND($C48="Electric bus",$D48="Average"),$E48*'FR '!H$8,AND($C48="Electric bus",$D48="Nearly full"),$E48*'FR '!H$9,AND($C48="Diesel bus",$D48="Almost empty"),$E48*'FR '!H$19,AND($C48="Diesel bus",$D48="Average"),$E48*'FR '!H$20,AND($C48="Diesel bus",$D48="Nearly full"),$E48*'FR '!H$21,AND($C48="Hybrid-electric bus",$D48="Almost empty"),$E48*'FR '!H$11,AND($C48="Hybrid-electric bus",$D48="Average"),$E48*'FR '!H$12,AND($C48="Hybrid-electric bus",$D48="Nearly full"),$E48*'FR '!H$13,AND($C48="Alternative fuel bus",$D48="Almost empty"),$E48*'FR '!H$15,AND($C48="Alternative fuel bus",$D48="Average"),$E48*'FR '!H$16,AND($C48="Alternative fuel bus",$D48="Nearly full"),$E48*'FR '!H$17,AND($C48="Metro, tram, urban light train",$D48="Almost empty"),$E48*'FR '!C$35,AND($C48="Metro, tram, urban light train",$D48="Average"),$E48*'FR '!C$36,AND($C48="Metro, tram, urban light train",$D48="Nearly full"),$E48*'FR '!C$37,AND($C48="Electric passenger train",$D48="Almost empty"),$E48*'FR '!C$39,AND($C48="Electric passenger train",$D48="Average"),$E48*'FR '!C$40,AND($C48="Electric passenger train",$D48="Nearly full"),$E48*'FR '!C$41,AND($C48="Diesel passenger train",$D48="Almost empty"),$E48*'FR '!C$47,AND($C48="Diesel passenger train",$D48="Average"),$E48*'FR '!C$48,AND($C48="Diesel passenger train",$D48="Nearly full"),$E48*'FR '!C$49,AND($C48="Walking"),$E48*0,AND($C48="Bike"),$E48*0,AND($C48="Plane - domestic flight"),$E48*'FR '!$C72,AND($C48="Plane - international - intra EU"),$E48*'FR '!$C74,AND($C48="Plane - international (extra EU)"),$E48*'FR '!$C76)</f>
        <v>#N/A</v>
      </c>
      <c r="G48" s="31" t="e" cm="1">
        <f t="array" ref="G48">_xlfn.IFS(AND($C48="Fuel car",$D48=1),$E48*'FR '!D$7,AND($C48="Fuel car",$D48=2),$E48*'FR '!D$8,AND($C48="Fuel car",$D48=3),$E48*'FR '!D$9,AND($C48="Fuel car",$D48=4),$E48*'FR '!D$10,AND($C48="Fuel car",$D48=5),$E48*'FR '!D$11,AND($C48="Motorcycle",$D48=1),$E48*'FR '!D$13,AND($C48="Motorcycle",$D48=2),$E48*'FR '!D$14,AND($C48="Electric car",$D48=1),$E48*'FR '!D$16,AND($C48="Electric car",$D48=2),$E48*'FR '!D$17,AND($C48="Electric car",$D48=3),$E48*'FR '!D$18,AND($C48="Electric car",$D48=4),$E48*'FR '!D$19,AND($C48="Electric car",$D48=5),$E48*'FR '!D$20,AND($C48="Hybrid car",$D48=1),$E48*'FR '!D$22,AND($C48="Hybrid car",$D48=2),$E48*'FR '!D$23,AND($C48="Hybrid car",$D48=3),$E48*'FR '!D$24,AND($C48="Hybrid car",$D48=4),$E48*'FR '!D$25,AND($C48="Hybrid car",$D48=5),$E48*'FR '!D$26,AND($C48="Electric motorcycle",$D48=1),$E48*'FR '!D$28,AND($C48="Electric motorcycle",$D48=2),$E48*'FR '!D$29,AND($C48="Electric bike",$D48=1),$E48*'FR '!D$31,AND($C48="Electric scooter",$D48=1),$E48*'FR '!D$33,AND($C48="Bus",$D48="Almost empty"),$E48*'FR '!I$23,AND($C48="Bus",$D48="Average"),$E48*'FR '!I$24,AND($C48="Bus",$D48="Nearly full"),$E48*'FR '!I$25,AND($C48="Electric bus",$D48="Almost empty"),$E48*'FR '!I$7,AND($C48="Electric bus",$D48="Average"),$E48*'FR '!I$8,AND($C48="Electric bus",$D48="Nearly full"),$E48*'FR '!I$9,AND($C48="Diesel bus",$D48="Almost empty"),$E48*'FR '!I$19,AND($C48="Diesel bus",$D48="Average"),$E48*'FR '!I$20,AND($C48="Diesel bus",$D48="Nearly full"),$E48*'FR '!I$21,AND($C48="Hybrid-electric bus",$D48="Almost empty"),$E48*'FR '!I$11,AND($C48="Hybrid-electric bus",$D48="Average"),$E48*'FR '!I$12,AND($C48="Hybrid-electric bus",$D48="Nearly full"),$E48*'FR '!I$13,AND($C48="Alternative fuel bus",$D48="Almost empty"),$E48*'FR '!I$15,AND($C48="Alternative fuel bus",$D48="Average"),$E48*'FR '!I$16,AND($C48="Alternative fuel bus",$D48="Nearly full"),$E48*'FR '!I$17,AND($C48="Metro, tram, urban light train",$D48="Almost empty"),$E48*'FR '!D$35,AND($C48="Metro, tram, urban light train",$D48="Average"),$E48*'FR '!D$36,AND($C48="Metro, tram, urban light train",$D48="Nearly full"),$E48*'FR '!D$37,AND($C48="Electric passenger train",$D48="Almost empty"),$E48*'FR '!D$39,AND($C48="Electric passenger train",$D48="Average"),$E48*'FR '!D$40,AND($C48="Electric passenger train",$D48="Nearly full"),$E48*'FR '!D$41,AND($C48="Diesel passenger train",$D48="Almost empty"),$E48*'FR '!D$47,AND($C48="Diesel passenger train",$D48="Average"),$E48*'FR '!D$48,AND($C48="Diesel passenger train",$D48="Nearly full"),$E48*'FR '!D$49,AND($C48="Walking"),$E48*0,AND($C48="Bike"),$E48*0,AND($C48="Plane - domestic flight"),$E48*'FR '!$C72,AND($C48="Plane - international - intra EU"),$E48*'FR '!$C74,AND($C48="Plane - international (extra EU)"),$E48*'FR '!$C76)</f>
        <v>#N/A</v>
      </c>
      <c r="H48" s="196" t="s">
        <v>67</v>
      </c>
      <c r="I48" s="197"/>
      <c r="L48" s="249"/>
      <c r="M48" s="250"/>
      <c r="N48" s="251"/>
    </row>
    <row r="49" spans="1:14" x14ac:dyDescent="0.2">
      <c r="A49" s="222"/>
      <c r="B49" s="30"/>
      <c r="C49" s="15"/>
      <c r="D49" s="15"/>
      <c r="E49" s="125"/>
      <c r="F49" s="128" t="e" cm="1">
        <f t="array" ref="F49">_xlfn.IFS(AND($C49="Fuel car",$D49=1),$E49*'FR '!C$7,AND($C49="Fuel car",$D49=2),$E49*'FR '!C$8,AND($C49="Fuel car",$D49=3),$E49*'FR '!C$9,AND($C49="Fuel car",$D49=4),$E49*'FR '!C$10,AND($C49="Fuel car",$D49=5),$E49*'FR '!C$11,AND($C49="Motorcycle",$D49=1),$E49*'FR '!C$13,AND($C49="Motorcycle",$D49=2),$E49*'FR '!C$14,AND($C49="Electric car",$D49=1),$E49*'FR '!C$16,AND($C49="Electric car",$D49=2),$E49*'FR '!C$17,AND($C49="Electric car",$D49=3),$E49*'FR '!C$18,AND($C49="Electric car",$D49=4),$E49*'FR '!C$19,AND($C49="Electric car",$D49=5),$E49*'FR '!C$20,AND($C49="Hybrid car",$D49=1),$E49*'FR '!C$22,AND($C49="Hybrid car",$D49=2),$E49*'FR '!C$23,AND($C49="Hybrid car",$D49=3),$E49*'FR '!C$24,AND($C49="Hybrid car",$D49=4),$E49*'FR '!C$25,AND($C49="Hybrid car",$D49=5),$E49*'FR '!C$26,AND($C49="Electric motorcycle",$D49=1),$E49*'FR '!C$28,AND($C49="Electric motorcycle",$D49=2),$E49*'FR '!C$29,AND($C49="Electric bike",$D49=1),$E49*'FR '!C$31,AND($C49="Electric scooter",$D49=1),$E49*'FR '!C$33,AND($C49="Bus",$D49="Almost empty"),$E49*'FR '!H$23,AND($C49="Bus",$D49="Average"),$E49*'FR '!H$24,AND($C49="Bus",$D49="Nearly full"),$E49*'FR '!H$25,AND($C49="Electric bus",$D49="Almost empty"),$E49*'FR '!H$7,AND($C49="Electric bus",$D49="Average"),$E49*'FR '!H$8,AND($C49="Electric bus",$D49="Nearly full"),$E49*'FR '!H$9,AND($C49="Diesel bus",$D49="Almost empty"),$E49*'FR '!H$19,AND($C49="Diesel bus",$D49="Average"),$E49*'FR '!H$20,AND($C49="Diesel bus",$D49="Nearly full"),$E49*'FR '!H$21,AND($C49="Hybrid-electric bus",$D49="Almost empty"),$E49*'FR '!H$11,AND($C49="Hybrid-electric bus",$D49="Average"),$E49*'FR '!H$12,AND($C49="Hybrid-electric bus",$D49="Nearly full"),$E49*'FR '!H$13,AND($C49="Alternative fuel bus",$D49="Almost empty"),$E49*'FR '!H$15,AND($C49="Alternative fuel bus",$D49="Average"),$E49*'FR '!H$16,AND($C49="Alternative fuel bus",$D49="Nearly full"),$E49*'FR '!H$17,AND($C49="Metro, tram, urban light train",$D49="Almost empty"),$E49*'FR '!C$35,AND($C49="Metro, tram, urban light train",$D49="Average"),$E49*'FR '!C$36,AND($C49="Metro, tram, urban light train",$D49="Nearly full"),$E49*'FR '!C$37,AND($C49="Electric passenger train",$D49="Almost empty"),$E49*'FR '!C$39,AND($C49="Electric passenger train",$D49="Average"),$E49*'FR '!C$40,AND($C49="Electric passenger train",$D49="Nearly full"),$E49*'FR '!C$41,AND($C49="Diesel passenger train",$D49="Almost empty"),$E49*'FR '!C$47,AND($C49="Diesel passenger train",$D49="Average"),$E49*'FR '!C$48,AND($C49="Diesel passenger train",$D49="Nearly full"),$E49*'FR '!C$49,AND($C49="Walking"),$E49*0,AND($C49="Bike"),$E49*0,AND($C49="Plane - domestic flight"),$E49*'FR '!$C73,AND($C49="Plane - international - intra EU"),$E49*'FR '!$C75,AND($C49="Plane - international (extra EU)"),$E49*'FR '!$C77)</f>
        <v>#N/A</v>
      </c>
      <c r="G49" s="31" t="e" cm="1">
        <f t="array" ref="G49">_xlfn.IFS(AND($C49="Fuel car",$D49=1),$E49*'FR '!D$7,AND($C49="Fuel car",$D49=2),$E49*'FR '!D$8,AND($C49="Fuel car",$D49=3),$E49*'FR '!D$9,AND($C49="Fuel car",$D49=4),$E49*'FR '!D$10,AND($C49="Fuel car",$D49=5),$E49*'FR '!D$11,AND($C49="Motorcycle",$D49=1),$E49*'FR '!D$13,AND($C49="Motorcycle",$D49=2),$E49*'FR '!D$14,AND($C49="Electric car",$D49=1),$E49*'FR '!D$16,AND($C49="Electric car",$D49=2),$E49*'FR '!D$17,AND($C49="Electric car",$D49=3),$E49*'FR '!D$18,AND($C49="Electric car",$D49=4),$E49*'FR '!D$19,AND($C49="Electric car",$D49=5),$E49*'FR '!D$20,AND($C49="Hybrid car",$D49=1),$E49*'FR '!D$22,AND($C49="Hybrid car",$D49=2),$E49*'FR '!D$23,AND($C49="Hybrid car",$D49=3),$E49*'FR '!D$24,AND($C49="Hybrid car",$D49=4),$E49*'FR '!D$25,AND($C49="Hybrid car",$D49=5),$E49*'FR '!D$26,AND($C49="Electric motorcycle",$D49=1),$E49*'FR '!D$28,AND($C49="Electric motorcycle",$D49=2),$E49*'FR '!D$29,AND($C49="Electric bike",$D49=1),$E49*'FR '!D$31,AND($C49="Electric scooter",$D49=1),$E49*'FR '!D$33,AND($C49="Bus",$D49="Almost empty"),$E49*'FR '!I$23,AND($C49="Bus",$D49="Average"),$E49*'FR '!I$24,AND($C49="Bus",$D49="Nearly full"),$E49*'FR '!I$25,AND($C49="Electric bus",$D49="Almost empty"),$E49*'FR '!I$7,AND($C49="Electric bus",$D49="Average"),$E49*'FR '!I$8,AND($C49="Electric bus",$D49="Nearly full"),$E49*'FR '!I$9,AND($C49="Diesel bus",$D49="Almost empty"),$E49*'FR '!I$19,AND($C49="Diesel bus",$D49="Average"),$E49*'FR '!I$20,AND($C49="Diesel bus",$D49="Nearly full"),$E49*'FR '!I$21,AND($C49="Hybrid-electric bus",$D49="Almost empty"),$E49*'FR '!I$11,AND($C49="Hybrid-electric bus",$D49="Average"),$E49*'FR '!I$12,AND($C49="Hybrid-electric bus",$D49="Nearly full"),$E49*'FR '!I$13,AND($C49="Alternative fuel bus",$D49="Almost empty"),$E49*'FR '!I$15,AND($C49="Alternative fuel bus",$D49="Average"),$E49*'FR '!I$16,AND($C49="Alternative fuel bus",$D49="Nearly full"),$E49*'FR '!I$17,AND($C49="Metro, tram, urban light train",$D49="Almost empty"),$E49*'FR '!D$35,AND($C49="Metro, tram, urban light train",$D49="Average"),$E49*'FR '!D$36,AND($C49="Metro, tram, urban light train",$D49="Nearly full"),$E49*'FR '!D$37,AND($C49="Electric passenger train",$D49="Almost empty"),$E49*'FR '!D$39,AND($C49="Electric passenger train",$D49="Average"),$E49*'FR '!D$40,AND($C49="Electric passenger train",$D49="Nearly full"),$E49*'FR '!D$41,AND($C49="Diesel passenger train",$D49="Almost empty"),$E49*'FR '!D$47,AND($C49="Diesel passenger train",$D49="Average"),$E49*'FR '!D$48,AND($C49="Diesel passenger train",$D49="Nearly full"),$E49*'FR '!D$49,AND($C49="Walking"),$E49*0,AND($C49="Bike"),$E49*0,AND($C49="Plane - domestic flight"),$E49*'FR '!$C73,AND($C49="Plane - international - intra EU"),$E49*'FR '!$C75,AND($C49="Plane - international (extra EU)"),$E49*'FR '!$C77)</f>
        <v>#N/A</v>
      </c>
      <c r="H49" s="244" t="s">
        <v>74</v>
      </c>
      <c r="I49" s="141"/>
      <c r="L49" s="252"/>
      <c r="M49" s="253"/>
      <c r="N49" s="254"/>
    </row>
    <row r="50" spans="1:14" ht="16" thickBot="1" x14ac:dyDescent="0.25">
      <c r="A50" s="222"/>
      <c r="B50" s="51"/>
      <c r="C50" s="15"/>
      <c r="D50" s="15"/>
      <c r="E50" s="126"/>
      <c r="F50" s="128" t="e" cm="1">
        <f t="array" ref="F50">_xlfn.IFS(AND($C50="Fuel car",$D50=1),$E50*'FR '!C$7,AND($C50="Fuel car",$D50=2),$E50*'FR '!C$8,AND($C50="Fuel car",$D50=3),$E50*'FR '!C$9,AND($C50="Fuel car",$D50=4),$E50*'FR '!C$10,AND($C50="Fuel car",$D50=5),$E50*'FR '!C$11,AND($C50="Motorcycle",$D50=1),$E50*'FR '!C$13,AND($C50="Motorcycle",$D50=2),$E50*'FR '!C$14,AND($C50="Electric car",$D50=1),$E50*'FR '!C$16,AND($C50="Electric car",$D50=2),$E50*'FR '!C$17,AND($C50="Electric car",$D50=3),$E50*'FR '!C$18,AND($C50="Electric car",$D50=4),$E50*'FR '!C$19,AND($C50="Electric car",$D50=5),$E50*'FR '!C$20,AND($C50="Hybrid car",$D50=1),$E50*'FR '!C$22,AND($C50="Hybrid car",$D50=2),$E50*'FR '!C$23,AND($C50="Hybrid car",$D50=3),$E50*'FR '!C$24,AND($C50="Hybrid car",$D50=4),$E50*'FR '!C$25,AND($C50="Hybrid car",$D50=5),$E50*'FR '!C$26,AND($C50="Electric motorcycle",$D50=1),$E50*'FR '!C$28,AND($C50="Electric motorcycle",$D50=2),$E50*'FR '!C$29,AND($C50="Electric bike",$D50=1),$E50*'FR '!C$31,AND($C50="Electric scooter",$D50=1),$E50*'FR '!C$33,AND($C50="Bus",$D50="Almost empty"),$E50*'FR '!H$23,AND($C50="Bus",$D50="Average"),$E50*'FR '!H$24,AND($C50="Bus",$D50="Nearly full"),$E50*'FR '!H$25,AND($C50="Electric bus",$D50="Almost empty"),$E50*'FR '!H$7,AND($C50="Electric bus",$D50="Average"),$E50*'FR '!H$8,AND($C50="Electric bus",$D50="Nearly full"),$E50*'FR '!H$9,AND($C50="Diesel bus",$D50="Almost empty"),$E50*'FR '!H$19,AND($C50="Diesel bus",$D50="Average"),$E50*'FR '!H$20,AND($C50="Diesel bus",$D50="Nearly full"),$E50*'FR '!H$21,AND($C50="Hybrid-electric bus",$D50="Almost empty"),$E50*'FR '!H$11,AND($C50="Hybrid-electric bus",$D50="Average"),$E50*'FR '!H$12,AND($C50="Hybrid-electric bus",$D50="Nearly full"),$E50*'FR '!H$13,AND($C50="Alternative fuel bus",$D50="Almost empty"),$E50*'FR '!H$15,AND($C50="Alternative fuel bus",$D50="Average"),$E50*'FR '!H$16,AND($C50="Alternative fuel bus",$D50="Nearly full"),$E50*'FR '!H$17,AND($C50="Metro, tram, urban light train",$D50="Almost empty"),$E50*'FR '!C$35,AND($C50="Metro, tram, urban light train",$D50="Average"),$E50*'FR '!C$36,AND($C50="Metro, tram, urban light train",$D50="Nearly full"),$E50*'FR '!C$37,AND($C50="Electric passenger train",$D50="Almost empty"),$E50*'FR '!C$39,AND($C50="Electric passenger train",$D50="Average"),$E50*'FR '!C$40,AND($C50="Electric passenger train",$D50="Nearly full"),$E50*'FR '!C$41,AND($C50="Diesel passenger train",$D50="Almost empty"),$E50*'FR '!C$47,AND($C50="Diesel passenger train",$D50="Average"),$E50*'FR '!C$48,AND($C50="Diesel passenger train",$D50="Nearly full"),$E50*'FR '!C$49,AND($C50="Walking"),$E50*0,AND($C50="Bike"),$E50*0,AND($C50="Plane - domestic flight"),$E50*'FR '!$C74,AND($C50="Plane - international - intra EU"),$E50*'FR '!$C76,AND($C50="Plane - international (extra EU)"),$E50*'FR '!$C78)</f>
        <v>#N/A</v>
      </c>
      <c r="G50" s="31" t="e" cm="1">
        <f t="array" ref="G50">_xlfn.IFS(AND($C50="Fuel car",$D50=1),$E50*'FR '!D$7,AND($C50="Fuel car",$D50=2),$E50*'FR '!D$8,AND($C50="Fuel car",$D50=3),$E50*'FR '!D$9,AND($C50="Fuel car",$D50=4),$E50*'FR '!D$10,AND($C50="Fuel car",$D50=5),$E50*'FR '!D$11,AND($C50="Motorcycle",$D50=1),$E50*'FR '!D$13,AND($C50="Motorcycle",$D50=2),$E50*'FR '!D$14,AND($C50="Electric car",$D50=1),$E50*'FR '!D$16,AND($C50="Electric car",$D50=2),$E50*'FR '!D$17,AND($C50="Electric car",$D50=3),$E50*'FR '!D$18,AND($C50="Electric car",$D50=4),$E50*'FR '!D$19,AND($C50="Electric car",$D50=5),$E50*'FR '!D$20,AND($C50="Hybrid car",$D50=1),$E50*'FR '!D$22,AND($C50="Hybrid car",$D50=2),$E50*'FR '!D$23,AND($C50="Hybrid car",$D50=3),$E50*'FR '!D$24,AND($C50="Hybrid car",$D50=4),$E50*'FR '!D$25,AND($C50="Hybrid car",$D50=5),$E50*'FR '!D$26,AND($C50="Electric motorcycle",$D50=1),$E50*'FR '!D$28,AND($C50="Electric motorcycle",$D50=2),$E50*'FR '!D$29,AND($C50="Electric bike",$D50=1),$E50*'FR '!D$31,AND($C50="Electric scooter",$D50=1),$E50*'FR '!D$33,AND($C50="Bus",$D50="Almost empty"),$E50*'FR '!I$23,AND($C50="Bus",$D50="Average"),$E50*'FR '!I$24,AND($C50="Bus",$D50="Nearly full"),$E50*'FR '!I$25,AND($C50="Electric bus",$D50="Almost empty"),$E50*'FR '!I$7,AND($C50="Electric bus",$D50="Average"),$E50*'FR '!I$8,AND($C50="Electric bus",$D50="Nearly full"),$E50*'FR '!I$9,AND($C50="Diesel bus",$D50="Almost empty"),$E50*'FR '!I$19,AND($C50="Diesel bus",$D50="Average"),$E50*'FR '!I$20,AND($C50="Diesel bus",$D50="Nearly full"),$E50*'FR '!I$21,AND($C50="Hybrid-electric bus",$D50="Almost empty"),$E50*'FR '!I$11,AND($C50="Hybrid-electric bus",$D50="Average"),$E50*'FR '!I$12,AND($C50="Hybrid-electric bus",$D50="Nearly full"),$E50*'FR '!I$13,AND($C50="Alternative fuel bus",$D50="Almost empty"),$E50*'FR '!I$15,AND($C50="Alternative fuel bus",$D50="Average"),$E50*'FR '!I$16,AND($C50="Alternative fuel bus",$D50="Nearly full"),$E50*'FR '!I$17,AND($C50="Metro, tram, urban light train",$D50="Almost empty"),$E50*'FR '!D$35,AND($C50="Metro, tram, urban light train",$D50="Average"),$E50*'FR '!D$36,AND($C50="Metro, tram, urban light train",$D50="Nearly full"),$E50*'FR '!D$37,AND($C50="Electric passenger train",$D50="Almost empty"),$E50*'FR '!D$39,AND($C50="Electric passenger train",$D50="Average"),$E50*'FR '!D$40,AND($C50="Electric passenger train",$D50="Nearly full"),$E50*'FR '!D$41,AND($C50="Diesel passenger train",$D50="Almost empty"),$E50*'FR '!D$47,AND($C50="Diesel passenger train",$D50="Average"),$E50*'FR '!D$48,AND($C50="Diesel passenger train",$D50="Nearly full"),$E50*'FR '!D$49,AND($C50="Walking"),$E50*0,AND($C50="Bike"),$E50*0,AND($C50="Plane - domestic flight"),$E50*'FR '!$C74,AND($C50="Plane - international - intra EU"),$E50*'FR '!$C76,AND($C50="Plane - international (extra EU)"),$E50*'FR '!$C78)</f>
        <v>#N/A</v>
      </c>
      <c r="H50" s="245"/>
      <c r="I50" s="142"/>
      <c r="L50" s="252"/>
      <c r="M50" s="253"/>
      <c r="N50" s="254"/>
    </row>
    <row r="51" spans="1:14" ht="33" thickBot="1" x14ac:dyDescent="0.25">
      <c r="A51" s="222"/>
      <c r="B51" s="53"/>
      <c r="C51" s="32"/>
      <c r="D51" s="34"/>
      <c r="E51" s="113"/>
      <c r="F51" s="129" t="e" cm="1">
        <f t="array" ref="F51">_xlfn.IFS(AND($C51="Fuel car",$D51=1),$E51*'FR '!C$7,AND($C51="Fuel car",$D51=2),$E51*'FR '!C$8,AND($C51="Fuel car",$D51=3),$E51*'FR '!C$9,AND($C51="Fuel car",$D51=4),$E51*'FR '!C$10,AND($C51="Fuel car",$D51=5),$E51*'FR '!C$11,AND($C51="Motorcycle",$D51=1),$E51*'FR '!C$13,AND($C51="Motorcycle",$D51=2),$E51*'FR '!C$14,AND($C51="Electric car",$D51=1),$E51*'FR '!C$16,AND($C51="Electric car",$D51=2),$E51*'FR '!C$17,AND($C51="Electric car",$D51=3),$E51*'FR '!C$18,AND($C51="Electric car",$D51=4),$E51*'FR '!C$19,AND($C51="Electric car",$D51=5),$E51*'FR '!C$20,AND($C51="Hybrid car",$D51=1),$E51*'FR '!C$22,AND($C51="Hybrid car",$D51=2),$E51*'FR '!C$23,AND($C51="Hybrid car",$D51=3),$E51*'FR '!C$24,AND($C51="Hybrid car",$D51=4),$E51*'FR '!C$25,AND($C51="Hybrid car",$D51=5),$E51*'FR '!C$26,AND($C51="Electric motorcycle",$D51=1),$E51*'FR '!C$28,AND($C51="Electric motorcycle",$D51=2),$E51*'FR '!C$29,AND($C51="Electric bike",$D51=1),$E51*'FR '!C$31,AND($C51="Electric scooter",$D51=1),$E51*'FR '!C$33,AND($C51="Bus",$D51="Almost empty"),$E51*'FR '!H$23,AND($C51="Bus",$D51="Average"),$E51*'FR '!H$24,AND($C51="Bus",$D51="Nearly full"),$E51*'FR '!H$25,AND($C51="Electric bus",$D51="Almost empty"),$E51*'FR '!H$7,AND($C51="Electric bus",$D51="Average"),$E51*'FR '!H$8,AND($C51="Electric bus",$D51="Nearly full"),$E51*'FR '!H$9,AND($C51="Diesel bus",$D51="Almost empty"),$E51*'FR '!H$19,AND($C51="Diesel bus",$D51="Average"),$E51*'FR '!H$20,AND($C51="Diesel bus",$D51="Nearly full"),$E51*'FR '!H$21,AND($C51="Hybrid-electric bus",$D51="Almost empty"),$E51*'FR '!H$11,AND($C51="Hybrid-electric bus",$D51="Average"),$E51*'FR '!H$12,AND($C51="Hybrid-electric bus",$D51="Nearly full"),$E51*'FR '!H$13,AND($C51="Alternative fuel bus",$D51="Almost empty"),$E51*'FR '!H$15,AND($C51="Alternative fuel bus",$D51="Average"),$E51*'FR '!H$16,AND($C51="Alternative fuel bus",$D51="Nearly full"),$E51*'FR '!H$17,AND($C51="Metro, tram, urban light train",$D51="Almost empty"),$E51*'FR '!C$35,AND($C51="Metro, tram, urban light train",$D51="Average"),$E51*'FR '!C$36,AND($C51="Metro, tram, urban light train",$D51="Nearly full"),$E51*'FR '!C$37,AND($C51="Electric passenger train",$D51="Almost empty"),$E51*'FR '!C$39,AND($C51="Electric passenger train",$D51="Average"),$E51*'FR '!C$40,AND($C51="Electric passenger train",$D51="Nearly full"),$E51*'FR '!C$41,AND($C51="Diesel passenger train",$D51="Almost empty"),$E51*'FR '!C$47,AND($C51="Diesel passenger train",$D51="Average"),$E51*'FR '!C$48,AND($C51="Diesel passenger train",$D51="Nearly full"),$E51*'FR '!C$49,AND($C51="Walking"),$E51*0,AND($C51="Bike"),$E51*0,AND($C51="Plane - domestic flight"),$E51*'FR '!$C75,AND($C51="Plane - international - intra EU"),$E51*'FR '!$C77,AND($C51="Plane - international (extra EU)"),$E51*'FR '!$C79)</f>
        <v>#N/A</v>
      </c>
      <c r="G51" s="35" t="e" cm="1">
        <f t="array" ref="G51">_xlfn.IFS(AND($C51="Fuel car",$D51=1),$E51*'FR '!D$7,AND($C51="Fuel car",$D51=2),$E51*'FR '!D$8,AND($C51="Fuel car",$D51=3),$E51*'FR '!D$9,AND($C51="Fuel car",$D51=4),$E51*'FR '!D$10,AND($C51="Fuel car",$D51=5),$E51*'FR '!D$11,AND($C51="Motorcycle",$D51=1),$E51*'FR '!D$13,AND($C51="Motorcycle",$D51=2),$E51*'FR '!D$14,AND($C51="Electric car",$D51=1),$E51*'FR '!D$16,AND($C51="Electric car",$D51=2),$E51*'FR '!D$17,AND($C51="Electric car",$D51=3),$E51*'FR '!D$18,AND($C51="Electric car",$D51=4),$E51*'FR '!D$19,AND($C51="Electric car",$D51=5),$E51*'FR '!D$20,AND($C51="Hybrid car",$D51=1),$E51*'FR '!D$22,AND($C51="Hybrid car",$D51=2),$E51*'FR '!D$23,AND($C51="Hybrid car",$D51=3),$E51*'FR '!D$24,AND($C51="Hybrid car",$D51=4),$E51*'FR '!D$25,AND($C51="Hybrid car",$D51=5),$E51*'FR '!D$26,AND($C51="Electric motorcycle",$D51=1),$E51*'FR '!D$28,AND($C51="Electric motorcycle",$D51=2),$E51*'FR '!D$29,AND($C51="Electric bike",$D51=1),$E51*'FR '!D$31,AND($C51="Electric scooter",$D51=1),$E51*'FR '!D$33,AND($C51="Bus",$D51="Almost empty"),$E51*'FR '!I$23,AND($C51="Bus",$D51="Average"),$E51*'FR '!I$24,AND($C51="Bus",$D51="Nearly full"),$E51*'FR '!I$25,AND($C51="Electric bus",$D51="Almost empty"),$E51*'FR '!I$7,AND($C51="Electric bus",$D51="Average"),$E51*'FR '!I$8,AND($C51="Electric bus",$D51="Nearly full"),$E51*'FR '!I$9,AND($C51="Diesel bus",$D51="Almost empty"),$E51*'FR '!I$19,AND($C51="Diesel bus",$D51="Average"),$E51*'FR '!I$20,AND($C51="Diesel bus",$D51="Nearly full"),$E51*'FR '!I$21,AND($C51="Hybrid-electric bus",$D51="Almost empty"),$E51*'FR '!I$11,AND($C51="Hybrid-electric bus",$D51="Average"),$E51*'FR '!I$12,AND($C51="Hybrid-electric bus",$D51="Nearly full"),$E51*'FR '!I$13,AND($C51="Alternative fuel bus",$D51="Almost empty"),$E51*'FR '!I$15,AND($C51="Alternative fuel bus",$D51="Average"),$E51*'FR '!I$16,AND($C51="Alternative fuel bus",$D51="Nearly full"),$E51*'FR '!I$17,AND($C51="Metro, tram, urban light train",$D51="Almost empty"),$E51*'FR '!D$35,AND($C51="Metro, tram, urban light train",$D51="Average"),$E51*'FR '!D$36,AND($C51="Metro, tram, urban light train",$D51="Nearly full"),$E51*'FR '!D$37,AND($C51="Electric passenger train",$D51="Almost empty"),$E51*'FR '!D$39,AND($C51="Electric passenger train",$D51="Average"),$E51*'FR '!D$40,AND($C51="Electric passenger train",$D51="Nearly full"),$E51*'FR '!D$41,AND($C51="Diesel passenger train",$D51="Almost empty"),$E51*'FR '!D$47,AND($C51="Diesel passenger train",$D51="Average"),$E51*'FR '!D$48,AND($C51="Diesel passenger train",$D51="Nearly full"),$E51*'FR '!D$49,AND($C51="Walking"),$E51*0,AND($C51="Bike"),$E51*0,AND($C51="Plane - domestic flight"),$E51*'FR '!$C75,AND($C51="Plane - international - intra EU"),$E51*'FR '!$C77,AND($C51="Plane - international (extra EU)"),$E51*'FR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_xlfn.IFS(AND(D57&lt;='FR '!L4),"A+",AND(D57&lt;='FR '!M4,D57&gt;'FR '!L4),"A",AND(D57&lt;='FR '!N4,D57&gt;'FR '!M4),"B",AND(D57&lt;='FR '!O4,D57&gt;'FR '!N4),"C",AND(D57&lt;='FR '!P4,D57&gt;'FR '!O4),"D",AND(D57&lt;='FR '!Q4,D57&gt;'FR '!P4),"E",AND(D57&lt;='FR '!R4,D57&gt;'FR '!Q4),"F",AND(D57&gt;'FR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_xlfn.IFS(D58="#","#",AND(D58&lt;='FR '!L5),"A+",AND(D58&lt;='FR '!M5,D58&gt;'FR '!L5),"A",AND(D58&lt;='FR '!N5,D58&gt;'FR '!M5),"B",AND(D58&lt;='FR '!O5,D58&gt;'FR '!N5),"C",AND(D58&lt;='FR '!P5,D58&gt;'FR '!O5),"D",AND(D58&lt;='FR '!Q5,D58&gt;'FR '!P5),"E",AND(D58&lt;='FR '!R5,D58&gt;'FR '!Q5),"F",AND(D58&gt;'FR '!R5),"G")</f>
        <v>#</v>
      </c>
    </row>
    <row r="59" spans="1:14" ht="32" x14ac:dyDescent="0.2">
      <c r="A59" s="262"/>
      <c r="B59" s="264"/>
      <c r="C59" s="21" t="s">
        <v>88</v>
      </c>
      <c r="D59" s="47" t="e">
        <f>IF(ISNUMBER(D58), D57 + D58, D57)</f>
        <v>#DIV/0!</v>
      </c>
      <c r="E59" s="277"/>
      <c r="G59" s="264"/>
      <c r="H59" t="s">
        <v>88</v>
      </c>
      <c r="I59" s="56" t="e" cm="1">
        <f t="array" ref="I59">_xlfn.IFS(AND(D59&lt;='FR '!L6),"A+",AND(D59&lt;='FR '!M6,D59&gt;'FR '!L6),"A",AND(D59&lt;='FR '!N6,D59&gt;'FR '!M6),"B",AND(D59&lt;='FR '!O6,D59&gt;'FR '!N6),"C",AND(D59&lt;='FR '!P6,D59&gt;'FR '!O6),"D",AND(D59&lt;='FR '!Q6,D59&gt;'FR '!P6),"E",AND(D59&lt;='FR '!R6,D59&gt;'FR '!Q6),"F",AND(D59&gt;'FR '!R6),"G")</f>
        <v>#DIV/0!</v>
      </c>
    </row>
    <row r="60" spans="1:14" ht="16" x14ac:dyDescent="0.2">
      <c r="A60" s="262"/>
      <c r="B60" s="264"/>
      <c r="C60" s="21" t="s">
        <v>89</v>
      </c>
      <c r="D60" s="99">
        <f>I30</f>
        <v>0</v>
      </c>
      <c r="E60" s="277"/>
      <c r="G60" s="264"/>
      <c r="H60" t="s">
        <v>89</v>
      </c>
      <c r="I60" s="56" t="str" cm="1">
        <f t="array" ref="I60">_xlfn.IFS(AND(D60&lt;='FR '!L7),"A+",AND(D60&lt;='FR '!M7,D60&gt;'FR '!L7),"A",AND(D60&lt;='FR '!N7,D60&gt;'FR '!M7),"B",AND(D60&lt;='FR '!O7,D60&gt;'FR '!N7),"C",AND(D60&lt;='FR '!P7,D60&gt;'FR '!O7),"D",AND(D60&lt;='FR '!Q7,D60&gt;'FR '!P7),"E",AND(D60&lt;='FR '!R7,D60&gt;'FR '!Q7),"F",AND(D60&gt;'FR '!R7),"G")</f>
        <v>A+</v>
      </c>
    </row>
    <row r="61" spans="1:14" ht="16" thickBot="1" x14ac:dyDescent="0.25">
      <c r="A61" s="262"/>
      <c r="B61" s="265"/>
      <c r="C61" s="16" t="s">
        <v>57</v>
      </c>
      <c r="D61" s="58" t="e">
        <f>SUM(D59:D60)</f>
        <v>#DIV/0!</v>
      </c>
      <c r="E61" s="261"/>
      <c r="G61" s="265"/>
      <c r="H61" s="16" t="s">
        <v>57</v>
      </c>
      <c r="I61" s="1" t="e" cm="1">
        <f t="array" ref="I61">_xlfn.IFS(AND(D61&lt;='FR '!L8),"A+",AND(D61&lt;='FR '!M8,D61&gt;'FR '!L8),"A",AND(D61&lt;='FR '!N8,D61&gt;'FR '!M8),"B",AND(D61&lt;='FR '!O8,D61&gt;'FR '!N8),"C",AND(D61&lt;='FR '!P8,D61&gt;'FR '!O8),"D",AND(D61&lt;='FR '!Q8,D61&gt;'FR '!P8),"E",AND(D61&lt;='FR '!R8,D61&gt;'FR '!Q8),"F",AND(D61&gt;'FR '!R8),"G")</f>
        <v>#DIV/0!</v>
      </c>
    </row>
    <row r="62" spans="1:14" ht="32" x14ac:dyDescent="0.2">
      <c r="A62" s="262"/>
      <c r="B62" s="263" t="s">
        <v>90</v>
      </c>
      <c r="C62" s="57" t="s">
        <v>85</v>
      </c>
      <c r="D62" s="100" t="e">
        <f>I16</f>
        <v>#DIV/0!</v>
      </c>
      <c r="E62" s="266" t="s">
        <v>91</v>
      </c>
      <c r="G62" s="263" t="s">
        <v>90</v>
      </c>
      <c r="H62" s="46" t="s">
        <v>85</v>
      </c>
      <c r="I62" s="55" t="e" cm="1">
        <f t="array" ref="I62">_xlfn.IFS(AND(D62&lt;='FR '!L9),"A+",AND(D62&lt;='FR '!M9,D62&gt;'FR '!L9),"A",AND(D62&lt;='FR '!N9,D62&gt;'FR '!M9),"B",AND(D62&lt;='FR '!O9,D62&gt;'FR '!N9),"C",AND(D62&lt;='FR '!P9,D62&gt;'FR '!O9),"D",AND(D62&lt;='FR '!Q9,D62&gt;'FR '!P9),"E",AND(D62&lt;='FR '!R9,D62&gt;'FR '!Q9),"F",AND(D62&gt;'FR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_xlfn.IFS(D63="#","#",AND(D63&lt;='FR '!L10),"A+",AND(D63&lt;='FR '!M10,D63&gt;'FR '!L10),"A",AND(D63&lt;='FR '!N10,D63&gt;'FR '!M10),"B",AND(D63&lt;='FR '!O10,D63&gt;'FR '!N10),"C",AND(D63&lt;='FR '!P10,D63&gt;'FR '!O10),"D",AND(D63&lt;='FR '!Q10,D63&gt;'FR '!P10),"E",AND(D63&lt;='FR '!R10,D63&gt;'FR '!Q10),"F",AND(D63&gt;'FR '!R10),"G")</f>
        <v>#</v>
      </c>
    </row>
    <row r="64" spans="1:14" ht="32" x14ac:dyDescent="0.2">
      <c r="A64" s="262"/>
      <c r="B64" s="264"/>
      <c r="C64" s="21" t="s">
        <v>92</v>
      </c>
      <c r="D64" s="47" t="e">
        <f>IF(ISNUMBER(D63), D62 + D63, D62)</f>
        <v>#DIV/0!</v>
      </c>
      <c r="E64" s="202"/>
      <c r="G64" s="264"/>
      <c r="H64" t="s">
        <v>92</v>
      </c>
      <c r="I64" s="56" t="e" cm="1">
        <f t="array" ref="I64">_xlfn.IFS(AND(D64&lt;='FR '!L11),"A+",AND(D64&lt;='FR '!M11,D64&gt;'FR '!L11),"A",AND(D64&lt;='FR '!N11,D64&gt;'FR '!M11),"B",AND(D64&lt;='FR '!O11,D64&gt;'FR '!N11),"C",AND(D64&lt;='FR '!P11,D64&gt;'FR '!O11),"D",AND(D64&lt;='FR '!Q11,D64&gt;'FR '!P11),"E",AND(D64&lt;='FR '!R11,D64&gt;'FR '!Q11),"F",AND(D64&gt;'FR '!R11),"G")</f>
        <v>#DIV/0!</v>
      </c>
    </row>
    <row r="65" spans="1:9" x14ac:dyDescent="0.2">
      <c r="A65" s="262"/>
      <c r="B65" s="264"/>
      <c r="C65" t="s">
        <v>89</v>
      </c>
      <c r="D65" s="99">
        <f>I31</f>
        <v>0</v>
      </c>
      <c r="E65" s="202"/>
      <c r="G65" s="264"/>
      <c r="H65" t="s">
        <v>89</v>
      </c>
      <c r="I65" s="56" t="str" cm="1">
        <f t="array" ref="I65">_xlfn.IFS(AND(D65&lt;='FR '!L12),"A+",AND(D65&lt;='FR '!M12,D65&gt;'FR '!L12),"A",AND(D65&lt;='FR '!N12,D65&gt;'FR '!M12),"B",AND(D65&lt;='FR '!O12,D65&gt;'FR '!N12),"C",AND(D65&lt;='FR '!P12,D65&gt;'FR '!O12),"D",AND(D65&lt;='FR '!Q12,D65&gt;'FR '!P12),"E",AND(D65&lt;='FR '!R12,D65&gt;'FR '!Q12),"F",AND(D65&gt;'FR '!R12),"G")</f>
        <v>A+</v>
      </c>
    </row>
    <row r="66" spans="1:9" ht="16" thickBot="1" x14ac:dyDescent="0.25">
      <c r="A66" s="262"/>
      <c r="B66" s="265"/>
      <c r="C66" s="16" t="s">
        <v>57</v>
      </c>
      <c r="D66" s="16" t="e">
        <f>SUM(D64:D65)</f>
        <v>#DIV/0!</v>
      </c>
      <c r="E66" s="267"/>
      <c r="G66" s="265"/>
      <c r="H66" s="16" t="s">
        <v>57</v>
      </c>
      <c r="I66" s="1" t="e" cm="1">
        <f t="array" ref="I66">_xlfn.IFS(AND(D66&lt;='FR '!L13),"A+",AND(D66&lt;='FR '!M13,D66&gt;'FR '!L13),"A",AND(D66&lt;='FR '!N13,D66&gt;'FR '!M13),"B",AND(D66&lt;='FR '!O13,D66&gt;'FR '!N13),"C",AND(D66&lt;='FR '!P13,D66&gt;'FR '!O13),"D",AND(D66&lt;='FR '!Q13,D66&gt;'FR '!P13),"E",AND(D66&lt;='FR '!R13,D66&gt;'FR '!Q13),"F",AND(D66&gt;'FR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13" priority="7" operator="equal">
      <formula>"A+"</formula>
    </cfRule>
    <cfRule type="containsText" dxfId="312" priority="8" operator="containsText" text="A">
      <formula>NOT(ISERROR(SEARCH("A",I57)))</formula>
    </cfRule>
    <cfRule type="containsText" dxfId="311" priority="9" operator="containsText" text="B">
      <formula>NOT(ISERROR(SEARCH("B",I57)))</formula>
    </cfRule>
    <cfRule type="containsText" dxfId="310" priority="10" operator="containsText" text="C">
      <formula>NOT(ISERROR(SEARCH("C",I57)))</formula>
    </cfRule>
    <cfRule type="containsText" dxfId="309" priority="11" operator="containsText" text="D">
      <formula>NOT(ISERROR(SEARCH("D",I57)))</formula>
    </cfRule>
    <cfRule type="containsText" dxfId="308" priority="12" operator="containsText" text="E">
      <formula>NOT(ISERROR(SEARCH("E",I57)))</formula>
    </cfRule>
    <cfRule type="containsText" dxfId="307" priority="13" operator="containsText" text="F">
      <formula>NOT(ISERROR(SEARCH("F",I57)))</formula>
    </cfRule>
    <cfRule type="containsText" dxfId="306" priority="14" operator="containsText" text="G">
      <formula>NOT(ISERROR(SEARCH("G",I57)))</formula>
    </cfRule>
  </conditionalFormatting>
  <conditionalFormatting sqref="K5:K15">
    <cfRule type="expression" dxfId="21" priority="2" stopIfTrue="1">
      <formula>$O$19="No"</formula>
    </cfRule>
  </conditionalFormatting>
  <conditionalFormatting sqref="L5:L15">
    <cfRule type="expression" dxfId="2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5521E5C2-9749-484B-A061-2BEDB3BF5906}">
      <formula1>AND(Q19="Yes", ISNUMBER(L5))</formula1>
    </dataValidation>
    <dataValidation type="custom" operator="lessThan" allowBlank="1" showErrorMessage="1" errorTitle="Error" error="You can only enter values if you have selected HOME PV. The value must be a number." sqref="K5:K15" xr:uid="{C0ECB3BC-8EE6-6C46-AD0D-38D7CAF2BFAE}">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552191C3-C207-4D98-936C-F97F9DD155F5}">
          <x14:formula1>
            <xm:f>DATA!$J$3:$J$10</xm:f>
          </x14:formula1>
          <xm:sqref>D29:D51</xm:sqref>
        </x14:dataValidation>
        <x14:dataValidation type="list" allowBlank="1" showInputMessage="1" showErrorMessage="1" xr:uid="{4352D689-0B5C-EF42-BB85-5D7F8D5BC0CD}">
          <x14:formula1>
            <xm:f>DATA!$B$15:$B$23</xm:f>
          </x14:formula1>
          <xm:sqref>J2</xm:sqref>
        </x14:dataValidation>
        <x14:dataValidation type="list" allowBlank="1" showInputMessage="1" showErrorMessage="1" xr:uid="{DFF109EC-9E0A-45C3-8950-8A10B2D33BC0}">
          <x14:formula1>
            <xm:f>DATA!$H$3:$H$23</xm:f>
          </x14:formula1>
          <xm:sqref>C29:C51</xm:sqref>
        </x14:dataValidation>
        <x14:dataValidation type="list" allowBlank="1" showInputMessage="1" showErrorMessage="1" xr:uid="{C3EEE412-DAB4-0B4D-AAAF-1EE06338F5EC}">
          <x14:formula1>
            <xm:f>DATA!$B$3:$B$13</xm:f>
          </x14:formula1>
          <xm:sqref>H2</xm:sqref>
        </x14:dataValidation>
        <x14:dataValidation type="list" allowBlank="1" showInputMessage="1" showErrorMessage="1" xr:uid="{C7037733-FF10-0745-97C9-D16DECC9B99D}">
          <x14:formula1>
            <xm:f>DATA!$L$4:$L$5</xm:f>
          </x14:formula1>
          <xm:sqref>O18:O19 Q19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F4C69-9AFB-4C2D-AB44-21FDB192771E}">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5" customWidth="1"/>
    <col min="5" max="5" width="16.33203125" customWidth="1"/>
    <col min="6" max="6" width="18"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103</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IF($O$18="Yes",(E5/$F$2)*DATA!$C$9,(E5/$F$2)*DATA!F$14)+IF(ISBLANK(K5),0,K5/$F$2)*DATA!$C$9-IF(ISBLANK(L5),0,L5/$F$2)*DATA!F$14</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IF($O$18="Yes",(E6/$F$2)*DATA!$C$9,(E6/$F$2)*DATA!F$14)+IF(ISBLANK(K6),0,K6/$F$2)*DATA!$C$9-IF(ISBLANK(L6),0,L6/$F$2)*DATA!F$14</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IF($O$18="Yes",(E7/$F$2)*DATA!$C$9,(E7/$F$2)*DATA!F$14)+IF(ISBLANK(K7),0,K7/$F$2)*DATA!$C$9-IF(ISBLANK(L7),0,L7/$F$2)*DATA!F$14</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IF($O$18="Yes",(E8/$F$2)*DATA!$C$9,(E8/$F$2)*DATA!F$14)+IF(ISBLANK(K8),0,K8/$F$2)*DATA!$C$9-IF(ISBLANK(L8),0,L8/$F$2)*DATA!F$14</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IF($O$18="Yes",(E9/$F$2)*DATA!$C$9,(E9/$F$2)*DATA!F$14)+IF(ISBLANK(K9),0,K9/$F$2)*DATA!$C$9-IF(ISBLANK(L9),0,L9/$F$2)*DATA!F$14</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IF($O$18="Yes",(E10/$F$2)*DATA!$C$9,(E10/$F$2)*DATA!F$14)+IF(ISBLANK(K10),0,K10/$F$2)*DATA!$C$9-IF(ISBLANK(L10),0,L10/$F$2)*DATA!F$14</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IF($O$18="Yes",(E11/$F$2)*DATA!$C$9,(E11/$F$2)*DATA!F$14)+IF(ISBLANK(K11),0,K11/$F$2)*DATA!$C$9-IF(ISBLANK(L11),0,L11/$F$2)*DATA!F$14</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IF($O$18="Yes",(E12/$F$2)*DATA!$C$9,(E12/$F$2)*DATA!F$14)+IF(ISBLANK(K12),0,K12/$F$2)*DATA!$C$9-IF(ISBLANK(L12),0,L12/$F$2)*DATA!F$14</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IF($O$18="Yes",(E13/$F$2)*DATA!$C$9,(E13/$F$2)*DATA!F$14)+IF(ISBLANK(K13),0,K13/$F$2)*DATA!$C$9-IF(ISBLANK(L13),0,L13/$F$2)*DATA!F$14</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IF($O$18="Yes",(E14/$F$2)*DATA!$C$9,(E14/$F$2)*DATA!F$14)+IF(ISBLANK(K14),0,K14/$F$2)*DATA!$C$9-IF(ISBLANK(L14),0,L14/$F$2)*DATA!F$14</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IF($O$18="Yes",(E15/$F$2)*DATA!$C$9,(E15/$F$2)*DATA!F$14)+IF(ISBLANK(K15),0,K15/$F$2)*DATA!$C$9-IF(ISBLANK(L15),0,L15/$F$2)*DATA!F$14</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car",$D29=1),$E29*'DE '!C$7,AND($C29="Fuel car",$D29=2),$E29*'DE '!C$8,AND($C29="Fuel car",$D29=3),$E29*'DE '!C$9,AND($C29="Fuel car",$D29=4),$E29*'DE '!C$10,AND($C29="Fuel car",$D29=5),$E29*'AT '!C$11,AND($C29="Motorcycle",$D29=1),$E29*'DE '!C$13,AND($C29="Motorcycle",$D29=2),$E29*'DE '!C$14,AND($C29="Electric car",$D29=1),$E29*'DE '!C$16,AND($C29="Electric car",$D29=2),$E29*'DE '!C$17,AND($C29="Electric car",$D29=3),$E29*'DE '!C$18,AND($C29="Electric car",$D29=4),$E29*'DE '!C$19,AND($C29="Electric car",$D29=5),$E29*'DE '!C$20,AND($C29="Hybrid car",$D29=1),$E29*'DE '!C$22,AND($C29="Hybrid car",$D29=2),$E29*'DE '!C$23,AND($C29="Hybrid car",$D29=3),$E29*'DE '!C$24,AND($C29="Hybrid car",$D29=4),$E29*'DE '!C$25,AND($C29="Hybrid car",$D29=5),$E29*'DE '!C$26,AND($C29="Electric motorcycle",$D29=1),$E29*'DE '!C$28,AND($C29="Electric motorcycle",$D29=2),$E29*'DE '!C$29,AND($C29="Electric bike",$D29=1),$E29*'DE '!C$31,AND($C29="Electric scooter",$D29=1),$E29*'DE '!C$33,AND($C29="Bus",$D29="Almost empty"),$E29*'DE '!H$23,AND($C29="Bus",$D29="Average"),$E29*'DE '!H$24,AND($C29="Bus",$D29="Nearly full"),$E29*'DE '!H$25,AND($C29="Electric bus",$D29="Almost empty"),$E29*'DE '!H$7,AND($C29="Electric bus",$D29="Average"),$E29*'DE '!H$8,AND($C29="Electric bus",$D29="Nearly full"),$E29*'DE '!H$9,AND($C29="Diesel bus",$D29="Almost empty"),$E29*'DE '!H$19,AND($C29="Diesel bus",$D29="Average"),$E29*'DE '!H$20,AND($C29="Diesel bus",$D29="Nearly full"),$E29*'DE '!H$21,AND($C29="Hybrid-electric bus",$D29="Almost empty"),$E29*'DE '!H$11,AND($C29="Hybrid-electric bus",$D29="Average"),$E29*'DE '!H$12,AND($C29="Hybrid-electric bus",$D29="Nearly full"),$E29*'DE '!H$13,AND($C29="Alternative fuel bus",$D29="Almost empty"),$E29*'DE '!H$15,AND($C29="Alternative fuel bus",$D29="Average"),$E29*'DE '!H$16,AND($C29="Alternative fuel bus",$D29="Nearly full"),$E29*'DE '!H$17,AND($C29="Metro, tram, urban light train",$D29="Almost empty"),$E29*'DE '!C$35,AND($C29="Metro, tram, urban light train",$D29="Average"),$E29*'DE '!C$36,AND($C29="Metro, tram, urban light train",$D29="Nearly full"),$E29*'DE '!C$37,AND($C29="Electric passenger train",$D29="Almost empty"),$E29*'DE '!C$39,AND($C29="Electric passenger train",$D29="Average"),$E29*'DE '!C$40,AND($C29="Electric passenger train",$D29="Nearly full"),$E29*'DE '!C$41,AND($C29="Diesel passenger train",$D29="Almost empty"),$E29*'DE '!C$47,AND($C29="Diesel passenger train",$D29="Average"),$E29*'DE '!C$48,AND($C29="Diesel passenger train",$D29="Nearly full"),$E29*'DE '!C$49,AND($C29="Walking"),$E29*0,AND($C29="Bike"),$E29*0,AND($C29="Plane - domestic flight"),$E29*'DE '!$C53,AND($C29="Plane - international - intra EU"),$E29*'DE '!$C55,AND($C29="Plane - international (extra EU)"),$E29*'DE '!$C57)</f>
        <v>#N/A</v>
      </c>
      <c r="G29" s="104" t="e" cm="1">
        <f t="array" ref="G29">_xlfn.IFS(AND($C29="Fuel car",$D29=1),$E29*'DE '!D$7,AND($C29="Fuel car",$D29=2),$E29*'DE '!D$8,AND($C29="Fuel car",$D29=3),$E29*'DE '!D$9,AND($C29="Fuel car",$D29=4),$E29*'DE '!D$10,AND($C29="Fuel car",$D29=5),$E29*'AT '!D$11,AND($C29="Motorcycle",$D29=1),$E29*'DE '!D$13,AND($C29="Motorcycle",$D29=2),$E29*'DE '!D$14,AND($C29="Electric car",$D29=1),$E29*'DE '!D$16,AND($C29="Electric car",$D29=2),$E29*'DE '!D$17,AND($C29="Electric car",$D29=3),$E29*'DE '!D$18,AND($C29="Electric car",$D29=4),$E29*'DE '!D$19,AND($C29="Electric car",$D29=5),$E29*'DE '!D$20,AND($C29="Hybrid car",$D29=1),$E29*'DE '!D$22,AND($C29="Hybrid car",$D29=2),$E29*'DE '!D$23,AND($C29="Hybrid car",$D29=3),$E29*'DE '!D$24,AND($C29="Hybrid car",$D29=4),$E29*'DE '!D$25,AND($C29="Hybrid car",$D29=5),$E29*'DE '!D$26,AND($C29="Electric motorcycle",$D29=1),$E29*'DE '!D$28,AND($C29="Electric motorcycle",$D29=2),$E29*'DE '!D$29,AND($C29="Electric bike",$D29=1),$E29*'DE '!D$31,AND($C29="Electric scooter",$D29=1),$E29*'DE '!D$33,AND($C29="Bus",$D29="Almost empty"),$E29*'DE '!I$23,AND($C29="Bus",$D29="Average"),$E29*'DE '!I$24,AND($C29="Bus",$D29="Nearly full"),$E29*'DE '!I$25,AND($C29="Electric bus",$D29="Almost empty"),$E29*'DE '!I$7,AND($C29="Electric bus",$D29="Average"),$E29*'DE '!I$8,AND($C29="Electric bus",$D29="Nearly full"),$E29*'DE '!I$9,AND($C29="Diesel bus",$D29="Almost empty"),$E29*'DE '!I$19,AND($C29="Diesel bus",$D29="Average"),$E29*'DE '!I$20,AND($C29="Diesel bus",$D29="Nearly full"),$E29*'DE '!I$21,AND($C29="Hybrid-electric bus",$D29="Almost empty"),$E29*'DE '!I$11,AND($C29="Hybrid-electric bus",$D29="Average"),$E29*'DE '!I$12,AND($C29="Hybrid-electric bus",$D29="Nearly full"),$E29*'DE '!I$13,AND($C29="Alternative fuel bus",$D29="Almost empty"),$E29*'DE '!I$15,AND($C29="Alternative fuel bus",$D29="Average"),$E29*'DE '!I$16,AND($C29="Alternative fuel bus",$D29="Nearly full"),$E29*'DE '!I$17,AND($C29="Metro, tram, urban light train",$D29="Almost empty"),$E29*'DE '!D$35,AND($C29="Metro, tram, urban light train",$D29="Average"),$E29*'DE '!D$36,AND($C29="Metro, tram, urban light train",$D29="Nearly full"),$E29*'DE '!D$37,AND($C29="Electric passenger train",$D29="Almost empty"),$E29*'DE '!D$39,AND($C29="Electric passenger train",$D29="Average"),$E29*'DE '!D$40,AND($C29="Electric passenger train",$D29="Nearly full"),$E29*'DE '!D$41,AND($C29="Diesel passenger train",$D29="Almost empty"),$E29*'DE '!D$47,AND($C29="Diesel passenger train",$D29="Average"),$E29*'DE '!D$48,AND($C29="Diesel passenger train",$D29="Nearly full"),$E29*'DE '!D$49,AND($C29="Walking"),$E29*0,AND($C29="Bike"),$E29*0,AND($C29="Plane - domestic flight"),$E29*'DE '!$C53,AND($C29="Plane - international - intra EU"),$E29*'DE '!$C55,AND($C29="Plane - international (extra EU)"),$E29*'DE '!$C57)</f>
        <v>#N/A</v>
      </c>
      <c r="H29" s="151"/>
      <c r="I29" s="152">
        <f>H29/10*E29</f>
        <v>0</v>
      </c>
      <c r="J29" s="146" t="e" cm="1">
        <f t="array" ref="J29">_xlfn.IFS(C29="Fuel car",C29*DATA!$C$17,C29="Electric car",C29*DATA!$F$14,C29="Hybrid car",I29*(0.5*DATA!$C$17+0.5*DATA!$F$14))</f>
        <v>#N/A</v>
      </c>
      <c r="L29" s="218"/>
      <c r="M29" s="219"/>
      <c r="N29" s="220"/>
    </row>
    <row r="30" spans="1:17" ht="32" customHeight="1" x14ac:dyDescent="0.2">
      <c r="A30" s="222"/>
      <c r="B30" s="30"/>
      <c r="C30" s="15"/>
      <c r="D30" s="15"/>
      <c r="E30" s="125"/>
      <c r="F30" s="128" t="e" cm="1">
        <f t="array" ref="F30">_xlfn.IFS(AND($C30="Fuel car",$D30=1),$E30*'DE '!C$7,AND($C30="Fuel car",$D30=2),$E30*'DE '!C$8,AND($C30="Fuel car",$D30=3),$E30*'DE '!C$9,AND($C30="Fuel car",$D30=4),$E30*'DE '!C$10,AND($C30="Fuel car",$D30=5),$E30*'AT '!C$11,AND($C30="Motorcycle",$D30=1),$E30*'DE '!C$13,AND($C30="Motorcycle",$D30=2),$E30*'DE '!C$14,AND($C30="Electric car",$D30=1),$E30*'DE '!C$16,AND($C30="Electric car",$D30=2),$E30*'DE '!C$17,AND($C30="Electric car",$D30=3),$E30*'DE '!C$18,AND($C30="Electric car",$D30=4),$E30*'DE '!C$19,AND($C30="Electric car",$D30=5),$E30*'DE '!C$20,AND($C30="Hybrid car",$D30=1),$E30*'DE '!C$22,AND($C30="Hybrid car",$D30=2),$E30*'DE '!C$23,AND($C30="Hybrid car",$D30=3),$E30*'DE '!C$24,AND($C30="Hybrid car",$D30=4),$E30*'DE '!C$25,AND($C30="Hybrid car",$D30=5),$E30*'DE '!C$26,AND($C30="Electric motorcycle",$D30=1),$E30*'DE '!C$28,AND($C30="Electric motorcycle",$D30=2),$E30*'DE '!C$29,AND($C30="Electric bike",$D30=1),$E30*'DE '!C$31,AND($C30="Electric scooter",$D30=1),$E30*'DE '!C$33,AND($C30="Bus",$D30="Almost empty"),$E30*'DE '!H$23,AND($C30="Bus",$D30="Average"),$E30*'DE '!H$24,AND($C30="Bus",$D30="Nearly full"),$E30*'DE '!H$25,AND($C30="Electric bus",$D30="Almost empty"),$E30*'DE '!H$7,AND($C30="Electric bus",$D30="Average"),$E30*'DE '!H$8,AND($C30="Electric bus",$D30="Nearly full"),$E30*'DE '!H$9,AND($C30="Diesel bus",$D30="Almost empty"),$E30*'DE '!H$19,AND($C30="Diesel bus",$D30="Average"),$E30*'DE '!H$20,AND($C30="Diesel bus",$D30="Nearly full"),$E30*'DE '!H$21,AND($C30="Hybrid-electric bus",$D30="Almost empty"),$E30*'DE '!H$11,AND($C30="Hybrid-electric bus",$D30="Average"),$E30*'DE '!H$12,AND($C30="Hybrid-electric bus",$D30="Nearly full"),$E30*'DE '!H$13,AND($C30="Alternative fuel bus",$D30="Almost empty"),$E30*'DE '!H$15,AND($C30="Alternative fuel bus",$D30="Average"),$E30*'DE '!H$16,AND($C30="Alternative fuel bus",$D30="Nearly full"),$E30*'DE '!H$17,AND($C30="Metro, tram, urban light train",$D30="Almost empty"),$E30*'DE '!C$35,AND($C30="Metro, tram, urban light train",$D30="Average"),$E30*'DE '!C$36,AND($C30="Metro, tram, urban light train",$D30="Nearly full"),$E30*'DE '!C$37,AND($C30="Electric passenger train",$D30="Almost empty"),$E30*'DE '!C$39,AND($C30="Electric passenger train",$D30="Average"),$E30*'DE '!C$40,AND($C30="Electric passenger train",$D30="Nearly full"),$E30*'DE '!C$41,AND($C30="Diesel passenger train",$D30="Almost empty"),$E30*'DE '!C$47,AND($C30="Diesel passenger train",$D30="Average"),$E30*'DE '!C$48,AND($C30="Diesel passenger train",$D30="Nearly full"),$E30*'DE '!C$49,AND($C30="Walking"),$E30*0,AND($C30="Bike"),$E30*0,AND($C30="Plane - domestic flight"),$E30*'DE '!$C54,AND($C30="Plane - international - intra EU"),$E30*'DE '!$C56,AND($C30="Plane - international (extra EU)"),$E30*'DE '!$C58)</f>
        <v>#N/A</v>
      </c>
      <c r="G30" s="31" t="e" cm="1">
        <f t="array" ref="G30">_xlfn.IFS(AND($C30="Fuel car",$D30=1),$E30*'DE '!D$7,AND($C30="Fuel car",$D30=2),$E30*'DE '!D$8,AND($C30="Fuel car",$D30=3),$E30*'DE '!D$9,AND($C30="Fuel car",$D30=4),$E30*'DE '!D$10,AND($C30="Fuel car",$D30=5),$E30*'AT '!D$11,AND($C30="Motorcycle",$D30=1),$E30*'DE '!D$13,AND($C30="Motorcycle",$D30=2),$E30*'DE '!D$14,AND($C30="Electric car",$D30=1),$E30*'DE '!D$16,AND($C30="Electric car",$D30=2),$E30*'DE '!D$17,AND($C30="Electric car",$D30=3),$E30*'DE '!D$18,AND($C30="Electric car",$D30=4),$E30*'DE '!D$19,AND($C30="Electric car",$D30=5),$E30*'DE '!D$20,AND($C30="Hybrid car",$D30=1),$E30*'DE '!D$22,AND($C30="Hybrid car",$D30=2),$E30*'DE '!D$23,AND($C30="Hybrid car",$D30=3),$E30*'DE '!D$24,AND($C30="Hybrid car",$D30=4),$E30*'DE '!D$25,AND($C30="Hybrid car",$D30=5),$E30*'DE '!D$26,AND($C30="Electric motorcycle",$D30=1),$E30*'DE '!D$28,AND($C30="Electric motorcycle",$D30=2),$E30*'DE '!D$29,AND($C30="Electric bike",$D30=1),$E30*'DE '!D$31,AND($C30="Electric scooter",$D30=1),$E30*'DE '!D$33,AND($C30="Bus",$D30="Almost empty"),$E30*'DE '!I$23,AND($C30="Bus",$D30="Average"),$E30*'DE '!I$24,AND($C30="Bus",$D30="Nearly full"),$E30*'DE '!I$25,AND($C30="Electric bus",$D30="Almost empty"),$E30*'DE '!I$7,AND($C30="Electric bus",$D30="Average"),$E30*'DE '!I$8,AND($C30="Electric bus",$D30="Nearly full"),$E30*'DE '!I$9,AND($C30="Diesel bus",$D30="Almost empty"),$E30*'DE '!I$19,AND($C30="Diesel bus",$D30="Average"),$E30*'DE '!I$20,AND($C30="Diesel bus",$D30="Nearly full"),$E30*'DE '!I$21,AND($C30="Hybrid-electric bus",$D30="Almost empty"),$E30*'DE '!I$11,AND($C30="Hybrid-electric bus",$D30="Average"),$E30*'DE '!I$12,AND($C30="Hybrid-electric bus",$D30="Nearly full"),$E30*'DE '!I$13,AND($C30="Alternative fuel bus",$D30="Almost empty"),$E30*'DE '!I$15,AND($C30="Alternative fuel bus",$D30="Average"),$E30*'DE '!I$16,AND($C30="Alternative fuel bus",$D30="Nearly full"),$E30*'DE '!I$17,AND($C30="Metro, tram, urban light train",$D30="Almost empty"),$E30*'DE '!D$35,AND($C30="Metro, tram, urban light train",$D30="Average"),$E30*'DE '!D$36,AND($C30="Metro, tram, urban light train",$D30="Nearly full"),$E30*'DE '!D$37,AND($C30="Electric passenger train",$D30="Almost empty"),$E30*'DE '!D$39,AND($C30="Electric passenger train",$D30="Average"),$E30*'DE '!D$40,AND($C30="Electric passenger train",$D30="Nearly full"),$E30*'DE '!D$41,AND($C30="Diesel passenger train",$D30="Almost empty"),$E30*'DE '!D$47,AND($C30="Diesel passenger train",$D30="Average"),$E30*'DE '!D$48,AND($C30="Diesel passenger train",$D30="Nearly full"),$E30*'DE '!D$49,AND($C30="Walking"),$E30*0,AND($C30="Bike"),$E30*0,AND($C30="Plane - domestic flight"),$E30*'DE '!$C54,AND($C30="Plane - international - intra EU"),$E30*'DE '!$C56,AND($C30="Plane - international (extra EU)"),$E30*'DE '!$C58)</f>
        <v>#N/A</v>
      </c>
      <c r="H30" s="145"/>
      <c r="I30" s="148">
        <f t="shared" ref="I30:I43" si="6">H30/10*E30</f>
        <v>0</v>
      </c>
      <c r="J30" s="146" t="e" cm="1">
        <f t="array" ref="J30">_xlfn.IFS(C30="Fuel car",C30*DATA!$C$17,C30="Electric car",C30*DATA!$F$14,C30="Hybrid car",I30*(0.5*DATA!$C$17+0.5*DATA!$F$14))</f>
        <v>#N/A</v>
      </c>
      <c r="L30" s="215" t="s">
        <v>76</v>
      </c>
      <c r="M30" s="216"/>
      <c r="N30" s="217"/>
    </row>
    <row r="31" spans="1:17" x14ac:dyDescent="0.2">
      <c r="A31" s="222"/>
      <c r="B31" s="30"/>
      <c r="C31" s="15"/>
      <c r="D31" s="15"/>
      <c r="E31" s="125"/>
      <c r="F31" s="128" t="e" cm="1">
        <f t="array" ref="F31">_xlfn.IFS(AND($C31="Fuel car",$D31=1),$E31*'DE '!C$7,AND($C31="Fuel car",$D31=2),$E31*'DE '!C$8,AND($C31="Fuel car",$D31=3),$E31*'DE '!C$9,AND($C31="Fuel car",$D31=4),$E31*'DE '!C$10,AND($C31="Fuel car",$D31=5),$E31*'AT '!C$11,AND($C31="Motorcycle",$D31=1),$E31*'DE '!C$13,AND($C31="Motorcycle",$D31=2),$E31*'DE '!C$14,AND($C31="Electric car",$D31=1),$E31*'DE '!C$16,AND($C31="Electric car",$D31=2),$E31*'DE '!C$17,AND($C31="Electric car",$D31=3),$E31*'DE '!C$18,AND($C31="Electric car",$D31=4),$E31*'DE '!C$19,AND($C31="Electric car",$D31=5),$E31*'DE '!C$20,AND($C31="Hybrid car",$D31=1),$E31*'DE '!C$22,AND($C31="Hybrid car",$D31=2),$E31*'DE '!C$23,AND($C31="Hybrid car",$D31=3),$E31*'DE '!C$24,AND($C31="Hybrid car",$D31=4),$E31*'DE '!C$25,AND($C31="Hybrid car",$D31=5),$E31*'DE '!C$26,AND($C31="Electric motorcycle",$D31=1),$E31*'DE '!C$28,AND($C31="Electric motorcycle",$D31=2),$E31*'DE '!C$29,AND($C31="Electric bike",$D31=1),$E31*'DE '!C$31,AND($C31="Electric scooter",$D31=1),$E31*'DE '!C$33,AND($C31="Bus",$D31="Almost empty"),$E31*'DE '!H$23,AND($C31="Bus",$D31="Average"),$E31*'DE '!H$24,AND($C31="Bus",$D31="Nearly full"),$E31*'DE '!H$25,AND($C31="Electric bus",$D31="Almost empty"),$E31*'DE '!H$7,AND($C31="Electric bus",$D31="Average"),$E31*'DE '!H$8,AND($C31="Electric bus",$D31="Nearly full"),$E31*'DE '!H$9,AND($C31="Diesel bus",$D31="Almost empty"),$E31*'DE '!H$19,AND($C31="Diesel bus",$D31="Average"),$E31*'DE '!H$20,AND($C31="Diesel bus",$D31="Nearly full"),$E31*'DE '!H$21,AND($C31="Hybrid-electric bus",$D31="Almost empty"),$E31*'DE '!H$11,AND($C31="Hybrid-electric bus",$D31="Average"),$E31*'DE '!H$12,AND($C31="Hybrid-electric bus",$D31="Nearly full"),$E31*'DE '!H$13,AND($C31="Alternative fuel bus",$D31="Almost empty"),$E31*'DE '!H$15,AND($C31="Alternative fuel bus",$D31="Average"),$E31*'DE '!H$16,AND($C31="Alternative fuel bus",$D31="Nearly full"),$E31*'DE '!H$17,AND($C31="Metro, tram, urban light train",$D31="Almost empty"),$E31*'DE '!C$35,AND($C31="Metro, tram, urban light train",$D31="Average"),$E31*'DE '!C$36,AND($C31="Metro, tram, urban light train",$D31="Nearly full"),$E31*'DE '!C$37,AND($C31="Electric passenger train",$D31="Almost empty"),$E31*'DE '!C$39,AND($C31="Electric passenger train",$D31="Average"),$E31*'DE '!C$40,AND($C31="Electric passenger train",$D31="Nearly full"),$E31*'DE '!C$41,AND($C31="Diesel passenger train",$D31="Almost empty"),$E31*'DE '!C$47,AND($C31="Diesel passenger train",$D31="Average"),$E31*'DE '!C$48,AND($C31="Diesel passenger train",$D31="Nearly full"),$E31*'DE '!C$49,AND($C31="Walking"),$E31*0,AND($C31="Bike"),$E31*0,AND($C31="Plane - domestic flight"),$E31*'DE '!$C55,AND($C31="Plane - international - intra EU"),$E31*'DE '!$C57,AND($C31="Plane - international (extra EU)"),$E31*'DE '!$C59)</f>
        <v>#N/A</v>
      </c>
      <c r="G31" s="31" t="e" cm="1">
        <f t="array" ref="G31">_xlfn.IFS(AND($C31="Fuel car",$D31=1),$E31*'DE '!D$7,AND($C31="Fuel car",$D31=2),$E31*'DE '!D$8,AND($C31="Fuel car",$D31=3),$E31*'DE '!D$9,AND($C31="Fuel car",$D31=4),$E31*'DE '!D$10,AND($C31="Fuel car",$D31=5),$E31*'AT '!D$11,AND($C31="Motorcycle",$D31=1),$E31*'DE '!D$13,AND($C31="Motorcycle",$D31=2),$E31*'DE '!D$14,AND($C31="Electric car",$D31=1),$E31*'DE '!D$16,AND($C31="Electric car",$D31=2),$E31*'DE '!D$17,AND($C31="Electric car",$D31=3),$E31*'DE '!D$18,AND($C31="Electric car",$D31=4),$E31*'DE '!D$19,AND($C31="Electric car",$D31=5),$E31*'DE '!D$20,AND($C31="Hybrid car",$D31=1),$E31*'DE '!D$22,AND($C31="Hybrid car",$D31=2),$E31*'DE '!D$23,AND($C31="Hybrid car",$D31=3),$E31*'DE '!D$24,AND($C31="Hybrid car",$D31=4),$E31*'DE '!D$25,AND($C31="Hybrid car",$D31=5),$E31*'DE '!D$26,AND($C31="Electric motorcycle",$D31=1),$E31*'DE '!D$28,AND($C31="Electric motorcycle",$D31=2),$E31*'DE '!D$29,AND($C31="Electric bike",$D31=1),$E31*'DE '!D$31,AND($C31="Electric scooter",$D31=1),$E31*'DE '!D$33,AND($C31="Bus",$D31="Almost empty"),$E31*'DE '!I$23,AND($C31="Bus",$D31="Average"),$E31*'DE '!I$24,AND($C31="Bus",$D31="Nearly full"),$E31*'DE '!I$25,AND($C31="Electric bus",$D31="Almost empty"),$E31*'DE '!I$7,AND($C31="Electric bus",$D31="Average"),$E31*'DE '!I$8,AND($C31="Electric bus",$D31="Nearly full"),$E31*'DE '!I$9,AND($C31="Diesel bus",$D31="Almost empty"),$E31*'DE '!I$19,AND($C31="Diesel bus",$D31="Average"),$E31*'DE '!I$20,AND($C31="Diesel bus",$D31="Nearly full"),$E31*'DE '!I$21,AND($C31="Hybrid-electric bus",$D31="Almost empty"),$E31*'DE '!I$11,AND($C31="Hybrid-electric bus",$D31="Average"),$E31*'DE '!I$12,AND($C31="Hybrid-electric bus",$D31="Nearly full"),$E31*'DE '!I$13,AND($C31="Alternative fuel bus",$D31="Almost empty"),$E31*'DE '!I$15,AND($C31="Alternative fuel bus",$D31="Average"),$E31*'DE '!I$16,AND($C31="Alternative fuel bus",$D31="Nearly full"),$E31*'DE '!I$17,AND($C31="Metro, tram, urban light train",$D31="Almost empty"),$E31*'DE '!D$35,AND($C31="Metro, tram, urban light train",$D31="Average"),$E31*'DE '!D$36,AND($C31="Metro, tram, urban light train",$D31="Nearly full"),$E31*'DE '!D$37,AND($C31="Electric passenger train",$D31="Almost empty"),$E31*'DE '!D$39,AND($C31="Electric passenger train",$D31="Average"),$E31*'DE '!D$40,AND($C31="Electric passenger train",$D31="Nearly full"),$E31*'DE '!D$41,AND($C31="Diesel passenger train",$D31="Almost empty"),$E31*'DE '!D$47,AND($C31="Diesel passenger train",$D31="Average"),$E31*'DE '!D$48,AND($C31="Diesel passenger train",$D31="Nearly full"),$E31*'DE '!D$49,AND($C31="Walking"),$E31*0,AND($C31="Bike"),$E31*0,AND($C31="Plane - domestic flight"),$E31*'DE '!$C55,AND($C31="Plane - international - intra EU"),$E31*'DE '!$C57,AND($C31="Plane - international (extra EU)"),$E31*'DE '!$C59)</f>
        <v>#N/A</v>
      </c>
      <c r="H31" s="145"/>
      <c r="I31" s="148">
        <f t="shared" si="6"/>
        <v>0</v>
      </c>
      <c r="J31" s="146" t="e" cm="1">
        <f t="array" ref="J31">_xlfn.IFS(C31="Fuel car",C31*DATA!$C$17,C31="Electric car",C31*DATA!$F$14,C31="Hybrid car",I31*(0.5*DATA!$C$17+0.5*DATA!$F$14))</f>
        <v>#N/A</v>
      </c>
      <c r="L31" s="223"/>
      <c r="M31" s="224"/>
      <c r="N31" s="225"/>
    </row>
    <row r="32" spans="1:17" ht="16" thickBot="1" x14ac:dyDescent="0.25">
      <c r="A32" s="222"/>
      <c r="B32" s="30"/>
      <c r="C32" s="15"/>
      <c r="D32" s="15"/>
      <c r="E32" s="125"/>
      <c r="F32" s="128" t="e" cm="1">
        <f t="array" ref="F32">_xlfn.IFS(AND($C32="Fuel car",$D32=1),$E32*'DE '!C$7,AND($C32="Fuel car",$D32=2),$E32*'DE '!C$8,AND($C32="Fuel car",$D32=3),$E32*'DE '!C$9,AND($C32="Fuel car",$D32=4),$E32*'DE '!C$10,AND($C32="Fuel car",$D32=5),$E32*'AT '!C$11,AND($C32="Motorcycle",$D32=1),$E32*'DE '!C$13,AND($C32="Motorcycle",$D32=2),$E32*'DE '!C$14,AND($C32="Electric car",$D32=1),$E32*'DE '!C$16,AND($C32="Electric car",$D32=2),$E32*'DE '!C$17,AND($C32="Electric car",$D32=3),$E32*'DE '!C$18,AND($C32="Electric car",$D32=4),$E32*'DE '!C$19,AND($C32="Electric car",$D32=5),$E32*'DE '!C$20,AND($C32="Hybrid car",$D32=1),$E32*'DE '!C$22,AND($C32="Hybrid car",$D32=2),$E32*'DE '!C$23,AND($C32="Hybrid car",$D32=3),$E32*'DE '!C$24,AND($C32="Hybrid car",$D32=4),$E32*'DE '!C$25,AND($C32="Hybrid car",$D32=5),$E32*'DE '!C$26,AND($C32="Electric motorcycle",$D32=1),$E32*'DE '!C$28,AND($C32="Electric motorcycle",$D32=2),$E32*'DE '!C$29,AND($C32="Electric bike",$D32=1),$E32*'DE '!C$31,AND($C32="Electric scooter",$D32=1),$E32*'DE '!C$33,AND($C32="Bus",$D32="Almost empty"),$E32*'DE '!H$23,AND($C32="Bus",$D32="Average"),$E32*'DE '!H$24,AND($C32="Bus",$D32="Nearly full"),$E32*'DE '!H$25,AND($C32="Electric bus",$D32="Almost empty"),$E32*'DE '!H$7,AND($C32="Electric bus",$D32="Average"),$E32*'DE '!H$8,AND($C32="Electric bus",$D32="Nearly full"),$E32*'DE '!H$9,AND($C32="Diesel bus",$D32="Almost empty"),$E32*'DE '!H$19,AND($C32="Diesel bus",$D32="Average"),$E32*'DE '!H$20,AND($C32="Diesel bus",$D32="Nearly full"),$E32*'DE '!H$21,AND($C32="Hybrid-electric bus",$D32="Almost empty"),$E32*'DE '!H$11,AND($C32="Hybrid-electric bus",$D32="Average"),$E32*'DE '!H$12,AND($C32="Hybrid-electric bus",$D32="Nearly full"),$E32*'DE '!H$13,AND($C32="Alternative fuel bus",$D32="Almost empty"),$E32*'DE '!H$15,AND($C32="Alternative fuel bus",$D32="Average"),$E32*'DE '!H$16,AND($C32="Alternative fuel bus",$D32="Nearly full"),$E32*'DE '!H$17,AND($C32="Metro, tram, urban light train",$D32="Almost empty"),$E32*'DE '!C$35,AND($C32="Metro, tram, urban light train",$D32="Average"),$E32*'DE '!C$36,AND($C32="Metro, tram, urban light train",$D32="Nearly full"),$E32*'DE '!C$37,AND($C32="Electric passenger train",$D32="Almost empty"),$E32*'DE '!C$39,AND($C32="Electric passenger train",$D32="Average"),$E32*'DE '!C$40,AND($C32="Electric passenger train",$D32="Nearly full"),$E32*'DE '!C$41,AND($C32="Diesel passenger train",$D32="Almost empty"),$E32*'DE '!C$47,AND($C32="Diesel passenger train",$D32="Average"),$E32*'DE '!C$48,AND($C32="Diesel passenger train",$D32="Nearly full"),$E32*'DE '!C$49,AND($C32="Walking"),$E32*0,AND($C32="Bike"),$E32*0,AND($C32="Plane - domestic flight"),$E32*'DE '!$C56,AND($C32="Plane - international - intra EU"),$E32*'DE '!$C58,AND($C32="Plane - international (extra EU)"),$E32*'DE '!$C60)</f>
        <v>#N/A</v>
      </c>
      <c r="G32" s="31" t="e" cm="1">
        <f t="array" ref="G32">_xlfn.IFS(AND($C32="Fuel car",$D32=1),$E32*'DE '!D$7,AND($C32="Fuel car",$D32=2),$E32*'DE '!D$8,AND($C32="Fuel car",$D32=3),$E32*'DE '!D$9,AND($C32="Fuel car",$D32=4),$E32*'DE '!D$10,AND($C32="Fuel car",$D32=5),$E32*'AT '!D$11,AND($C32="Motorcycle",$D32=1),$E32*'DE '!D$13,AND($C32="Motorcycle",$D32=2),$E32*'DE '!D$14,AND($C32="Electric car",$D32=1),$E32*'DE '!D$16,AND($C32="Electric car",$D32=2),$E32*'DE '!D$17,AND($C32="Electric car",$D32=3),$E32*'DE '!D$18,AND($C32="Electric car",$D32=4),$E32*'DE '!D$19,AND($C32="Electric car",$D32=5),$E32*'DE '!D$20,AND($C32="Hybrid car",$D32=1),$E32*'DE '!D$22,AND($C32="Hybrid car",$D32=2),$E32*'DE '!D$23,AND($C32="Hybrid car",$D32=3),$E32*'DE '!D$24,AND($C32="Hybrid car",$D32=4),$E32*'DE '!D$25,AND($C32="Hybrid car",$D32=5),$E32*'DE '!D$26,AND($C32="Electric motorcycle",$D32=1),$E32*'DE '!D$28,AND($C32="Electric motorcycle",$D32=2),$E32*'DE '!D$29,AND($C32="Electric bike",$D32=1),$E32*'DE '!D$31,AND($C32="Electric scooter",$D32=1),$E32*'DE '!D$33,AND($C32="Bus",$D32="Almost empty"),$E32*'DE '!I$23,AND($C32="Bus",$D32="Average"),$E32*'DE '!I$24,AND($C32="Bus",$D32="Nearly full"),$E32*'DE '!I$25,AND($C32="Electric bus",$D32="Almost empty"),$E32*'DE '!I$7,AND($C32="Electric bus",$D32="Average"),$E32*'DE '!I$8,AND($C32="Electric bus",$D32="Nearly full"),$E32*'DE '!I$9,AND($C32="Diesel bus",$D32="Almost empty"),$E32*'DE '!I$19,AND($C32="Diesel bus",$D32="Average"),$E32*'DE '!I$20,AND($C32="Diesel bus",$D32="Nearly full"),$E32*'DE '!I$21,AND($C32="Hybrid-electric bus",$D32="Almost empty"),$E32*'DE '!I$11,AND($C32="Hybrid-electric bus",$D32="Average"),$E32*'DE '!I$12,AND($C32="Hybrid-electric bus",$D32="Nearly full"),$E32*'DE '!I$13,AND($C32="Alternative fuel bus",$D32="Almost empty"),$E32*'DE '!I$15,AND($C32="Alternative fuel bus",$D32="Average"),$E32*'DE '!I$16,AND($C32="Alternative fuel bus",$D32="Nearly full"),$E32*'DE '!I$17,AND($C32="Metro, tram, urban light train",$D32="Almost empty"),$E32*'DE '!D$35,AND($C32="Metro, tram, urban light train",$D32="Average"),$E32*'DE '!D$36,AND($C32="Metro, tram, urban light train",$D32="Nearly full"),$E32*'DE '!D$37,AND($C32="Electric passenger train",$D32="Almost empty"),$E32*'DE '!D$39,AND($C32="Electric passenger train",$D32="Average"),$E32*'DE '!D$40,AND($C32="Electric passenger train",$D32="Nearly full"),$E32*'DE '!D$41,AND($C32="Diesel passenger train",$D32="Almost empty"),$E32*'DE '!D$47,AND($C32="Diesel passenger train",$D32="Average"),$E32*'DE '!D$48,AND($C32="Diesel passenger train",$D32="Nearly full"),$E32*'DE '!D$49,AND($C32="Walking"),$E32*0,AND($C32="Bike"),$E32*0,AND($C32="Plane - domestic flight"),$E32*'DE '!$C56,AND($C32="Plane - international - intra EU"),$E32*'DE '!$C58,AND($C32="Plane - international (extra EU)"),$E32*'DE '!$C60)</f>
        <v>#N/A</v>
      </c>
      <c r="H32" s="145"/>
      <c r="I32" s="148">
        <f t="shared" si="6"/>
        <v>0</v>
      </c>
      <c r="J32" s="146" t="e" cm="1">
        <f t="array" ref="J32">_xlfn.IFS(C32="Fuel car",C32*DATA!$C$17,C32="Electric car",C32*DATA!$F$14,C32="Hybrid car",I32*(0.5*DATA!$C$17+0.5*DATA!$F$14))</f>
        <v>#N/A</v>
      </c>
      <c r="L32" s="218"/>
      <c r="M32" s="219"/>
      <c r="N32" s="220"/>
    </row>
    <row r="33" spans="1:14" ht="14.5" customHeight="1" x14ac:dyDescent="0.2">
      <c r="A33" s="222"/>
      <c r="B33" s="30"/>
      <c r="C33" s="15"/>
      <c r="D33" s="15"/>
      <c r="E33" s="125"/>
      <c r="F33" s="128" t="e" cm="1">
        <f t="array" ref="F33">_xlfn.IFS(AND($C33="Fuel car",$D33=1),$E33*'DE '!C$7,AND($C33="Fuel car",$D33=2),$E33*'DE '!C$8,AND($C33="Fuel car",$D33=3),$E33*'DE '!C$9,AND($C33="Fuel car",$D33=4),$E33*'DE '!C$10,AND($C33="Fuel car",$D33=5),$E33*'AT '!C$11,AND($C33="Motorcycle",$D33=1),$E33*'DE '!C$13,AND($C33="Motorcycle",$D33=2),$E33*'DE '!C$14,AND($C33="Electric car",$D33=1),$E33*'DE '!C$16,AND($C33="Electric car",$D33=2),$E33*'DE '!C$17,AND($C33="Electric car",$D33=3),$E33*'DE '!C$18,AND($C33="Electric car",$D33=4),$E33*'DE '!C$19,AND($C33="Electric car",$D33=5),$E33*'DE '!C$20,AND($C33="Hybrid car",$D33=1),$E33*'DE '!C$22,AND($C33="Hybrid car",$D33=2),$E33*'DE '!C$23,AND($C33="Hybrid car",$D33=3),$E33*'DE '!C$24,AND($C33="Hybrid car",$D33=4),$E33*'DE '!C$25,AND($C33="Hybrid car",$D33=5),$E33*'DE '!C$26,AND($C33="Electric motorcycle",$D33=1),$E33*'DE '!C$28,AND($C33="Electric motorcycle",$D33=2),$E33*'DE '!C$29,AND($C33="Electric bike",$D33=1),$E33*'DE '!C$31,AND($C33="Electric scooter",$D33=1),$E33*'DE '!C$33,AND($C33="Bus",$D33="Almost empty"),$E33*'DE '!H$23,AND($C33="Bus",$D33="Average"),$E33*'DE '!H$24,AND($C33="Bus",$D33="Nearly full"),$E33*'DE '!H$25,AND($C33="Electric bus",$D33="Almost empty"),$E33*'DE '!H$7,AND($C33="Electric bus",$D33="Average"),$E33*'DE '!H$8,AND($C33="Electric bus",$D33="Nearly full"),$E33*'DE '!H$9,AND($C33="Diesel bus",$D33="Almost empty"),$E33*'DE '!H$19,AND($C33="Diesel bus",$D33="Average"),$E33*'DE '!H$20,AND($C33="Diesel bus",$D33="Nearly full"),$E33*'DE '!H$21,AND($C33="Hybrid-electric bus",$D33="Almost empty"),$E33*'DE '!H$11,AND($C33="Hybrid-electric bus",$D33="Average"),$E33*'DE '!H$12,AND($C33="Hybrid-electric bus",$D33="Nearly full"),$E33*'DE '!H$13,AND($C33="Alternative fuel bus",$D33="Almost empty"),$E33*'DE '!H$15,AND($C33="Alternative fuel bus",$D33="Average"),$E33*'DE '!H$16,AND($C33="Alternative fuel bus",$D33="Nearly full"),$E33*'DE '!H$17,AND($C33="Metro, tram, urban light train",$D33="Almost empty"),$E33*'DE '!C$35,AND($C33="Metro, tram, urban light train",$D33="Average"),$E33*'DE '!C$36,AND($C33="Metro, tram, urban light train",$D33="Nearly full"),$E33*'DE '!C$37,AND($C33="Electric passenger train",$D33="Almost empty"),$E33*'DE '!C$39,AND($C33="Electric passenger train",$D33="Average"),$E33*'DE '!C$40,AND($C33="Electric passenger train",$D33="Nearly full"),$E33*'DE '!C$41,AND($C33="Diesel passenger train",$D33="Almost empty"),$E33*'DE '!C$47,AND($C33="Diesel passenger train",$D33="Average"),$E33*'DE '!C$48,AND($C33="Diesel passenger train",$D33="Nearly full"),$E33*'DE '!C$49,AND($C33="Walking"),$E33*0,AND($C33="Bike"),$E33*0,AND($C33="Plane - domestic flight"),$E33*'DE '!$C57,AND($C33="Plane - international - intra EU"),$E33*'DE '!$C59,AND($C33="Plane - international (extra EU)"),$E33*'DE '!$C61)</f>
        <v>#N/A</v>
      </c>
      <c r="G33" s="31" t="e" cm="1">
        <f t="array" ref="G33">_xlfn.IFS(AND($C33="Fuel car",$D33=1),$E33*'DE '!D$7,AND($C33="Fuel car",$D33=2),$E33*'DE '!D$8,AND($C33="Fuel car",$D33=3),$E33*'DE '!D$9,AND($C33="Fuel car",$D33=4),$E33*'DE '!D$10,AND($C33="Fuel car",$D33=5),$E33*'AT '!D$11,AND($C33="Motorcycle",$D33=1),$E33*'DE '!D$13,AND($C33="Motorcycle",$D33=2),$E33*'DE '!D$14,AND($C33="Electric car",$D33=1),$E33*'DE '!D$16,AND($C33="Electric car",$D33=2),$E33*'DE '!D$17,AND($C33="Electric car",$D33=3),$E33*'DE '!D$18,AND($C33="Electric car",$D33=4),$E33*'DE '!D$19,AND($C33="Electric car",$D33=5),$E33*'DE '!D$20,AND($C33="Hybrid car",$D33=1),$E33*'DE '!D$22,AND($C33="Hybrid car",$D33=2),$E33*'DE '!D$23,AND($C33="Hybrid car",$D33=3),$E33*'DE '!D$24,AND($C33="Hybrid car",$D33=4),$E33*'DE '!D$25,AND($C33="Hybrid car",$D33=5),$E33*'DE '!D$26,AND($C33="Electric motorcycle",$D33=1),$E33*'DE '!D$28,AND($C33="Electric motorcycle",$D33=2),$E33*'DE '!D$29,AND($C33="Electric bike",$D33=1),$E33*'DE '!D$31,AND($C33="Electric scooter",$D33=1),$E33*'DE '!D$33,AND($C33="Bus",$D33="Almost empty"),$E33*'DE '!I$23,AND($C33="Bus",$D33="Average"),$E33*'DE '!I$24,AND($C33="Bus",$D33="Nearly full"),$E33*'DE '!I$25,AND($C33="Electric bus",$D33="Almost empty"),$E33*'DE '!I$7,AND($C33="Electric bus",$D33="Average"),$E33*'DE '!I$8,AND($C33="Electric bus",$D33="Nearly full"),$E33*'DE '!I$9,AND($C33="Diesel bus",$D33="Almost empty"),$E33*'DE '!I$19,AND($C33="Diesel bus",$D33="Average"),$E33*'DE '!I$20,AND($C33="Diesel bus",$D33="Nearly full"),$E33*'DE '!I$21,AND($C33="Hybrid-electric bus",$D33="Almost empty"),$E33*'DE '!I$11,AND($C33="Hybrid-electric bus",$D33="Average"),$E33*'DE '!I$12,AND($C33="Hybrid-electric bus",$D33="Nearly full"),$E33*'DE '!I$13,AND($C33="Alternative fuel bus",$D33="Almost empty"),$E33*'DE '!I$15,AND($C33="Alternative fuel bus",$D33="Average"),$E33*'DE '!I$16,AND($C33="Alternative fuel bus",$D33="Nearly full"),$E33*'DE '!I$17,AND($C33="Metro, tram, urban light train",$D33="Almost empty"),$E33*'DE '!D$35,AND($C33="Metro, tram, urban light train",$D33="Average"),$E33*'DE '!D$36,AND($C33="Metro, tram, urban light train",$D33="Nearly full"),$E33*'DE '!D$37,AND($C33="Electric passenger train",$D33="Almost empty"),$E33*'DE '!D$39,AND($C33="Electric passenger train",$D33="Average"),$E33*'DE '!D$40,AND($C33="Electric passenger train",$D33="Nearly full"),$E33*'DE '!D$41,AND($C33="Diesel passenger train",$D33="Almost empty"),$E33*'DE '!D$47,AND($C33="Diesel passenger train",$D33="Average"),$E33*'DE '!D$48,AND($C33="Diesel passenger train",$D33="Nearly full"),$E33*'DE '!D$49,AND($C33="Walking"),$E33*0,AND($C33="Bike"),$E33*0,AND($C33="Plane - domestic flight"),$E33*'DE '!$C57,AND($C33="Plane - international - intra EU"),$E33*'DE '!$C59,AND($C33="Plane - international (extra EU)"),$E33*'DE '!$C61)</f>
        <v>#N/A</v>
      </c>
      <c r="H33" s="145"/>
      <c r="I33" s="148">
        <f t="shared" si="6"/>
        <v>0</v>
      </c>
      <c r="J33" s="146" t="e" cm="1">
        <f t="array" ref="J33">_xlfn.IFS(C33="Fuel car",C33*DATA!$C$17,C33="Electric car",C33*DATA!$F$14,C33="Hybrid car",I33*(0.5*DATA!$C$17+0.5*DATA!$F$14))</f>
        <v>#N/A</v>
      </c>
      <c r="L33" s="223" t="s">
        <v>78</v>
      </c>
      <c r="M33" s="224"/>
      <c r="N33" s="225"/>
    </row>
    <row r="34" spans="1:14" x14ac:dyDescent="0.2">
      <c r="A34" s="222"/>
      <c r="B34" s="30"/>
      <c r="C34" s="15"/>
      <c r="D34" s="15"/>
      <c r="E34" s="125"/>
      <c r="F34" s="128" t="e" cm="1">
        <f t="array" ref="F34">_xlfn.IFS(AND($C34="Fuel car",$D34=1),$E34*'DE '!C$7,AND($C34="Fuel car",$D34=2),$E34*'DE '!C$8,AND($C34="Fuel car",$D34=3),$E34*'DE '!C$9,AND($C34="Fuel car",$D34=4),$E34*'DE '!C$10,AND($C34="Fuel car",$D34=5),$E34*'AT '!C$11,AND($C34="Motorcycle",$D34=1),$E34*'DE '!C$13,AND($C34="Motorcycle",$D34=2),$E34*'DE '!C$14,AND($C34="Electric car",$D34=1),$E34*'DE '!C$16,AND($C34="Electric car",$D34=2),$E34*'DE '!C$17,AND($C34="Electric car",$D34=3),$E34*'DE '!C$18,AND($C34="Electric car",$D34=4),$E34*'DE '!C$19,AND($C34="Electric car",$D34=5),$E34*'DE '!C$20,AND($C34="Hybrid car",$D34=1),$E34*'DE '!C$22,AND($C34="Hybrid car",$D34=2),$E34*'DE '!C$23,AND($C34="Hybrid car",$D34=3),$E34*'DE '!C$24,AND($C34="Hybrid car",$D34=4),$E34*'DE '!C$25,AND($C34="Hybrid car",$D34=5),$E34*'DE '!C$26,AND($C34="Electric motorcycle",$D34=1),$E34*'DE '!C$28,AND($C34="Electric motorcycle",$D34=2),$E34*'DE '!C$29,AND($C34="Electric bike",$D34=1),$E34*'DE '!C$31,AND($C34="Electric scooter",$D34=1),$E34*'DE '!C$33,AND($C34="Bus",$D34="Almost empty"),$E34*'DE '!H$23,AND($C34="Bus",$D34="Average"),$E34*'DE '!H$24,AND($C34="Bus",$D34="Nearly full"),$E34*'DE '!H$25,AND($C34="Electric bus",$D34="Almost empty"),$E34*'DE '!H$7,AND($C34="Electric bus",$D34="Average"),$E34*'DE '!H$8,AND($C34="Electric bus",$D34="Nearly full"),$E34*'DE '!H$9,AND($C34="Diesel bus",$D34="Almost empty"),$E34*'DE '!H$19,AND($C34="Diesel bus",$D34="Average"),$E34*'DE '!H$20,AND($C34="Diesel bus",$D34="Nearly full"),$E34*'DE '!H$21,AND($C34="Hybrid-electric bus",$D34="Almost empty"),$E34*'DE '!H$11,AND($C34="Hybrid-electric bus",$D34="Average"),$E34*'DE '!H$12,AND($C34="Hybrid-electric bus",$D34="Nearly full"),$E34*'DE '!H$13,AND($C34="Alternative fuel bus",$D34="Almost empty"),$E34*'DE '!H$15,AND($C34="Alternative fuel bus",$D34="Average"),$E34*'DE '!H$16,AND($C34="Alternative fuel bus",$D34="Nearly full"),$E34*'DE '!H$17,AND($C34="Metro, tram, urban light train",$D34="Almost empty"),$E34*'DE '!C$35,AND($C34="Metro, tram, urban light train",$D34="Average"),$E34*'DE '!C$36,AND($C34="Metro, tram, urban light train",$D34="Nearly full"),$E34*'DE '!C$37,AND($C34="Electric passenger train",$D34="Almost empty"),$E34*'DE '!C$39,AND($C34="Electric passenger train",$D34="Average"),$E34*'DE '!C$40,AND($C34="Electric passenger train",$D34="Nearly full"),$E34*'DE '!C$41,AND($C34="Diesel passenger train",$D34="Almost empty"),$E34*'DE '!C$47,AND($C34="Diesel passenger train",$D34="Average"),$E34*'DE '!C$48,AND($C34="Diesel passenger train",$D34="Nearly full"),$E34*'DE '!C$49,AND($C34="Walking"),$E34*0,AND($C34="Bike"),$E34*0,AND($C34="Plane - domestic flight"),$E34*'DE '!$C58,AND($C34="Plane - international - intra EU"),$E34*'DE '!$C60,AND($C34="Plane - international (extra EU)"),$E34*'DE '!$C62)</f>
        <v>#N/A</v>
      </c>
      <c r="G34" s="31" t="e" cm="1">
        <f t="array" ref="G34">_xlfn.IFS(AND($C34="Fuel car",$D34=1),$E34*'DE '!D$7,AND($C34="Fuel car",$D34=2),$E34*'DE '!D$8,AND($C34="Fuel car",$D34=3),$E34*'DE '!D$9,AND($C34="Fuel car",$D34=4),$E34*'DE '!D$10,AND($C34="Fuel car",$D34=5),$E34*'AT '!D$11,AND($C34="Motorcycle",$D34=1),$E34*'DE '!D$13,AND($C34="Motorcycle",$D34=2),$E34*'DE '!D$14,AND($C34="Electric car",$D34=1),$E34*'DE '!D$16,AND($C34="Electric car",$D34=2),$E34*'DE '!D$17,AND($C34="Electric car",$D34=3),$E34*'DE '!D$18,AND($C34="Electric car",$D34=4),$E34*'DE '!D$19,AND($C34="Electric car",$D34=5),$E34*'DE '!D$20,AND($C34="Hybrid car",$D34=1),$E34*'DE '!D$22,AND($C34="Hybrid car",$D34=2),$E34*'DE '!D$23,AND($C34="Hybrid car",$D34=3),$E34*'DE '!D$24,AND($C34="Hybrid car",$D34=4),$E34*'DE '!D$25,AND($C34="Hybrid car",$D34=5),$E34*'DE '!D$26,AND($C34="Electric motorcycle",$D34=1),$E34*'DE '!D$28,AND($C34="Electric motorcycle",$D34=2),$E34*'DE '!D$29,AND($C34="Electric bike",$D34=1),$E34*'DE '!D$31,AND($C34="Electric scooter",$D34=1),$E34*'DE '!D$33,AND($C34="Bus",$D34="Almost empty"),$E34*'DE '!I$23,AND($C34="Bus",$D34="Average"),$E34*'DE '!I$24,AND($C34="Bus",$D34="Nearly full"),$E34*'DE '!I$25,AND($C34="Electric bus",$D34="Almost empty"),$E34*'DE '!I$7,AND($C34="Electric bus",$D34="Average"),$E34*'DE '!I$8,AND($C34="Electric bus",$D34="Nearly full"),$E34*'DE '!I$9,AND($C34="Diesel bus",$D34="Almost empty"),$E34*'DE '!I$19,AND($C34="Diesel bus",$D34="Average"),$E34*'DE '!I$20,AND($C34="Diesel bus",$D34="Nearly full"),$E34*'DE '!I$21,AND($C34="Hybrid-electric bus",$D34="Almost empty"),$E34*'DE '!I$11,AND($C34="Hybrid-electric bus",$D34="Average"),$E34*'DE '!I$12,AND($C34="Hybrid-electric bus",$D34="Nearly full"),$E34*'DE '!I$13,AND($C34="Alternative fuel bus",$D34="Almost empty"),$E34*'DE '!I$15,AND($C34="Alternative fuel bus",$D34="Average"),$E34*'DE '!I$16,AND($C34="Alternative fuel bus",$D34="Nearly full"),$E34*'DE '!I$17,AND($C34="Metro, tram, urban light train",$D34="Almost empty"),$E34*'DE '!D$35,AND($C34="Metro, tram, urban light train",$D34="Average"),$E34*'DE '!D$36,AND($C34="Metro, tram, urban light train",$D34="Nearly full"),$E34*'DE '!D$37,AND($C34="Electric passenger train",$D34="Almost empty"),$E34*'DE '!D$39,AND($C34="Electric passenger train",$D34="Average"),$E34*'DE '!D$40,AND($C34="Electric passenger train",$D34="Nearly full"),$E34*'DE '!D$41,AND($C34="Diesel passenger train",$D34="Almost empty"),$E34*'DE '!D$47,AND($C34="Diesel passenger train",$D34="Average"),$E34*'DE '!D$48,AND($C34="Diesel passenger train",$D34="Nearly full"),$E34*'DE '!D$49,AND($C34="Walking"),$E34*0,AND($C34="Bike"),$E34*0,AND($C34="Plane - domestic flight"),$E34*'DE '!$C58,AND($C34="Plane - international - intra EU"),$E34*'DE '!$C60,AND($C34="Plane - international (extra EU)"),$E34*'DE '!$C62)</f>
        <v>#N/A</v>
      </c>
      <c r="H34" s="145"/>
      <c r="I34" s="148">
        <f t="shared" si="6"/>
        <v>0</v>
      </c>
      <c r="J34" s="146" t="e" cm="1">
        <f t="array" ref="J34">_xlfn.IFS(C34="Fuel car",C34*DATA!$C$17,C34="Electric car",C34*DATA!$F$14,C34="Hybrid car",I34*(0.5*DATA!$C$17+0.5*DATA!$F$14))</f>
        <v>#N/A</v>
      </c>
      <c r="L34" s="223"/>
      <c r="M34" s="224"/>
      <c r="N34" s="225"/>
    </row>
    <row r="35" spans="1:14" ht="14.5" customHeight="1" x14ac:dyDescent="0.2">
      <c r="A35" s="222"/>
      <c r="B35" s="30"/>
      <c r="C35" s="15"/>
      <c r="D35" s="15"/>
      <c r="E35" s="125"/>
      <c r="F35" s="128" t="e" cm="1">
        <f t="array" ref="F35">_xlfn.IFS(AND($C35="Fuel car",$D35=1),$E35*'DE '!C$7,AND($C35="Fuel car",$D35=2),$E35*'DE '!C$8,AND($C35="Fuel car",$D35=3),$E35*'DE '!C$9,AND($C35="Fuel car",$D35=4),$E35*'DE '!C$10,AND($C35="Fuel car",$D35=5),$E35*'AT '!C$11,AND($C35="Motorcycle",$D35=1),$E35*'DE '!C$13,AND($C35="Motorcycle",$D35=2),$E35*'DE '!C$14,AND($C35="Electric car",$D35=1),$E35*'DE '!C$16,AND($C35="Electric car",$D35=2),$E35*'DE '!C$17,AND($C35="Electric car",$D35=3),$E35*'DE '!C$18,AND($C35="Electric car",$D35=4),$E35*'DE '!C$19,AND($C35="Electric car",$D35=5),$E35*'DE '!C$20,AND($C35="Hybrid car",$D35=1),$E35*'DE '!C$22,AND($C35="Hybrid car",$D35=2),$E35*'DE '!C$23,AND($C35="Hybrid car",$D35=3),$E35*'DE '!C$24,AND($C35="Hybrid car",$D35=4),$E35*'DE '!C$25,AND($C35="Hybrid car",$D35=5),$E35*'DE '!C$26,AND($C35="Electric motorcycle",$D35=1),$E35*'DE '!C$28,AND($C35="Electric motorcycle",$D35=2),$E35*'DE '!C$29,AND($C35="Electric bike",$D35=1),$E35*'DE '!C$31,AND($C35="Electric scooter",$D35=1),$E35*'DE '!C$33,AND($C35="Bus",$D35="Almost empty"),$E35*'DE '!H$23,AND($C35="Bus",$D35="Average"),$E35*'DE '!H$24,AND($C35="Bus",$D35="Nearly full"),$E35*'DE '!H$25,AND($C35="Electric bus",$D35="Almost empty"),$E35*'DE '!H$7,AND($C35="Electric bus",$D35="Average"),$E35*'DE '!H$8,AND($C35="Electric bus",$D35="Nearly full"),$E35*'DE '!H$9,AND($C35="Diesel bus",$D35="Almost empty"),$E35*'DE '!H$19,AND($C35="Diesel bus",$D35="Average"),$E35*'DE '!H$20,AND($C35="Diesel bus",$D35="Nearly full"),$E35*'DE '!H$21,AND($C35="Hybrid-electric bus",$D35="Almost empty"),$E35*'DE '!H$11,AND($C35="Hybrid-electric bus",$D35="Average"),$E35*'DE '!H$12,AND($C35="Hybrid-electric bus",$D35="Nearly full"),$E35*'DE '!H$13,AND($C35="Alternative fuel bus",$D35="Almost empty"),$E35*'DE '!H$15,AND($C35="Alternative fuel bus",$D35="Average"),$E35*'DE '!H$16,AND($C35="Alternative fuel bus",$D35="Nearly full"),$E35*'DE '!H$17,AND($C35="Metro, tram, urban light train",$D35="Almost empty"),$E35*'DE '!C$35,AND($C35="Metro, tram, urban light train",$D35="Average"),$E35*'DE '!C$36,AND($C35="Metro, tram, urban light train",$D35="Nearly full"),$E35*'DE '!C$37,AND($C35="Electric passenger train",$D35="Almost empty"),$E35*'DE '!C$39,AND($C35="Electric passenger train",$D35="Average"),$E35*'DE '!C$40,AND($C35="Electric passenger train",$D35="Nearly full"),$E35*'DE '!C$41,AND($C35="Diesel passenger train",$D35="Almost empty"),$E35*'DE '!C$47,AND($C35="Diesel passenger train",$D35="Average"),$E35*'DE '!C$48,AND($C35="Diesel passenger train",$D35="Nearly full"),$E35*'DE '!C$49,AND($C35="Walking"),$E35*0,AND($C35="Bike"),$E35*0,AND($C35="Plane - domestic flight"),$E35*'DE '!$C59,AND($C35="Plane - international - intra EU"),$E35*'DE '!$C61,AND($C35="Plane - international (extra EU)"),$E35*'DE '!$C63)</f>
        <v>#N/A</v>
      </c>
      <c r="G35" s="31" t="e" cm="1">
        <f t="array" ref="G35">_xlfn.IFS(AND($C35="Fuel car",$D35=1),$E35*'DE '!D$7,AND($C35="Fuel car",$D35=2),$E35*'DE '!D$8,AND($C35="Fuel car",$D35=3),$E35*'DE '!D$9,AND($C35="Fuel car",$D35=4),$E35*'DE '!D$10,AND($C35="Fuel car",$D35=5),$E35*'AT '!D$11,AND($C35="Motorcycle",$D35=1),$E35*'DE '!D$13,AND($C35="Motorcycle",$D35=2),$E35*'DE '!D$14,AND($C35="Electric car",$D35=1),$E35*'DE '!D$16,AND($C35="Electric car",$D35=2),$E35*'DE '!D$17,AND($C35="Electric car",$D35=3),$E35*'DE '!D$18,AND($C35="Electric car",$D35=4),$E35*'DE '!D$19,AND($C35="Electric car",$D35=5),$E35*'DE '!D$20,AND($C35="Hybrid car",$D35=1),$E35*'DE '!D$22,AND($C35="Hybrid car",$D35=2),$E35*'DE '!D$23,AND($C35="Hybrid car",$D35=3),$E35*'DE '!D$24,AND($C35="Hybrid car",$D35=4),$E35*'DE '!D$25,AND($C35="Hybrid car",$D35=5),$E35*'DE '!D$26,AND($C35="Electric motorcycle",$D35=1),$E35*'DE '!D$28,AND($C35="Electric motorcycle",$D35=2),$E35*'DE '!D$29,AND($C35="Electric bike",$D35=1),$E35*'DE '!D$31,AND($C35="Electric scooter",$D35=1),$E35*'DE '!D$33,AND($C35="Bus",$D35="Almost empty"),$E35*'DE '!I$23,AND($C35="Bus",$D35="Average"),$E35*'DE '!I$24,AND($C35="Bus",$D35="Nearly full"),$E35*'DE '!I$25,AND($C35="Electric bus",$D35="Almost empty"),$E35*'DE '!I$7,AND($C35="Electric bus",$D35="Average"),$E35*'DE '!I$8,AND($C35="Electric bus",$D35="Nearly full"),$E35*'DE '!I$9,AND($C35="Diesel bus",$D35="Almost empty"),$E35*'DE '!I$19,AND($C35="Diesel bus",$D35="Average"),$E35*'DE '!I$20,AND($C35="Diesel bus",$D35="Nearly full"),$E35*'DE '!I$21,AND($C35="Hybrid-electric bus",$D35="Almost empty"),$E35*'DE '!I$11,AND($C35="Hybrid-electric bus",$D35="Average"),$E35*'DE '!I$12,AND($C35="Hybrid-electric bus",$D35="Nearly full"),$E35*'DE '!I$13,AND($C35="Alternative fuel bus",$D35="Almost empty"),$E35*'DE '!I$15,AND($C35="Alternative fuel bus",$D35="Average"),$E35*'DE '!I$16,AND($C35="Alternative fuel bus",$D35="Nearly full"),$E35*'DE '!I$17,AND($C35="Metro, tram, urban light train",$D35="Almost empty"),$E35*'DE '!D$35,AND($C35="Metro, tram, urban light train",$D35="Average"),$E35*'DE '!D$36,AND($C35="Metro, tram, urban light train",$D35="Nearly full"),$E35*'DE '!D$37,AND($C35="Electric passenger train",$D35="Almost empty"),$E35*'DE '!D$39,AND($C35="Electric passenger train",$D35="Average"),$E35*'DE '!D$40,AND($C35="Electric passenger train",$D35="Nearly full"),$E35*'DE '!D$41,AND($C35="Diesel passenger train",$D35="Almost empty"),$E35*'DE '!D$47,AND($C35="Diesel passenger train",$D35="Average"),$E35*'DE '!D$48,AND($C35="Diesel passenger train",$D35="Nearly full"),$E35*'DE '!D$49,AND($C35="Walking"),$E35*0,AND($C35="Bike"),$E35*0,AND($C35="Plane - domestic flight"),$E35*'DE '!$C59,AND($C35="Plane - international - intra EU"),$E35*'DE '!$C61,AND($C35="Plane - international (extra EU)"),$E35*'DE '!$C63)</f>
        <v>#N/A</v>
      </c>
      <c r="H35" s="145"/>
      <c r="I35" s="148">
        <f t="shared" si="6"/>
        <v>0</v>
      </c>
      <c r="J35" s="146" t="e" cm="1">
        <f t="array" ref="J35">_xlfn.IFS(C35="Fuel car",C35*DATA!$C$17,C35="Electric car",C35*DATA!$F$14,C35="Hybrid car",I35*(0.5*DATA!$C$17+0.5*DATA!$F$14))</f>
        <v>#N/A</v>
      </c>
      <c r="L35" s="223"/>
      <c r="M35" s="224"/>
      <c r="N35" s="225"/>
    </row>
    <row r="36" spans="1:14" ht="16" thickBot="1" x14ac:dyDescent="0.25">
      <c r="A36" s="222"/>
      <c r="B36" s="30"/>
      <c r="C36" s="15"/>
      <c r="D36" s="15"/>
      <c r="E36" s="125"/>
      <c r="F36" s="128" t="e" cm="1">
        <f t="array" ref="F36">_xlfn.IFS(AND($C36="Fuel car",$D36=1),$E36*'DE '!C$7,AND($C36="Fuel car",$D36=2),$E36*'DE '!C$8,AND($C36="Fuel car",$D36=3),$E36*'DE '!C$9,AND($C36="Fuel car",$D36=4),$E36*'DE '!C$10,AND($C36="Fuel car",$D36=5),$E36*'AT '!C$11,AND($C36="Motorcycle",$D36=1),$E36*'DE '!C$13,AND($C36="Motorcycle",$D36=2),$E36*'DE '!C$14,AND($C36="Electric car",$D36=1),$E36*'DE '!C$16,AND($C36="Electric car",$D36=2),$E36*'DE '!C$17,AND($C36="Electric car",$D36=3),$E36*'DE '!C$18,AND($C36="Electric car",$D36=4),$E36*'DE '!C$19,AND($C36="Electric car",$D36=5),$E36*'DE '!C$20,AND($C36="Hybrid car",$D36=1),$E36*'DE '!C$22,AND($C36="Hybrid car",$D36=2),$E36*'DE '!C$23,AND($C36="Hybrid car",$D36=3),$E36*'DE '!C$24,AND($C36="Hybrid car",$D36=4),$E36*'DE '!C$25,AND($C36="Hybrid car",$D36=5),$E36*'DE '!C$26,AND($C36="Electric motorcycle",$D36=1),$E36*'DE '!C$28,AND($C36="Electric motorcycle",$D36=2),$E36*'DE '!C$29,AND($C36="Electric bike",$D36=1),$E36*'DE '!C$31,AND($C36="Electric scooter",$D36=1),$E36*'DE '!C$33,AND($C36="Bus",$D36="Almost empty"),$E36*'DE '!H$23,AND($C36="Bus",$D36="Average"),$E36*'DE '!H$24,AND($C36="Bus",$D36="Nearly full"),$E36*'DE '!H$25,AND($C36="Electric bus",$D36="Almost empty"),$E36*'DE '!H$7,AND($C36="Electric bus",$D36="Average"),$E36*'DE '!H$8,AND($C36="Electric bus",$D36="Nearly full"),$E36*'DE '!H$9,AND($C36="Diesel bus",$D36="Almost empty"),$E36*'DE '!H$19,AND($C36="Diesel bus",$D36="Average"),$E36*'DE '!H$20,AND($C36="Diesel bus",$D36="Nearly full"),$E36*'DE '!H$21,AND($C36="Hybrid-electric bus",$D36="Almost empty"),$E36*'DE '!H$11,AND($C36="Hybrid-electric bus",$D36="Average"),$E36*'DE '!H$12,AND($C36="Hybrid-electric bus",$D36="Nearly full"),$E36*'DE '!H$13,AND($C36="Alternative fuel bus",$D36="Almost empty"),$E36*'DE '!H$15,AND($C36="Alternative fuel bus",$D36="Average"),$E36*'DE '!H$16,AND($C36="Alternative fuel bus",$D36="Nearly full"),$E36*'DE '!H$17,AND($C36="Metro, tram, urban light train",$D36="Almost empty"),$E36*'DE '!C$35,AND($C36="Metro, tram, urban light train",$D36="Average"),$E36*'DE '!C$36,AND($C36="Metro, tram, urban light train",$D36="Nearly full"),$E36*'DE '!C$37,AND($C36="Electric passenger train",$D36="Almost empty"),$E36*'DE '!C$39,AND($C36="Electric passenger train",$D36="Average"),$E36*'DE '!C$40,AND($C36="Electric passenger train",$D36="Nearly full"),$E36*'DE '!C$41,AND($C36="Diesel passenger train",$D36="Almost empty"),$E36*'DE '!C$47,AND($C36="Diesel passenger train",$D36="Average"),$E36*'DE '!C$48,AND($C36="Diesel passenger train",$D36="Nearly full"),$E36*'DE '!C$49,AND($C36="Walking"),$E36*0,AND($C36="Bike"),$E36*0,AND($C36="Plane - domestic flight"),$E36*'DE '!$C60,AND($C36="Plane - international - intra EU"),$E36*'DE '!$C62,AND($C36="Plane - international (extra EU)"),$E36*'DE '!$C64)</f>
        <v>#N/A</v>
      </c>
      <c r="G36" s="31" t="e" cm="1">
        <f t="array" ref="G36">_xlfn.IFS(AND($C36="Fuel car",$D36=1),$E36*'DE '!D$7,AND($C36="Fuel car",$D36=2),$E36*'DE '!D$8,AND($C36="Fuel car",$D36=3),$E36*'DE '!D$9,AND($C36="Fuel car",$D36=4),$E36*'DE '!D$10,AND($C36="Fuel car",$D36=5),$E36*'AT '!D$11,AND($C36="Motorcycle",$D36=1),$E36*'DE '!D$13,AND($C36="Motorcycle",$D36=2),$E36*'DE '!D$14,AND($C36="Electric car",$D36=1),$E36*'DE '!D$16,AND($C36="Electric car",$D36=2),$E36*'DE '!D$17,AND($C36="Electric car",$D36=3),$E36*'DE '!D$18,AND($C36="Electric car",$D36=4),$E36*'DE '!D$19,AND($C36="Electric car",$D36=5),$E36*'DE '!D$20,AND($C36="Hybrid car",$D36=1),$E36*'DE '!D$22,AND($C36="Hybrid car",$D36=2),$E36*'DE '!D$23,AND($C36="Hybrid car",$D36=3),$E36*'DE '!D$24,AND($C36="Hybrid car",$D36=4),$E36*'DE '!D$25,AND($C36="Hybrid car",$D36=5),$E36*'DE '!D$26,AND($C36="Electric motorcycle",$D36=1),$E36*'DE '!D$28,AND($C36="Electric motorcycle",$D36=2),$E36*'DE '!D$29,AND($C36="Electric bike",$D36=1),$E36*'DE '!D$31,AND($C36="Electric scooter",$D36=1),$E36*'DE '!D$33,AND($C36="Bus",$D36="Almost empty"),$E36*'DE '!I$23,AND($C36="Bus",$D36="Average"),$E36*'DE '!I$24,AND($C36="Bus",$D36="Nearly full"),$E36*'DE '!I$25,AND($C36="Electric bus",$D36="Almost empty"),$E36*'DE '!I$7,AND($C36="Electric bus",$D36="Average"),$E36*'DE '!I$8,AND($C36="Electric bus",$D36="Nearly full"),$E36*'DE '!I$9,AND($C36="Diesel bus",$D36="Almost empty"),$E36*'DE '!I$19,AND($C36="Diesel bus",$D36="Average"),$E36*'DE '!I$20,AND($C36="Diesel bus",$D36="Nearly full"),$E36*'DE '!I$21,AND($C36="Hybrid-electric bus",$D36="Almost empty"),$E36*'DE '!I$11,AND($C36="Hybrid-electric bus",$D36="Average"),$E36*'DE '!I$12,AND($C36="Hybrid-electric bus",$D36="Nearly full"),$E36*'DE '!I$13,AND($C36="Alternative fuel bus",$D36="Almost empty"),$E36*'DE '!I$15,AND($C36="Alternative fuel bus",$D36="Average"),$E36*'DE '!I$16,AND($C36="Alternative fuel bus",$D36="Nearly full"),$E36*'DE '!I$17,AND($C36="Metro, tram, urban light train",$D36="Almost empty"),$E36*'DE '!D$35,AND($C36="Metro, tram, urban light train",$D36="Average"),$E36*'DE '!D$36,AND($C36="Metro, tram, urban light train",$D36="Nearly full"),$E36*'DE '!D$37,AND($C36="Electric passenger train",$D36="Almost empty"),$E36*'DE '!D$39,AND($C36="Electric passenger train",$D36="Average"),$E36*'DE '!D$40,AND($C36="Electric passenger train",$D36="Nearly full"),$E36*'DE '!D$41,AND($C36="Diesel passenger train",$D36="Almost empty"),$E36*'DE '!D$47,AND($C36="Diesel passenger train",$D36="Average"),$E36*'DE '!D$48,AND($C36="Diesel passenger train",$D36="Nearly full"),$E36*'DE '!D$49,AND($C36="Walking"),$E36*0,AND($C36="Bike"),$E36*0,AND($C36="Plane - domestic flight"),$E36*'DE '!$C60,AND($C36="Plane - international - intra EU"),$E36*'DE '!$C62,AND($C36="Plane - international (extra EU)"),$E36*'DE '!$C64)</f>
        <v>#N/A</v>
      </c>
      <c r="H36" s="145"/>
      <c r="I36" s="148">
        <f t="shared" si="6"/>
        <v>0</v>
      </c>
      <c r="J36" s="146" t="e" cm="1">
        <f t="array" ref="J36">_xlfn.IFS(C36="Fuel car",C36*DATA!$C$17,C36="Electric car",C36*DATA!$F$14,C36="Hybrid car",I36*(0.5*DATA!$C$17+0.5*DATA!$F$14))</f>
        <v>#N/A</v>
      </c>
      <c r="L36" s="218"/>
      <c r="M36" s="219"/>
      <c r="N36" s="220"/>
    </row>
    <row r="37" spans="1:14" ht="14.5" customHeight="1" x14ac:dyDescent="0.2">
      <c r="A37" s="222"/>
      <c r="B37" s="30"/>
      <c r="C37" s="15"/>
      <c r="D37" s="15"/>
      <c r="E37" s="125"/>
      <c r="F37" s="128" t="e" cm="1">
        <f t="array" ref="F37">_xlfn.IFS(AND($C37="Fuel car",$D37=1),$E37*'DE '!C$7,AND($C37="Fuel car",$D37=2),$E37*'DE '!C$8,AND($C37="Fuel car",$D37=3),$E37*'DE '!C$9,AND($C37="Fuel car",$D37=4),$E37*'DE '!C$10,AND($C37="Fuel car",$D37=5),$E37*'AT '!C$11,AND($C37="Motorcycle",$D37=1),$E37*'DE '!C$13,AND($C37="Motorcycle",$D37=2),$E37*'DE '!C$14,AND($C37="Electric car",$D37=1),$E37*'DE '!C$16,AND($C37="Electric car",$D37=2),$E37*'DE '!C$17,AND($C37="Electric car",$D37=3),$E37*'DE '!C$18,AND($C37="Electric car",$D37=4),$E37*'DE '!C$19,AND($C37="Electric car",$D37=5),$E37*'DE '!C$20,AND($C37="Hybrid car",$D37=1),$E37*'DE '!C$22,AND($C37="Hybrid car",$D37=2),$E37*'DE '!C$23,AND($C37="Hybrid car",$D37=3),$E37*'DE '!C$24,AND($C37="Hybrid car",$D37=4),$E37*'DE '!C$25,AND($C37="Hybrid car",$D37=5),$E37*'DE '!C$26,AND($C37="Electric motorcycle",$D37=1),$E37*'DE '!C$28,AND($C37="Electric motorcycle",$D37=2),$E37*'DE '!C$29,AND($C37="Electric bike",$D37=1),$E37*'DE '!C$31,AND($C37="Electric scooter",$D37=1),$E37*'DE '!C$33,AND($C37="Bus",$D37="Almost empty"),$E37*'DE '!H$23,AND($C37="Bus",$D37="Average"),$E37*'DE '!H$24,AND($C37="Bus",$D37="Nearly full"),$E37*'DE '!H$25,AND($C37="Electric bus",$D37="Almost empty"),$E37*'DE '!H$7,AND($C37="Electric bus",$D37="Average"),$E37*'DE '!H$8,AND($C37="Electric bus",$D37="Nearly full"),$E37*'DE '!H$9,AND($C37="Diesel bus",$D37="Almost empty"),$E37*'DE '!H$19,AND($C37="Diesel bus",$D37="Average"),$E37*'DE '!H$20,AND($C37="Diesel bus",$D37="Nearly full"),$E37*'DE '!H$21,AND($C37="Hybrid-electric bus",$D37="Almost empty"),$E37*'DE '!H$11,AND($C37="Hybrid-electric bus",$D37="Average"),$E37*'DE '!H$12,AND($C37="Hybrid-electric bus",$D37="Nearly full"),$E37*'DE '!H$13,AND($C37="Alternative fuel bus",$D37="Almost empty"),$E37*'DE '!H$15,AND($C37="Alternative fuel bus",$D37="Average"),$E37*'DE '!H$16,AND($C37="Alternative fuel bus",$D37="Nearly full"),$E37*'DE '!H$17,AND($C37="Metro, tram, urban light train",$D37="Almost empty"),$E37*'DE '!C$35,AND($C37="Metro, tram, urban light train",$D37="Average"),$E37*'DE '!C$36,AND($C37="Metro, tram, urban light train",$D37="Nearly full"),$E37*'DE '!C$37,AND($C37="Electric passenger train",$D37="Almost empty"),$E37*'DE '!C$39,AND($C37="Electric passenger train",$D37="Average"),$E37*'DE '!C$40,AND($C37="Electric passenger train",$D37="Nearly full"),$E37*'DE '!C$41,AND($C37="Diesel passenger train",$D37="Almost empty"),$E37*'DE '!C$47,AND($C37="Diesel passenger train",$D37="Average"),$E37*'DE '!C$48,AND($C37="Diesel passenger train",$D37="Nearly full"),$E37*'DE '!C$49,AND($C37="Walking"),$E37*0,AND($C37="Bike"),$E37*0,AND($C37="Plane - domestic flight"),$E37*'DE '!$C61,AND($C37="Plane - international - intra EU"),$E37*'DE '!$C63,AND($C37="Plane - international (extra EU)"),$E37*'DE '!$C65)</f>
        <v>#N/A</v>
      </c>
      <c r="G37" s="31" t="e" cm="1">
        <f t="array" ref="G37">_xlfn.IFS(AND($C37="Fuel car",$D37=1),$E37*'DE '!D$7,AND($C37="Fuel car",$D37=2),$E37*'DE '!D$8,AND($C37="Fuel car",$D37=3),$E37*'DE '!D$9,AND($C37="Fuel car",$D37=4),$E37*'DE '!D$10,AND($C37="Fuel car",$D37=5),$E37*'AT '!D$11,AND($C37="Motorcycle",$D37=1),$E37*'DE '!D$13,AND($C37="Motorcycle",$D37=2),$E37*'DE '!D$14,AND($C37="Electric car",$D37=1),$E37*'DE '!D$16,AND($C37="Electric car",$D37=2),$E37*'DE '!D$17,AND($C37="Electric car",$D37=3),$E37*'DE '!D$18,AND($C37="Electric car",$D37=4),$E37*'DE '!D$19,AND($C37="Electric car",$D37=5),$E37*'DE '!D$20,AND($C37="Hybrid car",$D37=1),$E37*'DE '!D$22,AND($C37="Hybrid car",$D37=2),$E37*'DE '!D$23,AND($C37="Hybrid car",$D37=3),$E37*'DE '!D$24,AND($C37="Hybrid car",$D37=4),$E37*'DE '!D$25,AND($C37="Hybrid car",$D37=5),$E37*'DE '!D$26,AND($C37="Electric motorcycle",$D37=1),$E37*'DE '!D$28,AND($C37="Electric motorcycle",$D37=2),$E37*'DE '!D$29,AND($C37="Electric bike",$D37=1),$E37*'DE '!D$31,AND($C37="Electric scooter",$D37=1),$E37*'DE '!D$33,AND($C37="Bus",$D37="Almost empty"),$E37*'DE '!I$23,AND($C37="Bus",$D37="Average"),$E37*'DE '!I$24,AND($C37="Bus",$D37="Nearly full"),$E37*'DE '!I$25,AND($C37="Electric bus",$D37="Almost empty"),$E37*'DE '!I$7,AND($C37="Electric bus",$D37="Average"),$E37*'DE '!I$8,AND($C37="Electric bus",$D37="Nearly full"),$E37*'DE '!I$9,AND($C37="Diesel bus",$D37="Almost empty"),$E37*'DE '!I$19,AND($C37="Diesel bus",$D37="Average"),$E37*'DE '!I$20,AND($C37="Diesel bus",$D37="Nearly full"),$E37*'DE '!I$21,AND($C37="Hybrid-electric bus",$D37="Almost empty"),$E37*'DE '!I$11,AND($C37="Hybrid-electric bus",$D37="Average"),$E37*'DE '!I$12,AND($C37="Hybrid-electric bus",$D37="Nearly full"),$E37*'DE '!I$13,AND($C37="Alternative fuel bus",$D37="Almost empty"),$E37*'DE '!I$15,AND($C37="Alternative fuel bus",$D37="Average"),$E37*'DE '!I$16,AND($C37="Alternative fuel bus",$D37="Nearly full"),$E37*'DE '!I$17,AND($C37="Metro, tram, urban light train",$D37="Almost empty"),$E37*'DE '!D$35,AND($C37="Metro, tram, urban light train",$D37="Average"),$E37*'DE '!D$36,AND($C37="Metro, tram, urban light train",$D37="Nearly full"),$E37*'DE '!D$37,AND($C37="Electric passenger train",$D37="Almost empty"),$E37*'DE '!D$39,AND($C37="Electric passenger train",$D37="Average"),$E37*'DE '!D$40,AND($C37="Electric passenger train",$D37="Nearly full"),$E37*'DE '!D$41,AND($C37="Diesel passenger train",$D37="Almost empty"),$E37*'DE '!D$47,AND($C37="Diesel passenger train",$D37="Average"),$E37*'DE '!D$48,AND($C37="Diesel passenger train",$D37="Nearly full"),$E37*'DE '!D$49,AND($C37="Walking"),$E37*0,AND($C37="Bike"),$E37*0,AND($C37="Plane - domestic flight"),$E37*'DE '!$C61,AND($C37="Plane - international - intra EU"),$E37*'DE '!$C63,AND($C37="Plane - international (extra EU)"),$E37*'DE '!$C65)</f>
        <v>#N/A</v>
      </c>
      <c r="H37" s="145"/>
      <c r="I37" s="148">
        <f t="shared" si="6"/>
        <v>0</v>
      </c>
      <c r="J37" s="146" t="e" cm="1">
        <f t="array" ref="J37">_xlfn.IFS(C37="Fuel car",C37*DATA!$C$17,C37="Electric car",C37*DATA!$F$14,C37="Hybrid car",I37*(0.5*DATA!$C$17+0.5*DATA!$F$14))</f>
        <v>#N/A</v>
      </c>
      <c r="L37" s="215" t="s">
        <v>79</v>
      </c>
      <c r="M37" s="216"/>
      <c r="N37" s="217"/>
    </row>
    <row r="38" spans="1:14" ht="16" thickBot="1" x14ac:dyDescent="0.25">
      <c r="A38" s="222"/>
      <c r="B38" s="30"/>
      <c r="C38" s="15"/>
      <c r="D38" s="15"/>
      <c r="E38" s="125"/>
      <c r="F38" s="128" t="e" cm="1">
        <f t="array" ref="F38">_xlfn.IFS(AND($C38="Fuel car",$D38=1),$E38*'DE '!C$7,AND($C38="Fuel car",$D38=2),$E38*'DE '!C$8,AND($C38="Fuel car",$D38=3),$E38*'DE '!C$9,AND($C38="Fuel car",$D38=4),$E38*'DE '!C$10,AND($C38="Fuel car",$D38=5),$E38*'AT '!C$11,AND($C38="Motorcycle",$D38=1),$E38*'DE '!C$13,AND($C38="Motorcycle",$D38=2),$E38*'DE '!C$14,AND($C38="Electric car",$D38=1),$E38*'DE '!C$16,AND($C38="Electric car",$D38=2),$E38*'DE '!C$17,AND($C38="Electric car",$D38=3),$E38*'DE '!C$18,AND($C38="Electric car",$D38=4),$E38*'DE '!C$19,AND($C38="Electric car",$D38=5),$E38*'DE '!C$20,AND($C38="Hybrid car",$D38=1),$E38*'DE '!C$22,AND($C38="Hybrid car",$D38=2),$E38*'DE '!C$23,AND($C38="Hybrid car",$D38=3),$E38*'DE '!C$24,AND($C38="Hybrid car",$D38=4),$E38*'DE '!C$25,AND($C38="Hybrid car",$D38=5),$E38*'DE '!C$26,AND($C38="Electric motorcycle",$D38=1),$E38*'DE '!C$28,AND($C38="Electric motorcycle",$D38=2),$E38*'DE '!C$29,AND($C38="Electric bike",$D38=1),$E38*'DE '!C$31,AND($C38="Electric scooter",$D38=1),$E38*'DE '!C$33,AND($C38="Bus",$D38="Almost empty"),$E38*'DE '!H$23,AND($C38="Bus",$D38="Average"),$E38*'DE '!H$24,AND($C38="Bus",$D38="Nearly full"),$E38*'DE '!H$25,AND($C38="Electric bus",$D38="Almost empty"),$E38*'DE '!H$7,AND($C38="Electric bus",$D38="Average"),$E38*'DE '!H$8,AND($C38="Electric bus",$D38="Nearly full"),$E38*'DE '!H$9,AND($C38="Diesel bus",$D38="Almost empty"),$E38*'DE '!H$19,AND($C38="Diesel bus",$D38="Average"),$E38*'DE '!H$20,AND($C38="Diesel bus",$D38="Nearly full"),$E38*'DE '!H$21,AND($C38="Hybrid-electric bus",$D38="Almost empty"),$E38*'DE '!H$11,AND($C38="Hybrid-electric bus",$D38="Average"),$E38*'DE '!H$12,AND($C38="Hybrid-electric bus",$D38="Nearly full"),$E38*'DE '!H$13,AND($C38="Alternative fuel bus",$D38="Almost empty"),$E38*'DE '!H$15,AND($C38="Alternative fuel bus",$D38="Average"),$E38*'DE '!H$16,AND($C38="Alternative fuel bus",$D38="Nearly full"),$E38*'DE '!H$17,AND($C38="Metro, tram, urban light train",$D38="Almost empty"),$E38*'DE '!C$35,AND($C38="Metro, tram, urban light train",$D38="Average"),$E38*'DE '!C$36,AND($C38="Metro, tram, urban light train",$D38="Nearly full"),$E38*'DE '!C$37,AND($C38="Electric passenger train",$D38="Almost empty"),$E38*'DE '!C$39,AND($C38="Electric passenger train",$D38="Average"),$E38*'DE '!C$40,AND($C38="Electric passenger train",$D38="Nearly full"),$E38*'DE '!C$41,AND($C38="Diesel passenger train",$D38="Almost empty"),$E38*'DE '!C$47,AND($C38="Diesel passenger train",$D38="Average"),$E38*'DE '!C$48,AND($C38="Diesel passenger train",$D38="Nearly full"),$E38*'DE '!C$49,AND($C38="Walking"),$E38*0,AND($C38="Bike"),$E38*0,AND($C38="Plane - domestic flight"),$E38*'DE '!$C62,AND($C38="Plane - international - intra EU"),$E38*'DE '!$C64,AND($C38="Plane - international (extra EU)"),$E38*'DE '!$C66)</f>
        <v>#N/A</v>
      </c>
      <c r="G38" s="31" t="e" cm="1">
        <f t="array" ref="G38">_xlfn.IFS(AND($C38="Fuel car",$D38=1),$E38*'DE '!D$7,AND($C38="Fuel car",$D38=2),$E38*'DE '!D$8,AND($C38="Fuel car",$D38=3),$E38*'DE '!D$9,AND($C38="Fuel car",$D38=4),$E38*'DE '!D$10,AND($C38="Fuel car",$D38=5),$E38*'AT '!D$11,AND($C38="Motorcycle",$D38=1),$E38*'DE '!D$13,AND($C38="Motorcycle",$D38=2),$E38*'DE '!D$14,AND($C38="Electric car",$D38=1),$E38*'DE '!D$16,AND($C38="Electric car",$D38=2),$E38*'DE '!D$17,AND($C38="Electric car",$D38=3),$E38*'DE '!D$18,AND($C38="Electric car",$D38=4),$E38*'DE '!D$19,AND($C38="Electric car",$D38=5),$E38*'DE '!D$20,AND($C38="Hybrid car",$D38=1),$E38*'DE '!D$22,AND($C38="Hybrid car",$D38=2),$E38*'DE '!D$23,AND($C38="Hybrid car",$D38=3),$E38*'DE '!D$24,AND($C38="Hybrid car",$D38=4),$E38*'DE '!D$25,AND($C38="Hybrid car",$D38=5),$E38*'DE '!D$26,AND($C38="Electric motorcycle",$D38=1),$E38*'DE '!D$28,AND($C38="Electric motorcycle",$D38=2),$E38*'DE '!D$29,AND($C38="Electric bike",$D38=1),$E38*'DE '!D$31,AND($C38="Electric scooter",$D38=1),$E38*'DE '!D$33,AND($C38="Bus",$D38="Almost empty"),$E38*'DE '!I$23,AND($C38="Bus",$D38="Average"),$E38*'DE '!I$24,AND($C38="Bus",$D38="Nearly full"),$E38*'DE '!I$25,AND($C38="Electric bus",$D38="Almost empty"),$E38*'DE '!I$7,AND($C38="Electric bus",$D38="Average"),$E38*'DE '!I$8,AND($C38="Electric bus",$D38="Nearly full"),$E38*'DE '!I$9,AND($C38="Diesel bus",$D38="Almost empty"),$E38*'DE '!I$19,AND($C38="Diesel bus",$D38="Average"),$E38*'DE '!I$20,AND($C38="Diesel bus",$D38="Nearly full"),$E38*'DE '!I$21,AND($C38="Hybrid-electric bus",$D38="Almost empty"),$E38*'DE '!I$11,AND($C38="Hybrid-electric bus",$D38="Average"),$E38*'DE '!I$12,AND($C38="Hybrid-electric bus",$D38="Nearly full"),$E38*'DE '!I$13,AND($C38="Alternative fuel bus",$D38="Almost empty"),$E38*'DE '!I$15,AND($C38="Alternative fuel bus",$D38="Average"),$E38*'DE '!I$16,AND($C38="Alternative fuel bus",$D38="Nearly full"),$E38*'DE '!I$17,AND($C38="Metro, tram, urban light train",$D38="Almost empty"),$E38*'DE '!D$35,AND($C38="Metro, tram, urban light train",$D38="Average"),$E38*'DE '!D$36,AND($C38="Metro, tram, urban light train",$D38="Nearly full"),$E38*'DE '!D$37,AND($C38="Electric passenger train",$D38="Almost empty"),$E38*'DE '!D$39,AND($C38="Electric passenger train",$D38="Average"),$E38*'DE '!D$40,AND($C38="Electric passenger train",$D38="Nearly full"),$E38*'DE '!D$41,AND($C38="Diesel passenger train",$D38="Almost empty"),$E38*'DE '!D$47,AND($C38="Diesel passenger train",$D38="Average"),$E38*'DE '!D$48,AND($C38="Diesel passenger train",$D38="Nearly full"),$E38*'DE '!D$49,AND($C38="Walking"),$E38*0,AND($C38="Bike"),$E38*0,AND($C38="Plane - domestic flight"),$E38*'DE '!$C62,AND($C38="Plane - international - intra EU"),$E38*'DE '!$C64,AND($C38="Plane - international (extra EU)"),$E38*'DE '!$C66)</f>
        <v>#N/A</v>
      </c>
      <c r="H38" s="145"/>
      <c r="I38" s="148">
        <f t="shared" si="6"/>
        <v>0</v>
      </c>
      <c r="J38" s="146" t="e" cm="1">
        <f t="array" ref="J38">_xlfn.IFS(C38="Fuel car",C38*DATA!$C$17,C38="Electric car",C38*DATA!$F$14,C38="Hybrid car",I38*(0.5*DATA!$C$17+0.5*DATA!$F$14))</f>
        <v>#N/A</v>
      </c>
      <c r="L38" s="218"/>
      <c r="M38" s="219"/>
      <c r="N38" s="220"/>
    </row>
    <row r="39" spans="1:14" ht="14.5" customHeight="1" x14ac:dyDescent="0.2">
      <c r="A39" s="222"/>
      <c r="B39" s="30"/>
      <c r="C39" s="15"/>
      <c r="D39" s="15"/>
      <c r="E39" s="125"/>
      <c r="F39" s="128" t="e" cm="1">
        <f t="array" ref="F39">_xlfn.IFS(AND($C39="Fuel car",$D39=1),$E39*'DE '!C$7,AND($C39="Fuel car",$D39=2),$E39*'DE '!C$8,AND($C39="Fuel car",$D39=3),$E39*'DE '!C$9,AND($C39="Fuel car",$D39=4),$E39*'DE '!C$10,AND($C39="Fuel car",$D39=5),$E39*'AT '!C$11,AND($C39="Motorcycle",$D39=1),$E39*'DE '!C$13,AND($C39="Motorcycle",$D39=2),$E39*'DE '!C$14,AND($C39="Electric car",$D39=1),$E39*'DE '!C$16,AND($C39="Electric car",$D39=2),$E39*'DE '!C$17,AND($C39="Electric car",$D39=3),$E39*'DE '!C$18,AND($C39="Electric car",$D39=4),$E39*'DE '!C$19,AND($C39="Electric car",$D39=5),$E39*'DE '!C$20,AND($C39="Hybrid car",$D39=1),$E39*'DE '!C$22,AND($C39="Hybrid car",$D39=2),$E39*'DE '!C$23,AND($C39="Hybrid car",$D39=3),$E39*'DE '!C$24,AND($C39="Hybrid car",$D39=4),$E39*'DE '!C$25,AND($C39="Hybrid car",$D39=5),$E39*'DE '!C$26,AND($C39="Electric motorcycle",$D39=1),$E39*'DE '!C$28,AND($C39="Electric motorcycle",$D39=2),$E39*'DE '!C$29,AND($C39="Electric bike",$D39=1),$E39*'DE '!C$31,AND($C39="Electric scooter",$D39=1),$E39*'DE '!C$33,AND($C39="Bus",$D39="Almost empty"),$E39*'DE '!H$23,AND($C39="Bus",$D39="Average"),$E39*'DE '!H$24,AND($C39="Bus",$D39="Nearly full"),$E39*'DE '!H$25,AND($C39="Electric bus",$D39="Almost empty"),$E39*'DE '!H$7,AND($C39="Electric bus",$D39="Average"),$E39*'DE '!H$8,AND($C39="Electric bus",$D39="Nearly full"),$E39*'DE '!H$9,AND($C39="Diesel bus",$D39="Almost empty"),$E39*'DE '!H$19,AND($C39="Diesel bus",$D39="Average"),$E39*'DE '!H$20,AND($C39="Diesel bus",$D39="Nearly full"),$E39*'DE '!H$21,AND($C39="Hybrid-electric bus",$D39="Almost empty"),$E39*'DE '!H$11,AND($C39="Hybrid-electric bus",$D39="Average"),$E39*'DE '!H$12,AND($C39="Hybrid-electric bus",$D39="Nearly full"),$E39*'DE '!H$13,AND($C39="Alternative fuel bus",$D39="Almost empty"),$E39*'DE '!H$15,AND($C39="Alternative fuel bus",$D39="Average"),$E39*'DE '!H$16,AND($C39="Alternative fuel bus",$D39="Nearly full"),$E39*'DE '!H$17,AND($C39="Metro, tram, urban light train",$D39="Almost empty"),$E39*'DE '!C$35,AND($C39="Metro, tram, urban light train",$D39="Average"),$E39*'DE '!C$36,AND($C39="Metro, tram, urban light train",$D39="Nearly full"),$E39*'DE '!C$37,AND($C39="Electric passenger train",$D39="Almost empty"),$E39*'DE '!C$39,AND($C39="Electric passenger train",$D39="Average"),$E39*'DE '!C$40,AND($C39="Electric passenger train",$D39="Nearly full"),$E39*'DE '!C$41,AND($C39="Diesel passenger train",$D39="Almost empty"),$E39*'DE '!C$47,AND($C39="Diesel passenger train",$D39="Average"),$E39*'DE '!C$48,AND($C39="Diesel passenger train",$D39="Nearly full"),$E39*'DE '!C$49,AND($C39="Walking"),$E39*0,AND($C39="Bike"),$E39*0,AND($C39="Plane - domestic flight"),$E39*'DE '!$C63,AND($C39="Plane - international - intra EU"),$E39*'DE '!$C65,AND($C39="Plane - international (extra EU)"),$E39*'DE '!$C67)</f>
        <v>#N/A</v>
      </c>
      <c r="G39" s="31" t="e" cm="1">
        <f t="array" ref="G39">_xlfn.IFS(AND($C39="Fuel car",$D39=1),$E39*'DE '!D$7,AND($C39="Fuel car",$D39=2),$E39*'DE '!D$8,AND($C39="Fuel car",$D39=3),$E39*'DE '!D$9,AND($C39="Fuel car",$D39=4),$E39*'DE '!D$10,AND($C39="Fuel car",$D39=5),$E39*'AT '!D$11,AND($C39="Motorcycle",$D39=1),$E39*'DE '!D$13,AND($C39="Motorcycle",$D39=2),$E39*'DE '!D$14,AND($C39="Electric car",$D39=1),$E39*'DE '!D$16,AND($C39="Electric car",$D39=2),$E39*'DE '!D$17,AND($C39="Electric car",$D39=3),$E39*'DE '!D$18,AND($C39="Electric car",$D39=4),$E39*'DE '!D$19,AND($C39="Electric car",$D39=5),$E39*'DE '!D$20,AND($C39="Hybrid car",$D39=1),$E39*'DE '!D$22,AND($C39="Hybrid car",$D39=2),$E39*'DE '!D$23,AND($C39="Hybrid car",$D39=3),$E39*'DE '!D$24,AND($C39="Hybrid car",$D39=4),$E39*'DE '!D$25,AND($C39="Hybrid car",$D39=5),$E39*'DE '!D$26,AND($C39="Electric motorcycle",$D39=1),$E39*'DE '!D$28,AND($C39="Electric motorcycle",$D39=2),$E39*'DE '!D$29,AND($C39="Electric bike",$D39=1),$E39*'DE '!D$31,AND($C39="Electric scooter",$D39=1),$E39*'DE '!D$33,AND($C39="Bus",$D39="Almost empty"),$E39*'DE '!I$23,AND($C39="Bus",$D39="Average"),$E39*'DE '!I$24,AND($C39="Bus",$D39="Nearly full"),$E39*'DE '!I$25,AND($C39="Electric bus",$D39="Almost empty"),$E39*'DE '!I$7,AND($C39="Electric bus",$D39="Average"),$E39*'DE '!I$8,AND($C39="Electric bus",$D39="Nearly full"),$E39*'DE '!I$9,AND($C39="Diesel bus",$D39="Almost empty"),$E39*'DE '!I$19,AND($C39="Diesel bus",$D39="Average"),$E39*'DE '!I$20,AND($C39="Diesel bus",$D39="Nearly full"),$E39*'DE '!I$21,AND($C39="Hybrid-electric bus",$D39="Almost empty"),$E39*'DE '!I$11,AND($C39="Hybrid-electric bus",$D39="Average"),$E39*'DE '!I$12,AND($C39="Hybrid-electric bus",$D39="Nearly full"),$E39*'DE '!I$13,AND($C39="Alternative fuel bus",$D39="Almost empty"),$E39*'DE '!I$15,AND($C39="Alternative fuel bus",$D39="Average"),$E39*'DE '!I$16,AND($C39="Alternative fuel bus",$D39="Nearly full"),$E39*'DE '!I$17,AND($C39="Metro, tram, urban light train",$D39="Almost empty"),$E39*'DE '!D$35,AND($C39="Metro, tram, urban light train",$D39="Average"),$E39*'DE '!D$36,AND($C39="Metro, tram, urban light train",$D39="Nearly full"),$E39*'DE '!D$37,AND($C39="Electric passenger train",$D39="Almost empty"),$E39*'DE '!D$39,AND($C39="Electric passenger train",$D39="Average"),$E39*'DE '!D$40,AND($C39="Electric passenger train",$D39="Nearly full"),$E39*'DE '!D$41,AND($C39="Diesel passenger train",$D39="Almost empty"),$E39*'DE '!D$47,AND($C39="Diesel passenger train",$D39="Average"),$E39*'DE '!D$48,AND($C39="Diesel passenger train",$D39="Nearly full"),$E39*'DE '!D$49,AND($C39="Walking"),$E39*0,AND($C39="Bike"),$E39*0,AND($C39="Plane - domestic flight"),$E39*'DE '!$C63,AND($C39="Plane - international - intra EU"),$E39*'DE '!$C65,AND($C39="Plane - international (extra EU)"),$E39*'DE '!$C67)</f>
        <v>#N/A</v>
      </c>
      <c r="H39" s="145"/>
      <c r="I39" s="148">
        <f t="shared" si="6"/>
        <v>0</v>
      </c>
      <c r="J39" s="146" t="e" cm="1">
        <f t="array" ref="J39">_xlfn.IFS(C39="Fuel car",C39*DATA!$C$17,C39="Electric car",C39*DATA!$F$14,C39="Hybrid car",I39*(0.5*DATA!$C$17+0.5*DATA!$F$14))</f>
        <v>#N/A</v>
      </c>
      <c r="L39" s="226" t="s">
        <v>80</v>
      </c>
      <c r="M39" s="227"/>
      <c r="N39" s="228"/>
    </row>
    <row r="40" spans="1:14" x14ac:dyDescent="0.2">
      <c r="A40" s="222"/>
      <c r="B40" s="30"/>
      <c r="C40" s="15"/>
      <c r="D40" s="15"/>
      <c r="E40" s="125"/>
      <c r="F40" s="128" t="e" cm="1">
        <f t="array" ref="F40">_xlfn.IFS(AND($C40="Fuel car",$D40=1),$E40*'DE '!C$7,AND($C40="Fuel car",$D40=2),$E40*'DE '!C$8,AND($C40="Fuel car",$D40=3),$E40*'DE '!C$9,AND($C40="Fuel car",$D40=4),$E40*'DE '!C$10,AND($C40="Fuel car",$D40=5),$E40*'AT '!C$11,AND($C40="Motorcycle",$D40=1),$E40*'DE '!C$13,AND($C40="Motorcycle",$D40=2),$E40*'DE '!C$14,AND($C40="Electric car",$D40=1),$E40*'DE '!C$16,AND($C40="Electric car",$D40=2),$E40*'DE '!C$17,AND($C40="Electric car",$D40=3),$E40*'DE '!C$18,AND($C40="Electric car",$D40=4),$E40*'DE '!C$19,AND($C40="Electric car",$D40=5),$E40*'DE '!C$20,AND($C40="Hybrid car",$D40=1),$E40*'DE '!C$22,AND($C40="Hybrid car",$D40=2),$E40*'DE '!C$23,AND($C40="Hybrid car",$D40=3),$E40*'DE '!C$24,AND($C40="Hybrid car",$D40=4),$E40*'DE '!C$25,AND($C40="Hybrid car",$D40=5),$E40*'DE '!C$26,AND($C40="Electric motorcycle",$D40=1),$E40*'DE '!C$28,AND($C40="Electric motorcycle",$D40=2),$E40*'DE '!C$29,AND($C40="Electric bike",$D40=1),$E40*'DE '!C$31,AND($C40="Electric scooter",$D40=1),$E40*'DE '!C$33,AND($C40="Bus",$D40="Almost empty"),$E40*'DE '!H$23,AND($C40="Bus",$D40="Average"),$E40*'DE '!H$24,AND($C40="Bus",$D40="Nearly full"),$E40*'DE '!H$25,AND($C40="Electric bus",$D40="Almost empty"),$E40*'DE '!H$7,AND($C40="Electric bus",$D40="Average"),$E40*'DE '!H$8,AND($C40="Electric bus",$D40="Nearly full"),$E40*'DE '!H$9,AND($C40="Diesel bus",$D40="Almost empty"),$E40*'DE '!H$19,AND($C40="Diesel bus",$D40="Average"),$E40*'DE '!H$20,AND($C40="Diesel bus",$D40="Nearly full"),$E40*'DE '!H$21,AND($C40="Hybrid-electric bus",$D40="Almost empty"),$E40*'DE '!H$11,AND($C40="Hybrid-electric bus",$D40="Average"),$E40*'DE '!H$12,AND($C40="Hybrid-electric bus",$D40="Nearly full"),$E40*'DE '!H$13,AND($C40="Alternative fuel bus",$D40="Almost empty"),$E40*'DE '!H$15,AND($C40="Alternative fuel bus",$D40="Average"),$E40*'DE '!H$16,AND($C40="Alternative fuel bus",$D40="Nearly full"),$E40*'DE '!H$17,AND($C40="Metro, tram, urban light train",$D40="Almost empty"),$E40*'DE '!C$35,AND($C40="Metro, tram, urban light train",$D40="Average"),$E40*'DE '!C$36,AND($C40="Metro, tram, urban light train",$D40="Nearly full"),$E40*'DE '!C$37,AND($C40="Electric passenger train",$D40="Almost empty"),$E40*'DE '!C$39,AND($C40="Electric passenger train",$D40="Average"),$E40*'DE '!C$40,AND($C40="Electric passenger train",$D40="Nearly full"),$E40*'DE '!C$41,AND($C40="Diesel passenger train",$D40="Almost empty"),$E40*'DE '!C$47,AND($C40="Diesel passenger train",$D40="Average"),$E40*'DE '!C$48,AND($C40="Diesel passenger train",$D40="Nearly full"),$E40*'DE '!C$49,AND($C40="Walking"),$E40*0,AND($C40="Bike"),$E40*0,AND($C40="Plane - domestic flight"),$E40*'DE '!$C64,AND($C40="Plane - international - intra EU"),$E40*'DE '!$C66,AND($C40="Plane - international (extra EU)"),$E40*'DE '!$C68)</f>
        <v>#N/A</v>
      </c>
      <c r="G40" s="31" t="e" cm="1">
        <f t="array" ref="G40">_xlfn.IFS(AND($C40="Fuel car",$D40=1),$E40*'DE '!D$7,AND($C40="Fuel car",$D40=2),$E40*'DE '!D$8,AND($C40="Fuel car",$D40=3),$E40*'DE '!D$9,AND($C40="Fuel car",$D40=4),$E40*'DE '!D$10,AND($C40="Fuel car",$D40=5),$E40*'AT '!D$11,AND($C40="Motorcycle",$D40=1),$E40*'DE '!D$13,AND($C40="Motorcycle",$D40=2),$E40*'DE '!D$14,AND($C40="Electric car",$D40=1),$E40*'DE '!D$16,AND($C40="Electric car",$D40=2),$E40*'DE '!D$17,AND($C40="Electric car",$D40=3),$E40*'DE '!D$18,AND($C40="Electric car",$D40=4),$E40*'DE '!D$19,AND($C40="Electric car",$D40=5),$E40*'DE '!D$20,AND($C40="Hybrid car",$D40=1),$E40*'DE '!D$22,AND($C40="Hybrid car",$D40=2),$E40*'DE '!D$23,AND($C40="Hybrid car",$D40=3),$E40*'DE '!D$24,AND($C40="Hybrid car",$D40=4),$E40*'DE '!D$25,AND($C40="Hybrid car",$D40=5),$E40*'DE '!D$26,AND($C40="Electric motorcycle",$D40=1),$E40*'DE '!D$28,AND($C40="Electric motorcycle",$D40=2),$E40*'DE '!D$29,AND($C40="Electric bike",$D40=1),$E40*'DE '!D$31,AND($C40="Electric scooter",$D40=1),$E40*'DE '!D$33,AND($C40="Bus",$D40="Almost empty"),$E40*'DE '!I$23,AND($C40="Bus",$D40="Average"),$E40*'DE '!I$24,AND($C40="Bus",$D40="Nearly full"),$E40*'DE '!I$25,AND($C40="Electric bus",$D40="Almost empty"),$E40*'DE '!I$7,AND($C40="Electric bus",$D40="Average"),$E40*'DE '!I$8,AND($C40="Electric bus",$D40="Nearly full"),$E40*'DE '!I$9,AND($C40="Diesel bus",$D40="Almost empty"),$E40*'DE '!I$19,AND($C40="Diesel bus",$D40="Average"),$E40*'DE '!I$20,AND($C40="Diesel bus",$D40="Nearly full"),$E40*'DE '!I$21,AND($C40="Hybrid-electric bus",$D40="Almost empty"),$E40*'DE '!I$11,AND($C40="Hybrid-electric bus",$D40="Average"),$E40*'DE '!I$12,AND($C40="Hybrid-electric bus",$D40="Nearly full"),$E40*'DE '!I$13,AND($C40="Alternative fuel bus",$D40="Almost empty"),$E40*'DE '!I$15,AND($C40="Alternative fuel bus",$D40="Average"),$E40*'DE '!I$16,AND($C40="Alternative fuel bus",$D40="Nearly full"),$E40*'DE '!I$17,AND($C40="Metro, tram, urban light train",$D40="Almost empty"),$E40*'DE '!D$35,AND($C40="Metro, tram, urban light train",$D40="Average"),$E40*'DE '!D$36,AND($C40="Metro, tram, urban light train",$D40="Nearly full"),$E40*'DE '!D$37,AND($C40="Electric passenger train",$D40="Almost empty"),$E40*'DE '!D$39,AND($C40="Electric passenger train",$D40="Average"),$E40*'DE '!D$40,AND($C40="Electric passenger train",$D40="Nearly full"),$E40*'DE '!D$41,AND($C40="Diesel passenger train",$D40="Almost empty"),$E40*'DE '!D$47,AND($C40="Diesel passenger train",$D40="Average"),$E40*'DE '!D$48,AND($C40="Diesel passenger train",$D40="Nearly full"),$E40*'DE '!D$49,AND($C40="Walking"),$E40*0,AND($C40="Bike"),$E40*0,AND($C40="Plane - domestic flight"),$E40*'DE '!$C64,AND($C40="Plane - international - intra EU"),$E40*'DE '!$C66,AND($C40="Plane - international (extra EU)"),$E40*'DE '!$C68)</f>
        <v>#N/A</v>
      </c>
      <c r="H40" s="145"/>
      <c r="I40" s="148">
        <f t="shared" si="6"/>
        <v>0</v>
      </c>
      <c r="J40" s="146" t="e" cm="1">
        <f t="array" ref="J40">_xlfn.IFS(C40="Fuel car",C40*DATA!$C$17,C40="Electric car",C40*DATA!$F$14,C40="Hybrid car",I40*(0.5*DATA!$C$17+0.5*DATA!$F$14))</f>
        <v>#N/A</v>
      </c>
      <c r="L40" s="229"/>
      <c r="M40" s="230"/>
      <c r="N40" s="231"/>
    </row>
    <row r="41" spans="1:14" ht="14.5" customHeight="1" x14ac:dyDescent="0.2">
      <c r="A41" s="222"/>
      <c r="B41" s="30"/>
      <c r="C41" s="15"/>
      <c r="D41" s="15"/>
      <c r="E41" s="125"/>
      <c r="F41" s="128" t="e" cm="1">
        <f t="array" ref="F41">_xlfn.IFS(AND($C41="Fuel car",$D41=1),$E41*'DE '!C$7,AND($C41="Fuel car",$D41=2),$E41*'DE '!C$8,AND($C41="Fuel car",$D41=3),$E41*'DE '!C$9,AND($C41="Fuel car",$D41=4),$E41*'DE '!C$10,AND($C41="Fuel car",$D41=5),$E41*'AT '!C$11,AND($C41="Motorcycle",$D41=1),$E41*'DE '!C$13,AND($C41="Motorcycle",$D41=2),$E41*'DE '!C$14,AND($C41="Electric car",$D41=1),$E41*'DE '!C$16,AND($C41="Electric car",$D41=2),$E41*'DE '!C$17,AND($C41="Electric car",$D41=3),$E41*'DE '!C$18,AND($C41="Electric car",$D41=4),$E41*'DE '!C$19,AND($C41="Electric car",$D41=5),$E41*'DE '!C$20,AND($C41="Hybrid car",$D41=1),$E41*'DE '!C$22,AND($C41="Hybrid car",$D41=2),$E41*'DE '!C$23,AND($C41="Hybrid car",$D41=3),$E41*'DE '!C$24,AND($C41="Hybrid car",$D41=4),$E41*'DE '!C$25,AND($C41="Hybrid car",$D41=5),$E41*'DE '!C$26,AND($C41="Electric motorcycle",$D41=1),$E41*'DE '!C$28,AND($C41="Electric motorcycle",$D41=2),$E41*'DE '!C$29,AND($C41="Electric bike",$D41=1),$E41*'DE '!C$31,AND($C41="Electric scooter",$D41=1),$E41*'DE '!C$33,AND($C41="Bus",$D41="Almost empty"),$E41*'DE '!H$23,AND($C41="Bus",$D41="Average"),$E41*'DE '!H$24,AND($C41="Bus",$D41="Nearly full"),$E41*'DE '!H$25,AND($C41="Electric bus",$D41="Almost empty"),$E41*'DE '!H$7,AND($C41="Electric bus",$D41="Average"),$E41*'DE '!H$8,AND($C41="Electric bus",$D41="Nearly full"),$E41*'DE '!H$9,AND($C41="Diesel bus",$D41="Almost empty"),$E41*'DE '!H$19,AND($C41="Diesel bus",$D41="Average"),$E41*'DE '!H$20,AND($C41="Diesel bus",$D41="Nearly full"),$E41*'DE '!H$21,AND($C41="Hybrid-electric bus",$D41="Almost empty"),$E41*'DE '!H$11,AND($C41="Hybrid-electric bus",$D41="Average"),$E41*'DE '!H$12,AND($C41="Hybrid-electric bus",$D41="Nearly full"),$E41*'DE '!H$13,AND($C41="Alternative fuel bus",$D41="Almost empty"),$E41*'DE '!H$15,AND($C41="Alternative fuel bus",$D41="Average"),$E41*'DE '!H$16,AND($C41="Alternative fuel bus",$D41="Nearly full"),$E41*'DE '!H$17,AND($C41="Metro, tram, urban light train",$D41="Almost empty"),$E41*'DE '!C$35,AND($C41="Metro, tram, urban light train",$D41="Average"),$E41*'DE '!C$36,AND($C41="Metro, tram, urban light train",$D41="Nearly full"),$E41*'DE '!C$37,AND($C41="Electric passenger train",$D41="Almost empty"),$E41*'DE '!C$39,AND($C41="Electric passenger train",$D41="Average"),$E41*'DE '!C$40,AND($C41="Electric passenger train",$D41="Nearly full"),$E41*'DE '!C$41,AND($C41="Diesel passenger train",$D41="Almost empty"),$E41*'DE '!C$47,AND($C41="Diesel passenger train",$D41="Average"),$E41*'DE '!C$48,AND($C41="Diesel passenger train",$D41="Nearly full"),$E41*'DE '!C$49,AND($C41="Walking"),$E41*0,AND($C41="Bike"),$E41*0,AND($C41="Plane - domestic flight"),$E41*'DE '!$C65,AND($C41="Plane - international - intra EU"),$E41*'DE '!$C67,AND($C41="Plane - international (extra EU)"),$E41*'DE '!$C69)</f>
        <v>#N/A</v>
      </c>
      <c r="G41" s="31" t="e" cm="1">
        <f t="array" ref="G41">_xlfn.IFS(AND($C41="Fuel car",$D41=1),$E41*'DE '!D$7,AND($C41="Fuel car",$D41=2),$E41*'DE '!D$8,AND($C41="Fuel car",$D41=3),$E41*'DE '!D$9,AND($C41="Fuel car",$D41=4),$E41*'DE '!D$10,AND($C41="Fuel car",$D41=5),$E41*'AT '!D$11,AND($C41="Motorcycle",$D41=1),$E41*'DE '!D$13,AND($C41="Motorcycle",$D41=2),$E41*'DE '!D$14,AND($C41="Electric car",$D41=1),$E41*'DE '!D$16,AND($C41="Electric car",$D41=2),$E41*'DE '!D$17,AND($C41="Electric car",$D41=3),$E41*'DE '!D$18,AND($C41="Electric car",$D41=4),$E41*'DE '!D$19,AND($C41="Electric car",$D41=5),$E41*'DE '!D$20,AND($C41="Hybrid car",$D41=1),$E41*'DE '!D$22,AND($C41="Hybrid car",$D41=2),$E41*'DE '!D$23,AND($C41="Hybrid car",$D41=3),$E41*'DE '!D$24,AND($C41="Hybrid car",$D41=4),$E41*'DE '!D$25,AND($C41="Hybrid car",$D41=5),$E41*'DE '!D$26,AND($C41="Electric motorcycle",$D41=1),$E41*'DE '!D$28,AND($C41="Electric motorcycle",$D41=2),$E41*'DE '!D$29,AND($C41="Electric bike",$D41=1),$E41*'DE '!D$31,AND($C41="Electric scooter",$D41=1),$E41*'DE '!D$33,AND($C41="Bus",$D41="Almost empty"),$E41*'DE '!I$23,AND($C41="Bus",$D41="Average"),$E41*'DE '!I$24,AND($C41="Bus",$D41="Nearly full"),$E41*'DE '!I$25,AND($C41="Electric bus",$D41="Almost empty"),$E41*'DE '!I$7,AND($C41="Electric bus",$D41="Average"),$E41*'DE '!I$8,AND($C41="Electric bus",$D41="Nearly full"),$E41*'DE '!I$9,AND($C41="Diesel bus",$D41="Almost empty"),$E41*'DE '!I$19,AND($C41="Diesel bus",$D41="Average"),$E41*'DE '!I$20,AND($C41="Diesel bus",$D41="Nearly full"),$E41*'DE '!I$21,AND($C41="Hybrid-electric bus",$D41="Almost empty"),$E41*'DE '!I$11,AND($C41="Hybrid-electric bus",$D41="Average"),$E41*'DE '!I$12,AND($C41="Hybrid-electric bus",$D41="Nearly full"),$E41*'DE '!I$13,AND($C41="Alternative fuel bus",$D41="Almost empty"),$E41*'DE '!I$15,AND($C41="Alternative fuel bus",$D41="Average"),$E41*'DE '!I$16,AND($C41="Alternative fuel bus",$D41="Nearly full"),$E41*'DE '!I$17,AND($C41="Metro, tram, urban light train",$D41="Almost empty"),$E41*'DE '!D$35,AND($C41="Metro, tram, urban light train",$D41="Average"),$E41*'DE '!D$36,AND($C41="Metro, tram, urban light train",$D41="Nearly full"),$E41*'DE '!D$37,AND($C41="Electric passenger train",$D41="Almost empty"),$E41*'DE '!D$39,AND($C41="Electric passenger train",$D41="Average"),$E41*'DE '!D$40,AND($C41="Electric passenger train",$D41="Nearly full"),$E41*'DE '!D$41,AND($C41="Diesel passenger train",$D41="Almost empty"),$E41*'DE '!D$47,AND($C41="Diesel passenger train",$D41="Average"),$E41*'DE '!D$48,AND($C41="Diesel passenger train",$D41="Nearly full"),$E41*'DE '!D$49,AND($C41="Walking"),$E41*0,AND($C41="Bike"),$E41*0,AND($C41="Plane - domestic flight"),$E41*'DE '!$C65,AND($C41="Plane - international - intra EU"),$E41*'DE '!$C67,AND($C41="Plane - international (extra EU)"),$E41*'DE '!$C69)</f>
        <v>#N/A</v>
      </c>
      <c r="H41" s="145"/>
      <c r="I41" s="148">
        <f t="shared" si="6"/>
        <v>0</v>
      </c>
      <c r="J41" s="146" t="e" cm="1">
        <f t="array" ref="J41">_xlfn.IFS(C41="Fuel car",C41*DATA!$C$17,C41="Electric car",C41*DATA!$F$14,C41="Hybrid car",I41*(0.5*DATA!$C$17+0.5*DATA!$F$14))</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car",$D42=1),$E42*'DE '!C$7,AND($C42="Fuel car",$D42=2),$E42*'DE '!C$8,AND($C42="Fuel car",$D42=3),$E42*'DE '!C$9,AND($C42="Fuel car",$D42=4),$E42*'DE '!C$10,AND($C42="Fuel car",$D42=5),$E42*'AT '!C$11,AND($C42="Motorcycle",$D42=1),$E42*'DE '!C$13,AND($C42="Motorcycle",$D42=2),$E42*'DE '!C$14,AND($C42="Electric car",$D42=1),$E42*'DE '!C$16,AND($C42="Electric car",$D42=2),$E42*'DE '!C$17,AND($C42="Electric car",$D42=3),$E42*'DE '!C$18,AND($C42="Electric car",$D42=4),$E42*'DE '!C$19,AND($C42="Electric car",$D42=5),$E42*'DE '!C$20,AND($C42="Hybrid car",$D42=1),$E42*'DE '!C$22,AND($C42="Hybrid car",$D42=2),$E42*'DE '!C$23,AND($C42="Hybrid car",$D42=3),$E42*'DE '!C$24,AND($C42="Hybrid car",$D42=4),$E42*'DE '!C$25,AND($C42="Hybrid car",$D42=5),$E42*'DE '!C$26,AND($C42="Electric motorcycle",$D42=1),$E42*'DE '!C$28,AND($C42="Electric motorcycle",$D42=2),$E42*'DE '!C$29,AND($C42="Electric bike",$D42=1),$E42*'DE '!C$31,AND($C42="Electric scooter",$D42=1),$E42*'DE '!C$33,AND($C42="Bus",$D42="Almost empty"),$E42*'DE '!H$23,AND($C42="Bus",$D42="Average"),$E42*'DE '!H$24,AND($C42="Bus",$D42="Nearly full"),$E42*'DE '!H$25,AND($C42="Electric bus",$D42="Almost empty"),$E42*'DE '!H$7,AND($C42="Electric bus",$D42="Average"),$E42*'DE '!H$8,AND($C42="Electric bus",$D42="Nearly full"),$E42*'DE '!H$9,AND($C42="Diesel bus",$D42="Almost empty"),$E42*'DE '!H$19,AND($C42="Diesel bus",$D42="Average"),$E42*'DE '!H$20,AND($C42="Diesel bus",$D42="Nearly full"),$E42*'DE '!H$21,AND($C42="Hybrid-electric bus",$D42="Almost empty"),$E42*'DE '!H$11,AND($C42="Hybrid-electric bus",$D42="Average"),$E42*'DE '!H$12,AND($C42="Hybrid-electric bus",$D42="Nearly full"),$E42*'DE '!H$13,AND($C42="Alternative fuel bus",$D42="Almost empty"),$E42*'DE '!H$15,AND($C42="Alternative fuel bus",$D42="Average"),$E42*'DE '!H$16,AND($C42="Alternative fuel bus",$D42="Nearly full"),$E42*'DE '!H$17,AND($C42="Metro, tram, urban light train",$D42="Almost empty"),$E42*'DE '!C$35,AND($C42="Metro, tram, urban light train",$D42="Average"),$E42*'DE '!C$36,AND($C42="Metro, tram, urban light train",$D42="Nearly full"),$E42*'DE '!C$37,AND($C42="Electric passenger train",$D42="Almost empty"),$E42*'DE '!C$39,AND($C42="Electric passenger train",$D42="Average"),$E42*'DE '!C$40,AND($C42="Electric passenger train",$D42="Nearly full"),$E42*'DE '!C$41,AND($C42="Diesel passenger train",$D42="Almost empty"),$E42*'DE '!C$47,AND($C42="Diesel passenger train",$D42="Average"),$E42*'DE '!C$48,AND($C42="Diesel passenger train",$D42="Nearly full"),$E42*'DE '!C$49,AND($C42="Walking"),$E42*0,AND($C42="Bike"),$E42*0,AND($C42="Plane - domestic flight"),$E42*'DE '!$C66,AND($C42="Plane - international - intra EU"),$E42*'DE '!$C68,AND($C42="Plane - international (extra EU)"),$E42*'DE '!$C70)</f>
        <v>#N/A</v>
      </c>
      <c r="G42" s="31" t="e" cm="1">
        <f t="array" ref="G42">_xlfn.IFS(AND($C42="Fuel car",$D42=1),$E42*'DE '!D$7,AND($C42="Fuel car",$D42=2),$E42*'DE '!D$8,AND($C42="Fuel car",$D42=3),$E42*'DE '!D$9,AND($C42="Fuel car",$D42=4),$E42*'DE '!D$10,AND($C42="Fuel car",$D42=5),$E42*'AT '!D$11,AND($C42="Motorcycle",$D42=1),$E42*'DE '!D$13,AND($C42="Motorcycle",$D42=2),$E42*'DE '!D$14,AND($C42="Electric car",$D42=1),$E42*'DE '!D$16,AND($C42="Electric car",$D42=2),$E42*'DE '!D$17,AND($C42="Electric car",$D42=3),$E42*'DE '!D$18,AND($C42="Electric car",$D42=4),$E42*'DE '!D$19,AND($C42="Electric car",$D42=5),$E42*'DE '!D$20,AND($C42="Hybrid car",$D42=1),$E42*'DE '!D$22,AND($C42="Hybrid car",$D42=2),$E42*'DE '!D$23,AND($C42="Hybrid car",$D42=3),$E42*'DE '!D$24,AND($C42="Hybrid car",$D42=4),$E42*'DE '!D$25,AND($C42="Hybrid car",$D42=5),$E42*'DE '!D$26,AND($C42="Electric motorcycle",$D42=1),$E42*'DE '!D$28,AND($C42="Electric motorcycle",$D42=2),$E42*'DE '!D$29,AND($C42="Electric bike",$D42=1),$E42*'DE '!D$31,AND($C42="Electric scooter",$D42=1),$E42*'DE '!D$33,AND($C42="Bus",$D42="Almost empty"),$E42*'DE '!I$23,AND($C42="Bus",$D42="Average"),$E42*'DE '!I$24,AND($C42="Bus",$D42="Nearly full"),$E42*'DE '!I$25,AND($C42="Electric bus",$D42="Almost empty"),$E42*'DE '!I$7,AND($C42="Electric bus",$D42="Average"),$E42*'DE '!I$8,AND($C42="Electric bus",$D42="Nearly full"),$E42*'DE '!I$9,AND($C42="Diesel bus",$D42="Almost empty"),$E42*'DE '!I$19,AND($C42="Diesel bus",$D42="Average"),$E42*'DE '!I$20,AND($C42="Diesel bus",$D42="Nearly full"),$E42*'DE '!I$21,AND($C42="Hybrid-electric bus",$D42="Almost empty"),$E42*'DE '!I$11,AND($C42="Hybrid-electric bus",$D42="Average"),$E42*'DE '!I$12,AND($C42="Hybrid-electric bus",$D42="Nearly full"),$E42*'DE '!I$13,AND($C42="Alternative fuel bus",$D42="Almost empty"),$E42*'DE '!I$15,AND($C42="Alternative fuel bus",$D42="Average"),$E42*'DE '!I$16,AND($C42="Alternative fuel bus",$D42="Nearly full"),$E42*'DE '!I$17,AND($C42="Metro, tram, urban light train",$D42="Almost empty"),$E42*'DE '!D$35,AND($C42="Metro, tram, urban light train",$D42="Average"),$E42*'DE '!D$36,AND($C42="Metro, tram, urban light train",$D42="Nearly full"),$E42*'DE '!D$37,AND($C42="Electric passenger train",$D42="Almost empty"),$E42*'DE '!D$39,AND($C42="Electric passenger train",$D42="Average"),$E42*'DE '!D$40,AND($C42="Electric passenger train",$D42="Nearly full"),$E42*'DE '!D$41,AND($C42="Diesel passenger train",$D42="Almost empty"),$E42*'DE '!D$47,AND($C42="Diesel passenger train",$D42="Average"),$E42*'DE '!D$48,AND($C42="Diesel passenger train",$D42="Nearly full"),$E42*'DE '!D$49,AND($C42="Walking"),$E42*0,AND($C42="Bike"),$E42*0,AND($C42="Plane - domestic flight"),$E42*'DE '!$C66,AND($C42="Plane - international - intra EU"),$E42*'DE '!$C68,AND($C42="Plane - international (extra EU)"),$E42*'DE '!$C70)</f>
        <v>#N/A</v>
      </c>
      <c r="H42" s="145"/>
      <c r="I42" s="148">
        <f t="shared" si="6"/>
        <v>0</v>
      </c>
      <c r="J42" s="146" t="e" cm="1">
        <f t="array" ref="J42">_xlfn.IFS(C42="Fuel car",C42*DATA!$C$17,C42="Electric car",C42*DATA!$F$14,C42="Hybrid car",I42*(0.5*DATA!$C$17+0.5*DATA!$F$14))</f>
        <v>#N/A</v>
      </c>
      <c r="L42" s="235"/>
      <c r="M42" s="236"/>
      <c r="N42" s="237"/>
    </row>
    <row r="43" spans="1:14" ht="14.5" customHeight="1" thickBot="1" x14ac:dyDescent="0.25">
      <c r="A43" s="222"/>
      <c r="B43" s="30"/>
      <c r="C43" s="15"/>
      <c r="D43" s="15"/>
      <c r="E43" s="125"/>
      <c r="F43" s="128" t="e" cm="1">
        <f t="array" ref="F43">_xlfn.IFS(AND($C43="Fuel car",$D43=1),$E43*'DE '!C$7,AND($C43="Fuel car",$D43=2),$E43*'DE '!C$8,AND($C43="Fuel car",$D43=3),$E43*'DE '!C$9,AND($C43="Fuel car",$D43=4),$E43*'DE '!C$10,AND($C43="Fuel car",$D43=5),$E43*'AT '!C$11,AND($C43="Motorcycle",$D43=1),$E43*'DE '!C$13,AND($C43="Motorcycle",$D43=2),$E43*'DE '!C$14,AND($C43="Electric car",$D43=1),$E43*'DE '!C$16,AND($C43="Electric car",$D43=2),$E43*'DE '!C$17,AND($C43="Electric car",$D43=3),$E43*'DE '!C$18,AND($C43="Electric car",$D43=4),$E43*'DE '!C$19,AND($C43="Electric car",$D43=5),$E43*'DE '!C$20,AND($C43="Hybrid car",$D43=1),$E43*'DE '!C$22,AND($C43="Hybrid car",$D43=2),$E43*'DE '!C$23,AND($C43="Hybrid car",$D43=3),$E43*'DE '!C$24,AND($C43="Hybrid car",$D43=4),$E43*'DE '!C$25,AND($C43="Hybrid car",$D43=5),$E43*'DE '!C$26,AND($C43="Electric motorcycle",$D43=1),$E43*'DE '!C$28,AND($C43="Electric motorcycle",$D43=2),$E43*'DE '!C$29,AND($C43="Electric bike",$D43=1),$E43*'DE '!C$31,AND($C43="Electric scooter",$D43=1),$E43*'DE '!C$33,AND($C43="Bus",$D43="Almost empty"),$E43*'DE '!H$23,AND($C43="Bus",$D43="Average"),$E43*'DE '!H$24,AND($C43="Bus",$D43="Nearly full"),$E43*'DE '!H$25,AND($C43="Electric bus",$D43="Almost empty"),$E43*'DE '!H$7,AND($C43="Electric bus",$D43="Average"),$E43*'DE '!H$8,AND($C43="Electric bus",$D43="Nearly full"),$E43*'DE '!H$9,AND($C43="Diesel bus",$D43="Almost empty"),$E43*'DE '!H$19,AND($C43="Diesel bus",$D43="Average"),$E43*'DE '!H$20,AND($C43="Diesel bus",$D43="Nearly full"),$E43*'DE '!H$21,AND($C43="Hybrid-electric bus",$D43="Almost empty"),$E43*'DE '!H$11,AND($C43="Hybrid-electric bus",$D43="Average"),$E43*'DE '!H$12,AND($C43="Hybrid-electric bus",$D43="Nearly full"),$E43*'DE '!H$13,AND($C43="Alternative fuel bus",$D43="Almost empty"),$E43*'DE '!H$15,AND($C43="Alternative fuel bus",$D43="Average"),$E43*'DE '!H$16,AND($C43="Alternative fuel bus",$D43="Nearly full"),$E43*'DE '!H$17,AND($C43="Metro, tram, urban light train",$D43="Almost empty"),$E43*'DE '!C$35,AND($C43="Metro, tram, urban light train",$D43="Average"),$E43*'DE '!C$36,AND($C43="Metro, tram, urban light train",$D43="Nearly full"),$E43*'DE '!C$37,AND($C43="Electric passenger train",$D43="Almost empty"),$E43*'DE '!C$39,AND($C43="Electric passenger train",$D43="Average"),$E43*'DE '!C$40,AND($C43="Electric passenger train",$D43="Nearly full"),$E43*'DE '!C$41,AND($C43="Diesel passenger train",$D43="Almost empty"),$E43*'DE '!C$47,AND($C43="Diesel passenger train",$D43="Average"),$E43*'DE '!C$48,AND($C43="Diesel passenger train",$D43="Nearly full"),$E43*'DE '!C$49,AND($C43="Walking"),$E43*0,AND($C43="Bike"),$E43*0,AND($C43="Plane - domestic flight"),$E43*'DE '!$C67,AND($C43="Plane - international - intra EU"),$E43*'DE '!$C69,AND($C43="Plane - international (extra EU)"),$E43*'DE '!$C71)</f>
        <v>#N/A</v>
      </c>
      <c r="G43" s="31" t="e" cm="1">
        <f t="array" ref="G43">_xlfn.IFS(AND($C43="Fuel car",$D43=1),$E43*'DE '!D$7,AND($C43="Fuel car",$D43=2),$E43*'DE '!D$8,AND($C43="Fuel car",$D43=3),$E43*'DE '!D$9,AND($C43="Fuel car",$D43=4),$E43*'DE '!D$10,AND($C43="Fuel car",$D43=5),$E43*'AT '!D$11,AND($C43="Motorcycle",$D43=1),$E43*'DE '!D$13,AND($C43="Motorcycle",$D43=2),$E43*'DE '!D$14,AND($C43="Electric car",$D43=1),$E43*'DE '!D$16,AND($C43="Electric car",$D43=2),$E43*'DE '!D$17,AND($C43="Electric car",$D43=3),$E43*'DE '!D$18,AND($C43="Electric car",$D43=4),$E43*'DE '!D$19,AND($C43="Electric car",$D43=5),$E43*'DE '!D$20,AND($C43="Hybrid car",$D43=1),$E43*'DE '!D$22,AND($C43="Hybrid car",$D43=2),$E43*'DE '!D$23,AND($C43="Hybrid car",$D43=3),$E43*'DE '!D$24,AND($C43="Hybrid car",$D43=4),$E43*'DE '!D$25,AND($C43="Hybrid car",$D43=5),$E43*'DE '!D$26,AND($C43="Electric motorcycle",$D43=1),$E43*'DE '!D$28,AND($C43="Electric motorcycle",$D43=2),$E43*'DE '!D$29,AND($C43="Electric bike",$D43=1),$E43*'DE '!D$31,AND($C43="Electric scooter",$D43=1),$E43*'DE '!D$33,AND($C43="Bus",$D43="Almost empty"),$E43*'DE '!I$23,AND($C43="Bus",$D43="Average"),$E43*'DE '!I$24,AND($C43="Bus",$D43="Nearly full"),$E43*'DE '!I$25,AND($C43="Electric bus",$D43="Almost empty"),$E43*'DE '!I$7,AND($C43="Electric bus",$D43="Average"),$E43*'DE '!I$8,AND($C43="Electric bus",$D43="Nearly full"),$E43*'DE '!I$9,AND($C43="Diesel bus",$D43="Almost empty"),$E43*'DE '!I$19,AND($C43="Diesel bus",$D43="Average"),$E43*'DE '!I$20,AND($C43="Diesel bus",$D43="Nearly full"),$E43*'DE '!I$21,AND($C43="Hybrid-electric bus",$D43="Almost empty"),$E43*'DE '!I$11,AND($C43="Hybrid-electric bus",$D43="Average"),$E43*'DE '!I$12,AND($C43="Hybrid-electric bus",$D43="Nearly full"),$E43*'DE '!I$13,AND($C43="Alternative fuel bus",$D43="Almost empty"),$E43*'DE '!I$15,AND($C43="Alternative fuel bus",$D43="Average"),$E43*'DE '!I$16,AND($C43="Alternative fuel bus",$D43="Nearly full"),$E43*'DE '!I$17,AND($C43="Metro, tram, urban light train",$D43="Almost empty"),$E43*'DE '!D$35,AND($C43="Metro, tram, urban light train",$D43="Average"),$E43*'DE '!D$36,AND($C43="Metro, tram, urban light train",$D43="Nearly full"),$E43*'DE '!D$37,AND($C43="Electric passenger train",$D43="Almost empty"),$E43*'DE '!D$39,AND($C43="Electric passenger train",$D43="Average"),$E43*'DE '!D$40,AND($C43="Electric passenger train",$D43="Nearly full"),$E43*'DE '!D$41,AND($C43="Diesel passenger train",$D43="Almost empty"),$E43*'DE '!D$47,AND($C43="Diesel passenger train",$D43="Average"),$E43*'DE '!D$48,AND($C43="Diesel passenger train",$D43="Nearly full"),$E43*'DE '!D$49,AND($C43="Walking"),$E43*0,AND($C43="Bike"),$E43*0,AND($C43="Plane - domestic flight"),$E43*'DE '!$C67,AND($C43="Plane - international - intra EU"),$E43*'DE '!$C69,AND($C43="Plane - international (extra EU)"),$E43*'DE '!$C71)</f>
        <v>#N/A</v>
      </c>
      <c r="H43" s="109"/>
      <c r="I43" s="154">
        <f t="shared" si="6"/>
        <v>0</v>
      </c>
      <c r="J43" s="147" t="e" cm="1">
        <f t="array" ref="J43">_xlfn.IFS(C43="Fuel car",C43*DATA!$C$17,C43="Electric car",C43*DATA!$F$14,C43="Hybrid car",I43*(0.5*DATA!$C$17+0.5*DATA!$F$14))</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car",$D44=1),$E44*'DE '!C$7,AND($C44="Fuel car",$D44=2),$E44*'DE '!C$8,AND($C44="Fuel car",$D44=3),$E44*'DE '!C$9,AND($C44="Fuel car",$D44=4),$E44*'DE '!C$10,AND($C44="Fuel car",$D44=5),$E44*'AT '!C$11,AND($C44="Motorcycle",$D44=1),$E44*'DE '!C$13,AND($C44="Motorcycle",$D44=2),$E44*'DE '!C$14,AND($C44="Electric car",$D44=1),$E44*'DE '!C$16,AND($C44="Electric car",$D44=2),$E44*'DE '!C$17,AND($C44="Electric car",$D44=3),$E44*'DE '!C$18,AND($C44="Electric car",$D44=4),$E44*'DE '!C$19,AND($C44="Electric car",$D44=5),$E44*'DE '!C$20,AND($C44="Hybrid car",$D44=1),$E44*'DE '!C$22,AND($C44="Hybrid car",$D44=2),$E44*'DE '!C$23,AND($C44="Hybrid car",$D44=3),$E44*'DE '!C$24,AND($C44="Hybrid car",$D44=4),$E44*'DE '!C$25,AND($C44="Hybrid car",$D44=5),$E44*'DE '!C$26,AND($C44="Electric motorcycle",$D44=1),$E44*'DE '!C$28,AND($C44="Electric motorcycle",$D44=2),$E44*'DE '!C$29,AND($C44="Electric bike",$D44=1),$E44*'DE '!C$31,AND($C44="Electric scooter",$D44=1),$E44*'DE '!C$33,AND($C44="Bus",$D44="Almost empty"),$E44*'DE '!H$23,AND($C44="Bus",$D44="Average"),$E44*'DE '!H$24,AND($C44="Bus",$D44="Nearly full"),$E44*'DE '!H$25,AND($C44="Electric bus",$D44="Almost empty"),$E44*'DE '!H$7,AND($C44="Electric bus",$D44="Average"),$E44*'DE '!H$8,AND($C44="Electric bus",$D44="Nearly full"),$E44*'DE '!H$9,AND($C44="Diesel bus",$D44="Almost empty"),$E44*'DE '!H$19,AND($C44="Diesel bus",$D44="Average"),$E44*'DE '!H$20,AND($C44="Diesel bus",$D44="Nearly full"),$E44*'DE '!H$21,AND($C44="Hybrid-electric bus",$D44="Almost empty"),$E44*'DE '!H$11,AND($C44="Hybrid-electric bus",$D44="Average"),$E44*'DE '!H$12,AND($C44="Hybrid-electric bus",$D44="Nearly full"),$E44*'DE '!H$13,AND($C44="Alternative fuel bus",$D44="Almost empty"),$E44*'DE '!H$15,AND($C44="Alternative fuel bus",$D44="Average"),$E44*'DE '!H$16,AND($C44="Alternative fuel bus",$D44="Nearly full"),$E44*'DE '!H$17,AND($C44="Metro, tram, urban light train",$D44="Almost empty"),$E44*'DE '!C$35,AND($C44="Metro, tram, urban light train",$D44="Average"),$E44*'DE '!C$36,AND($C44="Metro, tram, urban light train",$D44="Nearly full"),$E44*'DE '!C$37,AND($C44="Electric passenger train",$D44="Almost empty"),$E44*'DE '!C$39,AND($C44="Electric passenger train",$D44="Average"),$E44*'DE '!C$40,AND($C44="Electric passenger train",$D44="Nearly full"),$E44*'DE '!C$41,AND($C44="Diesel passenger train",$D44="Almost empty"),$E44*'DE '!C$47,AND($C44="Diesel passenger train",$D44="Average"),$E44*'DE '!C$48,AND($C44="Diesel passenger train",$D44="Nearly full"),$E44*'DE '!C$49,AND($C44="Walking"),$E44*0,AND($C44="Bike"),$E44*0,AND($C44="Plane - domestic flight"),$E44*'DE '!$C68,AND($C44="Plane - international - intra EU"),$E44*'DE '!$C70,AND($C44="Plane - international (extra EU)"),$E44*'DE '!$C72)</f>
        <v>#N/A</v>
      </c>
      <c r="G44" s="31" t="e" cm="1">
        <f t="array" ref="G44">_xlfn.IFS(AND($C44="Fuel car",$D44=1),$E44*'DE '!D$7,AND($C44="Fuel car",$D44=2),$E44*'DE '!D$8,AND($C44="Fuel car",$D44=3),$E44*'DE '!D$9,AND($C44="Fuel car",$D44=4),$E44*'DE '!D$10,AND($C44="Fuel car",$D44=5),$E44*'AT '!D$11,AND($C44="Motorcycle",$D44=1),$E44*'DE '!D$13,AND($C44="Motorcycle",$D44=2),$E44*'DE '!D$14,AND($C44="Electric car",$D44=1),$E44*'DE '!D$16,AND($C44="Electric car",$D44=2),$E44*'DE '!D$17,AND($C44="Electric car",$D44=3),$E44*'DE '!D$18,AND($C44="Electric car",$D44=4),$E44*'DE '!D$19,AND($C44="Electric car",$D44=5),$E44*'DE '!D$20,AND($C44="Hybrid car",$D44=1),$E44*'DE '!D$22,AND($C44="Hybrid car",$D44=2),$E44*'DE '!D$23,AND($C44="Hybrid car",$D44=3),$E44*'DE '!D$24,AND($C44="Hybrid car",$D44=4),$E44*'DE '!D$25,AND($C44="Hybrid car",$D44=5),$E44*'DE '!D$26,AND($C44="Electric motorcycle",$D44=1),$E44*'DE '!D$28,AND($C44="Electric motorcycle",$D44=2),$E44*'DE '!D$29,AND($C44="Electric bike",$D44=1),$E44*'DE '!D$31,AND($C44="Electric scooter",$D44=1),$E44*'DE '!D$33,AND($C44="Bus",$D44="Almost empty"),$E44*'DE '!I$23,AND($C44="Bus",$D44="Average"),$E44*'DE '!I$24,AND($C44="Bus",$D44="Nearly full"),$E44*'DE '!I$25,AND($C44="Electric bus",$D44="Almost empty"),$E44*'DE '!I$7,AND($C44="Electric bus",$D44="Average"),$E44*'DE '!I$8,AND($C44="Electric bus",$D44="Nearly full"),$E44*'DE '!I$9,AND($C44="Diesel bus",$D44="Almost empty"),$E44*'DE '!I$19,AND($C44="Diesel bus",$D44="Average"),$E44*'DE '!I$20,AND($C44="Diesel bus",$D44="Nearly full"),$E44*'DE '!I$21,AND($C44="Hybrid-electric bus",$D44="Almost empty"),$E44*'DE '!I$11,AND($C44="Hybrid-electric bus",$D44="Average"),$E44*'DE '!I$12,AND($C44="Hybrid-electric bus",$D44="Nearly full"),$E44*'DE '!I$13,AND($C44="Alternative fuel bus",$D44="Almost empty"),$E44*'DE '!I$15,AND($C44="Alternative fuel bus",$D44="Average"),$E44*'DE '!I$16,AND($C44="Alternative fuel bus",$D44="Nearly full"),$E44*'DE '!I$17,AND($C44="Metro, tram, urban light train",$D44="Almost empty"),$E44*'DE '!D$35,AND($C44="Metro, tram, urban light train",$D44="Average"),$E44*'DE '!D$36,AND($C44="Metro, tram, urban light train",$D44="Nearly full"),$E44*'DE '!D$37,AND($C44="Electric passenger train",$D44="Almost empty"),$E44*'DE '!D$39,AND($C44="Electric passenger train",$D44="Average"),$E44*'DE '!D$40,AND($C44="Electric passenger train",$D44="Nearly full"),$E44*'DE '!D$41,AND($C44="Diesel passenger train",$D44="Almost empty"),$E44*'DE '!D$47,AND($C44="Diesel passenger train",$D44="Average"),$E44*'DE '!D$48,AND($C44="Diesel passenger train",$D44="Nearly full"),$E44*'DE '!D$49,AND($C44="Walking"),$E44*0,AND($C44="Bike"),$E44*0,AND($C44="Plane - domestic flight"),$E44*'DE '!$C68,AND($C44="Plane - international - intra EU"),$E44*'DE '!$C70,AND($C44="Plane - international (extra EU)"),$E44*'DE '!$C72)</f>
        <v>#N/A</v>
      </c>
      <c r="L44" s="218"/>
      <c r="M44" s="219"/>
      <c r="N44" s="220"/>
    </row>
    <row r="45" spans="1:14" ht="18.5" customHeight="1" x14ac:dyDescent="0.2">
      <c r="A45" s="222"/>
      <c r="B45" s="30"/>
      <c r="C45" s="15"/>
      <c r="D45" s="15"/>
      <c r="E45" s="125"/>
      <c r="F45" s="128" t="e" cm="1">
        <f t="array" ref="F45">_xlfn.IFS(AND($C45="Fuel car",$D45=1),$E45*'DE '!C$7,AND($C45="Fuel car",$D45=2),$E45*'DE '!C$8,AND($C45="Fuel car",$D45=3),$E45*'DE '!C$9,AND($C45="Fuel car",$D45=4),$E45*'DE '!C$10,AND($C45="Fuel car",$D45=5),$E45*'AT '!C$11,AND($C45="Motorcycle",$D45=1),$E45*'DE '!C$13,AND($C45="Motorcycle",$D45=2),$E45*'DE '!C$14,AND($C45="Electric car",$D45=1),$E45*'DE '!C$16,AND($C45="Electric car",$D45=2),$E45*'DE '!C$17,AND($C45="Electric car",$D45=3),$E45*'DE '!C$18,AND($C45="Electric car",$D45=4),$E45*'DE '!C$19,AND($C45="Electric car",$D45=5),$E45*'DE '!C$20,AND($C45="Hybrid car",$D45=1),$E45*'DE '!C$22,AND($C45="Hybrid car",$D45=2),$E45*'DE '!C$23,AND($C45="Hybrid car",$D45=3),$E45*'DE '!C$24,AND($C45="Hybrid car",$D45=4),$E45*'DE '!C$25,AND($C45="Hybrid car",$D45=5),$E45*'DE '!C$26,AND($C45="Electric motorcycle",$D45=1),$E45*'DE '!C$28,AND($C45="Electric motorcycle",$D45=2),$E45*'DE '!C$29,AND($C45="Electric bike",$D45=1),$E45*'DE '!C$31,AND($C45="Electric scooter",$D45=1),$E45*'DE '!C$33,AND($C45="Bus",$D45="Almost empty"),$E45*'DE '!H$23,AND($C45="Bus",$D45="Average"),$E45*'DE '!H$24,AND($C45="Bus",$D45="Nearly full"),$E45*'DE '!H$25,AND($C45="Electric bus",$D45="Almost empty"),$E45*'DE '!H$7,AND($C45="Electric bus",$D45="Average"),$E45*'DE '!H$8,AND($C45="Electric bus",$D45="Nearly full"),$E45*'DE '!H$9,AND($C45="Diesel bus",$D45="Almost empty"),$E45*'DE '!H$19,AND($C45="Diesel bus",$D45="Average"),$E45*'DE '!H$20,AND($C45="Diesel bus",$D45="Nearly full"),$E45*'DE '!H$21,AND($C45="Hybrid-electric bus",$D45="Almost empty"),$E45*'DE '!H$11,AND($C45="Hybrid-electric bus",$D45="Average"),$E45*'DE '!H$12,AND($C45="Hybrid-electric bus",$D45="Nearly full"),$E45*'DE '!H$13,AND($C45="Alternative fuel bus",$D45="Almost empty"),$E45*'DE '!H$15,AND($C45="Alternative fuel bus",$D45="Average"),$E45*'DE '!H$16,AND($C45="Alternative fuel bus",$D45="Nearly full"),$E45*'DE '!H$17,AND($C45="Metro, tram, urban light train",$D45="Almost empty"),$E45*'DE '!C$35,AND($C45="Metro, tram, urban light train",$D45="Average"),$E45*'DE '!C$36,AND($C45="Metro, tram, urban light train",$D45="Nearly full"),$E45*'DE '!C$37,AND($C45="Electric passenger train",$D45="Almost empty"),$E45*'DE '!C$39,AND($C45="Electric passenger train",$D45="Average"),$E45*'DE '!C$40,AND($C45="Electric passenger train",$D45="Nearly full"),$E45*'DE '!C$41,AND($C45="Diesel passenger train",$D45="Almost empty"),$E45*'DE '!C$47,AND($C45="Diesel passenger train",$D45="Average"),$E45*'DE '!C$48,AND($C45="Diesel passenger train",$D45="Nearly full"),$E45*'DE '!C$49,AND($C45="Walking"),$E45*0,AND($C45="Bike"),$E45*0,AND($C45="Plane - domestic flight"),$E45*'DE '!$C69,AND($C45="Plane - international - intra EU"),$E45*'DE '!$C71,AND($C45="Plane - international (extra EU)"),$E45*'DE '!$C73)</f>
        <v>#N/A</v>
      </c>
      <c r="G45" s="31" t="e" cm="1">
        <f t="array" ref="G45">_xlfn.IFS(AND($C45="Fuel car",$D45=1),$E45*'DE '!D$7,AND($C45="Fuel car",$D45=2),$E45*'DE '!D$8,AND($C45="Fuel car",$D45=3),$E45*'DE '!D$9,AND($C45="Fuel car",$D45=4),$E45*'DE '!D$10,AND($C45="Fuel car",$D45=5),$E45*'AT '!D$11,AND($C45="Motorcycle",$D45=1),$E45*'DE '!D$13,AND($C45="Motorcycle",$D45=2),$E45*'DE '!D$14,AND($C45="Electric car",$D45=1),$E45*'DE '!D$16,AND($C45="Electric car",$D45=2),$E45*'DE '!D$17,AND($C45="Electric car",$D45=3),$E45*'DE '!D$18,AND($C45="Electric car",$D45=4),$E45*'DE '!D$19,AND($C45="Electric car",$D45=5),$E45*'DE '!D$20,AND($C45="Hybrid car",$D45=1),$E45*'DE '!D$22,AND($C45="Hybrid car",$D45=2),$E45*'DE '!D$23,AND($C45="Hybrid car",$D45=3),$E45*'DE '!D$24,AND($C45="Hybrid car",$D45=4),$E45*'DE '!D$25,AND($C45="Hybrid car",$D45=5),$E45*'DE '!D$26,AND($C45="Electric motorcycle",$D45=1),$E45*'DE '!D$28,AND($C45="Electric motorcycle",$D45=2),$E45*'DE '!D$29,AND($C45="Electric bike",$D45=1),$E45*'DE '!D$31,AND($C45="Electric scooter",$D45=1),$E45*'DE '!D$33,AND($C45="Bus",$D45="Almost empty"),$E45*'DE '!I$23,AND($C45="Bus",$D45="Average"),$E45*'DE '!I$24,AND($C45="Bus",$D45="Nearly full"),$E45*'DE '!I$25,AND($C45="Electric bus",$D45="Almost empty"),$E45*'DE '!I$7,AND($C45="Electric bus",$D45="Average"),$E45*'DE '!I$8,AND($C45="Electric bus",$D45="Nearly full"),$E45*'DE '!I$9,AND($C45="Diesel bus",$D45="Almost empty"),$E45*'DE '!I$19,AND($C45="Diesel bus",$D45="Average"),$E45*'DE '!I$20,AND($C45="Diesel bus",$D45="Nearly full"),$E45*'DE '!I$21,AND($C45="Hybrid-electric bus",$D45="Almost empty"),$E45*'DE '!I$11,AND($C45="Hybrid-electric bus",$D45="Average"),$E45*'DE '!I$12,AND($C45="Hybrid-electric bus",$D45="Nearly full"),$E45*'DE '!I$13,AND($C45="Alternative fuel bus",$D45="Almost empty"),$E45*'DE '!I$15,AND($C45="Alternative fuel bus",$D45="Average"),$E45*'DE '!I$16,AND($C45="Alternative fuel bus",$D45="Nearly full"),$E45*'DE '!I$17,AND($C45="Metro, tram, urban light train",$D45="Almost empty"),$E45*'DE '!D$35,AND($C45="Metro, tram, urban light train",$D45="Average"),$E45*'DE '!D$36,AND($C45="Metro, tram, urban light train",$D45="Nearly full"),$E45*'DE '!D$37,AND($C45="Electric passenger train",$D45="Almost empty"),$E45*'DE '!D$39,AND($C45="Electric passenger train",$D45="Average"),$E45*'DE '!D$40,AND($C45="Electric passenger train",$D45="Nearly full"),$E45*'DE '!D$41,AND($C45="Diesel passenger train",$D45="Almost empty"),$E45*'DE '!D$47,AND($C45="Diesel passenger train",$D45="Average"),$E45*'DE '!D$48,AND($C45="Diesel passenger train",$D45="Nearly full"),$E45*'DE '!D$49,AND($C45="Walking"),$E45*0,AND($C45="Bike"),$E45*0,AND($C45="Plane - domestic flight"),$E45*'DE '!$C69,AND($C45="Plane - international - intra EU"),$E45*'DE '!$C71,AND($C45="Plane - international (extra EU)"),$E45*'DE '!$C73)</f>
        <v>#N/A</v>
      </c>
      <c r="L45" s="198" t="s">
        <v>256</v>
      </c>
      <c r="M45" s="199"/>
      <c r="N45" s="200"/>
    </row>
    <row r="46" spans="1:14" ht="16" thickBot="1" x14ac:dyDescent="0.25">
      <c r="A46" s="222"/>
      <c r="B46" s="30"/>
      <c r="C46" s="15"/>
      <c r="D46" s="15"/>
      <c r="E46" s="125"/>
      <c r="F46" s="128" t="e" cm="1">
        <f t="array" ref="F46">_xlfn.IFS(AND($C46="Fuel car",$D46=1),$E46*'DE '!C$7,AND($C46="Fuel car",$D46=2),$E46*'DE '!C$8,AND($C46="Fuel car",$D46=3),$E46*'DE '!C$9,AND($C46="Fuel car",$D46=4),$E46*'DE '!C$10,AND($C46="Fuel car",$D46=5),$E46*'AT '!C$11,AND($C46="Motorcycle",$D46=1),$E46*'DE '!C$13,AND($C46="Motorcycle",$D46=2),$E46*'DE '!C$14,AND($C46="Electric car",$D46=1),$E46*'DE '!C$16,AND($C46="Electric car",$D46=2),$E46*'DE '!C$17,AND($C46="Electric car",$D46=3),$E46*'DE '!C$18,AND($C46="Electric car",$D46=4),$E46*'DE '!C$19,AND($C46="Electric car",$D46=5),$E46*'DE '!C$20,AND($C46="Hybrid car",$D46=1),$E46*'DE '!C$22,AND($C46="Hybrid car",$D46=2),$E46*'DE '!C$23,AND($C46="Hybrid car",$D46=3),$E46*'DE '!C$24,AND($C46="Hybrid car",$D46=4),$E46*'DE '!C$25,AND($C46="Hybrid car",$D46=5),$E46*'DE '!C$26,AND($C46="Electric motorcycle",$D46=1),$E46*'DE '!C$28,AND($C46="Electric motorcycle",$D46=2),$E46*'DE '!C$29,AND($C46="Electric bike",$D46=1),$E46*'DE '!C$31,AND($C46="Electric scooter",$D46=1),$E46*'DE '!C$33,AND($C46="Bus",$D46="Almost empty"),$E46*'DE '!H$23,AND($C46="Bus",$D46="Average"),$E46*'DE '!H$24,AND($C46="Bus",$D46="Nearly full"),$E46*'DE '!H$25,AND($C46="Electric bus",$D46="Almost empty"),$E46*'DE '!H$7,AND($C46="Electric bus",$D46="Average"),$E46*'DE '!H$8,AND($C46="Electric bus",$D46="Nearly full"),$E46*'DE '!H$9,AND($C46="Diesel bus",$D46="Almost empty"),$E46*'DE '!H$19,AND($C46="Diesel bus",$D46="Average"),$E46*'DE '!H$20,AND($C46="Diesel bus",$D46="Nearly full"),$E46*'DE '!H$21,AND($C46="Hybrid-electric bus",$D46="Almost empty"),$E46*'DE '!H$11,AND($C46="Hybrid-electric bus",$D46="Average"),$E46*'DE '!H$12,AND($C46="Hybrid-electric bus",$D46="Nearly full"),$E46*'DE '!H$13,AND($C46="Alternative fuel bus",$D46="Almost empty"),$E46*'DE '!H$15,AND($C46="Alternative fuel bus",$D46="Average"),$E46*'DE '!H$16,AND($C46="Alternative fuel bus",$D46="Nearly full"),$E46*'DE '!H$17,AND($C46="Metro, tram, urban light train",$D46="Almost empty"),$E46*'DE '!C$35,AND($C46="Metro, tram, urban light train",$D46="Average"),$E46*'DE '!C$36,AND($C46="Metro, tram, urban light train",$D46="Nearly full"),$E46*'DE '!C$37,AND($C46="Electric passenger train",$D46="Almost empty"),$E46*'DE '!C$39,AND($C46="Electric passenger train",$D46="Average"),$E46*'DE '!C$40,AND($C46="Electric passenger train",$D46="Nearly full"),$E46*'DE '!C$41,AND($C46="Diesel passenger train",$D46="Almost empty"),$E46*'DE '!C$47,AND($C46="Diesel passenger train",$D46="Average"),$E46*'DE '!C$48,AND($C46="Diesel passenger train",$D46="Nearly full"),$E46*'DE '!C$49,AND($C46="Walking"),$E46*0,AND($C46="Bike"),$E46*0,AND($C46="Plane - domestic flight"),$E46*'DE '!$C70,AND($C46="Plane - international - intra EU"),$E46*'DE '!$C72,AND($C46="Plane - international (extra EU)"),$E46*'DE '!$C74)</f>
        <v>#N/A</v>
      </c>
      <c r="G46" s="31" t="e" cm="1">
        <f t="array" ref="G46">_xlfn.IFS(AND($C46="Fuel car",$D46=1),$E46*'DE '!D$7,AND($C46="Fuel car",$D46=2),$E46*'DE '!D$8,AND($C46="Fuel car",$D46=3),$E46*'DE '!D$9,AND($C46="Fuel car",$D46=4),$E46*'DE '!D$10,AND($C46="Fuel car",$D46=5),$E46*'AT '!D$11,AND($C46="Motorcycle",$D46=1),$E46*'DE '!D$13,AND($C46="Motorcycle",$D46=2),$E46*'DE '!D$14,AND($C46="Electric car",$D46=1),$E46*'DE '!D$16,AND($C46="Electric car",$D46=2),$E46*'DE '!D$17,AND($C46="Electric car",$D46=3),$E46*'DE '!D$18,AND($C46="Electric car",$D46=4),$E46*'DE '!D$19,AND($C46="Electric car",$D46=5),$E46*'DE '!D$20,AND($C46="Hybrid car",$D46=1),$E46*'DE '!D$22,AND($C46="Hybrid car",$D46=2),$E46*'DE '!D$23,AND($C46="Hybrid car",$D46=3),$E46*'DE '!D$24,AND($C46="Hybrid car",$D46=4),$E46*'DE '!D$25,AND($C46="Hybrid car",$D46=5),$E46*'DE '!D$26,AND($C46="Electric motorcycle",$D46=1),$E46*'DE '!D$28,AND($C46="Electric motorcycle",$D46=2),$E46*'DE '!D$29,AND($C46="Electric bike",$D46=1),$E46*'DE '!D$31,AND($C46="Electric scooter",$D46=1),$E46*'DE '!D$33,AND($C46="Bus",$D46="Almost empty"),$E46*'DE '!I$23,AND($C46="Bus",$D46="Average"),$E46*'DE '!I$24,AND($C46="Bus",$D46="Nearly full"),$E46*'DE '!I$25,AND($C46="Electric bus",$D46="Almost empty"),$E46*'DE '!I$7,AND($C46="Electric bus",$D46="Average"),$E46*'DE '!I$8,AND($C46="Electric bus",$D46="Nearly full"),$E46*'DE '!I$9,AND($C46="Diesel bus",$D46="Almost empty"),$E46*'DE '!I$19,AND($C46="Diesel bus",$D46="Average"),$E46*'DE '!I$20,AND($C46="Diesel bus",$D46="Nearly full"),$E46*'DE '!I$21,AND($C46="Hybrid-electric bus",$D46="Almost empty"),$E46*'DE '!I$11,AND($C46="Hybrid-electric bus",$D46="Average"),$E46*'DE '!I$12,AND($C46="Hybrid-electric bus",$D46="Nearly full"),$E46*'DE '!I$13,AND($C46="Alternative fuel bus",$D46="Almost empty"),$E46*'DE '!I$15,AND($C46="Alternative fuel bus",$D46="Average"),$E46*'DE '!I$16,AND($C46="Alternative fuel bus",$D46="Nearly full"),$E46*'DE '!I$17,AND($C46="Metro, tram, urban light train",$D46="Almost empty"),$E46*'DE '!D$35,AND($C46="Metro, tram, urban light train",$D46="Average"),$E46*'DE '!D$36,AND($C46="Metro, tram, urban light train",$D46="Nearly full"),$E46*'DE '!D$37,AND($C46="Electric passenger train",$D46="Almost empty"),$E46*'DE '!D$39,AND($C46="Electric passenger train",$D46="Average"),$E46*'DE '!D$40,AND($C46="Electric passenger train",$D46="Nearly full"),$E46*'DE '!D$41,AND($C46="Diesel passenger train",$D46="Almost empty"),$E46*'DE '!D$47,AND($C46="Diesel passenger train",$D46="Average"),$E46*'DE '!D$48,AND($C46="Diesel passenger train",$D46="Nearly full"),$E46*'DE '!D$49,AND($C46="Walking"),$E46*0,AND($C46="Bike"),$E46*0,AND($C46="Plane - domestic flight"),$E46*'DE '!$C70,AND($C46="Plane - international - intra EU"),$E46*'DE '!$C72,AND($C46="Plane - international (extra EU)"),$E46*'DE '!$C74)</f>
        <v>#N/A</v>
      </c>
      <c r="L46" s="246"/>
      <c r="M46" s="247"/>
      <c r="N46" s="248"/>
    </row>
    <row r="47" spans="1:14" ht="20" thickBot="1" x14ac:dyDescent="0.25">
      <c r="A47" s="222"/>
      <c r="B47" s="30"/>
      <c r="C47" s="15"/>
      <c r="D47" s="15"/>
      <c r="E47" s="125"/>
      <c r="F47" s="128" t="e" cm="1">
        <f t="array" ref="F47">_xlfn.IFS(AND($C47="Fuel car",$D47=1),$E47*'DE '!C$7,AND($C47="Fuel car",$D47=2),$E47*'DE '!C$8,AND($C47="Fuel car",$D47=3),$E47*'DE '!C$9,AND($C47="Fuel car",$D47=4),$E47*'DE '!C$10,AND($C47="Fuel car",$D47=5),$E47*'AT '!C$11,AND($C47="Motorcycle",$D47=1),$E47*'DE '!C$13,AND($C47="Motorcycle",$D47=2),$E47*'DE '!C$14,AND($C47="Electric car",$D47=1),$E47*'DE '!C$16,AND($C47="Electric car",$D47=2),$E47*'DE '!C$17,AND($C47="Electric car",$D47=3),$E47*'DE '!C$18,AND($C47="Electric car",$D47=4),$E47*'DE '!C$19,AND($C47="Electric car",$D47=5),$E47*'DE '!C$20,AND($C47="Hybrid car",$D47=1),$E47*'DE '!C$22,AND($C47="Hybrid car",$D47=2),$E47*'DE '!C$23,AND($C47="Hybrid car",$D47=3),$E47*'DE '!C$24,AND($C47="Hybrid car",$D47=4),$E47*'DE '!C$25,AND($C47="Hybrid car",$D47=5),$E47*'DE '!C$26,AND($C47="Electric motorcycle",$D47=1),$E47*'DE '!C$28,AND($C47="Electric motorcycle",$D47=2),$E47*'DE '!C$29,AND($C47="Electric bike",$D47=1),$E47*'DE '!C$31,AND($C47="Electric scooter",$D47=1),$E47*'DE '!C$33,AND($C47="Bus",$D47="Almost empty"),$E47*'DE '!H$23,AND($C47="Bus",$D47="Average"),$E47*'DE '!H$24,AND($C47="Bus",$D47="Nearly full"),$E47*'DE '!H$25,AND($C47="Electric bus",$D47="Almost empty"),$E47*'DE '!H$7,AND($C47="Electric bus",$D47="Average"),$E47*'DE '!H$8,AND($C47="Electric bus",$D47="Nearly full"),$E47*'DE '!H$9,AND($C47="Diesel bus",$D47="Almost empty"),$E47*'DE '!H$19,AND($C47="Diesel bus",$D47="Average"),$E47*'DE '!H$20,AND($C47="Diesel bus",$D47="Nearly full"),$E47*'DE '!H$21,AND($C47="Hybrid-electric bus",$D47="Almost empty"),$E47*'DE '!H$11,AND($C47="Hybrid-electric bus",$D47="Average"),$E47*'DE '!H$12,AND($C47="Hybrid-electric bus",$D47="Nearly full"),$E47*'DE '!H$13,AND($C47="Alternative fuel bus",$D47="Almost empty"),$E47*'DE '!H$15,AND($C47="Alternative fuel bus",$D47="Average"),$E47*'DE '!H$16,AND($C47="Alternative fuel bus",$D47="Nearly full"),$E47*'DE '!H$17,AND($C47="Metro, tram, urban light train",$D47="Almost empty"),$E47*'DE '!C$35,AND($C47="Metro, tram, urban light train",$D47="Average"),$E47*'DE '!C$36,AND($C47="Metro, tram, urban light train",$D47="Nearly full"),$E47*'DE '!C$37,AND($C47="Electric passenger train",$D47="Almost empty"),$E47*'DE '!C$39,AND($C47="Electric passenger train",$D47="Average"),$E47*'DE '!C$40,AND($C47="Electric passenger train",$D47="Nearly full"),$E47*'DE '!C$41,AND($C47="Diesel passenger train",$D47="Almost empty"),$E47*'DE '!C$47,AND($C47="Diesel passenger train",$D47="Average"),$E47*'DE '!C$48,AND($C47="Diesel passenger train",$D47="Nearly full"),$E47*'DE '!C$49,AND($C47="Walking"),$E47*0,AND($C47="Bike"),$E47*0,AND($C47="Plane - domestic flight"),$E47*'DE '!$C71,AND($C47="Plane - international - intra EU"),$E47*'DE '!$C73,AND($C47="Plane - international (extra EU)"),$E47*'DE '!$C75)</f>
        <v>#N/A</v>
      </c>
      <c r="G47" s="31" t="e" cm="1">
        <f t="array" ref="G47">_xlfn.IFS(AND($C47="Fuel car",$D47=1),$E47*'DE '!D$7,AND($C47="Fuel car",$D47=2),$E47*'DE '!D$8,AND($C47="Fuel car",$D47=3),$E47*'DE '!D$9,AND($C47="Fuel car",$D47=4),$E47*'DE '!D$10,AND($C47="Fuel car",$D47=5),$E47*'AT '!D$11,AND($C47="Motorcycle",$D47=1),$E47*'DE '!D$13,AND($C47="Motorcycle",$D47=2),$E47*'DE '!D$14,AND($C47="Electric car",$D47=1),$E47*'DE '!D$16,AND($C47="Electric car",$D47=2),$E47*'DE '!D$17,AND($C47="Electric car",$D47=3),$E47*'DE '!D$18,AND($C47="Electric car",$D47=4),$E47*'DE '!D$19,AND($C47="Electric car",$D47=5),$E47*'DE '!D$20,AND($C47="Hybrid car",$D47=1),$E47*'DE '!D$22,AND($C47="Hybrid car",$D47=2),$E47*'DE '!D$23,AND($C47="Hybrid car",$D47=3),$E47*'DE '!D$24,AND($C47="Hybrid car",$D47=4),$E47*'DE '!D$25,AND($C47="Hybrid car",$D47=5),$E47*'DE '!D$26,AND($C47="Electric motorcycle",$D47=1),$E47*'DE '!D$28,AND($C47="Electric motorcycle",$D47=2),$E47*'DE '!D$29,AND($C47="Electric bike",$D47=1),$E47*'DE '!D$31,AND($C47="Electric scooter",$D47=1),$E47*'DE '!D$33,AND($C47="Bus",$D47="Almost empty"),$E47*'DE '!I$23,AND($C47="Bus",$D47="Average"),$E47*'DE '!I$24,AND($C47="Bus",$D47="Nearly full"),$E47*'DE '!I$25,AND($C47="Electric bus",$D47="Almost empty"),$E47*'DE '!I$7,AND($C47="Electric bus",$D47="Average"),$E47*'DE '!I$8,AND($C47="Electric bus",$D47="Nearly full"),$E47*'DE '!I$9,AND($C47="Diesel bus",$D47="Almost empty"),$E47*'DE '!I$19,AND($C47="Diesel bus",$D47="Average"),$E47*'DE '!I$20,AND($C47="Diesel bus",$D47="Nearly full"),$E47*'DE '!I$21,AND($C47="Hybrid-electric bus",$D47="Almost empty"),$E47*'DE '!I$11,AND($C47="Hybrid-electric bus",$D47="Average"),$E47*'DE '!I$12,AND($C47="Hybrid-electric bus",$D47="Nearly full"),$E47*'DE '!I$13,AND($C47="Alternative fuel bus",$D47="Almost empty"),$E47*'DE '!I$15,AND($C47="Alternative fuel bus",$D47="Average"),$E47*'DE '!I$16,AND($C47="Alternative fuel bus",$D47="Nearly full"),$E47*'DE '!I$17,AND($C47="Metro, tram, urban light train",$D47="Almost empty"),$E47*'DE '!D$35,AND($C47="Metro, tram, urban light train",$D47="Average"),$E47*'DE '!D$36,AND($C47="Metro, tram, urban light train",$D47="Nearly full"),$E47*'DE '!D$37,AND($C47="Electric passenger train",$D47="Almost empty"),$E47*'DE '!D$39,AND($C47="Electric passenger train",$D47="Average"),$E47*'DE '!D$40,AND($C47="Electric passenger train",$D47="Nearly full"),$E47*'DE '!D$41,AND($C47="Diesel passenger train",$D47="Almost empty"),$E47*'DE '!D$47,AND($C47="Diesel passenger train",$D47="Average"),$E47*'DE '!D$48,AND($C47="Diesel passenger train",$D47="Nearly full"),$E47*'DE '!D$49,AND($C47="Walking"),$E47*0,AND($C47="Bike"),$E47*0,AND($C47="Plane - domestic flight"),$E47*'DE '!$C71,AND($C47="Plane - international - intra EU"),$E47*'DE '!$C73,AND($C47="Plane - international (extra EU)"),$E47*'DE '!$C75)</f>
        <v>#N/A</v>
      </c>
      <c r="L47" s="238" t="s">
        <v>56</v>
      </c>
      <c r="M47" s="239"/>
      <c r="N47" s="240"/>
    </row>
    <row r="48" spans="1:14" ht="16" thickBot="1" x14ac:dyDescent="0.25">
      <c r="A48" s="222"/>
      <c r="B48" s="30"/>
      <c r="C48" s="15"/>
      <c r="D48" s="15"/>
      <c r="E48" s="125"/>
      <c r="F48" s="128" t="e" cm="1">
        <f t="array" ref="F48">_xlfn.IFS(AND($C48="Fuel car",$D48=1),$E48*'DE '!C$7,AND($C48="Fuel car",$D48=2),$E48*'DE '!C$8,AND($C48="Fuel car",$D48=3),$E48*'DE '!C$9,AND($C48="Fuel car",$D48=4),$E48*'DE '!C$10,AND($C48="Fuel car",$D48=5),$E48*'AT '!C$11,AND($C48="Motorcycle",$D48=1),$E48*'DE '!C$13,AND($C48="Motorcycle",$D48=2),$E48*'DE '!C$14,AND($C48="Electric car",$D48=1),$E48*'DE '!C$16,AND($C48="Electric car",$D48=2),$E48*'DE '!C$17,AND($C48="Electric car",$D48=3),$E48*'DE '!C$18,AND($C48="Electric car",$D48=4),$E48*'DE '!C$19,AND($C48="Electric car",$D48=5),$E48*'DE '!C$20,AND($C48="Hybrid car",$D48=1),$E48*'DE '!C$22,AND($C48="Hybrid car",$D48=2),$E48*'DE '!C$23,AND($C48="Hybrid car",$D48=3),$E48*'DE '!C$24,AND($C48="Hybrid car",$D48=4),$E48*'DE '!C$25,AND($C48="Hybrid car",$D48=5),$E48*'DE '!C$26,AND($C48="Electric motorcycle",$D48=1),$E48*'DE '!C$28,AND($C48="Electric motorcycle",$D48=2),$E48*'DE '!C$29,AND($C48="Electric bike",$D48=1),$E48*'DE '!C$31,AND($C48="Electric scooter",$D48=1),$E48*'DE '!C$33,AND($C48="Bus",$D48="Almost empty"),$E48*'DE '!H$23,AND($C48="Bus",$D48="Average"),$E48*'DE '!H$24,AND($C48="Bus",$D48="Nearly full"),$E48*'DE '!H$25,AND($C48="Electric bus",$D48="Almost empty"),$E48*'DE '!H$7,AND($C48="Electric bus",$D48="Average"),$E48*'DE '!H$8,AND($C48="Electric bus",$D48="Nearly full"),$E48*'DE '!H$9,AND($C48="Diesel bus",$D48="Almost empty"),$E48*'DE '!H$19,AND($C48="Diesel bus",$D48="Average"),$E48*'DE '!H$20,AND($C48="Diesel bus",$D48="Nearly full"),$E48*'DE '!H$21,AND($C48="Hybrid-electric bus",$D48="Almost empty"),$E48*'DE '!H$11,AND($C48="Hybrid-electric bus",$D48="Average"),$E48*'DE '!H$12,AND($C48="Hybrid-electric bus",$D48="Nearly full"),$E48*'DE '!H$13,AND($C48="Alternative fuel bus",$D48="Almost empty"),$E48*'DE '!H$15,AND($C48="Alternative fuel bus",$D48="Average"),$E48*'DE '!H$16,AND($C48="Alternative fuel bus",$D48="Nearly full"),$E48*'DE '!H$17,AND($C48="Metro, tram, urban light train",$D48="Almost empty"),$E48*'DE '!C$35,AND($C48="Metro, tram, urban light train",$D48="Average"),$E48*'DE '!C$36,AND($C48="Metro, tram, urban light train",$D48="Nearly full"),$E48*'DE '!C$37,AND($C48="Electric passenger train",$D48="Almost empty"),$E48*'DE '!C$39,AND($C48="Electric passenger train",$D48="Average"),$E48*'DE '!C$40,AND($C48="Electric passenger train",$D48="Nearly full"),$E48*'DE '!C$41,AND($C48="Diesel passenger train",$D48="Almost empty"),$E48*'DE '!C$47,AND($C48="Diesel passenger train",$D48="Average"),$E48*'DE '!C$48,AND($C48="Diesel passenger train",$D48="Nearly full"),$E48*'DE '!C$49,AND($C48="Walking"),$E48*0,AND($C48="Bike"),$E48*0,AND($C48="Plane - domestic flight"),$E48*'DE '!$C72,AND($C48="Plane - international - intra EU"),$E48*'DE '!$C74,AND($C48="Plane - international (extra EU)"),$E48*'DE '!$C76)</f>
        <v>#N/A</v>
      </c>
      <c r="G48" s="31" t="e" cm="1">
        <f t="array" ref="G48">_xlfn.IFS(AND($C48="Fuel car",$D48=1),$E48*'DE '!D$7,AND($C48="Fuel car",$D48=2),$E48*'DE '!D$8,AND($C48="Fuel car",$D48=3),$E48*'DE '!D$9,AND($C48="Fuel car",$D48=4),$E48*'DE '!D$10,AND($C48="Fuel car",$D48=5),$E48*'AT '!D$11,AND($C48="Motorcycle",$D48=1),$E48*'DE '!D$13,AND($C48="Motorcycle",$D48=2),$E48*'DE '!D$14,AND($C48="Electric car",$D48=1),$E48*'DE '!D$16,AND($C48="Electric car",$D48=2),$E48*'DE '!D$17,AND($C48="Electric car",$D48=3),$E48*'DE '!D$18,AND($C48="Electric car",$D48=4),$E48*'DE '!D$19,AND($C48="Electric car",$D48=5),$E48*'DE '!D$20,AND($C48="Hybrid car",$D48=1),$E48*'DE '!D$22,AND($C48="Hybrid car",$D48=2),$E48*'DE '!D$23,AND($C48="Hybrid car",$D48=3),$E48*'DE '!D$24,AND($C48="Hybrid car",$D48=4),$E48*'DE '!D$25,AND($C48="Hybrid car",$D48=5),$E48*'DE '!D$26,AND($C48="Electric motorcycle",$D48=1),$E48*'DE '!D$28,AND($C48="Electric motorcycle",$D48=2),$E48*'DE '!D$29,AND($C48="Electric bike",$D48=1),$E48*'DE '!D$31,AND($C48="Electric scooter",$D48=1),$E48*'DE '!D$33,AND($C48="Bus",$D48="Almost empty"),$E48*'DE '!I$23,AND($C48="Bus",$D48="Average"),$E48*'DE '!I$24,AND($C48="Bus",$D48="Nearly full"),$E48*'DE '!I$25,AND($C48="Electric bus",$D48="Almost empty"),$E48*'DE '!I$7,AND($C48="Electric bus",$D48="Average"),$E48*'DE '!I$8,AND($C48="Electric bus",$D48="Nearly full"),$E48*'DE '!I$9,AND($C48="Diesel bus",$D48="Almost empty"),$E48*'DE '!I$19,AND($C48="Diesel bus",$D48="Average"),$E48*'DE '!I$20,AND($C48="Diesel bus",$D48="Nearly full"),$E48*'DE '!I$21,AND($C48="Hybrid-electric bus",$D48="Almost empty"),$E48*'DE '!I$11,AND($C48="Hybrid-electric bus",$D48="Average"),$E48*'DE '!I$12,AND($C48="Hybrid-electric bus",$D48="Nearly full"),$E48*'DE '!I$13,AND($C48="Alternative fuel bus",$D48="Almost empty"),$E48*'DE '!I$15,AND($C48="Alternative fuel bus",$D48="Average"),$E48*'DE '!I$16,AND($C48="Alternative fuel bus",$D48="Nearly full"),$E48*'DE '!I$17,AND($C48="Metro, tram, urban light train",$D48="Almost empty"),$E48*'DE '!D$35,AND($C48="Metro, tram, urban light train",$D48="Average"),$E48*'DE '!D$36,AND($C48="Metro, tram, urban light train",$D48="Nearly full"),$E48*'DE '!D$37,AND($C48="Electric passenger train",$D48="Almost empty"),$E48*'DE '!D$39,AND($C48="Electric passenger train",$D48="Average"),$E48*'DE '!D$40,AND($C48="Electric passenger train",$D48="Nearly full"),$E48*'DE '!D$41,AND($C48="Diesel passenger train",$D48="Almost empty"),$E48*'DE '!D$47,AND($C48="Diesel passenger train",$D48="Average"),$E48*'DE '!D$48,AND($C48="Diesel passenger train",$D48="Nearly full"),$E48*'DE '!D$49,AND($C48="Walking"),$E48*0,AND($C48="Bike"),$E48*0,AND($C48="Plane - domestic flight"),$E48*'DE '!$C72,AND($C48="Plane - international - intra EU"),$E48*'DE '!$C74,AND($C48="Plane - international (extra EU)"),$E48*'DE '!$C76)</f>
        <v>#N/A</v>
      </c>
      <c r="H48" s="196" t="s">
        <v>67</v>
      </c>
      <c r="I48" s="197"/>
      <c r="L48" s="249"/>
      <c r="M48" s="250"/>
      <c r="N48" s="251"/>
    </row>
    <row r="49" spans="1:14" x14ac:dyDescent="0.2">
      <c r="A49" s="222"/>
      <c r="B49" s="30"/>
      <c r="C49" s="15"/>
      <c r="D49" s="15"/>
      <c r="E49" s="125"/>
      <c r="F49" s="128" t="e" cm="1">
        <f t="array" ref="F49">_xlfn.IFS(AND($C49="Fuel car",$D49=1),$E49*'DE '!C$7,AND($C49="Fuel car",$D49=2),$E49*'DE '!C$8,AND($C49="Fuel car",$D49=3),$E49*'DE '!C$9,AND($C49="Fuel car",$D49=4),$E49*'DE '!C$10,AND($C49="Fuel car",$D49=5),$E49*'AT '!C$11,AND($C49="Motorcycle",$D49=1),$E49*'DE '!C$13,AND($C49="Motorcycle",$D49=2),$E49*'DE '!C$14,AND($C49="Electric car",$D49=1),$E49*'DE '!C$16,AND($C49="Electric car",$D49=2),$E49*'DE '!C$17,AND($C49="Electric car",$D49=3),$E49*'DE '!C$18,AND($C49="Electric car",$D49=4),$E49*'DE '!C$19,AND($C49="Electric car",$D49=5),$E49*'DE '!C$20,AND($C49="Hybrid car",$D49=1),$E49*'DE '!C$22,AND($C49="Hybrid car",$D49=2),$E49*'DE '!C$23,AND($C49="Hybrid car",$D49=3),$E49*'DE '!C$24,AND($C49="Hybrid car",$D49=4),$E49*'DE '!C$25,AND($C49="Hybrid car",$D49=5),$E49*'DE '!C$26,AND($C49="Electric motorcycle",$D49=1),$E49*'DE '!C$28,AND($C49="Electric motorcycle",$D49=2),$E49*'DE '!C$29,AND($C49="Electric bike",$D49=1),$E49*'DE '!C$31,AND($C49="Electric scooter",$D49=1),$E49*'DE '!C$33,AND($C49="Bus",$D49="Almost empty"),$E49*'DE '!H$23,AND($C49="Bus",$D49="Average"),$E49*'DE '!H$24,AND($C49="Bus",$D49="Nearly full"),$E49*'DE '!H$25,AND($C49="Electric bus",$D49="Almost empty"),$E49*'DE '!H$7,AND($C49="Electric bus",$D49="Average"),$E49*'DE '!H$8,AND($C49="Electric bus",$D49="Nearly full"),$E49*'DE '!H$9,AND($C49="Diesel bus",$D49="Almost empty"),$E49*'DE '!H$19,AND($C49="Diesel bus",$D49="Average"),$E49*'DE '!H$20,AND($C49="Diesel bus",$D49="Nearly full"),$E49*'DE '!H$21,AND($C49="Hybrid-electric bus",$D49="Almost empty"),$E49*'DE '!H$11,AND($C49="Hybrid-electric bus",$D49="Average"),$E49*'DE '!H$12,AND($C49="Hybrid-electric bus",$D49="Nearly full"),$E49*'DE '!H$13,AND($C49="Alternative fuel bus",$D49="Almost empty"),$E49*'DE '!H$15,AND($C49="Alternative fuel bus",$D49="Average"),$E49*'DE '!H$16,AND($C49="Alternative fuel bus",$D49="Nearly full"),$E49*'DE '!H$17,AND($C49="Metro, tram, urban light train",$D49="Almost empty"),$E49*'DE '!C$35,AND($C49="Metro, tram, urban light train",$D49="Average"),$E49*'DE '!C$36,AND($C49="Metro, tram, urban light train",$D49="Nearly full"),$E49*'DE '!C$37,AND($C49="Electric passenger train",$D49="Almost empty"),$E49*'DE '!C$39,AND($C49="Electric passenger train",$D49="Average"),$E49*'DE '!C$40,AND($C49="Electric passenger train",$D49="Nearly full"),$E49*'DE '!C$41,AND($C49="Diesel passenger train",$D49="Almost empty"),$E49*'DE '!C$47,AND($C49="Diesel passenger train",$D49="Average"),$E49*'DE '!C$48,AND($C49="Diesel passenger train",$D49="Nearly full"),$E49*'DE '!C$49,AND($C49="Walking"),$E49*0,AND($C49="Bike"),$E49*0,AND($C49="Plane - domestic flight"),$E49*'DE '!$C73,AND($C49="Plane - international - intra EU"),$E49*'DE '!$C75,AND($C49="Plane - international (extra EU)"),$E49*'DE '!$C77)</f>
        <v>#N/A</v>
      </c>
      <c r="G49" s="31" t="e" cm="1">
        <f t="array" ref="G49">_xlfn.IFS(AND($C49="Fuel car",$D49=1),$E49*'DE '!D$7,AND($C49="Fuel car",$D49=2),$E49*'DE '!D$8,AND($C49="Fuel car",$D49=3),$E49*'DE '!D$9,AND($C49="Fuel car",$D49=4),$E49*'DE '!D$10,AND($C49="Fuel car",$D49=5),$E49*'AT '!D$11,AND($C49="Motorcycle",$D49=1),$E49*'DE '!D$13,AND($C49="Motorcycle",$D49=2),$E49*'DE '!D$14,AND($C49="Electric car",$D49=1),$E49*'DE '!D$16,AND($C49="Electric car",$D49=2),$E49*'DE '!D$17,AND($C49="Electric car",$D49=3),$E49*'DE '!D$18,AND($C49="Electric car",$D49=4),$E49*'DE '!D$19,AND($C49="Electric car",$D49=5),$E49*'DE '!D$20,AND($C49="Hybrid car",$D49=1),$E49*'DE '!D$22,AND($C49="Hybrid car",$D49=2),$E49*'DE '!D$23,AND($C49="Hybrid car",$D49=3),$E49*'DE '!D$24,AND($C49="Hybrid car",$D49=4),$E49*'DE '!D$25,AND($C49="Hybrid car",$D49=5),$E49*'DE '!D$26,AND($C49="Electric motorcycle",$D49=1),$E49*'DE '!D$28,AND($C49="Electric motorcycle",$D49=2),$E49*'DE '!D$29,AND($C49="Electric bike",$D49=1),$E49*'DE '!D$31,AND($C49="Electric scooter",$D49=1),$E49*'DE '!D$33,AND($C49="Bus",$D49="Almost empty"),$E49*'DE '!I$23,AND($C49="Bus",$D49="Average"),$E49*'DE '!I$24,AND($C49="Bus",$D49="Nearly full"),$E49*'DE '!I$25,AND($C49="Electric bus",$D49="Almost empty"),$E49*'DE '!I$7,AND($C49="Electric bus",$D49="Average"),$E49*'DE '!I$8,AND($C49="Electric bus",$D49="Nearly full"),$E49*'DE '!I$9,AND($C49="Diesel bus",$D49="Almost empty"),$E49*'DE '!I$19,AND($C49="Diesel bus",$D49="Average"),$E49*'DE '!I$20,AND($C49="Diesel bus",$D49="Nearly full"),$E49*'DE '!I$21,AND($C49="Hybrid-electric bus",$D49="Almost empty"),$E49*'DE '!I$11,AND($C49="Hybrid-electric bus",$D49="Average"),$E49*'DE '!I$12,AND($C49="Hybrid-electric bus",$D49="Nearly full"),$E49*'DE '!I$13,AND($C49="Alternative fuel bus",$D49="Almost empty"),$E49*'DE '!I$15,AND($C49="Alternative fuel bus",$D49="Average"),$E49*'DE '!I$16,AND($C49="Alternative fuel bus",$D49="Nearly full"),$E49*'DE '!I$17,AND($C49="Metro, tram, urban light train",$D49="Almost empty"),$E49*'DE '!D$35,AND($C49="Metro, tram, urban light train",$D49="Average"),$E49*'DE '!D$36,AND($C49="Metro, tram, urban light train",$D49="Nearly full"),$E49*'DE '!D$37,AND($C49="Electric passenger train",$D49="Almost empty"),$E49*'DE '!D$39,AND($C49="Electric passenger train",$D49="Average"),$E49*'DE '!D$40,AND($C49="Electric passenger train",$D49="Nearly full"),$E49*'DE '!D$41,AND($C49="Diesel passenger train",$D49="Almost empty"),$E49*'DE '!D$47,AND($C49="Diesel passenger train",$D49="Average"),$E49*'DE '!D$48,AND($C49="Diesel passenger train",$D49="Nearly full"),$E49*'DE '!D$49,AND($C49="Walking"),$E49*0,AND($C49="Bike"),$E49*0,AND($C49="Plane - domestic flight"),$E49*'DE '!$C73,AND($C49="Plane - international - intra EU"),$E49*'DE '!$C75,AND($C49="Plane - international (extra EU)"),$E49*'DE '!$C77)</f>
        <v>#N/A</v>
      </c>
      <c r="H49" s="244" t="s">
        <v>74</v>
      </c>
      <c r="I49" s="141"/>
      <c r="L49" s="252"/>
      <c r="M49" s="253"/>
      <c r="N49" s="254"/>
    </row>
    <row r="50" spans="1:14" ht="16" thickBot="1" x14ac:dyDescent="0.25">
      <c r="A50" s="222"/>
      <c r="B50" s="51"/>
      <c r="C50" s="15"/>
      <c r="D50" s="15"/>
      <c r="E50" s="126"/>
      <c r="F50" s="128" t="e" cm="1">
        <f t="array" ref="F50">_xlfn.IFS(AND($C50="Fuel car",$D50=1),$E50*'DE '!C$7,AND($C50="Fuel car",$D50=2),$E50*'DE '!C$8,AND($C50="Fuel car",$D50=3),$E50*'DE '!C$9,AND($C50="Fuel car",$D50=4),$E50*'DE '!C$10,AND($C50="Fuel car",$D50=5),$E50*'AT '!C$11,AND($C50="Motorcycle",$D50=1),$E50*'DE '!C$13,AND($C50="Motorcycle",$D50=2),$E50*'DE '!C$14,AND($C50="Electric car",$D50=1),$E50*'DE '!C$16,AND($C50="Electric car",$D50=2),$E50*'DE '!C$17,AND($C50="Electric car",$D50=3),$E50*'DE '!C$18,AND($C50="Electric car",$D50=4),$E50*'DE '!C$19,AND($C50="Electric car",$D50=5),$E50*'DE '!C$20,AND($C50="Hybrid car",$D50=1),$E50*'DE '!C$22,AND($C50="Hybrid car",$D50=2),$E50*'DE '!C$23,AND($C50="Hybrid car",$D50=3),$E50*'DE '!C$24,AND($C50="Hybrid car",$D50=4),$E50*'DE '!C$25,AND($C50="Hybrid car",$D50=5),$E50*'DE '!C$26,AND($C50="Electric motorcycle",$D50=1),$E50*'DE '!C$28,AND($C50="Electric motorcycle",$D50=2),$E50*'DE '!C$29,AND($C50="Electric bike",$D50=1),$E50*'DE '!C$31,AND($C50="Electric scooter",$D50=1),$E50*'DE '!C$33,AND($C50="Bus",$D50="Almost empty"),$E50*'DE '!H$23,AND($C50="Bus",$D50="Average"),$E50*'DE '!H$24,AND($C50="Bus",$D50="Nearly full"),$E50*'DE '!H$25,AND($C50="Electric bus",$D50="Almost empty"),$E50*'DE '!H$7,AND($C50="Electric bus",$D50="Average"),$E50*'DE '!H$8,AND($C50="Electric bus",$D50="Nearly full"),$E50*'DE '!H$9,AND($C50="Diesel bus",$D50="Almost empty"),$E50*'DE '!H$19,AND($C50="Diesel bus",$D50="Average"),$E50*'DE '!H$20,AND($C50="Diesel bus",$D50="Nearly full"),$E50*'DE '!H$21,AND($C50="Hybrid-electric bus",$D50="Almost empty"),$E50*'DE '!H$11,AND($C50="Hybrid-electric bus",$D50="Average"),$E50*'DE '!H$12,AND($C50="Hybrid-electric bus",$D50="Nearly full"),$E50*'DE '!H$13,AND($C50="Alternative fuel bus",$D50="Almost empty"),$E50*'DE '!H$15,AND($C50="Alternative fuel bus",$D50="Average"),$E50*'DE '!H$16,AND($C50="Alternative fuel bus",$D50="Nearly full"),$E50*'DE '!H$17,AND($C50="Metro, tram, urban light train",$D50="Almost empty"),$E50*'DE '!C$35,AND($C50="Metro, tram, urban light train",$D50="Average"),$E50*'DE '!C$36,AND($C50="Metro, tram, urban light train",$D50="Nearly full"),$E50*'DE '!C$37,AND($C50="Electric passenger train",$D50="Almost empty"),$E50*'DE '!C$39,AND($C50="Electric passenger train",$D50="Average"),$E50*'DE '!C$40,AND($C50="Electric passenger train",$D50="Nearly full"),$E50*'DE '!C$41,AND($C50="Diesel passenger train",$D50="Almost empty"),$E50*'DE '!C$47,AND($C50="Diesel passenger train",$D50="Average"),$E50*'DE '!C$48,AND($C50="Diesel passenger train",$D50="Nearly full"),$E50*'DE '!C$49,AND($C50="Walking"),$E50*0,AND($C50="Bike"),$E50*0,AND($C50="Plane - domestic flight"),$E50*'DE '!$C74,AND($C50="Plane - international - intra EU"),$E50*'DE '!$C76,AND($C50="Plane - international (extra EU)"),$E50*'DE '!$C78)</f>
        <v>#N/A</v>
      </c>
      <c r="G50" s="31" t="e" cm="1">
        <f t="array" ref="G50">_xlfn.IFS(AND($C50="Fuel car",$D50=1),$E50*'DE '!D$7,AND($C50="Fuel car",$D50=2),$E50*'DE '!D$8,AND($C50="Fuel car",$D50=3),$E50*'DE '!D$9,AND($C50="Fuel car",$D50=4),$E50*'DE '!D$10,AND($C50="Fuel car",$D50=5),$E50*'AT '!D$11,AND($C50="Motorcycle",$D50=1),$E50*'DE '!D$13,AND($C50="Motorcycle",$D50=2),$E50*'DE '!D$14,AND($C50="Electric car",$D50=1),$E50*'DE '!D$16,AND($C50="Electric car",$D50=2),$E50*'DE '!D$17,AND($C50="Electric car",$D50=3),$E50*'DE '!D$18,AND($C50="Electric car",$D50=4),$E50*'DE '!D$19,AND($C50="Electric car",$D50=5),$E50*'DE '!D$20,AND($C50="Hybrid car",$D50=1),$E50*'DE '!D$22,AND($C50="Hybrid car",$D50=2),$E50*'DE '!D$23,AND($C50="Hybrid car",$D50=3),$E50*'DE '!D$24,AND($C50="Hybrid car",$D50=4),$E50*'DE '!D$25,AND($C50="Hybrid car",$D50=5),$E50*'DE '!D$26,AND($C50="Electric motorcycle",$D50=1),$E50*'DE '!D$28,AND($C50="Electric motorcycle",$D50=2),$E50*'DE '!D$29,AND($C50="Electric bike",$D50=1),$E50*'DE '!D$31,AND($C50="Electric scooter",$D50=1),$E50*'DE '!D$33,AND($C50="Bus",$D50="Almost empty"),$E50*'DE '!I$23,AND($C50="Bus",$D50="Average"),$E50*'DE '!I$24,AND($C50="Bus",$D50="Nearly full"),$E50*'DE '!I$25,AND($C50="Electric bus",$D50="Almost empty"),$E50*'DE '!I$7,AND($C50="Electric bus",$D50="Average"),$E50*'DE '!I$8,AND($C50="Electric bus",$D50="Nearly full"),$E50*'DE '!I$9,AND($C50="Diesel bus",$D50="Almost empty"),$E50*'DE '!I$19,AND($C50="Diesel bus",$D50="Average"),$E50*'DE '!I$20,AND($C50="Diesel bus",$D50="Nearly full"),$E50*'DE '!I$21,AND($C50="Hybrid-electric bus",$D50="Almost empty"),$E50*'DE '!I$11,AND($C50="Hybrid-electric bus",$D50="Average"),$E50*'DE '!I$12,AND($C50="Hybrid-electric bus",$D50="Nearly full"),$E50*'DE '!I$13,AND($C50="Alternative fuel bus",$D50="Almost empty"),$E50*'DE '!I$15,AND($C50="Alternative fuel bus",$D50="Average"),$E50*'DE '!I$16,AND($C50="Alternative fuel bus",$D50="Nearly full"),$E50*'DE '!I$17,AND($C50="Metro, tram, urban light train",$D50="Almost empty"),$E50*'DE '!D$35,AND($C50="Metro, tram, urban light train",$D50="Average"),$E50*'DE '!D$36,AND($C50="Metro, tram, urban light train",$D50="Nearly full"),$E50*'DE '!D$37,AND($C50="Electric passenger train",$D50="Almost empty"),$E50*'DE '!D$39,AND($C50="Electric passenger train",$D50="Average"),$E50*'DE '!D$40,AND($C50="Electric passenger train",$D50="Nearly full"),$E50*'DE '!D$41,AND($C50="Diesel passenger train",$D50="Almost empty"),$E50*'DE '!D$47,AND($C50="Diesel passenger train",$D50="Average"),$E50*'DE '!D$48,AND($C50="Diesel passenger train",$D50="Nearly full"),$E50*'DE '!D$49,AND($C50="Walking"),$E50*0,AND($C50="Bike"),$E50*0,AND($C50="Plane - domestic flight"),$E50*'DE '!$C74,AND($C50="Plane - international - intra EU"),$E50*'DE '!$C76,AND($C50="Plane - international (extra EU)"),$E50*'DE '!$C78)</f>
        <v>#N/A</v>
      </c>
      <c r="H50" s="245"/>
      <c r="I50" s="142"/>
      <c r="L50" s="252"/>
      <c r="M50" s="253"/>
      <c r="N50" s="254"/>
    </row>
    <row r="51" spans="1:14" ht="33" thickBot="1" x14ac:dyDescent="0.25">
      <c r="A51" s="222"/>
      <c r="B51" s="53"/>
      <c r="C51" s="32"/>
      <c r="D51" s="34"/>
      <c r="E51" s="113"/>
      <c r="F51" s="129" t="e" cm="1">
        <f t="array" ref="F51">_xlfn.IFS(AND($C51="Fuel car",$D51=1),$E51*'DE '!C$7,AND($C51="Fuel car",$D51=2),$E51*'DE '!C$8,AND($C51="Fuel car",$D51=3),$E51*'DE '!C$9,AND($C51="Fuel car",$D51=4),$E51*'DE '!C$10,AND($C51="Fuel car",$D51=5),$E51*'AT '!C$11,AND($C51="Motorcycle",$D51=1),$E51*'DE '!C$13,AND($C51="Motorcycle",$D51=2),$E51*'DE '!C$14,AND($C51="Electric car",$D51=1),$E51*'DE '!C$16,AND($C51="Electric car",$D51=2),$E51*'DE '!C$17,AND($C51="Electric car",$D51=3),$E51*'DE '!C$18,AND($C51="Electric car",$D51=4),$E51*'DE '!C$19,AND($C51="Electric car",$D51=5),$E51*'DE '!C$20,AND($C51="Hybrid car",$D51=1),$E51*'DE '!C$22,AND($C51="Hybrid car",$D51=2),$E51*'DE '!C$23,AND($C51="Hybrid car",$D51=3),$E51*'DE '!C$24,AND($C51="Hybrid car",$D51=4),$E51*'DE '!C$25,AND($C51="Hybrid car",$D51=5),$E51*'DE '!C$26,AND($C51="Electric motorcycle",$D51=1),$E51*'DE '!C$28,AND($C51="Electric motorcycle",$D51=2),$E51*'DE '!C$29,AND($C51="Electric bike",$D51=1),$E51*'DE '!C$31,AND($C51="Electric scooter",$D51=1),$E51*'DE '!C$33,AND($C51="Bus",$D51="Almost empty"),$E51*'DE '!H$23,AND($C51="Bus",$D51="Average"),$E51*'DE '!H$24,AND($C51="Bus",$D51="Nearly full"),$E51*'DE '!H$25,AND($C51="Electric bus",$D51="Almost empty"),$E51*'DE '!H$7,AND($C51="Electric bus",$D51="Average"),$E51*'DE '!H$8,AND($C51="Electric bus",$D51="Nearly full"),$E51*'DE '!H$9,AND($C51="Diesel bus",$D51="Almost empty"),$E51*'DE '!H$19,AND($C51="Diesel bus",$D51="Average"),$E51*'DE '!H$20,AND($C51="Diesel bus",$D51="Nearly full"),$E51*'DE '!H$21,AND($C51="Hybrid-electric bus",$D51="Almost empty"),$E51*'DE '!H$11,AND($C51="Hybrid-electric bus",$D51="Average"),$E51*'DE '!H$12,AND($C51="Hybrid-electric bus",$D51="Nearly full"),$E51*'DE '!H$13,AND($C51="Alternative fuel bus",$D51="Almost empty"),$E51*'DE '!H$15,AND($C51="Alternative fuel bus",$D51="Average"),$E51*'DE '!H$16,AND($C51="Alternative fuel bus",$D51="Nearly full"),$E51*'DE '!H$17,AND($C51="Metro, tram, urban light train",$D51="Almost empty"),$E51*'DE '!C$35,AND($C51="Metro, tram, urban light train",$D51="Average"),$E51*'DE '!C$36,AND($C51="Metro, tram, urban light train",$D51="Nearly full"),$E51*'DE '!C$37,AND($C51="Electric passenger train",$D51="Almost empty"),$E51*'DE '!C$39,AND($C51="Electric passenger train",$D51="Average"),$E51*'DE '!C$40,AND($C51="Electric passenger train",$D51="Nearly full"),$E51*'DE '!C$41,AND($C51="Diesel passenger train",$D51="Almost empty"),$E51*'DE '!C$47,AND($C51="Diesel passenger train",$D51="Average"),$E51*'DE '!C$48,AND($C51="Diesel passenger train",$D51="Nearly full"),$E51*'DE '!C$49,AND($C51="Walking"),$E51*0,AND($C51="Bike"),$E51*0,AND($C51="Plane - domestic flight"),$E51*'DE '!$C75,AND($C51="Plane - international - intra EU"),$E51*'DE '!$C77,AND($C51="Plane - international (extra EU)"),$E51*'DE '!$C79)</f>
        <v>#N/A</v>
      </c>
      <c r="G51" s="35" t="e" cm="1">
        <f t="array" ref="G51">_xlfn.IFS(AND($C51="Fuel car",$D51=1),$E51*'DE '!D$7,AND($C51="Fuel car",$D51=2),$E51*'DE '!D$8,AND($C51="Fuel car",$D51=3),$E51*'DE '!D$9,AND($C51="Fuel car",$D51=4),$E51*'DE '!D$10,AND($C51="Fuel car",$D51=5),$E51*'AT '!D$11,AND($C51="Motorcycle",$D51=1),$E51*'DE '!D$13,AND($C51="Motorcycle",$D51=2),$E51*'DE '!D$14,AND($C51="Electric car",$D51=1),$E51*'DE '!D$16,AND($C51="Electric car",$D51=2),$E51*'DE '!D$17,AND($C51="Electric car",$D51=3),$E51*'DE '!D$18,AND($C51="Electric car",$D51=4),$E51*'DE '!D$19,AND($C51="Electric car",$D51=5),$E51*'DE '!D$20,AND($C51="Hybrid car",$D51=1),$E51*'DE '!D$22,AND($C51="Hybrid car",$D51=2),$E51*'DE '!D$23,AND($C51="Hybrid car",$D51=3),$E51*'DE '!D$24,AND($C51="Hybrid car",$D51=4),$E51*'DE '!D$25,AND($C51="Hybrid car",$D51=5),$E51*'DE '!D$26,AND($C51="Electric motorcycle",$D51=1),$E51*'DE '!D$28,AND($C51="Electric motorcycle",$D51=2),$E51*'DE '!D$29,AND($C51="Electric bike",$D51=1),$E51*'DE '!D$31,AND($C51="Electric scooter",$D51=1),$E51*'DE '!D$33,AND($C51="Bus",$D51="Almost empty"),$E51*'DE '!I$23,AND($C51="Bus",$D51="Average"),$E51*'DE '!I$24,AND($C51="Bus",$D51="Nearly full"),$E51*'DE '!I$25,AND($C51="Electric bus",$D51="Almost empty"),$E51*'DE '!I$7,AND($C51="Electric bus",$D51="Average"),$E51*'DE '!I$8,AND($C51="Electric bus",$D51="Nearly full"),$E51*'DE '!I$9,AND($C51="Diesel bus",$D51="Almost empty"),$E51*'DE '!I$19,AND($C51="Diesel bus",$D51="Average"),$E51*'DE '!I$20,AND($C51="Diesel bus",$D51="Nearly full"),$E51*'DE '!I$21,AND($C51="Hybrid-electric bus",$D51="Almost empty"),$E51*'DE '!I$11,AND($C51="Hybrid-electric bus",$D51="Average"),$E51*'DE '!I$12,AND($C51="Hybrid-electric bus",$D51="Nearly full"),$E51*'DE '!I$13,AND($C51="Alternative fuel bus",$D51="Almost empty"),$E51*'DE '!I$15,AND($C51="Alternative fuel bus",$D51="Average"),$E51*'DE '!I$16,AND($C51="Alternative fuel bus",$D51="Nearly full"),$E51*'DE '!I$17,AND($C51="Metro, tram, urban light train",$D51="Almost empty"),$E51*'DE '!D$35,AND($C51="Metro, tram, urban light train",$D51="Average"),$E51*'DE '!D$36,AND($C51="Metro, tram, urban light train",$D51="Nearly full"),$E51*'DE '!D$37,AND($C51="Electric passenger train",$D51="Almost empty"),$E51*'DE '!D$39,AND($C51="Electric passenger train",$D51="Average"),$E51*'DE '!D$40,AND($C51="Electric passenger train",$D51="Nearly full"),$E51*'DE '!D$41,AND($C51="Diesel passenger train",$D51="Almost empty"),$E51*'DE '!D$47,AND($C51="Diesel passenger train",$D51="Average"),$E51*'DE '!D$48,AND($C51="Diesel passenger train",$D51="Nearly full"),$E51*'DE '!D$49,AND($C51="Walking"),$E51*0,AND($C51="Bike"),$E51*0,AND($C51="Plane - domestic flight"),$E51*'DE '!$C75,AND($C51="Plane - international - intra EU"),$E51*'DE '!$C77,AND($C51="Plane - international (extra EU)"),$E51*'DE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_xlfn.IFS(AND(D57&lt;='DE '!L4),"A+",AND(D57&lt;='DE '!M4,D57&gt;'DE '!L4),"A",AND(D57&lt;='DE '!N4,D57&gt;'DE '!M4),"B",AND(D57&lt;='DE '!O4,D57&gt;'DE '!N4),"C",AND(D57&lt;='DE '!P4,D57&gt;'DE '!O4),"D",AND(D57&lt;='DE '!Q4,D57&gt;'DE '!P4),"E",AND(D57&lt;='DE '!R4,D57&gt;'DE '!Q4),"F",AND(D57&gt;'DE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_xlfn.IFS(D58="#","#",AND(D58&lt;='DE '!L5),"A+",AND(D58&lt;='DE '!M5,D58&gt;'DE '!L5),"A",AND(D58&lt;='DE '!N5,D58&gt;'DE '!M5),"B",AND(D58&lt;='DE '!O5,D58&gt;'DE '!N5),"C",AND(D58&lt;='DE '!P5,D58&gt;'DE '!O5),"D",AND(D58&lt;='DE '!Q5,D58&gt;'DE '!P5),"E",AND(D58&lt;='DE '!R5,D58&gt;'DE '!Q5),"F",AND(D58&gt;'DE '!R5),"G")</f>
        <v>#</v>
      </c>
    </row>
    <row r="59" spans="1:14" ht="32" x14ac:dyDescent="0.2">
      <c r="A59" s="262"/>
      <c r="B59" s="264"/>
      <c r="C59" s="21" t="s">
        <v>88</v>
      </c>
      <c r="D59" s="47" t="e">
        <f>IF(ISNUMBER(D58), D57 + D58, D57)</f>
        <v>#DIV/0!</v>
      </c>
      <c r="E59" s="277"/>
      <c r="G59" s="264"/>
      <c r="H59" t="s">
        <v>88</v>
      </c>
      <c r="I59" s="56" t="e" cm="1">
        <f t="array" ref="I59">_xlfn.IFS(AND(D59&lt;='DE '!L6),"A+",AND(D59&lt;='DE '!M6,D59&gt;'DE '!L6),"A",AND(D59&lt;='DE '!N6,D59&gt;'DE '!M6),"B",AND(D59&lt;='DE '!O6,D59&gt;'DE '!N6),"C",AND(D59&lt;='DE '!P6,D59&gt;'DE '!O6),"D",AND(D59&lt;='DE '!Q6,D59&gt;'DE '!P6),"E",AND(D59&lt;='DE '!R6,D59&gt;'DE '!Q6),"F",AND(D59&gt;'DE '!R6),"G")</f>
        <v>#DIV/0!</v>
      </c>
    </row>
    <row r="60" spans="1:14" ht="16" x14ac:dyDescent="0.2">
      <c r="A60" s="262"/>
      <c r="B60" s="264"/>
      <c r="C60" s="21" t="s">
        <v>89</v>
      </c>
      <c r="D60" s="99">
        <f>I30</f>
        <v>0</v>
      </c>
      <c r="E60" s="277"/>
      <c r="G60" s="264"/>
      <c r="H60" t="s">
        <v>89</v>
      </c>
      <c r="I60" s="56" t="str" cm="1">
        <f t="array" ref="I60">_xlfn.IFS(AND(D60&lt;='DE '!L7),"A+",AND(D60&lt;='DE '!M7,D60&gt;'DE '!L7),"A",AND(D60&lt;='DE '!N7,D60&gt;'DE '!M7),"B",AND(D60&lt;='DE '!O7,D60&gt;'DE '!N7),"C",AND(D60&lt;='DE '!P7,D60&gt;'DE '!O7),"D",AND(D60&lt;='DE '!Q7,D60&gt;'DE '!P7),"E",AND(D60&lt;='DE '!R7,D60&gt;'DE '!Q7),"F",AND(D60&gt;'DE '!R7),"G")</f>
        <v>A+</v>
      </c>
    </row>
    <row r="61" spans="1:14" ht="16" thickBot="1" x14ac:dyDescent="0.25">
      <c r="A61" s="262"/>
      <c r="B61" s="265"/>
      <c r="C61" s="16" t="s">
        <v>57</v>
      </c>
      <c r="D61" s="58" t="e">
        <f>SUM(D59:D60)</f>
        <v>#DIV/0!</v>
      </c>
      <c r="E61" s="261"/>
      <c r="G61" s="265"/>
      <c r="H61" s="16" t="s">
        <v>57</v>
      </c>
      <c r="I61" s="1" t="e" cm="1">
        <f t="array" ref="I61">_xlfn.IFS(AND(D61&lt;='DE '!L8),"A+",AND(D61&lt;='DE '!M8,D61&gt;'DE '!L8),"A",AND(D61&lt;='DE '!N8,D61&gt;'DE '!M8),"B",AND(D61&lt;='DE '!O8,D61&gt;'DE '!N8),"C",AND(D61&lt;='DE '!P8,D61&gt;'DE '!O8),"D",AND(D61&lt;='DE '!Q8,D61&gt;'DE '!P8),"E",AND(D61&lt;='DE '!R8,D61&gt;'DE '!Q8),"F",AND(D61&gt;'DE '!R8),"G")</f>
        <v>#DIV/0!</v>
      </c>
    </row>
    <row r="62" spans="1:14" ht="32" x14ac:dyDescent="0.2">
      <c r="A62" s="262"/>
      <c r="B62" s="263" t="s">
        <v>90</v>
      </c>
      <c r="C62" s="57" t="s">
        <v>85</v>
      </c>
      <c r="D62" s="100" t="e">
        <f>I16</f>
        <v>#DIV/0!</v>
      </c>
      <c r="E62" s="266" t="s">
        <v>91</v>
      </c>
      <c r="G62" s="263" t="s">
        <v>90</v>
      </c>
      <c r="H62" s="46" t="s">
        <v>85</v>
      </c>
      <c r="I62" s="55" t="e" cm="1">
        <f t="array" ref="I62">_xlfn.IFS(AND(D62&lt;='DE '!L9),"A+",AND(D62&lt;='DE '!M9,D62&gt;'DE '!L9),"A",AND(D62&lt;='DE '!N9,D62&gt;'DE '!M9),"B",AND(D62&lt;='DE '!O9,D62&gt;'DE '!N9),"C",AND(D62&lt;='DE '!P9,D62&gt;'DE '!O9),"D",AND(D62&lt;='DE '!Q9,D62&gt;'DE '!P9),"E",AND(D62&lt;='DE '!R9,D62&gt;'DE '!Q9),"F",AND(D62&gt;'DE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_xlfn.IFS(D63="#","#",AND(D63&lt;='DE '!L10),"A+",AND(D63&lt;='DE '!M10,D63&gt;'DE '!L10),"A",AND(D63&lt;='DE '!N10,D63&gt;'DE '!M10),"B",AND(D63&lt;='DE '!O10,D63&gt;'DE '!N10),"C",AND(D63&lt;='DE '!P10,D63&gt;'DE '!O10),"D",AND(D63&lt;='DE '!Q10,D63&gt;'DE '!P10),"E",AND(D63&lt;='DE '!R10,D63&gt;'DE '!Q10),"F",AND(D63&gt;'DE '!R10),"G")</f>
        <v>#</v>
      </c>
    </row>
    <row r="64" spans="1:14" ht="32" x14ac:dyDescent="0.2">
      <c r="A64" s="262"/>
      <c r="B64" s="264"/>
      <c r="C64" s="21" t="s">
        <v>92</v>
      </c>
      <c r="D64" s="47" t="e">
        <f>IF(ISNUMBER(D63), D62 + D63, D62)</f>
        <v>#DIV/0!</v>
      </c>
      <c r="E64" s="202"/>
      <c r="G64" s="264"/>
      <c r="H64" t="s">
        <v>92</v>
      </c>
      <c r="I64" s="56" t="e" cm="1">
        <f t="array" ref="I64">_xlfn.IFS(AND(D64&lt;='DE '!L11),"A+",AND(D64&lt;='DE '!M11,D64&gt;'DE '!L11),"A",AND(D64&lt;='DE '!N11,D64&gt;'DE '!M11),"B",AND(D64&lt;='DE '!O11,D64&gt;'DE '!N11),"C",AND(D64&lt;='DE '!P11,D64&gt;'DE '!O11),"D",AND(D64&lt;='DE '!Q11,D64&gt;'DE '!P11),"E",AND(D64&lt;='DE '!R11,D64&gt;'DE '!Q11),"F",AND(D64&gt;'DE '!R11),"G")</f>
        <v>#DIV/0!</v>
      </c>
    </row>
    <row r="65" spans="1:9" x14ac:dyDescent="0.2">
      <c r="A65" s="262"/>
      <c r="B65" s="264"/>
      <c r="C65" t="s">
        <v>89</v>
      </c>
      <c r="D65" s="99">
        <f>I31</f>
        <v>0</v>
      </c>
      <c r="E65" s="202"/>
      <c r="G65" s="264"/>
      <c r="H65" t="s">
        <v>89</v>
      </c>
      <c r="I65" s="56" t="str" cm="1">
        <f t="array" ref="I65">_xlfn.IFS(AND(D65&lt;='DE '!L12),"A+",AND(D65&lt;='DE '!M12,D65&gt;'DE '!L12),"A",AND(D65&lt;='DE '!N12,D65&gt;'DE '!M12),"B",AND(D65&lt;='DE '!O12,D65&gt;'DE '!N12),"C",AND(D65&lt;='DE '!P12,D65&gt;'DE '!O12),"D",AND(D65&lt;='DE '!Q12,D65&gt;'DE '!P12),"E",AND(D65&lt;='DE '!R12,D65&gt;'DE '!Q12),"F",AND(D65&gt;'DE '!R12),"G")</f>
        <v>A+</v>
      </c>
    </row>
    <row r="66" spans="1:9" ht="16" thickBot="1" x14ac:dyDescent="0.25">
      <c r="A66" s="262"/>
      <c r="B66" s="265"/>
      <c r="C66" s="16" t="s">
        <v>57</v>
      </c>
      <c r="D66" s="16" t="e">
        <f>SUM(D64:D65)</f>
        <v>#DIV/0!</v>
      </c>
      <c r="E66" s="267"/>
      <c r="G66" s="265"/>
      <c r="H66" s="16" t="s">
        <v>57</v>
      </c>
      <c r="I66" s="1" t="e" cm="1">
        <f t="array" ref="I66">_xlfn.IFS(AND(D66&lt;='DE '!L13),"A+",AND(D66&lt;='DE '!M13,D66&gt;'DE '!L13),"A",AND(D66&lt;='DE '!N13,D66&gt;'DE '!M13),"B",AND(D66&lt;='DE '!O13,D66&gt;'DE '!N13),"C",AND(D66&lt;='DE '!P13,D66&gt;'DE '!O13),"D",AND(D66&lt;='DE '!Q13,D66&gt;'DE '!P13),"E",AND(D66&lt;='DE '!R13,D66&gt;'DE '!Q13),"F",AND(D66&gt;'DE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303" priority="7" operator="equal">
      <formula>"A+"</formula>
    </cfRule>
    <cfRule type="containsText" dxfId="302" priority="8" operator="containsText" text="A">
      <formula>NOT(ISERROR(SEARCH("A",I57)))</formula>
    </cfRule>
    <cfRule type="containsText" dxfId="301" priority="9" operator="containsText" text="B">
      <formula>NOT(ISERROR(SEARCH("B",I57)))</formula>
    </cfRule>
    <cfRule type="containsText" dxfId="300" priority="10" operator="containsText" text="C">
      <formula>NOT(ISERROR(SEARCH("C",I57)))</formula>
    </cfRule>
    <cfRule type="containsText" dxfId="299" priority="11" operator="containsText" text="D">
      <formula>NOT(ISERROR(SEARCH("D",I57)))</formula>
    </cfRule>
    <cfRule type="containsText" dxfId="298" priority="12" operator="containsText" text="E">
      <formula>NOT(ISERROR(SEARCH("E",I57)))</formula>
    </cfRule>
    <cfRule type="containsText" dxfId="297" priority="13" operator="containsText" text="F">
      <formula>NOT(ISERROR(SEARCH("F",I57)))</formula>
    </cfRule>
    <cfRule type="containsText" dxfId="296" priority="14" operator="containsText" text="G">
      <formula>NOT(ISERROR(SEARCH("G",I57)))</formula>
    </cfRule>
  </conditionalFormatting>
  <conditionalFormatting sqref="K5:K15">
    <cfRule type="expression" dxfId="23" priority="2" stopIfTrue="1">
      <formula>$O$19="No"</formula>
    </cfRule>
  </conditionalFormatting>
  <conditionalFormatting sqref="L5:L15">
    <cfRule type="expression" dxfId="2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2A2C9086-B377-C74D-A6A1-698C925F6D53}">
      <formula1>AND(Q19="Yes", ISNUMBER(L5))</formula1>
    </dataValidation>
    <dataValidation type="custom" operator="lessThan" allowBlank="1" showErrorMessage="1" errorTitle="Error" error="You can only enter values if you have selected HOME PV. The value must be a number." sqref="K5:K15" xr:uid="{7B257E58-8D6E-FE4E-B80A-9C8BEA14138E}">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FBB92C2B-C873-4B85-896D-C3DA614A312C}">
          <x14:formula1>
            <xm:f>DATA!$J$3:$J$10</xm:f>
          </x14:formula1>
          <xm:sqref>D29:D51</xm:sqref>
        </x14:dataValidation>
        <x14:dataValidation type="list" allowBlank="1" showInputMessage="1" showErrorMessage="1" xr:uid="{6A991F7B-7202-044E-B929-130D7ADCD88B}">
          <x14:formula1>
            <xm:f>DATA!$B$15:$B$23</xm:f>
          </x14:formula1>
          <xm:sqref>J2</xm:sqref>
        </x14:dataValidation>
        <x14:dataValidation type="list" allowBlank="1" showInputMessage="1" showErrorMessage="1" xr:uid="{87DEE674-5A4C-4272-A397-D82517AB914E}">
          <x14:formula1>
            <xm:f>DATA!$H$3:$H$23</xm:f>
          </x14:formula1>
          <xm:sqref>C29:C51</xm:sqref>
        </x14:dataValidation>
        <x14:dataValidation type="list" allowBlank="1" showInputMessage="1" showErrorMessage="1" xr:uid="{2B100D0F-81D0-F048-9734-B282526CBF1D}">
          <x14:formula1>
            <xm:f>DATA!$B$3:$B$13</xm:f>
          </x14:formula1>
          <xm:sqref>H2</xm:sqref>
        </x14:dataValidation>
        <x14:dataValidation type="list" allowBlank="1" showInputMessage="1" showErrorMessage="1" xr:uid="{A5F2643E-AEA9-3041-A784-DF5FFD794335}">
          <x14:formula1>
            <xm:f>DATA!$L$4:$L$5</xm:f>
          </x14:formula1>
          <xm:sqref>O18:O19 Q19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5EAF-43BF-4DFE-B733-03554C137332}">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7.1640625" customWidth="1"/>
    <col min="5" max="5" width="18" customWidth="1"/>
    <col min="6" max="6" width="15.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104</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IF($O$18="Yes",(E5/$F$2)*DATA!$C$9,(E5/$F$2)*DATA!F$15)+IF(ISBLANK(K5),0,K5/$F$2)*DATA!$C$9-IF(ISBLANK(L5),0,L5/$F$2)*DATA!F$15</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IF($O$18="Yes",(E6/$F$2)*DATA!$C$9,(E6/$F$2)*DATA!F$15)+IF(ISBLANK(K6),0,K6/$F$2)*DATA!$C$9-IF(ISBLANK(L6),0,L6/$F$2)*DATA!F$15</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IF($O$18="Yes",(E7/$F$2)*DATA!$C$9,(E7/$F$2)*DATA!F$15)+IF(ISBLANK(K7),0,K7/$F$2)*DATA!$C$9-IF(ISBLANK(L7),0,L7/$F$2)*DATA!F$15</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IF($O$18="Yes",(E8/$F$2)*DATA!$C$9,(E8/$F$2)*DATA!F$15)+IF(ISBLANK(K8),0,K8/$F$2)*DATA!$C$9-IF(ISBLANK(L8),0,L8/$F$2)*DATA!F$15</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IF($O$18="Yes",(E9/$F$2)*DATA!$C$9,(E9/$F$2)*DATA!F$15)+IF(ISBLANK(K9),0,K9/$F$2)*DATA!$C$9-IF(ISBLANK(L9),0,L9/$F$2)*DATA!F$15</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IF($O$18="Yes",(E10/$F$2)*DATA!$C$9,(E10/$F$2)*DATA!F$15)+IF(ISBLANK(K10),0,K10/$F$2)*DATA!$C$9-IF(ISBLANK(L10),0,L10/$F$2)*DATA!F$15</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IF($O$18="Yes",(E11/$F$2)*DATA!$C$9,(E11/$F$2)*DATA!F$15)+IF(ISBLANK(K11),0,K11/$F$2)*DATA!$C$9-IF(ISBLANK(L11),0,L11/$F$2)*DATA!F$15</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IF($O$18="Yes",(E12/$F$2)*DATA!$C$9,(E12/$F$2)*DATA!F$15)+IF(ISBLANK(K12),0,K12/$F$2)*DATA!$C$9-IF(ISBLANK(L12),0,L12/$F$2)*DATA!F$15</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IF($O$18="Yes",(E13/$F$2)*DATA!$C$9,(E13/$F$2)*DATA!F$15)+IF(ISBLANK(K13),0,K13/$F$2)*DATA!$C$9-IF(ISBLANK(L13),0,L13/$F$2)*DATA!F$15</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IF($O$18="Yes",(E14/$F$2)*DATA!$C$9,(E14/$F$2)*DATA!F$15)+IF(ISBLANK(K14),0,K14/$F$2)*DATA!$C$9-IF(ISBLANK(L14),0,L14/$F$2)*DATA!F$15</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IF($O$18="Yes",(E15/$F$2)*DATA!$C$9,(E15/$F$2)*DATA!F$15)+IF(ISBLANK(K15),0,K15/$F$2)*DATA!$C$9-IF(ISBLANK(L15),0,L15/$F$2)*DATA!F$15</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car",$D29=1),$E29*'EL '!C$7,AND($C29="Fuel car",$D29=2),$E29*'EL '!C$8,AND($C29="Fuel car",$D29=3),$E29*'EL '!C$9,AND($C29="Fuel car",$D29=4),$E29*'EL '!C$10,AND($C29="Fuel car",$D29=5),$E29*'EL '!C$11,AND($C29="Motorcycle",$D29=1),$E29*'EL '!C$13,AND($C29="Motorcycle",$D29=2),$E29*'EL '!C$14,AND($C29="Electric car",$D29=1),$E29*'EL '!C$16,AND($C29="Electric car",$D29=2),$E29*'EL '!C$17,AND($C29="Electric car",$D29=3),$E29*'EL '!C$18,AND($C29="Electric car",$D29=4),$E29*'EL '!C$19,AND($C29="Electric car",$D29=5),$E29*'EL '!C$20,AND($C29="Hybrid car",$D29=1),$E29*'EL '!C$22,AND($C29="Hybrid car",$D29=2),$E29*'EL '!C$23,AND($C29="Hybrid car",$D29=3),$E29*'EL '!C$24,AND($C29="Hybrid car",$D29=4),$E29*'EL '!C$25,AND($C29="Hybrid car",$D29=5),$E29*'EL '!C$26,AND($C29="Electric motorcycle",$D29=1),$E29*'EL '!C$28,AND($C29="Electric motorcycle",$D29=2),$E29*'EL '!C$29,AND($C29="Electric bike",$D29=1),$E29*'EL '!C$31,AND($C29="Electric scooter",$D29=1),$E29*'EL '!C$33,AND($C29="Bus",$D29="Almost empty"),$E29*'EL '!H$23,AND($C29="Bus",$D29="Average"),$E29*'EL '!H$24,AND($C29="Bus",$D29="Nearly full"),$E29*'EL '!H$25,AND($C29="Electric bus",$D29="Almost empty"),$E29*'EL '!H$7,AND($C29="Electric bus",$D29="Average"),$E29*'EL '!H$8,AND($C29="Electric bus",$D29="Nearly full"),$E29*'EL '!H$9,AND($C29="Diesel bus",$D29="Almost empty"),$E29*'EL '!H$19,AND($C29="Diesel bus",$D29="Average"),$E29*'EL '!H$20,AND($C29="Diesel bus",$D29="Nearly full"),$E29*'EL '!H$21,AND($C29="Hybrid-electric bus",$D29="Almost empty"),$E29*'EL '!H$11,AND($C29="Hybrid-electric bus",$D29="Average"),$E29*'EL '!H$12,AND($C29="Hybrid-electric bus",$D29="Nearly full"),$E29*'EL '!H$13,AND($C29="Alternative fuel bus",$D29="Almost empty"),$E29*'EL '!H$15,AND($C29="Alternative fuel bus",$D29="Average"),$E29*'EL '!H$16,AND($C29="Alternative fuel bus",$D29="Nearly full"),$E29*'EL '!H$17,AND($C29="Metro, tram, urban light train",$D29="Almost empty"),$E29*'EL '!C$35,AND($C29="Metro, tram, urban light train",$D29="Average"),$E29*'EL '!C$36,AND($C29="Metro, tram, urban light train",$D29="Nearly full"),$E29*'EL '!C$37,AND($C29="Electric passenger train",$D29="Almost empty"),$E29*'EL '!C$39,AND($C29="Electric passenger train",$D29="Average"),$E29*'EL '!C$40,AND($C29="Electric passenger train",$D29="Nearly full"),$E29*'EL '!C$41,AND($C29="Diesel passenger train",$D29="Almost empty"),$E29*'EL '!C$47,AND($C29="Diesel passenger train",$D29="Average"),$E29*'EL '!C$48,AND($C29="Diesel passenger train",$D29="Nearly full"),$E29*'EL '!C$49,AND($C29="Walking"),$E29*0,AND($C29="Bike"),$E29*0,AND($C29="Plane - domestic flight"),$E29*'EL '!$C53,AND($C29="Plane - international - intra EU"),$E29*'EL '!$C55,AND($C29="Plane - international (extra EU)"),$E29*'EL '!$C57)</f>
        <v>#N/A</v>
      </c>
      <c r="G29" s="104" t="e" cm="1">
        <f t="array" ref="G29">_xlfn.IFS(AND($C29="Fuel car",$D29=1),$E29*'EL '!D$7,AND($C29="Fuel car",$D29=2),$E29*'EL '!D$8,AND($C29="Fuel car",$D29=3),$E29*'EL '!D$9,AND($C29="Fuel car",$D29=4),$E29*'EL '!D$10,AND($C29="Fuel car",$D29=5),$E29*'EL '!D$11,AND($C29="Motorcycle",$D29=1),$E29*'EL '!D$13,AND($C29="Motorcycle",$D29=2),$E29*'EL '!D$14,AND($C29="Electric car",$D29=1),$E29*'EL '!D$16,AND($C29="Electric car",$D29=2),$E29*'EL '!D$17,AND($C29="Electric car",$D29=3),$E29*'EL '!D$18,AND($C29="Electric car",$D29=4),$E29*'EL '!D$19,AND($C29="Electric car",$D29=5),$E29*'EL '!D$20,AND($C29="Hybrid car",$D29=1),$E29*'EL '!D$22,AND($C29="Hybrid car",$D29=2),$E29*'EL '!D$23,AND($C29="Hybrid car",$D29=3),$E29*'EL '!D$24,AND($C29="Hybrid car",$D29=4),$E29*'EL '!D$25,AND($C29="Hybrid car",$D29=5),$E29*'EL '!D$26,AND($C29="Electric motorcycle",$D29=1),$E29*'EL '!D$28,AND($C29="Electric motorcycle",$D29=2),$E29*'EL '!D$29,AND($C29="Electric bike",$D29=1),$E29*'EL '!D$31,AND($C29="Electric scooter",$D29=1),$E29*'EL '!D$33,AND($C29="Bus",$D29="Almost empty"),$E29*'EL '!I$23,AND($C29="Bus",$D29="Average"),$E29*'EL '!I$24,AND($C29="Bus",$D29="Nearly full"),$E29*'EL '!I$25,AND($C29="Electric bus",$D29="Almost empty"),$E29*'EL '!I$7,AND($C29="Electric bus",$D29="Average"),$E29*'EL '!I$8,AND($C29="Electric bus",$D29="Nearly full"),$E29*'EL '!I$9,AND($C29="Diesel bus",$D29="Almost empty"),$E29*'EL '!I$19,AND($C29="Diesel bus",$D29="Average"),$E29*'EL '!I$20,AND($C29="Diesel bus",$D29="Nearly full"),$E29*'EL '!I$21,AND($C29="Hybrid-electric bus",$D29="Almost empty"),$E29*'EL '!I$11,AND($C29="Hybrid-electric bus",$D29="Average"),$E29*'EL '!I$12,AND($C29="Hybrid-electric bus",$D29="Nearly full"),$E29*'EL '!I$13,AND($C29="Alternative fuel bus",$D29="Almost empty"),$E29*'EL '!I$15,AND($C29="Alternative fuel bus",$D29="Average"),$E29*'EL '!I$16,AND($C29="Alternative fuel bus",$D29="Nearly full"),$E29*'EL '!I$17,AND($C29="Metro, tram, urban light train",$D29="Almost empty"),$E29*'EL '!D$35,AND($C29="Metro, tram, urban light train",$D29="Average"),$E29*'EL '!D$36,AND($C29="Metro, tram, urban light train",$D29="Nearly full"),$E29*'EL '!D$37,AND($C29="Electric passenger train",$D29="Almost empty"),$E29*'EL '!D$39,AND($C29="Electric passenger train",$D29="Average"),$E29*'EL '!D$40,AND($C29="Electric passenger train",$D29="Nearly full"),$E29*'EL '!D$41,AND($C29="Diesel passenger train",$D29="Almost empty"),$E29*'EL '!D$47,AND($C29="Diesel passenger train",$D29="Average"),$E29*'EL '!D$48,AND($C29="Diesel passenger train",$D29="Nearly full"),$E29*'EL '!D$49,AND($C29="Walking"),$E29*0,AND($C29="Bike"),$E29*0,AND($C29="Plane - domestic flight"),$E29*'EL '!$C53,AND($C29="Plane - international - intra EU"),$E29*'EL '!$C55,AND($C29="Plane - international (extra EU)"),$E29*'EL '!$C57)</f>
        <v>#N/A</v>
      </c>
      <c r="H29" s="151"/>
      <c r="I29" s="152">
        <f>H29/10*E29</f>
        <v>0</v>
      </c>
      <c r="J29" s="146" t="e" cm="1">
        <f t="array" ref="J29">_xlfn.IFS(C29="Fuel car",C29*DATA!$C$17,C29="Electric car",C29*DATA!$F$15,C29="Hybrid car",I29*(0.5*DATA!$C$17+0.5*DATA!$F$15))</f>
        <v>#N/A</v>
      </c>
      <c r="L29" s="218"/>
      <c r="M29" s="219"/>
      <c r="N29" s="220"/>
    </row>
    <row r="30" spans="1:17" ht="32" customHeight="1" x14ac:dyDescent="0.2">
      <c r="A30" s="222"/>
      <c r="B30" s="30"/>
      <c r="C30" s="15"/>
      <c r="D30" s="15"/>
      <c r="E30" s="125"/>
      <c r="F30" s="128" t="e" cm="1">
        <f t="array" ref="F30">_xlfn.IFS(AND($C30="Fuel car",$D30=1),$E30*'EL '!C$7,AND($C30="Fuel car",$D30=2),$E30*'EL '!C$8,AND($C30="Fuel car",$D30=3),$E30*'EL '!C$9,AND($C30="Fuel car",$D30=4),$E30*'EL '!C$10,AND($C30="Fuel car",$D30=5),$E30*'EL '!C$11,AND($C30="Motorcycle",$D30=1),$E30*'EL '!C$13,AND($C30="Motorcycle",$D30=2),$E30*'EL '!C$14,AND($C30="Electric car",$D30=1),$E30*'EL '!C$16,AND($C30="Electric car",$D30=2),$E30*'EL '!C$17,AND($C30="Electric car",$D30=3),$E30*'EL '!C$18,AND($C30="Electric car",$D30=4),$E30*'EL '!C$19,AND($C30="Electric car",$D30=5),$E30*'EL '!C$20,AND($C30="Hybrid car",$D30=1),$E30*'EL '!C$22,AND($C30="Hybrid car",$D30=2),$E30*'EL '!C$23,AND($C30="Hybrid car",$D30=3),$E30*'EL '!C$24,AND($C30="Hybrid car",$D30=4),$E30*'EL '!C$25,AND($C30="Hybrid car",$D30=5),$E30*'EL '!C$26,AND($C30="Electric motorcycle",$D30=1),$E30*'EL '!C$28,AND($C30="Electric motorcycle",$D30=2),$E30*'EL '!C$29,AND($C30="Electric bike",$D30=1),$E30*'EL '!C$31,AND($C30="Electric scooter",$D30=1),$E30*'EL '!C$33,AND($C30="Bus",$D30="Almost empty"),$E30*'EL '!H$23,AND($C30="Bus",$D30="Average"),$E30*'EL '!H$24,AND($C30="Bus",$D30="Nearly full"),$E30*'EL '!H$25,AND($C30="Electric bus",$D30="Almost empty"),$E30*'EL '!H$7,AND($C30="Electric bus",$D30="Average"),$E30*'EL '!H$8,AND($C30="Electric bus",$D30="Nearly full"),$E30*'EL '!H$9,AND($C30="Diesel bus",$D30="Almost empty"),$E30*'EL '!H$19,AND($C30="Diesel bus",$D30="Average"),$E30*'EL '!H$20,AND($C30="Diesel bus",$D30="Nearly full"),$E30*'EL '!H$21,AND($C30="Hybrid-electric bus",$D30="Almost empty"),$E30*'EL '!H$11,AND($C30="Hybrid-electric bus",$D30="Average"),$E30*'EL '!H$12,AND($C30="Hybrid-electric bus",$D30="Nearly full"),$E30*'EL '!H$13,AND($C30="Alternative fuel bus",$D30="Almost empty"),$E30*'EL '!H$15,AND($C30="Alternative fuel bus",$D30="Average"),$E30*'EL '!H$16,AND($C30="Alternative fuel bus",$D30="Nearly full"),$E30*'EL '!H$17,AND($C30="Metro, tram, urban light train",$D30="Almost empty"),$E30*'EL '!C$35,AND($C30="Metro, tram, urban light train",$D30="Average"),$E30*'EL '!C$36,AND($C30="Metro, tram, urban light train",$D30="Nearly full"),$E30*'EL '!C$37,AND($C30="Electric passenger train",$D30="Almost empty"),$E30*'EL '!C$39,AND($C30="Electric passenger train",$D30="Average"),$E30*'EL '!C$40,AND($C30="Electric passenger train",$D30="Nearly full"),$E30*'EL '!C$41,AND($C30="Diesel passenger train",$D30="Almost empty"),$E30*'EL '!C$47,AND($C30="Diesel passenger train",$D30="Average"),$E30*'EL '!C$48,AND($C30="Diesel passenger train",$D30="Nearly full"),$E30*'EL '!C$49,AND($C30="Walking"),$E30*0,AND($C30="Bike"),$E30*0,AND($C30="Plane - domestic flight"),$E30*'EL '!$C54,AND($C30="Plane - international - intra EU"),$E30*'EL '!$C56,AND($C30="Plane - international (extra EU)"),$E30*'EL '!$C58)</f>
        <v>#N/A</v>
      </c>
      <c r="G30" s="31" t="e" cm="1">
        <f t="array" ref="G30">_xlfn.IFS(AND($C30="Fuel car",$D30=1),$E30*'EL '!D$7,AND($C30="Fuel car",$D30=2),$E30*'EL '!D$8,AND($C30="Fuel car",$D30=3),$E30*'EL '!D$9,AND($C30="Fuel car",$D30=4),$E30*'EL '!D$10,AND($C30="Fuel car",$D30=5),$E30*'EL '!D$11,AND($C30="Motorcycle",$D30=1),$E30*'EL '!D$13,AND($C30="Motorcycle",$D30=2),$E30*'EL '!D$14,AND($C30="Electric car",$D30=1),$E30*'EL '!D$16,AND($C30="Electric car",$D30=2),$E30*'EL '!D$17,AND($C30="Electric car",$D30=3),$E30*'EL '!D$18,AND($C30="Electric car",$D30=4),$E30*'EL '!D$19,AND($C30="Electric car",$D30=5),$E30*'EL '!D$20,AND($C30="Hybrid car",$D30=1),$E30*'EL '!D$22,AND($C30="Hybrid car",$D30=2),$E30*'EL '!D$23,AND($C30="Hybrid car",$D30=3),$E30*'EL '!D$24,AND($C30="Hybrid car",$D30=4),$E30*'EL '!D$25,AND($C30="Hybrid car",$D30=5),$E30*'EL '!D$26,AND($C30="Electric motorcycle",$D30=1),$E30*'EL '!D$28,AND($C30="Electric motorcycle",$D30=2),$E30*'EL '!D$29,AND($C30="Electric bike",$D30=1),$E30*'EL '!D$31,AND($C30="Electric scooter",$D30=1),$E30*'EL '!D$33,AND($C30="Bus",$D30="Almost empty"),$E30*'EL '!I$23,AND($C30="Bus",$D30="Average"),$E30*'EL '!I$24,AND($C30="Bus",$D30="Nearly full"),$E30*'EL '!I$25,AND($C30="Electric bus",$D30="Almost empty"),$E30*'EL '!I$7,AND($C30="Electric bus",$D30="Average"),$E30*'EL '!I$8,AND($C30="Electric bus",$D30="Nearly full"),$E30*'EL '!I$9,AND($C30="Diesel bus",$D30="Almost empty"),$E30*'EL '!I$19,AND($C30="Diesel bus",$D30="Average"),$E30*'EL '!I$20,AND($C30="Diesel bus",$D30="Nearly full"),$E30*'EL '!I$21,AND($C30="Hybrid-electric bus",$D30="Almost empty"),$E30*'EL '!I$11,AND($C30="Hybrid-electric bus",$D30="Average"),$E30*'EL '!I$12,AND($C30="Hybrid-electric bus",$D30="Nearly full"),$E30*'EL '!I$13,AND($C30="Alternative fuel bus",$D30="Almost empty"),$E30*'EL '!I$15,AND($C30="Alternative fuel bus",$D30="Average"),$E30*'EL '!I$16,AND($C30="Alternative fuel bus",$D30="Nearly full"),$E30*'EL '!I$17,AND($C30="Metro, tram, urban light train",$D30="Almost empty"),$E30*'EL '!D$35,AND($C30="Metro, tram, urban light train",$D30="Average"),$E30*'EL '!D$36,AND($C30="Metro, tram, urban light train",$D30="Nearly full"),$E30*'EL '!D$37,AND($C30="Electric passenger train",$D30="Almost empty"),$E30*'EL '!D$39,AND($C30="Electric passenger train",$D30="Average"),$E30*'EL '!D$40,AND($C30="Electric passenger train",$D30="Nearly full"),$E30*'EL '!D$41,AND($C30="Diesel passenger train",$D30="Almost empty"),$E30*'EL '!D$47,AND($C30="Diesel passenger train",$D30="Average"),$E30*'EL '!D$48,AND($C30="Diesel passenger train",$D30="Nearly full"),$E30*'EL '!D$49,AND($C30="Walking"),$E30*0,AND($C30="Bike"),$E30*0,AND($C30="Plane - domestic flight"),$E30*'EL '!$C54,AND($C30="Plane - international - intra EU"),$E30*'EL '!$C56,AND($C30="Plane - international (extra EU)"),$E30*'EL '!$C58)</f>
        <v>#N/A</v>
      </c>
      <c r="H30" s="145"/>
      <c r="I30" s="148">
        <f t="shared" ref="I30:I43" si="6">H30/10*E30</f>
        <v>0</v>
      </c>
      <c r="J30" s="146" t="e" cm="1">
        <f t="array" ref="J30">_xlfn.IFS(C30="Fuel car",C30*DATA!$C$17,C30="Electric car",C30*DATA!$F$15,C30="Hybrid car",I30*(0.5*DATA!$C$17+0.5*DATA!$F$15))</f>
        <v>#N/A</v>
      </c>
      <c r="L30" s="215" t="s">
        <v>76</v>
      </c>
      <c r="M30" s="216"/>
      <c r="N30" s="217"/>
    </row>
    <row r="31" spans="1:17" x14ac:dyDescent="0.2">
      <c r="A31" s="222"/>
      <c r="B31" s="30"/>
      <c r="C31" s="15"/>
      <c r="D31" s="15"/>
      <c r="E31" s="125"/>
      <c r="F31" s="128" t="e" cm="1">
        <f t="array" ref="F31">_xlfn.IFS(AND($C31="Fuel car",$D31=1),$E31*'EL '!C$7,AND($C31="Fuel car",$D31=2),$E31*'EL '!C$8,AND($C31="Fuel car",$D31=3),$E31*'EL '!C$9,AND($C31="Fuel car",$D31=4),$E31*'EL '!C$10,AND($C31="Fuel car",$D31=5),$E31*'EL '!C$11,AND($C31="Motorcycle",$D31=1),$E31*'EL '!C$13,AND($C31="Motorcycle",$D31=2),$E31*'EL '!C$14,AND($C31="Electric car",$D31=1),$E31*'EL '!C$16,AND($C31="Electric car",$D31=2),$E31*'EL '!C$17,AND($C31="Electric car",$D31=3),$E31*'EL '!C$18,AND($C31="Electric car",$D31=4),$E31*'EL '!C$19,AND($C31="Electric car",$D31=5),$E31*'EL '!C$20,AND($C31="Hybrid car",$D31=1),$E31*'EL '!C$22,AND($C31="Hybrid car",$D31=2),$E31*'EL '!C$23,AND($C31="Hybrid car",$D31=3),$E31*'EL '!C$24,AND($C31="Hybrid car",$D31=4),$E31*'EL '!C$25,AND($C31="Hybrid car",$D31=5),$E31*'EL '!C$26,AND($C31="Electric motorcycle",$D31=1),$E31*'EL '!C$28,AND($C31="Electric motorcycle",$D31=2),$E31*'EL '!C$29,AND($C31="Electric bike",$D31=1),$E31*'EL '!C$31,AND($C31="Electric scooter",$D31=1),$E31*'EL '!C$33,AND($C31="Bus",$D31="Almost empty"),$E31*'EL '!H$23,AND($C31="Bus",$D31="Average"),$E31*'EL '!H$24,AND($C31="Bus",$D31="Nearly full"),$E31*'EL '!H$25,AND($C31="Electric bus",$D31="Almost empty"),$E31*'EL '!H$7,AND($C31="Electric bus",$D31="Average"),$E31*'EL '!H$8,AND($C31="Electric bus",$D31="Nearly full"),$E31*'EL '!H$9,AND($C31="Diesel bus",$D31="Almost empty"),$E31*'EL '!H$19,AND($C31="Diesel bus",$D31="Average"),$E31*'EL '!H$20,AND($C31="Diesel bus",$D31="Nearly full"),$E31*'EL '!H$21,AND($C31="Hybrid-electric bus",$D31="Almost empty"),$E31*'EL '!H$11,AND($C31="Hybrid-electric bus",$D31="Average"),$E31*'EL '!H$12,AND($C31="Hybrid-electric bus",$D31="Nearly full"),$E31*'EL '!H$13,AND($C31="Alternative fuel bus",$D31="Almost empty"),$E31*'EL '!H$15,AND($C31="Alternative fuel bus",$D31="Average"),$E31*'EL '!H$16,AND($C31="Alternative fuel bus",$D31="Nearly full"),$E31*'EL '!H$17,AND($C31="Metro, tram, urban light train",$D31="Almost empty"),$E31*'EL '!C$35,AND($C31="Metro, tram, urban light train",$D31="Average"),$E31*'EL '!C$36,AND($C31="Metro, tram, urban light train",$D31="Nearly full"),$E31*'EL '!C$37,AND($C31="Electric passenger train",$D31="Almost empty"),$E31*'EL '!C$39,AND($C31="Electric passenger train",$D31="Average"),$E31*'EL '!C$40,AND($C31="Electric passenger train",$D31="Nearly full"),$E31*'EL '!C$41,AND($C31="Diesel passenger train",$D31="Almost empty"),$E31*'EL '!C$47,AND($C31="Diesel passenger train",$D31="Average"),$E31*'EL '!C$48,AND($C31="Diesel passenger train",$D31="Nearly full"),$E31*'EL '!C$49,AND($C31="Walking"),$E31*0,AND($C31="Bike"),$E31*0,AND($C31="Plane - domestic flight"),$E31*'EL '!$C55,AND($C31="Plane - international - intra EU"),$E31*'EL '!$C57,AND($C31="Plane - international (extra EU)"),$E31*'EL '!$C59)</f>
        <v>#N/A</v>
      </c>
      <c r="G31" s="31" t="e" cm="1">
        <f t="array" ref="G31">_xlfn.IFS(AND($C31="Fuel car",$D31=1),$E31*'EL '!D$7,AND($C31="Fuel car",$D31=2),$E31*'EL '!D$8,AND($C31="Fuel car",$D31=3),$E31*'EL '!D$9,AND($C31="Fuel car",$D31=4),$E31*'EL '!D$10,AND($C31="Fuel car",$D31=5),$E31*'EL '!D$11,AND($C31="Motorcycle",$D31=1),$E31*'EL '!D$13,AND($C31="Motorcycle",$D31=2),$E31*'EL '!D$14,AND($C31="Electric car",$D31=1),$E31*'EL '!D$16,AND($C31="Electric car",$D31=2),$E31*'EL '!D$17,AND($C31="Electric car",$D31=3),$E31*'EL '!D$18,AND($C31="Electric car",$D31=4),$E31*'EL '!D$19,AND($C31="Electric car",$D31=5),$E31*'EL '!D$20,AND($C31="Hybrid car",$D31=1),$E31*'EL '!D$22,AND($C31="Hybrid car",$D31=2),$E31*'EL '!D$23,AND($C31="Hybrid car",$D31=3),$E31*'EL '!D$24,AND($C31="Hybrid car",$D31=4),$E31*'EL '!D$25,AND($C31="Hybrid car",$D31=5),$E31*'EL '!D$26,AND($C31="Electric motorcycle",$D31=1),$E31*'EL '!D$28,AND($C31="Electric motorcycle",$D31=2),$E31*'EL '!D$29,AND($C31="Electric bike",$D31=1),$E31*'EL '!D$31,AND($C31="Electric scooter",$D31=1),$E31*'EL '!D$33,AND($C31="Bus",$D31="Almost empty"),$E31*'EL '!I$23,AND($C31="Bus",$D31="Average"),$E31*'EL '!I$24,AND($C31="Bus",$D31="Nearly full"),$E31*'EL '!I$25,AND($C31="Electric bus",$D31="Almost empty"),$E31*'EL '!I$7,AND($C31="Electric bus",$D31="Average"),$E31*'EL '!I$8,AND($C31="Electric bus",$D31="Nearly full"),$E31*'EL '!I$9,AND($C31="Diesel bus",$D31="Almost empty"),$E31*'EL '!I$19,AND($C31="Diesel bus",$D31="Average"),$E31*'EL '!I$20,AND($C31="Diesel bus",$D31="Nearly full"),$E31*'EL '!I$21,AND($C31="Hybrid-electric bus",$D31="Almost empty"),$E31*'EL '!I$11,AND($C31="Hybrid-electric bus",$D31="Average"),$E31*'EL '!I$12,AND($C31="Hybrid-electric bus",$D31="Nearly full"),$E31*'EL '!I$13,AND($C31="Alternative fuel bus",$D31="Almost empty"),$E31*'EL '!I$15,AND($C31="Alternative fuel bus",$D31="Average"),$E31*'EL '!I$16,AND($C31="Alternative fuel bus",$D31="Nearly full"),$E31*'EL '!I$17,AND($C31="Metro, tram, urban light train",$D31="Almost empty"),$E31*'EL '!D$35,AND($C31="Metro, tram, urban light train",$D31="Average"),$E31*'EL '!D$36,AND($C31="Metro, tram, urban light train",$D31="Nearly full"),$E31*'EL '!D$37,AND($C31="Electric passenger train",$D31="Almost empty"),$E31*'EL '!D$39,AND($C31="Electric passenger train",$D31="Average"),$E31*'EL '!D$40,AND($C31="Electric passenger train",$D31="Nearly full"),$E31*'EL '!D$41,AND($C31="Diesel passenger train",$D31="Almost empty"),$E31*'EL '!D$47,AND($C31="Diesel passenger train",$D31="Average"),$E31*'EL '!D$48,AND($C31="Diesel passenger train",$D31="Nearly full"),$E31*'EL '!D$49,AND($C31="Walking"),$E31*0,AND($C31="Bike"),$E31*0,AND($C31="Plane - domestic flight"),$E31*'EL '!$C55,AND($C31="Plane - international - intra EU"),$E31*'EL '!$C57,AND($C31="Plane - international (extra EU)"),$E31*'EL '!$C59)</f>
        <v>#N/A</v>
      </c>
      <c r="H31" s="145"/>
      <c r="I31" s="148">
        <f t="shared" si="6"/>
        <v>0</v>
      </c>
      <c r="J31" s="146" t="e" cm="1">
        <f t="array" ref="J31">_xlfn.IFS(C31="Fuel car",C31*DATA!$C$17,C31="Electric car",C31*DATA!$F$15,C31="Hybrid car",I31*(0.5*DATA!$C$17+0.5*DATA!$F$15))</f>
        <v>#N/A</v>
      </c>
      <c r="L31" s="223"/>
      <c r="M31" s="224"/>
      <c r="N31" s="225"/>
    </row>
    <row r="32" spans="1:17" ht="16" thickBot="1" x14ac:dyDescent="0.25">
      <c r="A32" s="222"/>
      <c r="B32" s="30"/>
      <c r="C32" s="15"/>
      <c r="D32" s="15"/>
      <c r="E32" s="125"/>
      <c r="F32" s="128" t="e" cm="1">
        <f t="array" ref="F32">_xlfn.IFS(AND($C32="Fuel car",$D32=1),$E32*'EL '!C$7,AND($C32="Fuel car",$D32=2),$E32*'EL '!C$8,AND($C32="Fuel car",$D32=3),$E32*'EL '!C$9,AND($C32="Fuel car",$D32=4),$E32*'EL '!C$10,AND($C32="Fuel car",$D32=5),$E32*'EL '!C$11,AND($C32="Motorcycle",$D32=1),$E32*'EL '!C$13,AND($C32="Motorcycle",$D32=2),$E32*'EL '!C$14,AND($C32="Electric car",$D32=1),$E32*'EL '!C$16,AND($C32="Electric car",$D32=2),$E32*'EL '!C$17,AND($C32="Electric car",$D32=3),$E32*'EL '!C$18,AND($C32="Electric car",$D32=4),$E32*'EL '!C$19,AND($C32="Electric car",$D32=5),$E32*'EL '!C$20,AND($C32="Hybrid car",$D32=1),$E32*'EL '!C$22,AND($C32="Hybrid car",$D32=2),$E32*'EL '!C$23,AND($C32="Hybrid car",$D32=3),$E32*'EL '!C$24,AND($C32="Hybrid car",$D32=4),$E32*'EL '!C$25,AND($C32="Hybrid car",$D32=5),$E32*'EL '!C$26,AND($C32="Electric motorcycle",$D32=1),$E32*'EL '!C$28,AND($C32="Electric motorcycle",$D32=2),$E32*'EL '!C$29,AND($C32="Electric bike",$D32=1),$E32*'EL '!C$31,AND($C32="Electric scooter",$D32=1),$E32*'EL '!C$33,AND($C32="Bus",$D32="Almost empty"),$E32*'EL '!H$23,AND($C32="Bus",$D32="Average"),$E32*'EL '!H$24,AND($C32="Bus",$D32="Nearly full"),$E32*'EL '!H$25,AND($C32="Electric bus",$D32="Almost empty"),$E32*'EL '!H$7,AND($C32="Electric bus",$D32="Average"),$E32*'EL '!H$8,AND($C32="Electric bus",$D32="Nearly full"),$E32*'EL '!H$9,AND($C32="Diesel bus",$D32="Almost empty"),$E32*'EL '!H$19,AND($C32="Diesel bus",$D32="Average"),$E32*'EL '!H$20,AND($C32="Diesel bus",$D32="Nearly full"),$E32*'EL '!H$21,AND($C32="Hybrid-electric bus",$D32="Almost empty"),$E32*'EL '!H$11,AND($C32="Hybrid-electric bus",$D32="Average"),$E32*'EL '!H$12,AND($C32="Hybrid-electric bus",$D32="Nearly full"),$E32*'EL '!H$13,AND($C32="Alternative fuel bus",$D32="Almost empty"),$E32*'EL '!H$15,AND($C32="Alternative fuel bus",$D32="Average"),$E32*'EL '!H$16,AND($C32="Alternative fuel bus",$D32="Nearly full"),$E32*'EL '!H$17,AND($C32="Metro, tram, urban light train",$D32="Almost empty"),$E32*'EL '!C$35,AND($C32="Metro, tram, urban light train",$D32="Average"),$E32*'EL '!C$36,AND($C32="Metro, tram, urban light train",$D32="Nearly full"),$E32*'EL '!C$37,AND($C32="Electric passenger train",$D32="Almost empty"),$E32*'EL '!C$39,AND($C32="Electric passenger train",$D32="Average"),$E32*'EL '!C$40,AND($C32="Electric passenger train",$D32="Nearly full"),$E32*'EL '!C$41,AND($C32="Diesel passenger train",$D32="Almost empty"),$E32*'EL '!C$47,AND($C32="Diesel passenger train",$D32="Average"),$E32*'EL '!C$48,AND($C32="Diesel passenger train",$D32="Nearly full"),$E32*'EL '!C$49,AND($C32="Walking"),$E32*0,AND($C32="Bike"),$E32*0,AND($C32="Plane - domestic flight"),$E32*'EL '!$C56,AND($C32="Plane - international - intra EU"),$E32*'EL '!$C58,AND($C32="Plane - international (extra EU)"),$E32*'EL '!$C60)</f>
        <v>#N/A</v>
      </c>
      <c r="G32" s="31" t="e" cm="1">
        <f t="array" ref="G32">_xlfn.IFS(AND($C32="Fuel car",$D32=1),$E32*'EL '!D$7,AND($C32="Fuel car",$D32=2),$E32*'EL '!D$8,AND($C32="Fuel car",$D32=3),$E32*'EL '!D$9,AND($C32="Fuel car",$D32=4),$E32*'EL '!D$10,AND($C32="Fuel car",$D32=5),$E32*'EL '!D$11,AND($C32="Motorcycle",$D32=1),$E32*'EL '!D$13,AND($C32="Motorcycle",$D32=2),$E32*'EL '!D$14,AND($C32="Electric car",$D32=1),$E32*'EL '!D$16,AND($C32="Electric car",$D32=2),$E32*'EL '!D$17,AND($C32="Electric car",$D32=3),$E32*'EL '!D$18,AND($C32="Electric car",$D32=4),$E32*'EL '!D$19,AND($C32="Electric car",$D32=5),$E32*'EL '!D$20,AND($C32="Hybrid car",$D32=1),$E32*'EL '!D$22,AND($C32="Hybrid car",$D32=2),$E32*'EL '!D$23,AND($C32="Hybrid car",$D32=3),$E32*'EL '!D$24,AND($C32="Hybrid car",$D32=4),$E32*'EL '!D$25,AND($C32="Hybrid car",$D32=5),$E32*'EL '!D$26,AND($C32="Electric motorcycle",$D32=1),$E32*'EL '!D$28,AND($C32="Electric motorcycle",$D32=2),$E32*'EL '!D$29,AND($C32="Electric bike",$D32=1),$E32*'EL '!D$31,AND($C32="Electric scooter",$D32=1),$E32*'EL '!D$33,AND($C32="Bus",$D32="Almost empty"),$E32*'EL '!I$23,AND($C32="Bus",$D32="Average"),$E32*'EL '!I$24,AND($C32="Bus",$D32="Nearly full"),$E32*'EL '!I$25,AND($C32="Electric bus",$D32="Almost empty"),$E32*'EL '!I$7,AND($C32="Electric bus",$D32="Average"),$E32*'EL '!I$8,AND($C32="Electric bus",$D32="Nearly full"),$E32*'EL '!I$9,AND($C32="Diesel bus",$D32="Almost empty"),$E32*'EL '!I$19,AND($C32="Diesel bus",$D32="Average"),$E32*'EL '!I$20,AND($C32="Diesel bus",$D32="Nearly full"),$E32*'EL '!I$21,AND($C32="Hybrid-electric bus",$D32="Almost empty"),$E32*'EL '!I$11,AND($C32="Hybrid-electric bus",$D32="Average"),$E32*'EL '!I$12,AND($C32="Hybrid-electric bus",$D32="Nearly full"),$E32*'EL '!I$13,AND($C32="Alternative fuel bus",$D32="Almost empty"),$E32*'EL '!I$15,AND($C32="Alternative fuel bus",$D32="Average"),$E32*'EL '!I$16,AND($C32="Alternative fuel bus",$D32="Nearly full"),$E32*'EL '!I$17,AND($C32="Metro, tram, urban light train",$D32="Almost empty"),$E32*'EL '!D$35,AND($C32="Metro, tram, urban light train",$D32="Average"),$E32*'EL '!D$36,AND($C32="Metro, tram, urban light train",$D32="Nearly full"),$E32*'EL '!D$37,AND($C32="Electric passenger train",$D32="Almost empty"),$E32*'EL '!D$39,AND($C32="Electric passenger train",$D32="Average"),$E32*'EL '!D$40,AND($C32="Electric passenger train",$D32="Nearly full"),$E32*'EL '!D$41,AND($C32="Diesel passenger train",$D32="Almost empty"),$E32*'EL '!D$47,AND($C32="Diesel passenger train",$D32="Average"),$E32*'EL '!D$48,AND($C32="Diesel passenger train",$D32="Nearly full"),$E32*'EL '!D$49,AND($C32="Walking"),$E32*0,AND($C32="Bike"),$E32*0,AND($C32="Plane - domestic flight"),$E32*'EL '!$C56,AND($C32="Plane - international - intra EU"),$E32*'EL '!$C58,AND($C32="Plane - international (extra EU)"),$E32*'EL '!$C60)</f>
        <v>#N/A</v>
      </c>
      <c r="H32" s="145"/>
      <c r="I32" s="148">
        <f t="shared" si="6"/>
        <v>0</v>
      </c>
      <c r="J32" s="146" t="e" cm="1">
        <f t="array" ref="J32">_xlfn.IFS(C32="Fuel car",C32*DATA!$C$17,C32="Electric car",C32*DATA!$F$15,C32="Hybrid car",I32*(0.5*DATA!$C$17+0.5*DATA!$F$15))</f>
        <v>#N/A</v>
      </c>
      <c r="L32" s="218"/>
      <c r="M32" s="219"/>
      <c r="N32" s="220"/>
    </row>
    <row r="33" spans="1:14" ht="14.5" customHeight="1" x14ac:dyDescent="0.2">
      <c r="A33" s="222"/>
      <c r="B33" s="30"/>
      <c r="C33" s="15"/>
      <c r="D33" s="15"/>
      <c r="E33" s="125"/>
      <c r="F33" s="128" t="e" cm="1">
        <f t="array" ref="F33">_xlfn.IFS(AND($C33="Fuel car",$D33=1),$E33*'EL '!C$7,AND($C33="Fuel car",$D33=2),$E33*'EL '!C$8,AND($C33="Fuel car",$D33=3),$E33*'EL '!C$9,AND($C33="Fuel car",$D33=4),$E33*'EL '!C$10,AND($C33="Fuel car",$D33=5),$E33*'EL '!C$11,AND($C33="Motorcycle",$D33=1),$E33*'EL '!C$13,AND($C33="Motorcycle",$D33=2),$E33*'EL '!C$14,AND($C33="Electric car",$D33=1),$E33*'EL '!C$16,AND($C33="Electric car",$D33=2),$E33*'EL '!C$17,AND($C33="Electric car",$D33=3),$E33*'EL '!C$18,AND($C33="Electric car",$D33=4),$E33*'EL '!C$19,AND($C33="Electric car",$D33=5),$E33*'EL '!C$20,AND($C33="Hybrid car",$D33=1),$E33*'EL '!C$22,AND($C33="Hybrid car",$D33=2),$E33*'EL '!C$23,AND($C33="Hybrid car",$D33=3),$E33*'EL '!C$24,AND($C33="Hybrid car",$D33=4),$E33*'EL '!C$25,AND($C33="Hybrid car",$D33=5),$E33*'EL '!C$26,AND($C33="Electric motorcycle",$D33=1),$E33*'EL '!C$28,AND($C33="Electric motorcycle",$D33=2),$E33*'EL '!C$29,AND($C33="Electric bike",$D33=1),$E33*'EL '!C$31,AND($C33="Electric scooter",$D33=1),$E33*'EL '!C$33,AND($C33="Bus",$D33="Almost empty"),$E33*'EL '!H$23,AND($C33="Bus",$D33="Average"),$E33*'EL '!H$24,AND($C33="Bus",$D33="Nearly full"),$E33*'EL '!H$25,AND($C33="Electric bus",$D33="Almost empty"),$E33*'EL '!H$7,AND($C33="Electric bus",$D33="Average"),$E33*'EL '!H$8,AND($C33="Electric bus",$D33="Nearly full"),$E33*'EL '!H$9,AND($C33="Diesel bus",$D33="Almost empty"),$E33*'EL '!H$19,AND($C33="Diesel bus",$D33="Average"),$E33*'EL '!H$20,AND($C33="Diesel bus",$D33="Nearly full"),$E33*'EL '!H$21,AND($C33="Hybrid-electric bus",$D33="Almost empty"),$E33*'EL '!H$11,AND($C33="Hybrid-electric bus",$D33="Average"),$E33*'EL '!H$12,AND($C33="Hybrid-electric bus",$D33="Nearly full"),$E33*'EL '!H$13,AND($C33="Alternative fuel bus",$D33="Almost empty"),$E33*'EL '!H$15,AND($C33="Alternative fuel bus",$D33="Average"),$E33*'EL '!H$16,AND($C33="Alternative fuel bus",$D33="Nearly full"),$E33*'EL '!H$17,AND($C33="Metro, tram, urban light train",$D33="Almost empty"),$E33*'EL '!C$35,AND($C33="Metro, tram, urban light train",$D33="Average"),$E33*'EL '!C$36,AND($C33="Metro, tram, urban light train",$D33="Nearly full"),$E33*'EL '!C$37,AND($C33="Electric passenger train",$D33="Almost empty"),$E33*'EL '!C$39,AND($C33="Electric passenger train",$D33="Average"),$E33*'EL '!C$40,AND($C33="Electric passenger train",$D33="Nearly full"),$E33*'EL '!C$41,AND($C33="Diesel passenger train",$D33="Almost empty"),$E33*'EL '!C$47,AND($C33="Diesel passenger train",$D33="Average"),$E33*'EL '!C$48,AND($C33="Diesel passenger train",$D33="Nearly full"),$E33*'EL '!C$49,AND($C33="Walking"),$E33*0,AND($C33="Bike"),$E33*0,AND($C33="Plane - domestic flight"),$E33*'EL '!$C57,AND($C33="Plane - international - intra EU"),$E33*'EL '!$C59,AND($C33="Plane - international (extra EU)"),$E33*'EL '!$C61)</f>
        <v>#N/A</v>
      </c>
      <c r="G33" s="31" t="e" cm="1">
        <f t="array" ref="G33">_xlfn.IFS(AND($C33="Fuel car",$D33=1),$E33*'EL '!D$7,AND($C33="Fuel car",$D33=2),$E33*'EL '!D$8,AND($C33="Fuel car",$D33=3),$E33*'EL '!D$9,AND($C33="Fuel car",$D33=4),$E33*'EL '!D$10,AND($C33="Fuel car",$D33=5),$E33*'EL '!D$11,AND($C33="Motorcycle",$D33=1),$E33*'EL '!D$13,AND($C33="Motorcycle",$D33=2),$E33*'EL '!D$14,AND($C33="Electric car",$D33=1),$E33*'EL '!D$16,AND($C33="Electric car",$D33=2),$E33*'EL '!D$17,AND($C33="Electric car",$D33=3),$E33*'EL '!D$18,AND($C33="Electric car",$D33=4),$E33*'EL '!D$19,AND($C33="Electric car",$D33=5),$E33*'EL '!D$20,AND($C33="Hybrid car",$D33=1),$E33*'EL '!D$22,AND($C33="Hybrid car",$D33=2),$E33*'EL '!D$23,AND($C33="Hybrid car",$D33=3),$E33*'EL '!D$24,AND($C33="Hybrid car",$D33=4),$E33*'EL '!D$25,AND($C33="Hybrid car",$D33=5),$E33*'EL '!D$26,AND($C33="Electric motorcycle",$D33=1),$E33*'EL '!D$28,AND($C33="Electric motorcycle",$D33=2),$E33*'EL '!D$29,AND($C33="Electric bike",$D33=1),$E33*'EL '!D$31,AND($C33="Electric scooter",$D33=1),$E33*'EL '!D$33,AND($C33="Bus",$D33="Almost empty"),$E33*'EL '!I$23,AND($C33="Bus",$D33="Average"),$E33*'EL '!I$24,AND($C33="Bus",$D33="Nearly full"),$E33*'EL '!I$25,AND($C33="Electric bus",$D33="Almost empty"),$E33*'EL '!I$7,AND($C33="Electric bus",$D33="Average"),$E33*'EL '!I$8,AND($C33="Electric bus",$D33="Nearly full"),$E33*'EL '!I$9,AND($C33="Diesel bus",$D33="Almost empty"),$E33*'EL '!I$19,AND($C33="Diesel bus",$D33="Average"),$E33*'EL '!I$20,AND($C33="Diesel bus",$D33="Nearly full"),$E33*'EL '!I$21,AND($C33="Hybrid-electric bus",$D33="Almost empty"),$E33*'EL '!I$11,AND($C33="Hybrid-electric bus",$D33="Average"),$E33*'EL '!I$12,AND($C33="Hybrid-electric bus",$D33="Nearly full"),$E33*'EL '!I$13,AND($C33="Alternative fuel bus",$D33="Almost empty"),$E33*'EL '!I$15,AND($C33="Alternative fuel bus",$D33="Average"),$E33*'EL '!I$16,AND($C33="Alternative fuel bus",$D33="Nearly full"),$E33*'EL '!I$17,AND($C33="Metro, tram, urban light train",$D33="Almost empty"),$E33*'EL '!D$35,AND($C33="Metro, tram, urban light train",$D33="Average"),$E33*'EL '!D$36,AND($C33="Metro, tram, urban light train",$D33="Nearly full"),$E33*'EL '!D$37,AND($C33="Electric passenger train",$D33="Almost empty"),$E33*'EL '!D$39,AND($C33="Electric passenger train",$D33="Average"),$E33*'EL '!D$40,AND($C33="Electric passenger train",$D33="Nearly full"),$E33*'EL '!D$41,AND($C33="Diesel passenger train",$D33="Almost empty"),$E33*'EL '!D$47,AND($C33="Diesel passenger train",$D33="Average"),$E33*'EL '!D$48,AND($C33="Diesel passenger train",$D33="Nearly full"),$E33*'EL '!D$49,AND($C33="Walking"),$E33*0,AND($C33="Bike"),$E33*0,AND($C33="Plane - domestic flight"),$E33*'EL '!$C57,AND($C33="Plane - international - intra EU"),$E33*'EL '!$C59,AND($C33="Plane - international (extra EU)"),$E33*'EL '!$C61)</f>
        <v>#N/A</v>
      </c>
      <c r="H33" s="145"/>
      <c r="I33" s="148">
        <f t="shared" si="6"/>
        <v>0</v>
      </c>
      <c r="J33" s="146" t="e" cm="1">
        <f t="array" ref="J33">_xlfn.IFS(C33="Fuel car",C33*DATA!$C$17,C33="Electric car",C33*DATA!$F$15,C33="Hybrid car",I33*(0.5*DATA!$C$17+0.5*DATA!$F$15))</f>
        <v>#N/A</v>
      </c>
      <c r="L33" s="223" t="s">
        <v>78</v>
      </c>
      <c r="M33" s="224"/>
      <c r="N33" s="225"/>
    </row>
    <row r="34" spans="1:14" x14ac:dyDescent="0.2">
      <c r="A34" s="222"/>
      <c r="B34" s="30"/>
      <c r="C34" s="15"/>
      <c r="D34" s="15"/>
      <c r="E34" s="125"/>
      <c r="F34" s="128" t="e" cm="1">
        <f t="array" ref="F34">_xlfn.IFS(AND($C34="Fuel car",$D34=1),$E34*'EL '!C$7,AND($C34="Fuel car",$D34=2),$E34*'EL '!C$8,AND($C34="Fuel car",$D34=3),$E34*'EL '!C$9,AND($C34="Fuel car",$D34=4),$E34*'EL '!C$10,AND($C34="Fuel car",$D34=5),$E34*'EL '!C$11,AND($C34="Motorcycle",$D34=1),$E34*'EL '!C$13,AND($C34="Motorcycle",$D34=2),$E34*'EL '!C$14,AND($C34="Electric car",$D34=1),$E34*'EL '!C$16,AND($C34="Electric car",$D34=2),$E34*'EL '!C$17,AND($C34="Electric car",$D34=3),$E34*'EL '!C$18,AND($C34="Electric car",$D34=4),$E34*'EL '!C$19,AND($C34="Electric car",$D34=5),$E34*'EL '!C$20,AND($C34="Hybrid car",$D34=1),$E34*'EL '!C$22,AND($C34="Hybrid car",$D34=2),$E34*'EL '!C$23,AND($C34="Hybrid car",$D34=3),$E34*'EL '!C$24,AND($C34="Hybrid car",$D34=4),$E34*'EL '!C$25,AND($C34="Hybrid car",$D34=5),$E34*'EL '!C$26,AND($C34="Electric motorcycle",$D34=1),$E34*'EL '!C$28,AND($C34="Electric motorcycle",$D34=2),$E34*'EL '!C$29,AND($C34="Electric bike",$D34=1),$E34*'EL '!C$31,AND($C34="Electric scooter",$D34=1),$E34*'EL '!C$33,AND($C34="Bus",$D34="Almost empty"),$E34*'EL '!H$23,AND($C34="Bus",$D34="Average"),$E34*'EL '!H$24,AND($C34="Bus",$D34="Nearly full"),$E34*'EL '!H$25,AND($C34="Electric bus",$D34="Almost empty"),$E34*'EL '!H$7,AND($C34="Electric bus",$D34="Average"),$E34*'EL '!H$8,AND($C34="Electric bus",$D34="Nearly full"),$E34*'EL '!H$9,AND($C34="Diesel bus",$D34="Almost empty"),$E34*'EL '!H$19,AND($C34="Diesel bus",$D34="Average"),$E34*'EL '!H$20,AND($C34="Diesel bus",$D34="Nearly full"),$E34*'EL '!H$21,AND($C34="Hybrid-electric bus",$D34="Almost empty"),$E34*'EL '!H$11,AND($C34="Hybrid-electric bus",$D34="Average"),$E34*'EL '!H$12,AND($C34="Hybrid-electric bus",$D34="Nearly full"),$E34*'EL '!H$13,AND($C34="Alternative fuel bus",$D34="Almost empty"),$E34*'EL '!H$15,AND($C34="Alternative fuel bus",$D34="Average"),$E34*'EL '!H$16,AND($C34="Alternative fuel bus",$D34="Nearly full"),$E34*'EL '!H$17,AND($C34="Metro, tram, urban light train",$D34="Almost empty"),$E34*'EL '!C$35,AND($C34="Metro, tram, urban light train",$D34="Average"),$E34*'EL '!C$36,AND($C34="Metro, tram, urban light train",$D34="Nearly full"),$E34*'EL '!C$37,AND($C34="Electric passenger train",$D34="Almost empty"),$E34*'EL '!C$39,AND($C34="Electric passenger train",$D34="Average"),$E34*'EL '!C$40,AND($C34="Electric passenger train",$D34="Nearly full"),$E34*'EL '!C$41,AND($C34="Diesel passenger train",$D34="Almost empty"),$E34*'EL '!C$47,AND($C34="Diesel passenger train",$D34="Average"),$E34*'EL '!C$48,AND($C34="Diesel passenger train",$D34="Nearly full"),$E34*'EL '!C$49,AND($C34="Walking"),$E34*0,AND($C34="Bike"),$E34*0,AND($C34="Plane - domestic flight"),$E34*'EL '!$C58,AND($C34="Plane - international - intra EU"),$E34*'EL '!$C60,AND($C34="Plane - international (extra EU)"),$E34*'EL '!$C62)</f>
        <v>#N/A</v>
      </c>
      <c r="G34" s="31" t="e" cm="1">
        <f t="array" ref="G34">_xlfn.IFS(AND($C34="Fuel car",$D34=1),$E34*'EL '!D$7,AND($C34="Fuel car",$D34=2),$E34*'EL '!D$8,AND($C34="Fuel car",$D34=3),$E34*'EL '!D$9,AND($C34="Fuel car",$D34=4),$E34*'EL '!D$10,AND($C34="Fuel car",$D34=5),$E34*'EL '!D$11,AND($C34="Motorcycle",$D34=1),$E34*'EL '!D$13,AND($C34="Motorcycle",$D34=2),$E34*'EL '!D$14,AND($C34="Electric car",$D34=1),$E34*'EL '!D$16,AND($C34="Electric car",$D34=2),$E34*'EL '!D$17,AND($C34="Electric car",$D34=3),$E34*'EL '!D$18,AND($C34="Electric car",$D34=4),$E34*'EL '!D$19,AND($C34="Electric car",$D34=5),$E34*'EL '!D$20,AND($C34="Hybrid car",$D34=1),$E34*'EL '!D$22,AND($C34="Hybrid car",$D34=2),$E34*'EL '!D$23,AND($C34="Hybrid car",$D34=3),$E34*'EL '!D$24,AND($C34="Hybrid car",$D34=4),$E34*'EL '!D$25,AND($C34="Hybrid car",$D34=5),$E34*'EL '!D$26,AND($C34="Electric motorcycle",$D34=1),$E34*'EL '!D$28,AND($C34="Electric motorcycle",$D34=2),$E34*'EL '!D$29,AND($C34="Electric bike",$D34=1),$E34*'EL '!D$31,AND($C34="Electric scooter",$D34=1),$E34*'EL '!D$33,AND($C34="Bus",$D34="Almost empty"),$E34*'EL '!I$23,AND($C34="Bus",$D34="Average"),$E34*'EL '!I$24,AND($C34="Bus",$D34="Nearly full"),$E34*'EL '!I$25,AND($C34="Electric bus",$D34="Almost empty"),$E34*'EL '!I$7,AND($C34="Electric bus",$D34="Average"),$E34*'EL '!I$8,AND($C34="Electric bus",$D34="Nearly full"),$E34*'EL '!I$9,AND($C34="Diesel bus",$D34="Almost empty"),$E34*'EL '!I$19,AND($C34="Diesel bus",$D34="Average"),$E34*'EL '!I$20,AND($C34="Diesel bus",$D34="Nearly full"),$E34*'EL '!I$21,AND($C34="Hybrid-electric bus",$D34="Almost empty"),$E34*'EL '!I$11,AND($C34="Hybrid-electric bus",$D34="Average"),$E34*'EL '!I$12,AND($C34="Hybrid-electric bus",$D34="Nearly full"),$E34*'EL '!I$13,AND($C34="Alternative fuel bus",$D34="Almost empty"),$E34*'EL '!I$15,AND($C34="Alternative fuel bus",$D34="Average"),$E34*'EL '!I$16,AND($C34="Alternative fuel bus",$D34="Nearly full"),$E34*'EL '!I$17,AND($C34="Metro, tram, urban light train",$D34="Almost empty"),$E34*'EL '!D$35,AND($C34="Metro, tram, urban light train",$D34="Average"),$E34*'EL '!D$36,AND($C34="Metro, tram, urban light train",$D34="Nearly full"),$E34*'EL '!D$37,AND($C34="Electric passenger train",$D34="Almost empty"),$E34*'EL '!D$39,AND($C34="Electric passenger train",$D34="Average"),$E34*'EL '!D$40,AND($C34="Electric passenger train",$D34="Nearly full"),$E34*'EL '!D$41,AND($C34="Diesel passenger train",$D34="Almost empty"),$E34*'EL '!D$47,AND($C34="Diesel passenger train",$D34="Average"),$E34*'EL '!D$48,AND($C34="Diesel passenger train",$D34="Nearly full"),$E34*'EL '!D$49,AND($C34="Walking"),$E34*0,AND($C34="Bike"),$E34*0,AND($C34="Plane - domestic flight"),$E34*'EL '!$C58,AND($C34="Plane - international - intra EU"),$E34*'EL '!$C60,AND($C34="Plane - international (extra EU)"),$E34*'EL '!$C62)</f>
        <v>#N/A</v>
      </c>
      <c r="H34" s="145"/>
      <c r="I34" s="148">
        <f t="shared" si="6"/>
        <v>0</v>
      </c>
      <c r="J34" s="146" t="e" cm="1">
        <f t="array" ref="J34">_xlfn.IFS(C34="Fuel car",C34*DATA!$C$17,C34="Electric car",C34*DATA!$F$15,C34="Hybrid car",I34*(0.5*DATA!$C$17+0.5*DATA!$F$15))</f>
        <v>#N/A</v>
      </c>
      <c r="L34" s="223"/>
      <c r="M34" s="224"/>
      <c r="N34" s="225"/>
    </row>
    <row r="35" spans="1:14" ht="14.5" customHeight="1" x14ac:dyDescent="0.2">
      <c r="A35" s="222"/>
      <c r="B35" s="30"/>
      <c r="C35" s="15"/>
      <c r="D35" s="15"/>
      <c r="E35" s="125"/>
      <c r="F35" s="128" t="e" cm="1">
        <f t="array" ref="F35">_xlfn.IFS(AND($C35="Fuel car",$D35=1),$E35*'EL '!C$7,AND($C35="Fuel car",$D35=2),$E35*'EL '!C$8,AND($C35="Fuel car",$D35=3),$E35*'EL '!C$9,AND($C35="Fuel car",$D35=4),$E35*'EL '!C$10,AND($C35="Fuel car",$D35=5),$E35*'EL '!C$11,AND($C35="Motorcycle",$D35=1),$E35*'EL '!C$13,AND($C35="Motorcycle",$D35=2),$E35*'EL '!C$14,AND($C35="Electric car",$D35=1),$E35*'EL '!C$16,AND($C35="Electric car",$D35=2),$E35*'EL '!C$17,AND($C35="Electric car",$D35=3),$E35*'EL '!C$18,AND($C35="Electric car",$D35=4),$E35*'EL '!C$19,AND($C35="Electric car",$D35=5),$E35*'EL '!C$20,AND($C35="Hybrid car",$D35=1),$E35*'EL '!C$22,AND($C35="Hybrid car",$D35=2),$E35*'EL '!C$23,AND($C35="Hybrid car",$D35=3),$E35*'EL '!C$24,AND($C35="Hybrid car",$D35=4),$E35*'EL '!C$25,AND($C35="Hybrid car",$D35=5),$E35*'EL '!C$26,AND($C35="Electric motorcycle",$D35=1),$E35*'EL '!C$28,AND($C35="Electric motorcycle",$D35=2),$E35*'EL '!C$29,AND($C35="Electric bike",$D35=1),$E35*'EL '!C$31,AND($C35="Electric scooter",$D35=1),$E35*'EL '!C$33,AND($C35="Bus",$D35="Almost empty"),$E35*'EL '!H$23,AND($C35="Bus",$D35="Average"),$E35*'EL '!H$24,AND($C35="Bus",$D35="Nearly full"),$E35*'EL '!H$25,AND($C35="Electric bus",$D35="Almost empty"),$E35*'EL '!H$7,AND($C35="Electric bus",$D35="Average"),$E35*'EL '!H$8,AND($C35="Electric bus",$D35="Nearly full"),$E35*'EL '!H$9,AND($C35="Diesel bus",$D35="Almost empty"),$E35*'EL '!H$19,AND($C35="Diesel bus",$D35="Average"),$E35*'EL '!H$20,AND($C35="Diesel bus",$D35="Nearly full"),$E35*'EL '!H$21,AND($C35="Hybrid-electric bus",$D35="Almost empty"),$E35*'EL '!H$11,AND($C35="Hybrid-electric bus",$D35="Average"),$E35*'EL '!H$12,AND($C35="Hybrid-electric bus",$D35="Nearly full"),$E35*'EL '!H$13,AND($C35="Alternative fuel bus",$D35="Almost empty"),$E35*'EL '!H$15,AND($C35="Alternative fuel bus",$D35="Average"),$E35*'EL '!H$16,AND($C35="Alternative fuel bus",$D35="Nearly full"),$E35*'EL '!H$17,AND($C35="Metro, tram, urban light train",$D35="Almost empty"),$E35*'EL '!C$35,AND($C35="Metro, tram, urban light train",$D35="Average"),$E35*'EL '!C$36,AND($C35="Metro, tram, urban light train",$D35="Nearly full"),$E35*'EL '!C$37,AND($C35="Electric passenger train",$D35="Almost empty"),$E35*'EL '!C$39,AND($C35="Electric passenger train",$D35="Average"),$E35*'EL '!C$40,AND($C35="Electric passenger train",$D35="Nearly full"),$E35*'EL '!C$41,AND($C35="Diesel passenger train",$D35="Almost empty"),$E35*'EL '!C$47,AND($C35="Diesel passenger train",$D35="Average"),$E35*'EL '!C$48,AND($C35="Diesel passenger train",$D35="Nearly full"),$E35*'EL '!C$49,AND($C35="Walking"),$E35*0,AND($C35="Bike"),$E35*0,AND($C35="Plane - domestic flight"),$E35*'EL '!$C59,AND($C35="Plane - international - intra EU"),$E35*'EL '!$C61,AND($C35="Plane - international (extra EU)"),$E35*'EL '!$C63)</f>
        <v>#N/A</v>
      </c>
      <c r="G35" s="31" t="e" cm="1">
        <f t="array" ref="G35">_xlfn.IFS(AND($C35="Fuel car",$D35=1),$E35*'EL '!D$7,AND($C35="Fuel car",$D35=2),$E35*'EL '!D$8,AND($C35="Fuel car",$D35=3),$E35*'EL '!D$9,AND($C35="Fuel car",$D35=4),$E35*'EL '!D$10,AND($C35="Fuel car",$D35=5),$E35*'EL '!D$11,AND($C35="Motorcycle",$D35=1),$E35*'EL '!D$13,AND($C35="Motorcycle",$D35=2),$E35*'EL '!D$14,AND($C35="Electric car",$D35=1),$E35*'EL '!D$16,AND($C35="Electric car",$D35=2),$E35*'EL '!D$17,AND($C35="Electric car",$D35=3),$E35*'EL '!D$18,AND($C35="Electric car",$D35=4),$E35*'EL '!D$19,AND($C35="Electric car",$D35=5),$E35*'EL '!D$20,AND($C35="Hybrid car",$D35=1),$E35*'EL '!D$22,AND($C35="Hybrid car",$D35=2),$E35*'EL '!D$23,AND($C35="Hybrid car",$D35=3),$E35*'EL '!D$24,AND($C35="Hybrid car",$D35=4),$E35*'EL '!D$25,AND($C35="Hybrid car",$D35=5),$E35*'EL '!D$26,AND($C35="Electric motorcycle",$D35=1),$E35*'EL '!D$28,AND($C35="Electric motorcycle",$D35=2),$E35*'EL '!D$29,AND($C35="Electric bike",$D35=1),$E35*'EL '!D$31,AND($C35="Electric scooter",$D35=1),$E35*'EL '!D$33,AND($C35="Bus",$D35="Almost empty"),$E35*'EL '!I$23,AND($C35="Bus",$D35="Average"),$E35*'EL '!I$24,AND($C35="Bus",$D35="Nearly full"),$E35*'EL '!I$25,AND($C35="Electric bus",$D35="Almost empty"),$E35*'EL '!I$7,AND($C35="Electric bus",$D35="Average"),$E35*'EL '!I$8,AND($C35="Electric bus",$D35="Nearly full"),$E35*'EL '!I$9,AND($C35="Diesel bus",$D35="Almost empty"),$E35*'EL '!I$19,AND($C35="Diesel bus",$D35="Average"),$E35*'EL '!I$20,AND($C35="Diesel bus",$D35="Nearly full"),$E35*'EL '!I$21,AND($C35="Hybrid-electric bus",$D35="Almost empty"),$E35*'EL '!I$11,AND($C35="Hybrid-electric bus",$D35="Average"),$E35*'EL '!I$12,AND($C35="Hybrid-electric bus",$D35="Nearly full"),$E35*'EL '!I$13,AND($C35="Alternative fuel bus",$D35="Almost empty"),$E35*'EL '!I$15,AND($C35="Alternative fuel bus",$D35="Average"),$E35*'EL '!I$16,AND($C35="Alternative fuel bus",$D35="Nearly full"),$E35*'EL '!I$17,AND($C35="Metro, tram, urban light train",$D35="Almost empty"),$E35*'EL '!D$35,AND($C35="Metro, tram, urban light train",$D35="Average"),$E35*'EL '!D$36,AND($C35="Metro, tram, urban light train",$D35="Nearly full"),$E35*'EL '!D$37,AND($C35="Electric passenger train",$D35="Almost empty"),$E35*'EL '!D$39,AND($C35="Electric passenger train",$D35="Average"),$E35*'EL '!D$40,AND($C35="Electric passenger train",$D35="Nearly full"),$E35*'EL '!D$41,AND($C35="Diesel passenger train",$D35="Almost empty"),$E35*'EL '!D$47,AND($C35="Diesel passenger train",$D35="Average"),$E35*'EL '!D$48,AND($C35="Diesel passenger train",$D35="Nearly full"),$E35*'EL '!D$49,AND($C35="Walking"),$E35*0,AND($C35="Bike"),$E35*0,AND($C35="Plane - domestic flight"),$E35*'EL '!$C59,AND($C35="Plane - international - intra EU"),$E35*'EL '!$C61,AND($C35="Plane - international (extra EU)"),$E35*'EL '!$C63)</f>
        <v>#N/A</v>
      </c>
      <c r="H35" s="145"/>
      <c r="I35" s="148">
        <f t="shared" si="6"/>
        <v>0</v>
      </c>
      <c r="J35" s="146" t="e" cm="1">
        <f t="array" ref="J35">_xlfn.IFS(C35="Fuel car",C35*DATA!$C$17,C35="Electric car",C35*DATA!$F$15,C35="Hybrid car",I35*(0.5*DATA!$C$17+0.5*DATA!$F$15))</f>
        <v>#N/A</v>
      </c>
      <c r="L35" s="223"/>
      <c r="M35" s="224"/>
      <c r="N35" s="225"/>
    </row>
    <row r="36" spans="1:14" ht="16" thickBot="1" x14ac:dyDescent="0.25">
      <c r="A36" s="222"/>
      <c r="B36" s="30"/>
      <c r="C36" s="15"/>
      <c r="D36" s="15"/>
      <c r="E36" s="125"/>
      <c r="F36" s="128" t="e" cm="1">
        <f t="array" ref="F36">_xlfn.IFS(AND($C36="Fuel car",$D36=1),$E36*'EL '!C$7,AND($C36="Fuel car",$D36=2),$E36*'EL '!C$8,AND($C36="Fuel car",$D36=3),$E36*'EL '!C$9,AND($C36="Fuel car",$D36=4),$E36*'EL '!C$10,AND($C36="Fuel car",$D36=5),$E36*'EL '!C$11,AND($C36="Motorcycle",$D36=1),$E36*'EL '!C$13,AND($C36="Motorcycle",$D36=2),$E36*'EL '!C$14,AND($C36="Electric car",$D36=1),$E36*'EL '!C$16,AND($C36="Electric car",$D36=2),$E36*'EL '!C$17,AND($C36="Electric car",$D36=3),$E36*'EL '!C$18,AND($C36="Electric car",$D36=4),$E36*'EL '!C$19,AND($C36="Electric car",$D36=5),$E36*'EL '!C$20,AND($C36="Hybrid car",$D36=1),$E36*'EL '!C$22,AND($C36="Hybrid car",$D36=2),$E36*'EL '!C$23,AND($C36="Hybrid car",$D36=3),$E36*'EL '!C$24,AND($C36="Hybrid car",$D36=4),$E36*'EL '!C$25,AND($C36="Hybrid car",$D36=5),$E36*'EL '!C$26,AND($C36="Electric motorcycle",$D36=1),$E36*'EL '!C$28,AND($C36="Electric motorcycle",$D36=2),$E36*'EL '!C$29,AND($C36="Electric bike",$D36=1),$E36*'EL '!C$31,AND($C36="Electric scooter",$D36=1),$E36*'EL '!C$33,AND($C36="Bus",$D36="Almost empty"),$E36*'EL '!H$23,AND($C36="Bus",$D36="Average"),$E36*'EL '!H$24,AND($C36="Bus",$D36="Nearly full"),$E36*'EL '!H$25,AND($C36="Electric bus",$D36="Almost empty"),$E36*'EL '!H$7,AND($C36="Electric bus",$D36="Average"),$E36*'EL '!H$8,AND($C36="Electric bus",$D36="Nearly full"),$E36*'EL '!H$9,AND($C36="Diesel bus",$D36="Almost empty"),$E36*'EL '!H$19,AND($C36="Diesel bus",$D36="Average"),$E36*'EL '!H$20,AND($C36="Diesel bus",$D36="Nearly full"),$E36*'EL '!H$21,AND($C36="Hybrid-electric bus",$D36="Almost empty"),$E36*'EL '!H$11,AND($C36="Hybrid-electric bus",$D36="Average"),$E36*'EL '!H$12,AND($C36="Hybrid-electric bus",$D36="Nearly full"),$E36*'EL '!H$13,AND($C36="Alternative fuel bus",$D36="Almost empty"),$E36*'EL '!H$15,AND($C36="Alternative fuel bus",$D36="Average"),$E36*'EL '!H$16,AND($C36="Alternative fuel bus",$D36="Nearly full"),$E36*'EL '!H$17,AND($C36="Metro, tram, urban light train",$D36="Almost empty"),$E36*'EL '!C$35,AND($C36="Metro, tram, urban light train",$D36="Average"),$E36*'EL '!C$36,AND($C36="Metro, tram, urban light train",$D36="Nearly full"),$E36*'EL '!C$37,AND($C36="Electric passenger train",$D36="Almost empty"),$E36*'EL '!C$39,AND($C36="Electric passenger train",$D36="Average"),$E36*'EL '!C$40,AND($C36="Electric passenger train",$D36="Nearly full"),$E36*'EL '!C$41,AND($C36="Diesel passenger train",$D36="Almost empty"),$E36*'EL '!C$47,AND($C36="Diesel passenger train",$D36="Average"),$E36*'EL '!C$48,AND($C36="Diesel passenger train",$D36="Nearly full"),$E36*'EL '!C$49,AND($C36="Walking"),$E36*0,AND($C36="Bike"),$E36*0,AND($C36="Plane - domestic flight"),$E36*'EL '!$C60,AND($C36="Plane - international - intra EU"),$E36*'EL '!$C62,AND($C36="Plane - international (extra EU)"),$E36*'EL '!$C64)</f>
        <v>#N/A</v>
      </c>
      <c r="G36" s="31" t="e" cm="1">
        <f t="array" ref="G36">_xlfn.IFS(AND($C36="Fuel car",$D36=1),$E36*'EL '!D$7,AND($C36="Fuel car",$D36=2),$E36*'EL '!D$8,AND($C36="Fuel car",$D36=3),$E36*'EL '!D$9,AND($C36="Fuel car",$D36=4),$E36*'EL '!D$10,AND($C36="Fuel car",$D36=5),$E36*'EL '!D$11,AND($C36="Motorcycle",$D36=1),$E36*'EL '!D$13,AND($C36="Motorcycle",$D36=2),$E36*'EL '!D$14,AND($C36="Electric car",$D36=1),$E36*'EL '!D$16,AND($C36="Electric car",$D36=2),$E36*'EL '!D$17,AND($C36="Electric car",$D36=3),$E36*'EL '!D$18,AND($C36="Electric car",$D36=4),$E36*'EL '!D$19,AND($C36="Electric car",$D36=5),$E36*'EL '!D$20,AND($C36="Hybrid car",$D36=1),$E36*'EL '!D$22,AND($C36="Hybrid car",$D36=2),$E36*'EL '!D$23,AND($C36="Hybrid car",$D36=3),$E36*'EL '!D$24,AND($C36="Hybrid car",$D36=4),$E36*'EL '!D$25,AND($C36="Hybrid car",$D36=5),$E36*'EL '!D$26,AND($C36="Electric motorcycle",$D36=1),$E36*'EL '!D$28,AND($C36="Electric motorcycle",$D36=2),$E36*'EL '!D$29,AND($C36="Electric bike",$D36=1),$E36*'EL '!D$31,AND($C36="Electric scooter",$D36=1),$E36*'EL '!D$33,AND($C36="Bus",$D36="Almost empty"),$E36*'EL '!I$23,AND($C36="Bus",$D36="Average"),$E36*'EL '!I$24,AND($C36="Bus",$D36="Nearly full"),$E36*'EL '!I$25,AND($C36="Electric bus",$D36="Almost empty"),$E36*'EL '!I$7,AND($C36="Electric bus",$D36="Average"),$E36*'EL '!I$8,AND($C36="Electric bus",$D36="Nearly full"),$E36*'EL '!I$9,AND($C36="Diesel bus",$D36="Almost empty"),$E36*'EL '!I$19,AND($C36="Diesel bus",$D36="Average"),$E36*'EL '!I$20,AND($C36="Diesel bus",$D36="Nearly full"),$E36*'EL '!I$21,AND($C36="Hybrid-electric bus",$D36="Almost empty"),$E36*'EL '!I$11,AND($C36="Hybrid-electric bus",$D36="Average"),$E36*'EL '!I$12,AND($C36="Hybrid-electric bus",$D36="Nearly full"),$E36*'EL '!I$13,AND($C36="Alternative fuel bus",$D36="Almost empty"),$E36*'EL '!I$15,AND($C36="Alternative fuel bus",$D36="Average"),$E36*'EL '!I$16,AND($C36="Alternative fuel bus",$D36="Nearly full"),$E36*'EL '!I$17,AND($C36="Metro, tram, urban light train",$D36="Almost empty"),$E36*'EL '!D$35,AND($C36="Metro, tram, urban light train",$D36="Average"),$E36*'EL '!D$36,AND($C36="Metro, tram, urban light train",$D36="Nearly full"),$E36*'EL '!D$37,AND($C36="Electric passenger train",$D36="Almost empty"),$E36*'EL '!D$39,AND($C36="Electric passenger train",$D36="Average"),$E36*'EL '!D$40,AND($C36="Electric passenger train",$D36="Nearly full"),$E36*'EL '!D$41,AND($C36="Diesel passenger train",$D36="Almost empty"),$E36*'EL '!D$47,AND($C36="Diesel passenger train",$D36="Average"),$E36*'EL '!D$48,AND($C36="Diesel passenger train",$D36="Nearly full"),$E36*'EL '!D$49,AND($C36="Walking"),$E36*0,AND($C36="Bike"),$E36*0,AND($C36="Plane - domestic flight"),$E36*'EL '!$C60,AND($C36="Plane - international - intra EU"),$E36*'EL '!$C62,AND($C36="Plane - international (extra EU)"),$E36*'EL '!$C64)</f>
        <v>#N/A</v>
      </c>
      <c r="H36" s="145"/>
      <c r="I36" s="148">
        <f t="shared" si="6"/>
        <v>0</v>
      </c>
      <c r="J36" s="146" t="e" cm="1">
        <f t="array" ref="J36">_xlfn.IFS(C36="Fuel car",C36*DATA!$C$17,C36="Electric car",C36*DATA!$F$15,C36="Hybrid car",I36*(0.5*DATA!$C$17+0.5*DATA!$F$15))</f>
        <v>#N/A</v>
      </c>
      <c r="L36" s="218"/>
      <c r="M36" s="219"/>
      <c r="N36" s="220"/>
    </row>
    <row r="37" spans="1:14" ht="14.5" customHeight="1" x14ac:dyDescent="0.2">
      <c r="A37" s="222"/>
      <c r="B37" s="30"/>
      <c r="C37" s="15"/>
      <c r="D37" s="15"/>
      <c r="E37" s="125"/>
      <c r="F37" s="128" t="e" cm="1">
        <f t="array" ref="F37">_xlfn.IFS(AND($C37="Fuel car",$D37=1),$E37*'EL '!C$7,AND($C37="Fuel car",$D37=2),$E37*'EL '!C$8,AND($C37="Fuel car",$D37=3),$E37*'EL '!C$9,AND($C37="Fuel car",$D37=4),$E37*'EL '!C$10,AND($C37="Fuel car",$D37=5),$E37*'EL '!C$11,AND($C37="Motorcycle",$D37=1),$E37*'EL '!C$13,AND($C37="Motorcycle",$D37=2),$E37*'EL '!C$14,AND($C37="Electric car",$D37=1),$E37*'EL '!C$16,AND($C37="Electric car",$D37=2),$E37*'EL '!C$17,AND($C37="Electric car",$D37=3),$E37*'EL '!C$18,AND($C37="Electric car",$D37=4),$E37*'EL '!C$19,AND($C37="Electric car",$D37=5),$E37*'EL '!C$20,AND($C37="Hybrid car",$D37=1),$E37*'EL '!C$22,AND($C37="Hybrid car",$D37=2),$E37*'EL '!C$23,AND($C37="Hybrid car",$D37=3),$E37*'EL '!C$24,AND($C37="Hybrid car",$D37=4),$E37*'EL '!C$25,AND($C37="Hybrid car",$D37=5),$E37*'EL '!C$26,AND($C37="Electric motorcycle",$D37=1),$E37*'EL '!C$28,AND($C37="Electric motorcycle",$D37=2),$E37*'EL '!C$29,AND($C37="Electric bike",$D37=1),$E37*'EL '!C$31,AND($C37="Electric scooter",$D37=1),$E37*'EL '!C$33,AND($C37="Bus",$D37="Almost empty"),$E37*'EL '!H$23,AND($C37="Bus",$D37="Average"),$E37*'EL '!H$24,AND($C37="Bus",$D37="Nearly full"),$E37*'EL '!H$25,AND($C37="Electric bus",$D37="Almost empty"),$E37*'EL '!H$7,AND($C37="Electric bus",$D37="Average"),$E37*'EL '!H$8,AND($C37="Electric bus",$D37="Nearly full"),$E37*'EL '!H$9,AND($C37="Diesel bus",$D37="Almost empty"),$E37*'EL '!H$19,AND($C37="Diesel bus",$D37="Average"),$E37*'EL '!H$20,AND($C37="Diesel bus",$D37="Nearly full"),$E37*'EL '!H$21,AND($C37="Hybrid-electric bus",$D37="Almost empty"),$E37*'EL '!H$11,AND($C37="Hybrid-electric bus",$D37="Average"),$E37*'EL '!H$12,AND($C37="Hybrid-electric bus",$D37="Nearly full"),$E37*'EL '!H$13,AND($C37="Alternative fuel bus",$D37="Almost empty"),$E37*'EL '!H$15,AND($C37="Alternative fuel bus",$D37="Average"),$E37*'EL '!H$16,AND($C37="Alternative fuel bus",$D37="Nearly full"),$E37*'EL '!H$17,AND($C37="Metro, tram, urban light train",$D37="Almost empty"),$E37*'EL '!C$35,AND($C37="Metro, tram, urban light train",$D37="Average"),$E37*'EL '!C$36,AND($C37="Metro, tram, urban light train",$D37="Nearly full"),$E37*'EL '!C$37,AND($C37="Electric passenger train",$D37="Almost empty"),$E37*'EL '!C$39,AND($C37="Electric passenger train",$D37="Average"),$E37*'EL '!C$40,AND($C37="Electric passenger train",$D37="Nearly full"),$E37*'EL '!C$41,AND($C37="Diesel passenger train",$D37="Almost empty"),$E37*'EL '!C$47,AND($C37="Diesel passenger train",$D37="Average"),$E37*'EL '!C$48,AND($C37="Diesel passenger train",$D37="Nearly full"),$E37*'EL '!C$49,AND($C37="Walking"),$E37*0,AND($C37="Bike"),$E37*0,AND($C37="Plane - domestic flight"),$E37*'EL '!$C61,AND($C37="Plane - international - intra EU"),$E37*'EL '!$C63,AND($C37="Plane - international (extra EU)"),$E37*'EL '!$C65)</f>
        <v>#N/A</v>
      </c>
      <c r="G37" s="31" t="e" cm="1">
        <f t="array" ref="G37">_xlfn.IFS(AND($C37="Fuel car",$D37=1),$E37*'EL '!D$7,AND($C37="Fuel car",$D37=2),$E37*'EL '!D$8,AND($C37="Fuel car",$D37=3),$E37*'EL '!D$9,AND($C37="Fuel car",$D37=4),$E37*'EL '!D$10,AND($C37="Fuel car",$D37=5),$E37*'EL '!D$11,AND($C37="Motorcycle",$D37=1),$E37*'EL '!D$13,AND($C37="Motorcycle",$D37=2),$E37*'EL '!D$14,AND($C37="Electric car",$D37=1),$E37*'EL '!D$16,AND($C37="Electric car",$D37=2),$E37*'EL '!D$17,AND($C37="Electric car",$D37=3),$E37*'EL '!D$18,AND($C37="Electric car",$D37=4),$E37*'EL '!D$19,AND($C37="Electric car",$D37=5),$E37*'EL '!D$20,AND($C37="Hybrid car",$D37=1),$E37*'EL '!D$22,AND($C37="Hybrid car",$D37=2),$E37*'EL '!D$23,AND($C37="Hybrid car",$D37=3),$E37*'EL '!D$24,AND($C37="Hybrid car",$D37=4),$E37*'EL '!D$25,AND($C37="Hybrid car",$D37=5),$E37*'EL '!D$26,AND($C37="Electric motorcycle",$D37=1),$E37*'EL '!D$28,AND($C37="Electric motorcycle",$D37=2),$E37*'EL '!D$29,AND($C37="Electric bike",$D37=1),$E37*'EL '!D$31,AND($C37="Electric scooter",$D37=1),$E37*'EL '!D$33,AND($C37="Bus",$D37="Almost empty"),$E37*'EL '!I$23,AND($C37="Bus",$D37="Average"),$E37*'EL '!I$24,AND($C37="Bus",$D37="Nearly full"),$E37*'EL '!I$25,AND($C37="Electric bus",$D37="Almost empty"),$E37*'EL '!I$7,AND($C37="Electric bus",$D37="Average"),$E37*'EL '!I$8,AND($C37="Electric bus",$D37="Nearly full"),$E37*'EL '!I$9,AND($C37="Diesel bus",$D37="Almost empty"),$E37*'EL '!I$19,AND($C37="Diesel bus",$D37="Average"),$E37*'EL '!I$20,AND($C37="Diesel bus",$D37="Nearly full"),$E37*'EL '!I$21,AND($C37="Hybrid-electric bus",$D37="Almost empty"),$E37*'EL '!I$11,AND($C37="Hybrid-electric bus",$D37="Average"),$E37*'EL '!I$12,AND($C37="Hybrid-electric bus",$D37="Nearly full"),$E37*'EL '!I$13,AND($C37="Alternative fuel bus",$D37="Almost empty"),$E37*'EL '!I$15,AND($C37="Alternative fuel bus",$D37="Average"),$E37*'EL '!I$16,AND($C37="Alternative fuel bus",$D37="Nearly full"),$E37*'EL '!I$17,AND($C37="Metro, tram, urban light train",$D37="Almost empty"),$E37*'EL '!D$35,AND($C37="Metro, tram, urban light train",$D37="Average"),$E37*'EL '!D$36,AND($C37="Metro, tram, urban light train",$D37="Nearly full"),$E37*'EL '!D$37,AND($C37="Electric passenger train",$D37="Almost empty"),$E37*'EL '!D$39,AND($C37="Electric passenger train",$D37="Average"),$E37*'EL '!D$40,AND($C37="Electric passenger train",$D37="Nearly full"),$E37*'EL '!D$41,AND($C37="Diesel passenger train",$D37="Almost empty"),$E37*'EL '!D$47,AND($C37="Diesel passenger train",$D37="Average"),$E37*'EL '!D$48,AND($C37="Diesel passenger train",$D37="Nearly full"),$E37*'EL '!D$49,AND($C37="Walking"),$E37*0,AND($C37="Bike"),$E37*0,AND($C37="Plane - domestic flight"),$E37*'EL '!$C61,AND($C37="Plane - international - intra EU"),$E37*'EL '!$C63,AND($C37="Plane - international (extra EU)"),$E37*'EL '!$C65)</f>
        <v>#N/A</v>
      </c>
      <c r="H37" s="145"/>
      <c r="I37" s="148">
        <f t="shared" si="6"/>
        <v>0</v>
      </c>
      <c r="J37" s="146" t="e" cm="1">
        <f t="array" ref="J37">_xlfn.IFS(C37="Fuel car",C37*DATA!$C$17,C37="Electric car",C37*DATA!$F$15,C37="Hybrid car",I37*(0.5*DATA!$C$17+0.5*DATA!$F$15))</f>
        <v>#N/A</v>
      </c>
      <c r="L37" s="215" t="s">
        <v>79</v>
      </c>
      <c r="M37" s="216"/>
      <c r="N37" s="217"/>
    </row>
    <row r="38" spans="1:14" ht="16" thickBot="1" x14ac:dyDescent="0.25">
      <c r="A38" s="222"/>
      <c r="B38" s="30"/>
      <c r="C38" s="15"/>
      <c r="D38" s="15"/>
      <c r="E38" s="125"/>
      <c r="F38" s="128" t="e" cm="1">
        <f t="array" ref="F38">_xlfn.IFS(AND($C38="Fuel car",$D38=1),$E38*'EL '!C$7,AND($C38="Fuel car",$D38=2),$E38*'EL '!C$8,AND($C38="Fuel car",$D38=3),$E38*'EL '!C$9,AND($C38="Fuel car",$D38=4),$E38*'EL '!C$10,AND($C38="Fuel car",$D38=5),$E38*'EL '!C$11,AND($C38="Motorcycle",$D38=1),$E38*'EL '!C$13,AND($C38="Motorcycle",$D38=2),$E38*'EL '!C$14,AND($C38="Electric car",$D38=1),$E38*'EL '!C$16,AND($C38="Electric car",$D38=2),$E38*'EL '!C$17,AND($C38="Electric car",$D38=3),$E38*'EL '!C$18,AND($C38="Electric car",$D38=4),$E38*'EL '!C$19,AND($C38="Electric car",$D38=5),$E38*'EL '!C$20,AND($C38="Hybrid car",$D38=1),$E38*'EL '!C$22,AND($C38="Hybrid car",$D38=2),$E38*'EL '!C$23,AND($C38="Hybrid car",$D38=3),$E38*'EL '!C$24,AND($C38="Hybrid car",$D38=4),$E38*'EL '!C$25,AND($C38="Hybrid car",$D38=5),$E38*'EL '!C$26,AND($C38="Electric motorcycle",$D38=1),$E38*'EL '!C$28,AND($C38="Electric motorcycle",$D38=2),$E38*'EL '!C$29,AND($C38="Electric bike",$D38=1),$E38*'EL '!C$31,AND($C38="Electric scooter",$D38=1),$E38*'EL '!C$33,AND($C38="Bus",$D38="Almost empty"),$E38*'EL '!H$23,AND($C38="Bus",$D38="Average"),$E38*'EL '!H$24,AND($C38="Bus",$D38="Nearly full"),$E38*'EL '!H$25,AND($C38="Electric bus",$D38="Almost empty"),$E38*'EL '!H$7,AND($C38="Electric bus",$D38="Average"),$E38*'EL '!H$8,AND($C38="Electric bus",$D38="Nearly full"),$E38*'EL '!H$9,AND($C38="Diesel bus",$D38="Almost empty"),$E38*'EL '!H$19,AND($C38="Diesel bus",$D38="Average"),$E38*'EL '!H$20,AND($C38="Diesel bus",$D38="Nearly full"),$E38*'EL '!H$21,AND($C38="Hybrid-electric bus",$D38="Almost empty"),$E38*'EL '!H$11,AND($C38="Hybrid-electric bus",$D38="Average"),$E38*'EL '!H$12,AND($C38="Hybrid-electric bus",$D38="Nearly full"),$E38*'EL '!H$13,AND($C38="Alternative fuel bus",$D38="Almost empty"),$E38*'EL '!H$15,AND($C38="Alternative fuel bus",$D38="Average"),$E38*'EL '!H$16,AND($C38="Alternative fuel bus",$D38="Nearly full"),$E38*'EL '!H$17,AND($C38="Metro, tram, urban light train",$D38="Almost empty"),$E38*'EL '!C$35,AND($C38="Metro, tram, urban light train",$D38="Average"),$E38*'EL '!C$36,AND($C38="Metro, tram, urban light train",$D38="Nearly full"),$E38*'EL '!C$37,AND($C38="Electric passenger train",$D38="Almost empty"),$E38*'EL '!C$39,AND($C38="Electric passenger train",$D38="Average"),$E38*'EL '!C$40,AND($C38="Electric passenger train",$D38="Nearly full"),$E38*'EL '!C$41,AND($C38="Diesel passenger train",$D38="Almost empty"),$E38*'EL '!C$47,AND($C38="Diesel passenger train",$D38="Average"),$E38*'EL '!C$48,AND($C38="Diesel passenger train",$D38="Nearly full"),$E38*'EL '!C$49,AND($C38="Walking"),$E38*0,AND($C38="Bike"),$E38*0,AND($C38="Plane - domestic flight"),$E38*'EL '!$C62,AND($C38="Plane - international - intra EU"),$E38*'EL '!$C64,AND($C38="Plane - international (extra EU)"),$E38*'EL '!$C66)</f>
        <v>#N/A</v>
      </c>
      <c r="G38" s="31" t="e" cm="1">
        <f t="array" ref="G38">_xlfn.IFS(AND($C38="Fuel car",$D38=1),$E38*'EL '!D$7,AND($C38="Fuel car",$D38=2),$E38*'EL '!D$8,AND($C38="Fuel car",$D38=3),$E38*'EL '!D$9,AND($C38="Fuel car",$D38=4),$E38*'EL '!D$10,AND($C38="Fuel car",$D38=5),$E38*'EL '!D$11,AND($C38="Motorcycle",$D38=1),$E38*'EL '!D$13,AND($C38="Motorcycle",$D38=2),$E38*'EL '!D$14,AND($C38="Electric car",$D38=1),$E38*'EL '!D$16,AND($C38="Electric car",$D38=2),$E38*'EL '!D$17,AND($C38="Electric car",$D38=3),$E38*'EL '!D$18,AND($C38="Electric car",$D38=4),$E38*'EL '!D$19,AND($C38="Electric car",$D38=5),$E38*'EL '!D$20,AND($C38="Hybrid car",$D38=1),$E38*'EL '!D$22,AND($C38="Hybrid car",$D38=2),$E38*'EL '!D$23,AND($C38="Hybrid car",$D38=3),$E38*'EL '!D$24,AND($C38="Hybrid car",$D38=4),$E38*'EL '!D$25,AND($C38="Hybrid car",$D38=5),$E38*'EL '!D$26,AND($C38="Electric motorcycle",$D38=1),$E38*'EL '!D$28,AND($C38="Electric motorcycle",$D38=2),$E38*'EL '!D$29,AND($C38="Electric bike",$D38=1),$E38*'EL '!D$31,AND($C38="Electric scooter",$D38=1),$E38*'EL '!D$33,AND($C38="Bus",$D38="Almost empty"),$E38*'EL '!I$23,AND($C38="Bus",$D38="Average"),$E38*'EL '!I$24,AND($C38="Bus",$D38="Nearly full"),$E38*'EL '!I$25,AND($C38="Electric bus",$D38="Almost empty"),$E38*'EL '!I$7,AND($C38="Electric bus",$D38="Average"),$E38*'EL '!I$8,AND($C38="Electric bus",$D38="Nearly full"),$E38*'EL '!I$9,AND($C38="Diesel bus",$D38="Almost empty"),$E38*'EL '!I$19,AND($C38="Diesel bus",$D38="Average"),$E38*'EL '!I$20,AND($C38="Diesel bus",$D38="Nearly full"),$E38*'EL '!I$21,AND($C38="Hybrid-electric bus",$D38="Almost empty"),$E38*'EL '!I$11,AND($C38="Hybrid-electric bus",$D38="Average"),$E38*'EL '!I$12,AND($C38="Hybrid-electric bus",$D38="Nearly full"),$E38*'EL '!I$13,AND($C38="Alternative fuel bus",$D38="Almost empty"),$E38*'EL '!I$15,AND($C38="Alternative fuel bus",$D38="Average"),$E38*'EL '!I$16,AND($C38="Alternative fuel bus",$D38="Nearly full"),$E38*'EL '!I$17,AND($C38="Metro, tram, urban light train",$D38="Almost empty"),$E38*'EL '!D$35,AND($C38="Metro, tram, urban light train",$D38="Average"),$E38*'EL '!D$36,AND($C38="Metro, tram, urban light train",$D38="Nearly full"),$E38*'EL '!D$37,AND($C38="Electric passenger train",$D38="Almost empty"),$E38*'EL '!D$39,AND($C38="Electric passenger train",$D38="Average"),$E38*'EL '!D$40,AND($C38="Electric passenger train",$D38="Nearly full"),$E38*'EL '!D$41,AND($C38="Diesel passenger train",$D38="Almost empty"),$E38*'EL '!D$47,AND($C38="Diesel passenger train",$D38="Average"),$E38*'EL '!D$48,AND($C38="Diesel passenger train",$D38="Nearly full"),$E38*'EL '!D$49,AND($C38="Walking"),$E38*0,AND($C38="Bike"),$E38*0,AND($C38="Plane - domestic flight"),$E38*'EL '!$C62,AND($C38="Plane - international - intra EU"),$E38*'EL '!$C64,AND($C38="Plane - international (extra EU)"),$E38*'EL '!$C66)</f>
        <v>#N/A</v>
      </c>
      <c r="H38" s="145"/>
      <c r="I38" s="148">
        <f t="shared" si="6"/>
        <v>0</v>
      </c>
      <c r="J38" s="146" t="e" cm="1">
        <f t="array" ref="J38">_xlfn.IFS(C38="Fuel car",C38*DATA!$C$17,C38="Electric car",C38*DATA!$F$15,C38="Hybrid car",I38*(0.5*DATA!$C$17+0.5*DATA!$F$15))</f>
        <v>#N/A</v>
      </c>
      <c r="L38" s="218"/>
      <c r="M38" s="219"/>
      <c r="N38" s="220"/>
    </row>
    <row r="39" spans="1:14" ht="14.5" customHeight="1" x14ac:dyDescent="0.2">
      <c r="A39" s="222"/>
      <c r="B39" s="30"/>
      <c r="C39" s="15"/>
      <c r="D39" s="15"/>
      <c r="E39" s="125"/>
      <c r="F39" s="128" t="e" cm="1">
        <f t="array" ref="F39">_xlfn.IFS(AND($C39="Fuel car",$D39=1),$E39*'EL '!C$7,AND($C39="Fuel car",$D39=2),$E39*'EL '!C$8,AND($C39="Fuel car",$D39=3),$E39*'EL '!C$9,AND($C39="Fuel car",$D39=4),$E39*'EL '!C$10,AND($C39="Fuel car",$D39=5),$E39*'EL '!C$11,AND($C39="Motorcycle",$D39=1),$E39*'EL '!C$13,AND($C39="Motorcycle",$D39=2),$E39*'EL '!C$14,AND($C39="Electric car",$D39=1),$E39*'EL '!C$16,AND($C39="Electric car",$D39=2),$E39*'EL '!C$17,AND($C39="Electric car",$D39=3),$E39*'EL '!C$18,AND($C39="Electric car",$D39=4),$E39*'EL '!C$19,AND($C39="Electric car",$D39=5),$E39*'EL '!C$20,AND($C39="Hybrid car",$D39=1),$E39*'EL '!C$22,AND($C39="Hybrid car",$D39=2),$E39*'EL '!C$23,AND($C39="Hybrid car",$D39=3),$E39*'EL '!C$24,AND($C39="Hybrid car",$D39=4),$E39*'EL '!C$25,AND($C39="Hybrid car",$D39=5),$E39*'EL '!C$26,AND($C39="Electric motorcycle",$D39=1),$E39*'EL '!C$28,AND($C39="Electric motorcycle",$D39=2),$E39*'EL '!C$29,AND($C39="Electric bike",$D39=1),$E39*'EL '!C$31,AND($C39="Electric scooter",$D39=1),$E39*'EL '!C$33,AND($C39="Bus",$D39="Almost empty"),$E39*'EL '!H$23,AND($C39="Bus",$D39="Average"),$E39*'EL '!H$24,AND($C39="Bus",$D39="Nearly full"),$E39*'EL '!H$25,AND($C39="Electric bus",$D39="Almost empty"),$E39*'EL '!H$7,AND($C39="Electric bus",$D39="Average"),$E39*'EL '!H$8,AND($C39="Electric bus",$D39="Nearly full"),$E39*'EL '!H$9,AND($C39="Diesel bus",$D39="Almost empty"),$E39*'EL '!H$19,AND($C39="Diesel bus",$D39="Average"),$E39*'EL '!H$20,AND($C39="Diesel bus",$D39="Nearly full"),$E39*'EL '!H$21,AND($C39="Hybrid-electric bus",$D39="Almost empty"),$E39*'EL '!H$11,AND($C39="Hybrid-electric bus",$D39="Average"),$E39*'EL '!H$12,AND($C39="Hybrid-electric bus",$D39="Nearly full"),$E39*'EL '!H$13,AND($C39="Alternative fuel bus",$D39="Almost empty"),$E39*'EL '!H$15,AND($C39="Alternative fuel bus",$D39="Average"),$E39*'EL '!H$16,AND($C39="Alternative fuel bus",$D39="Nearly full"),$E39*'EL '!H$17,AND($C39="Metro, tram, urban light train",$D39="Almost empty"),$E39*'EL '!C$35,AND($C39="Metro, tram, urban light train",$D39="Average"),$E39*'EL '!C$36,AND($C39="Metro, tram, urban light train",$D39="Nearly full"),$E39*'EL '!C$37,AND($C39="Electric passenger train",$D39="Almost empty"),$E39*'EL '!C$39,AND($C39="Electric passenger train",$D39="Average"),$E39*'EL '!C$40,AND($C39="Electric passenger train",$D39="Nearly full"),$E39*'EL '!C$41,AND($C39="Diesel passenger train",$D39="Almost empty"),$E39*'EL '!C$47,AND($C39="Diesel passenger train",$D39="Average"),$E39*'EL '!C$48,AND($C39="Diesel passenger train",$D39="Nearly full"),$E39*'EL '!C$49,AND($C39="Walking"),$E39*0,AND($C39="Bike"),$E39*0,AND($C39="Plane - domestic flight"),$E39*'EL '!$C63,AND($C39="Plane - international - intra EU"),$E39*'EL '!$C65,AND($C39="Plane - international (extra EU)"),$E39*'EL '!$C67)</f>
        <v>#N/A</v>
      </c>
      <c r="G39" s="31" t="e" cm="1">
        <f t="array" ref="G39">_xlfn.IFS(AND($C39="Fuel car",$D39=1),$E39*'EL '!D$7,AND($C39="Fuel car",$D39=2),$E39*'EL '!D$8,AND($C39="Fuel car",$D39=3),$E39*'EL '!D$9,AND($C39="Fuel car",$D39=4),$E39*'EL '!D$10,AND($C39="Fuel car",$D39=5),$E39*'EL '!D$11,AND($C39="Motorcycle",$D39=1),$E39*'EL '!D$13,AND($C39="Motorcycle",$D39=2),$E39*'EL '!D$14,AND($C39="Electric car",$D39=1),$E39*'EL '!D$16,AND($C39="Electric car",$D39=2),$E39*'EL '!D$17,AND($C39="Electric car",$D39=3),$E39*'EL '!D$18,AND($C39="Electric car",$D39=4),$E39*'EL '!D$19,AND($C39="Electric car",$D39=5),$E39*'EL '!D$20,AND($C39="Hybrid car",$D39=1),$E39*'EL '!D$22,AND($C39="Hybrid car",$D39=2),$E39*'EL '!D$23,AND($C39="Hybrid car",$D39=3),$E39*'EL '!D$24,AND($C39="Hybrid car",$D39=4),$E39*'EL '!D$25,AND($C39="Hybrid car",$D39=5),$E39*'EL '!D$26,AND($C39="Electric motorcycle",$D39=1),$E39*'EL '!D$28,AND($C39="Electric motorcycle",$D39=2),$E39*'EL '!D$29,AND($C39="Electric bike",$D39=1),$E39*'EL '!D$31,AND($C39="Electric scooter",$D39=1),$E39*'EL '!D$33,AND($C39="Bus",$D39="Almost empty"),$E39*'EL '!I$23,AND($C39="Bus",$D39="Average"),$E39*'EL '!I$24,AND($C39="Bus",$D39="Nearly full"),$E39*'EL '!I$25,AND($C39="Electric bus",$D39="Almost empty"),$E39*'EL '!I$7,AND($C39="Electric bus",$D39="Average"),$E39*'EL '!I$8,AND($C39="Electric bus",$D39="Nearly full"),$E39*'EL '!I$9,AND($C39="Diesel bus",$D39="Almost empty"),$E39*'EL '!I$19,AND($C39="Diesel bus",$D39="Average"),$E39*'EL '!I$20,AND($C39="Diesel bus",$D39="Nearly full"),$E39*'EL '!I$21,AND($C39="Hybrid-electric bus",$D39="Almost empty"),$E39*'EL '!I$11,AND($C39="Hybrid-electric bus",$D39="Average"),$E39*'EL '!I$12,AND($C39="Hybrid-electric bus",$D39="Nearly full"),$E39*'EL '!I$13,AND($C39="Alternative fuel bus",$D39="Almost empty"),$E39*'EL '!I$15,AND($C39="Alternative fuel bus",$D39="Average"),$E39*'EL '!I$16,AND($C39="Alternative fuel bus",$D39="Nearly full"),$E39*'EL '!I$17,AND($C39="Metro, tram, urban light train",$D39="Almost empty"),$E39*'EL '!D$35,AND($C39="Metro, tram, urban light train",$D39="Average"),$E39*'EL '!D$36,AND($C39="Metro, tram, urban light train",$D39="Nearly full"),$E39*'EL '!D$37,AND($C39="Electric passenger train",$D39="Almost empty"),$E39*'EL '!D$39,AND($C39="Electric passenger train",$D39="Average"),$E39*'EL '!D$40,AND($C39="Electric passenger train",$D39="Nearly full"),$E39*'EL '!D$41,AND($C39="Diesel passenger train",$D39="Almost empty"),$E39*'EL '!D$47,AND($C39="Diesel passenger train",$D39="Average"),$E39*'EL '!D$48,AND($C39="Diesel passenger train",$D39="Nearly full"),$E39*'EL '!D$49,AND($C39="Walking"),$E39*0,AND($C39="Bike"),$E39*0,AND($C39="Plane - domestic flight"),$E39*'EL '!$C63,AND($C39="Plane - international - intra EU"),$E39*'EL '!$C65,AND($C39="Plane - international (extra EU)"),$E39*'EL '!$C67)</f>
        <v>#N/A</v>
      </c>
      <c r="H39" s="145"/>
      <c r="I39" s="148">
        <f t="shared" si="6"/>
        <v>0</v>
      </c>
      <c r="J39" s="146" t="e" cm="1">
        <f t="array" ref="J39">_xlfn.IFS(C39="Fuel car",C39*DATA!$C$17,C39="Electric car",C39*DATA!$F$15,C39="Hybrid car",I39*(0.5*DATA!$C$17+0.5*DATA!$F$15))</f>
        <v>#N/A</v>
      </c>
      <c r="L39" s="226" t="s">
        <v>80</v>
      </c>
      <c r="M39" s="227"/>
      <c r="N39" s="228"/>
    </row>
    <row r="40" spans="1:14" x14ac:dyDescent="0.2">
      <c r="A40" s="222"/>
      <c r="B40" s="30"/>
      <c r="C40" s="15"/>
      <c r="D40" s="15"/>
      <c r="E40" s="125"/>
      <c r="F40" s="128" t="e" cm="1">
        <f t="array" ref="F40">_xlfn.IFS(AND($C40="Fuel car",$D40=1),$E40*'EL '!C$7,AND($C40="Fuel car",$D40=2),$E40*'EL '!C$8,AND($C40="Fuel car",$D40=3),$E40*'EL '!C$9,AND($C40="Fuel car",$D40=4),$E40*'EL '!C$10,AND($C40="Fuel car",$D40=5),$E40*'EL '!C$11,AND($C40="Motorcycle",$D40=1),$E40*'EL '!C$13,AND($C40="Motorcycle",$D40=2),$E40*'EL '!C$14,AND($C40="Electric car",$D40=1),$E40*'EL '!C$16,AND($C40="Electric car",$D40=2),$E40*'EL '!C$17,AND($C40="Electric car",$D40=3),$E40*'EL '!C$18,AND($C40="Electric car",$D40=4),$E40*'EL '!C$19,AND($C40="Electric car",$D40=5),$E40*'EL '!C$20,AND($C40="Hybrid car",$D40=1),$E40*'EL '!C$22,AND($C40="Hybrid car",$D40=2),$E40*'EL '!C$23,AND($C40="Hybrid car",$D40=3),$E40*'EL '!C$24,AND($C40="Hybrid car",$D40=4),$E40*'EL '!C$25,AND($C40="Hybrid car",$D40=5),$E40*'EL '!C$26,AND($C40="Electric motorcycle",$D40=1),$E40*'EL '!C$28,AND($C40="Electric motorcycle",$D40=2),$E40*'EL '!C$29,AND($C40="Electric bike",$D40=1),$E40*'EL '!C$31,AND($C40="Electric scooter",$D40=1),$E40*'EL '!C$33,AND($C40="Bus",$D40="Almost empty"),$E40*'EL '!H$23,AND($C40="Bus",$D40="Average"),$E40*'EL '!H$24,AND($C40="Bus",$D40="Nearly full"),$E40*'EL '!H$25,AND($C40="Electric bus",$D40="Almost empty"),$E40*'EL '!H$7,AND($C40="Electric bus",$D40="Average"),$E40*'EL '!H$8,AND($C40="Electric bus",$D40="Nearly full"),$E40*'EL '!H$9,AND($C40="Diesel bus",$D40="Almost empty"),$E40*'EL '!H$19,AND($C40="Diesel bus",$D40="Average"),$E40*'EL '!H$20,AND($C40="Diesel bus",$D40="Nearly full"),$E40*'EL '!H$21,AND($C40="Hybrid-electric bus",$D40="Almost empty"),$E40*'EL '!H$11,AND($C40="Hybrid-electric bus",$D40="Average"),$E40*'EL '!H$12,AND($C40="Hybrid-electric bus",$D40="Nearly full"),$E40*'EL '!H$13,AND($C40="Alternative fuel bus",$D40="Almost empty"),$E40*'EL '!H$15,AND($C40="Alternative fuel bus",$D40="Average"),$E40*'EL '!H$16,AND($C40="Alternative fuel bus",$D40="Nearly full"),$E40*'EL '!H$17,AND($C40="Metro, tram, urban light train",$D40="Almost empty"),$E40*'EL '!C$35,AND($C40="Metro, tram, urban light train",$D40="Average"),$E40*'EL '!C$36,AND($C40="Metro, tram, urban light train",$D40="Nearly full"),$E40*'EL '!C$37,AND($C40="Electric passenger train",$D40="Almost empty"),$E40*'EL '!C$39,AND($C40="Electric passenger train",$D40="Average"),$E40*'EL '!C$40,AND($C40="Electric passenger train",$D40="Nearly full"),$E40*'EL '!C$41,AND($C40="Diesel passenger train",$D40="Almost empty"),$E40*'EL '!C$47,AND($C40="Diesel passenger train",$D40="Average"),$E40*'EL '!C$48,AND($C40="Diesel passenger train",$D40="Nearly full"),$E40*'EL '!C$49,AND($C40="Walking"),$E40*0,AND($C40="Bike"),$E40*0,AND($C40="Plane - domestic flight"),$E40*'EL '!$C64,AND($C40="Plane - international - intra EU"),$E40*'EL '!$C66,AND($C40="Plane - international (extra EU)"),$E40*'EL '!$C68)</f>
        <v>#N/A</v>
      </c>
      <c r="G40" s="31" t="e" cm="1">
        <f t="array" ref="G40">_xlfn.IFS(AND($C40="Fuel car",$D40=1),$E40*'EL '!D$7,AND($C40="Fuel car",$D40=2),$E40*'EL '!D$8,AND($C40="Fuel car",$D40=3),$E40*'EL '!D$9,AND($C40="Fuel car",$D40=4),$E40*'EL '!D$10,AND($C40="Fuel car",$D40=5),$E40*'EL '!D$11,AND($C40="Motorcycle",$D40=1),$E40*'EL '!D$13,AND($C40="Motorcycle",$D40=2),$E40*'EL '!D$14,AND($C40="Electric car",$D40=1),$E40*'EL '!D$16,AND($C40="Electric car",$D40=2),$E40*'EL '!D$17,AND($C40="Electric car",$D40=3),$E40*'EL '!D$18,AND($C40="Electric car",$D40=4),$E40*'EL '!D$19,AND($C40="Electric car",$D40=5),$E40*'EL '!D$20,AND($C40="Hybrid car",$D40=1),$E40*'EL '!D$22,AND($C40="Hybrid car",$D40=2),$E40*'EL '!D$23,AND($C40="Hybrid car",$D40=3),$E40*'EL '!D$24,AND($C40="Hybrid car",$D40=4),$E40*'EL '!D$25,AND($C40="Hybrid car",$D40=5),$E40*'EL '!D$26,AND($C40="Electric motorcycle",$D40=1),$E40*'EL '!D$28,AND($C40="Electric motorcycle",$D40=2),$E40*'EL '!D$29,AND($C40="Electric bike",$D40=1),$E40*'EL '!D$31,AND($C40="Electric scooter",$D40=1),$E40*'EL '!D$33,AND($C40="Bus",$D40="Almost empty"),$E40*'EL '!I$23,AND($C40="Bus",$D40="Average"),$E40*'EL '!I$24,AND($C40="Bus",$D40="Nearly full"),$E40*'EL '!I$25,AND($C40="Electric bus",$D40="Almost empty"),$E40*'EL '!I$7,AND($C40="Electric bus",$D40="Average"),$E40*'EL '!I$8,AND($C40="Electric bus",$D40="Nearly full"),$E40*'EL '!I$9,AND($C40="Diesel bus",$D40="Almost empty"),$E40*'EL '!I$19,AND($C40="Diesel bus",$D40="Average"),$E40*'EL '!I$20,AND($C40="Diesel bus",$D40="Nearly full"),$E40*'EL '!I$21,AND($C40="Hybrid-electric bus",$D40="Almost empty"),$E40*'EL '!I$11,AND($C40="Hybrid-electric bus",$D40="Average"),$E40*'EL '!I$12,AND($C40="Hybrid-electric bus",$D40="Nearly full"),$E40*'EL '!I$13,AND($C40="Alternative fuel bus",$D40="Almost empty"),$E40*'EL '!I$15,AND($C40="Alternative fuel bus",$D40="Average"),$E40*'EL '!I$16,AND($C40="Alternative fuel bus",$D40="Nearly full"),$E40*'EL '!I$17,AND($C40="Metro, tram, urban light train",$D40="Almost empty"),$E40*'EL '!D$35,AND($C40="Metro, tram, urban light train",$D40="Average"),$E40*'EL '!D$36,AND($C40="Metro, tram, urban light train",$D40="Nearly full"),$E40*'EL '!D$37,AND($C40="Electric passenger train",$D40="Almost empty"),$E40*'EL '!D$39,AND($C40="Electric passenger train",$D40="Average"),$E40*'EL '!D$40,AND($C40="Electric passenger train",$D40="Nearly full"),$E40*'EL '!D$41,AND($C40="Diesel passenger train",$D40="Almost empty"),$E40*'EL '!D$47,AND($C40="Diesel passenger train",$D40="Average"),$E40*'EL '!D$48,AND($C40="Diesel passenger train",$D40="Nearly full"),$E40*'EL '!D$49,AND($C40="Walking"),$E40*0,AND($C40="Bike"),$E40*0,AND($C40="Plane - domestic flight"),$E40*'EL '!$C64,AND($C40="Plane - international - intra EU"),$E40*'EL '!$C66,AND($C40="Plane - international (extra EU)"),$E40*'EL '!$C68)</f>
        <v>#N/A</v>
      </c>
      <c r="H40" s="145"/>
      <c r="I40" s="148">
        <f t="shared" si="6"/>
        <v>0</v>
      </c>
      <c r="J40" s="146" t="e" cm="1">
        <f t="array" ref="J40">_xlfn.IFS(C40="Fuel car",C40*DATA!$C$17,C40="Electric car",C40*DATA!$F$15,C40="Hybrid car",I40*(0.5*DATA!$C$17+0.5*DATA!$F$15))</f>
        <v>#N/A</v>
      </c>
      <c r="L40" s="229"/>
      <c r="M40" s="230"/>
      <c r="N40" s="231"/>
    </row>
    <row r="41" spans="1:14" ht="14.5" customHeight="1" x14ac:dyDescent="0.2">
      <c r="A41" s="222"/>
      <c r="B41" s="30"/>
      <c r="C41" s="15"/>
      <c r="D41" s="15"/>
      <c r="E41" s="125"/>
      <c r="F41" s="128" t="e" cm="1">
        <f t="array" ref="F41">_xlfn.IFS(AND($C41="Fuel car",$D41=1),$E41*'EL '!C$7,AND($C41="Fuel car",$D41=2),$E41*'EL '!C$8,AND($C41="Fuel car",$D41=3),$E41*'EL '!C$9,AND($C41="Fuel car",$D41=4),$E41*'EL '!C$10,AND($C41="Fuel car",$D41=5),$E41*'EL '!C$11,AND($C41="Motorcycle",$D41=1),$E41*'EL '!C$13,AND($C41="Motorcycle",$D41=2),$E41*'EL '!C$14,AND($C41="Electric car",$D41=1),$E41*'EL '!C$16,AND($C41="Electric car",$D41=2),$E41*'EL '!C$17,AND($C41="Electric car",$D41=3),$E41*'EL '!C$18,AND($C41="Electric car",$D41=4),$E41*'EL '!C$19,AND($C41="Electric car",$D41=5),$E41*'EL '!C$20,AND($C41="Hybrid car",$D41=1),$E41*'EL '!C$22,AND($C41="Hybrid car",$D41=2),$E41*'EL '!C$23,AND($C41="Hybrid car",$D41=3),$E41*'EL '!C$24,AND($C41="Hybrid car",$D41=4),$E41*'EL '!C$25,AND($C41="Hybrid car",$D41=5),$E41*'EL '!C$26,AND($C41="Electric motorcycle",$D41=1),$E41*'EL '!C$28,AND($C41="Electric motorcycle",$D41=2),$E41*'EL '!C$29,AND($C41="Electric bike",$D41=1),$E41*'EL '!C$31,AND($C41="Electric scooter",$D41=1),$E41*'EL '!C$33,AND($C41="Bus",$D41="Almost empty"),$E41*'EL '!H$23,AND($C41="Bus",$D41="Average"),$E41*'EL '!H$24,AND($C41="Bus",$D41="Nearly full"),$E41*'EL '!H$25,AND($C41="Electric bus",$D41="Almost empty"),$E41*'EL '!H$7,AND($C41="Electric bus",$D41="Average"),$E41*'EL '!H$8,AND($C41="Electric bus",$D41="Nearly full"),$E41*'EL '!H$9,AND($C41="Diesel bus",$D41="Almost empty"),$E41*'EL '!H$19,AND($C41="Diesel bus",$D41="Average"),$E41*'EL '!H$20,AND($C41="Diesel bus",$D41="Nearly full"),$E41*'EL '!H$21,AND($C41="Hybrid-electric bus",$D41="Almost empty"),$E41*'EL '!H$11,AND($C41="Hybrid-electric bus",$D41="Average"),$E41*'EL '!H$12,AND($C41="Hybrid-electric bus",$D41="Nearly full"),$E41*'EL '!H$13,AND($C41="Alternative fuel bus",$D41="Almost empty"),$E41*'EL '!H$15,AND($C41="Alternative fuel bus",$D41="Average"),$E41*'EL '!H$16,AND($C41="Alternative fuel bus",$D41="Nearly full"),$E41*'EL '!H$17,AND($C41="Metro, tram, urban light train",$D41="Almost empty"),$E41*'EL '!C$35,AND($C41="Metro, tram, urban light train",$D41="Average"),$E41*'EL '!C$36,AND($C41="Metro, tram, urban light train",$D41="Nearly full"),$E41*'EL '!C$37,AND($C41="Electric passenger train",$D41="Almost empty"),$E41*'EL '!C$39,AND($C41="Electric passenger train",$D41="Average"),$E41*'EL '!C$40,AND($C41="Electric passenger train",$D41="Nearly full"),$E41*'EL '!C$41,AND($C41="Diesel passenger train",$D41="Almost empty"),$E41*'EL '!C$47,AND($C41="Diesel passenger train",$D41="Average"),$E41*'EL '!C$48,AND($C41="Diesel passenger train",$D41="Nearly full"),$E41*'EL '!C$49,AND($C41="Walking"),$E41*0,AND($C41="Bike"),$E41*0,AND($C41="Plane - domestic flight"),$E41*'EL '!$C65,AND($C41="Plane - international - intra EU"),$E41*'EL '!$C67,AND($C41="Plane - international (extra EU)"),$E41*'EL '!$C69)</f>
        <v>#N/A</v>
      </c>
      <c r="G41" s="31" t="e" cm="1">
        <f t="array" ref="G41">_xlfn.IFS(AND($C41="Fuel car",$D41=1),$E41*'EL '!D$7,AND($C41="Fuel car",$D41=2),$E41*'EL '!D$8,AND($C41="Fuel car",$D41=3),$E41*'EL '!D$9,AND($C41="Fuel car",$D41=4),$E41*'EL '!D$10,AND($C41="Fuel car",$D41=5),$E41*'EL '!D$11,AND($C41="Motorcycle",$D41=1),$E41*'EL '!D$13,AND($C41="Motorcycle",$D41=2),$E41*'EL '!D$14,AND($C41="Electric car",$D41=1),$E41*'EL '!D$16,AND($C41="Electric car",$D41=2),$E41*'EL '!D$17,AND($C41="Electric car",$D41=3),$E41*'EL '!D$18,AND($C41="Electric car",$D41=4),$E41*'EL '!D$19,AND($C41="Electric car",$D41=5),$E41*'EL '!D$20,AND($C41="Hybrid car",$D41=1),$E41*'EL '!D$22,AND($C41="Hybrid car",$D41=2),$E41*'EL '!D$23,AND($C41="Hybrid car",$D41=3),$E41*'EL '!D$24,AND($C41="Hybrid car",$D41=4),$E41*'EL '!D$25,AND($C41="Hybrid car",$D41=5),$E41*'EL '!D$26,AND($C41="Electric motorcycle",$D41=1),$E41*'EL '!D$28,AND($C41="Electric motorcycle",$D41=2),$E41*'EL '!D$29,AND($C41="Electric bike",$D41=1),$E41*'EL '!D$31,AND($C41="Electric scooter",$D41=1),$E41*'EL '!D$33,AND($C41="Bus",$D41="Almost empty"),$E41*'EL '!I$23,AND($C41="Bus",$D41="Average"),$E41*'EL '!I$24,AND($C41="Bus",$D41="Nearly full"),$E41*'EL '!I$25,AND($C41="Electric bus",$D41="Almost empty"),$E41*'EL '!I$7,AND($C41="Electric bus",$D41="Average"),$E41*'EL '!I$8,AND($C41="Electric bus",$D41="Nearly full"),$E41*'EL '!I$9,AND($C41="Diesel bus",$D41="Almost empty"),$E41*'EL '!I$19,AND($C41="Diesel bus",$D41="Average"),$E41*'EL '!I$20,AND($C41="Diesel bus",$D41="Nearly full"),$E41*'EL '!I$21,AND($C41="Hybrid-electric bus",$D41="Almost empty"),$E41*'EL '!I$11,AND($C41="Hybrid-electric bus",$D41="Average"),$E41*'EL '!I$12,AND($C41="Hybrid-electric bus",$D41="Nearly full"),$E41*'EL '!I$13,AND($C41="Alternative fuel bus",$D41="Almost empty"),$E41*'EL '!I$15,AND($C41="Alternative fuel bus",$D41="Average"),$E41*'EL '!I$16,AND($C41="Alternative fuel bus",$D41="Nearly full"),$E41*'EL '!I$17,AND($C41="Metro, tram, urban light train",$D41="Almost empty"),$E41*'EL '!D$35,AND($C41="Metro, tram, urban light train",$D41="Average"),$E41*'EL '!D$36,AND($C41="Metro, tram, urban light train",$D41="Nearly full"),$E41*'EL '!D$37,AND($C41="Electric passenger train",$D41="Almost empty"),$E41*'EL '!D$39,AND($C41="Electric passenger train",$D41="Average"),$E41*'EL '!D$40,AND($C41="Electric passenger train",$D41="Nearly full"),$E41*'EL '!D$41,AND($C41="Diesel passenger train",$D41="Almost empty"),$E41*'EL '!D$47,AND($C41="Diesel passenger train",$D41="Average"),$E41*'EL '!D$48,AND($C41="Diesel passenger train",$D41="Nearly full"),$E41*'EL '!D$49,AND($C41="Walking"),$E41*0,AND($C41="Bike"),$E41*0,AND($C41="Plane - domestic flight"),$E41*'EL '!$C65,AND($C41="Plane - international - intra EU"),$E41*'EL '!$C67,AND($C41="Plane - international (extra EU)"),$E41*'EL '!$C69)</f>
        <v>#N/A</v>
      </c>
      <c r="H41" s="145"/>
      <c r="I41" s="148">
        <f t="shared" si="6"/>
        <v>0</v>
      </c>
      <c r="J41" s="146" t="e" cm="1">
        <f t="array" ref="J41">_xlfn.IFS(C41="Fuel car",C41*DATA!$C$17,C41="Electric car",C41*DATA!$F$15,C41="Hybrid car",I41*(0.5*DATA!$C$17+0.5*DATA!$F$15))</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car",$D42=1),$E42*'EL '!C$7,AND($C42="Fuel car",$D42=2),$E42*'EL '!C$8,AND($C42="Fuel car",$D42=3),$E42*'EL '!C$9,AND($C42="Fuel car",$D42=4),$E42*'EL '!C$10,AND($C42="Fuel car",$D42=5),$E42*'EL '!C$11,AND($C42="Motorcycle",$D42=1),$E42*'EL '!C$13,AND($C42="Motorcycle",$D42=2),$E42*'EL '!C$14,AND($C42="Electric car",$D42=1),$E42*'EL '!C$16,AND($C42="Electric car",$D42=2),$E42*'EL '!C$17,AND($C42="Electric car",$D42=3),$E42*'EL '!C$18,AND($C42="Electric car",$D42=4),$E42*'EL '!C$19,AND($C42="Electric car",$D42=5),$E42*'EL '!C$20,AND($C42="Hybrid car",$D42=1),$E42*'EL '!C$22,AND($C42="Hybrid car",$D42=2),$E42*'EL '!C$23,AND($C42="Hybrid car",$D42=3),$E42*'EL '!C$24,AND($C42="Hybrid car",$D42=4),$E42*'EL '!C$25,AND($C42="Hybrid car",$D42=5),$E42*'EL '!C$26,AND($C42="Electric motorcycle",$D42=1),$E42*'EL '!C$28,AND($C42="Electric motorcycle",$D42=2),$E42*'EL '!C$29,AND($C42="Electric bike",$D42=1),$E42*'EL '!C$31,AND($C42="Electric scooter",$D42=1),$E42*'EL '!C$33,AND($C42="Bus",$D42="Almost empty"),$E42*'EL '!H$23,AND($C42="Bus",$D42="Average"),$E42*'EL '!H$24,AND($C42="Bus",$D42="Nearly full"),$E42*'EL '!H$25,AND($C42="Electric bus",$D42="Almost empty"),$E42*'EL '!H$7,AND($C42="Electric bus",$D42="Average"),$E42*'EL '!H$8,AND($C42="Electric bus",$D42="Nearly full"),$E42*'EL '!H$9,AND($C42="Diesel bus",$D42="Almost empty"),$E42*'EL '!H$19,AND($C42="Diesel bus",$D42="Average"),$E42*'EL '!H$20,AND($C42="Diesel bus",$D42="Nearly full"),$E42*'EL '!H$21,AND($C42="Hybrid-electric bus",$D42="Almost empty"),$E42*'EL '!H$11,AND($C42="Hybrid-electric bus",$D42="Average"),$E42*'EL '!H$12,AND($C42="Hybrid-electric bus",$D42="Nearly full"),$E42*'EL '!H$13,AND($C42="Alternative fuel bus",$D42="Almost empty"),$E42*'EL '!H$15,AND($C42="Alternative fuel bus",$D42="Average"),$E42*'EL '!H$16,AND($C42="Alternative fuel bus",$D42="Nearly full"),$E42*'EL '!H$17,AND($C42="Metro, tram, urban light train",$D42="Almost empty"),$E42*'EL '!C$35,AND($C42="Metro, tram, urban light train",$D42="Average"),$E42*'EL '!C$36,AND($C42="Metro, tram, urban light train",$D42="Nearly full"),$E42*'EL '!C$37,AND($C42="Electric passenger train",$D42="Almost empty"),$E42*'EL '!C$39,AND($C42="Electric passenger train",$D42="Average"),$E42*'EL '!C$40,AND($C42="Electric passenger train",$D42="Nearly full"),$E42*'EL '!C$41,AND($C42="Diesel passenger train",$D42="Almost empty"),$E42*'EL '!C$47,AND($C42="Diesel passenger train",$D42="Average"),$E42*'EL '!C$48,AND($C42="Diesel passenger train",$D42="Nearly full"),$E42*'EL '!C$49,AND($C42="Walking"),$E42*0,AND($C42="Bike"),$E42*0,AND($C42="Plane - domestic flight"),$E42*'EL '!$C66,AND($C42="Plane - international - intra EU"),$E42*'EL '!$C68,AND($C42="Plane - international (extra EU)"),$E42*'EL '!$C70)</f>
        <v>#N/A</v>
      </c>
      <c r="G42" s="31" t="e" cm="1">
        <f t="array" ref="G42">_xlfn.IFS(AND($C42="Fuel car",$D42=1),$E42*'EL '!D$7,AND($C42="Fuel car",$D42=2),$E42*'EL '!D$8,AND($C42="Fuel car",$D42=3),$E42*'EL '!D$9,AND($C42="Fuel car",$D42=4),$E42*'EL '!D$10,AND($C42="Fuel car",$D42=5),$E42*'EL '!D$11,AND($C42="Motorcycle",$D42=1),$E42*'EL '!D$13,AND($C42="Motorcycle",$D42=2),$E42*'EL '!D$14,AND($C42="Electric car",$D42=1),$E42*'EL '!D$16,AND($C42="Electric car",$D42=2),$E42*'EL '!D$17,AND($C42="Electric car",$D42=3),$E42*'EL '!D$18,AND($C42="Electric car",$D42=4),$E42*'EL '!D$19,AND($C42="Electric car",$D42=5),$E42*'EL '!D$20,AND($C42="Hybrid car",$D42=1),$E42*'EL '!D$22,AND($C42="Hybrid car",$D42=2),$E42*'EL '!D$23,AND($C42="Hybrid car",$D42=3),$E42*'EL '!D$24,AND($C42="Hybrid car",$D42=4),$E42*'EL '!D$25,AND($C42="Hybrid car",$D42=5),$E42*'EL '!D$26,AND($C42="Electric motorcycle",$D42=1),$E42*'EL '!D$28,AND($C42="Electric motorcycle",$D42=2),$E42*'EL '!D$29,AND($C42="Electric bike",$D42=1),$E42*'EL '!D$31,AND($C42="Electric scooter",$D42=1),$E42*'EL '!D$33,AND($C42="Bus",$D42="Almost empty"),$E42*'EL '!I$23,AND($C42="Bus",$D42="Average"),$E42*'EL '!I$24,AND($C42="Bus",$D42="Nearly full"),$E42*'EL '!I$25,AND($C42="Electric bus",$D42="Almost empty"),$E42*'EL '!I$7,AND($C42="Electric bus",$D42="Average"),$E42*'EL '!I$8,AND($C42="Electric bus",$D42="Nearly full"),$E42*'EL '!I$9,AND($C42="Diesel bus",$D42="Almost empty"),$E42*'EL '!I$19,AND($C42="Diesel bus",$D42="Average"),$E42*'EL '!I$20,AND($C42="Diesel bus",$D42="Nearly full"),$E42*'EL '!I$21,AND($C42="Hybrid-electric bus",$D42="Almost empty"),$E42*'EL '!I$11,AND($C42="Hybrid-electric bus",$D42="Average"),$E42*'EL '!I$12,AND($C42="Hybrid-electric bus",$D42="Nearly full"),$E42*'EL '!I$13,AND($C42="Alternative fuel bus",$D42="Almost empty"),$E42*'EL '!I$15,AND($C42="Alternative fuel bus",$D42="Average"),$E42*'EL '!I$16,AND($C42="Alternative fuel bus",$D42="Nearly full"),$E42*'EL '!I$17,AND($C42="Metro, tram, urban light train",$D42="Almost empty"),$E42*'EL '!D$35,AND($C42="Metro, tram, urban light train",$D42="Average"),$E42*'EL '!D$36,AND($C42="Metro, tram, urban light train",$D42="Nearly full"),$E42*'EL '!D$37,AND($C42="Electric passenger train",$D42="Almost empty"),$E42*'EL '!D$39,AND($C42="Electric passenger train",$D42="Average"),$E42*'EL '!D$40,AND($C42="Electric passenger train",$D42="Nearly full"),$E42*'EL '!D$41,AND($C42="Diesel passenger train",$D42="Almost empty"),$E42*'EL '!D$47,AND($C42="Diesel passenger train",$D42="Average"),$E42*'EL '!D$48,AND($C42="Diesel passenger train",$D42="Nearly full"),$E42*'EL '!D$49,AND($C42="Walking"),$E42*0,AND($C42="Bike"),$E42*0,AND($C42="Plane - domestic flight"),$E42*'EL '!$C66,AND($C42="Plane - international - intra EU"),$E42*'EL '!$C68,AND($C42="Plane - international (extra EU)"),$E42*'EL '!$C70)</f>
        <v>#N/A</v>
      </c>
      <c r="H42" s="145"/>
      <c r="I42" s="148">
        <f t="shared" si="6"/>
        <v>0</v>
      </c>
      <c r="J42" s="146" t="e" cm="1">
        <f t="array" ref="J42">_xlfn.IFS(C42="Fuel car",C42*DATA!$C$17,C42="Electric car",C42*DATA!$F$15,C42="Hybrid car",I42*(0.5*DATA!$C$17+0.5*DATA!$F$15))</f>
        <v>#N/A</v>
      </c>
      <c r="L42" s="235"/>
      <c r="M42" s="236"/>
      <c r="N42" s="237"/>
    </row>
    <row r="43" spans="1:14" ht="14.5" customHeight="1" thickBot="1" x14ac:dyDescent="0.25">
      <c r="A43" s="222"/>
      <c r="B43" s="30"/>
      <c r="C43" s="15"/>
      <c r="D43" s="15"/>
      <c r="E43" s="125"/>
      <c r="F43" s="128" t="e" cm="1">
        <f t="array" ref="F43">_xlfn.IFS(AND($C43="Fuel car",$D43=1),$E43*'EL '!C$7,AND($C43="Fuel car",$D43=2),$E43*'EL '!C$8,AND($C43="Fuel car",$D43=3),$E43*'EL '!C$9,AND($C43="Fuel car",$D43=4),$E43*'EL '!C$10,AND($C43="Fuel car",$D43=5),$E43*'EL '!C$11,AND($C43="Motorcycle",$D43=1),$E43*'EL '!C$13,AND($C43="Motorcycle",$D43=2),$E43*'EL '!C$14,AND($C43="Electric car",$D43=1),$E43*'EL '!C$16,AND($C43="Electric car",$D43=2),$E43*'EL '!C$17,AND($C43="Electric car",$D43=3),$E43*'EL '!C$18,AND($C43="Electric car",$D43=4),$E43*'EL '!C$19,AND($C43="Electric car",$D43=5),$E43*'EL '!C$20,AND($C43="Hybrid car",$D43=1),$E43*'EL '!C$22,AND($C43="Hybrid car",$D43=2),$E43*'EL '!C$23,AND($C43="Hybrid car",$D43=3),$E43*'EL '!C$24,AND($C43="Hybrid car",$D43=4),$E43*'EL '!C$25,AND($C43="Hybrid car",$D43=5),$E43*'EL '!C$26,AND($C43="Electric motorcycle",$D43=1),$E43*'EL '!C$28,AND($C43="Electric motorcycle",$D43=2),$E43*'EL '!C$29,AND($C43="Electric bike",$D43=1),$E43*'EL '!C$31,AND($C43="Electric scooter",$D43=1),$E43*'EL '!C$33,AND($C43="Bus",$D43="Almost empty"),$E43*'EL '!H$23,AND($C43="Bus",$D43="Average"),$E43*'EL '!H$24,AND($C43="Bus",$D43="Nearly full"),$E43*'EL '!H$25,AND($C43="Electric bus",$D43="Almost empty"),$E43*'EL '!H$7,AND($C43="Electric bus",$D43="Average"),$E43*'EL '!H$8,AND($C43="Electric bus",$D43="Nearly full"),$E43*'EL '!H$9,AND($C43="Diesel bus",$D43="Almost empty"),$E43*'EL '!H$19,AND($C43="Diesel bus",$D43="Average"),$E43*'EL '!H$20,AND($C43="Diesel bus",$D43="Nearly full"),$E43*'EL '!H$21,AND($C43="Hybrid-electric bus",$D43="Almost empty"),$E43*'EL '!H$11,AND($C43="Hybrid-electric bus",$D43="Average"),$E43*'EL '!H$12,AND($C43="Hybrid-electric bus",$D43="Nearly full"),$E43*'EL '!H$13,AND($C43="Alternative fuel bus",$D43="Almost empty"),$E43*'EL '!H$15,AND($C43="Alternative fuel bus",$D43="Average"),$E43*'EL '!H$16,AND($C43="Alternative fuel bus",$D43="Nearly full"),$E43*'EL '!H$17,AND($C43="Metro, tram, urban light train",$D43="Almost empty"),$E43*'EL '!C$35,AND($C43="Metro, tram, urban light train",$D43="Average"),$E43*'EL '!C$36,AND($C43="Metro, tram, urban light train",$D43="Nearly full"),$E43*'EL '!C$37,AND($C43="Electric passenger train",$D43="Almost empty"),$E43*'EL '!C$39,AND($C43="Electric passenger train",$D43="Average"),$E43*'EL '!C$40,AND($C43="Electric passenger train",$D43="Nearly full"),$E43*'EL '!C$41,AND($C43="Diesel passenger train",$D43="Almost empty"),$E43*'EL '!C$47,AND($C43="Diesel passenger train",$D43="Average"),$E43*'EL '!C$48,AND($C43="Diesel passenger train",$D43="Nearly full"),$E43*'EL '!C$49,AND($C43="Walking"),$E43*0,AND($C43="Bike"),$E43*0,AND($C43="Plane - domestic flight"),$E43*'EL '!$C67,AND($C43="Plane - international - intra EU"),$E43*'EL '!$C69,AND($C43="Plane - international (extra EU)"),$E43*'EL '!$C71)</f>
        <v>#N/A</v>
      </c>
      <c r="G43" s="31" t="e" cm="1">
        <f t="array" ref="G43">_xlfn.IFS(AND($C43="Fuel car",$D43=1),$E43*'EL '!D$7,AND($C43="Fuel car",$D43=2),$E43*'EL '!D$8,AND($C43="Fuel car",$D43=3),$E43*'EL '!D$9,AND($C43="Fuel car",$D43=4),$E43*'EL '!D$10,AND($C43="Fuel car",$D43=5),$E43*'EL '!D$11,AND($C43="Motorcycle",$D43=1),$E43*'EL '!D$13,AND($C43="Motorcycle",$D43=2),$E43*'EL '!D$14,AND($C43="Electric car",$D43=1),$E43*'EL '!D$16,AND($C43="Electric car",$D43=2),$E43*'EL '!D$17,AND($C43="Electric car",$D43=3),$E43*'EL '!D$18,AND($C43="Electric car",$D43=4),$E43*'EL '!D$19,AND($C43="Electric car",$D43=5),$E43*'EL '!D$20,AND($C43="Hybrid car",$D43=1),$E43*'EL '!D$22,AND($C43="Hybrid car",$D43=2),$E43*'EL '!D$23,AND($C43="Hybrid car",$D43=3),$E43*'EL '!D$24,AND($C43="Hybrid car",$D43=4),$E43*'EL '!D$25,AND($C43="Hybrid car",$D43=5),$E43*'EL '!D$26,AND($C43="Electric motorcycle",$D43=1),$E43*'EL '!D$28,AND($C43="Electric motorcycle",$D43=2),$E43*'EL '!D$29,AND($C43="Electric bike",$D43=1),$E43*'EL '!D$31,AND($C43="Electric scooter",$D43=1),$E43*'EL '!D$33,AND($C43="Bus",$D43="Almost empty"),$E43*'EL '!I$23,AND($C43="Bus",$D43="Average"),$E43*'EL '!I$24,AND($C43="Bus",$D43="Nearly full"),$E43*'EL '!I$25,AND($C43="Electric bus",$D43="Almost empty"),$E43*'EL '!I$7,AND($C43="Electric bus",$D43="Average"),$E43*'EL '!I$8,AND($C43="Electric bus",$D43="Nearly full"),$E43*'EL '!I$9,AND($C43="Diesel bus",$D43="Almost empty"),$E43*'EL '!I$19,AND($C43="Diesel bus",$D43="Average"),$E43*'EL '!I$20,AND($C43="Diesel bus",$D43="Nearly full"),$E43*'EL '!I$21,AND($C43="Hybrid-electric bus",$D43="Almost empty"),$E43*'EL '!I$11,AND($C43="Hybrid-electric bus",$D43="Average"),$E43*'EL '!I$12,AND($C43="Hybrid-electric bus",$D43="Nearly full"),$E43*'EL '!I$13,AND($C43="Alternative fuel bus",$D43="Almost empty"),$E43*'EL '!I$15,AND($C43="Alternative fuel bus",$D43="Average"),$E43*'EL '!I$16,AND($C43="Alternative fuel bus",$D43="Nearly full"),$E43*'EL '!I$17,AND($C43="Metro, tram, urban light train",$D43="Almost empty"),$E43*'EL '!D$35,AND($C43="Metro, tram, urban light train",$D43="Average"),$E43*'EL '!D$36,AND($C43="Metro, tram, urban light train",$D43="Nearly full"),$E43*'EL '!D$37,AND($C43="Electric passenger train",$D43="Almost empty"),$E43*'EL '!D$39,AND($C43="Electric passenger train",$D43="Average"),$E43*'EL '!D$40,AND($C43="Electric passenger train",$D43="Nearly full"),$E43*'EL '!D$41,AND($C43="Diesel passenger train",$D43="Almost empty"),$E43*'EL '!D$47,AND($C43="Diesel passenger train",$D43="Average"),$E43*'EL '!D$48,AND($C43="Diesel passenger train",$D43="Nearly full"),$E43*'EL '!D$49,AND($C43="Walking"),$E43*0,AND($C43="Bike"),$E43*0,AND($C43="Plane - domestic flight"),$E43*'EL '!$C67,AND($C43="Plane - international - intra EU"),$E43*'EL '!$C69,AND($C43="Plane - international (extra EU)"),$E43*'EL '!$C71)</f>
        <v>#N/A</v>
      </c>
      <c r="H43" s="109"/>
      <c r="I43" s="154">
        <f t="shared" si="6"/>
        <v>0</v>
      </c>
      <c r="J43" s="147" t="e" cm="1">
        <f t="array" ref="J43">_xlfn.IFS(C43="Fuel car",C43*DATA!$C$17,C43="Electric car",C43*DATA!$F$15,C43="Hybrid car",I43*(0.5*DATA!$C$17+0.5*DATA!$F$15))</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car",$D44=1),$E44*'EL '!C$7,AND($C44="Fuel car",$D44=2),$E44*'EL '!C$8,AND($C44="Fuel car",$D44=3),$E44*'EL '!C$9,AND($C44="Fuel car",$D44=4),$E44*'EL '!C$10,AND($C44="Fuel car",$D44=5),$E44*'EL '!C$11,AND($C44="Motorcycle",$D44=1),$E44*'EL '!C$13,AND($C44="Motorcycle",$D44=2),$E44*'EL '!C$14,AND($C44="Electric car",$D44=1),$E44*'EL '!C$16,AND($C44="Electric car",$D44=2),$E44*'EL '!C$17,AND($C44="Electric car",$D44=3),$E44*'EL '!C$18,AND($C44="Electric car",$D44=4),$E44*'EL '!C$19,AND($C44="Electric car",$D44=5),$E44*'EL '!C$20,AND($C44="Hybrid car",$D44=1),$E44*'EL '!C$22,AND($C44="Hybrid car",$D44=2),$E44*'EL '!C$23,AND($C44="Hybrid car",$D44=3),$E44*'EL '!C$24,AND($C44="Hybrid car",$D44=4),$E44*'EL '!C$25,AND($C44="Hybrid car",$D44=5),$E44*'EL '!C$26,AND($C44="Electric motorcycle",$D44=1),$E44*'EL '!C$28,AND($C44="Electric motorcycle",$D44=2),$E44*'EL '!C$29,AND($C44="Electric bike",$D44=1),$E44*'EL '!C$31,AND($C44="Electric scooter",$D44=1),$E44*'EL '!C$33,AND($C44="Bus",$D44="Almost empty"),$E44*'EL '!H$23,AND($C44="Bus",$D44="Average"),$E44*'EL '!H$24,AND($C44="Bus",$D44="Nearly full"),$E44*'EL '!H$25,AND($C44="Electric bus",$D44="Almost empty"),$E44*'EL '!H$7,AND($C44="Electric bus",$D44="Average"),$E44*'EL '!H$8,AND($C44="Electric bus",$D44="Nearly full"),$E44*'EL '!H$9,AND($C44="Diesel bus",$D44="Almost empty"),$E44*'EL '!H$19,AND($C44="Diesel bus",$D44="Average"),$E44*'EL '!H$20,AND($C44="Diesel bus",$D44="Nearly full"),$E44*'EL '!H$21,AND($C44="Hybrid-electric bus",$D44="Almost empty"),$E44*'EL '!H$11,AND($C44="Hybrid-electric bus",$D44="Average"),$E44*'EL '!H$12,AND($C44="Hybrid-electric bus",$D44="Nearly full"),$E44*'EL '!H$13,AND($C44="Alternative fuel bus",$D44="Almost empty"),$E44*'EL '!H$15,AND($C44="Alternative fuel bus",$D44="Average"),$E44*'EL '!H$16,AND($C44="Alternative fuel bus",$D44="Nearly full"),$E44*'EL '!H$17,AND($C44="Metro, tram, urban light train",$D44="Almost empty"),$E44*'EL '!C$35,AND($C44="Metro, tram, urban light train",$D44="Average"),$E44*'EL '!C$36,AND($C44="Metro, tram, urban light train",$D44="Nearly full"),$E44*'EL '!C$37,AND($C44="Electric passenger train",$D44="Almost empty"),$E44*'EL '!C$39,AND($C44="Electric passenger train",$D44="Average"),$E44*'EL '!C$40,AND($C44="Electric passenger train",$D44="Nearly full"),$E44*'EL '!C$41,AND($C44="Diesel passenger train",$D44="Almost empty"),$E44*'EL '!C$47,AND($C44="Diesel passenger train",$D44="Average"),$E44*'EL '!C$48,AND($C44="Diesel passenger train",$D44="Nearly full"),$E44*'EL '!C$49,AND($C44="Walking"),$E44*0,AND($C44="Bike"),$E44*0,AND($C44="Plane - domestic flight"),$E44*'EL '!$C68,AND($C44="Plane - international - intra EU"),$E44*'EL '!$C70,AND($C44="Plane - international (extra EU)"),$E44*'EL '!$C72)</f>
        <v>#N/A</v>
      </c>
      <c r="G44" s="31" t="e" cm="1">
        <f t="array" ref="G44">_xlfn.IFS(AND($C44="Fuel car",$D44=1),$E44*'EL '!D$7,AND($C44="Fuel car",$D44=2),$E44*'EL '!D$8,AND($C44="Fuel car",$D44=3),$E44*'EL '!D$9,AND($C44="Fuel car",$D44=4),$E44*'EL '!D$10,AND($C44="Fuel car",$D44=5),$E44*'EL '!D$11,AND($C44="Motorcycle",$D44=1),$E44*'EL '!D$13,AND($C44="Motorcycle",$D44=2),$E44*'EL '!D$14,AND($C44="Electric car",$D44=1),$E44*'EL '!D$16,AND($C44="Electric car",$D44=2),$E44*'EL '!D$17,AND($C44="Electric car",$D44=3),$E44*'EL '!D$18,AND($C44="Electric car",$D44=4),$E44*'EL '!D$19,AND($C44="Electric car",$D44=5),$E44*'EL '!D$20,AND($C44="Hybrid car",$D44=1),$E44*'EL '!D$22,AND($C44="Hybrid car",$D44=2),$E44*'EL '!D$23,AND($C44="Hybrid car",$D44=3),$E44*'EL '!D$24,AND($C44="Hybrid car",$D44=4),$E44*'EL '!D$25,AND($C44="Hybrid car",$D44=5),$E44*'EL '!D$26,AND($C44="Electric motorcycle",$D44=1),$E44*'EL '!D$28,AND($C44="Electric motorcycle",$D44=2),$E44*'EL '!D$29,AND($C44="Electric bike",$D44=1),$E44*'EL '!D$31,AND($C44="Electric scooter",$D44=1),$E44*'EL '!D$33,AND($C44="Bus",$D44="Almost empty"),$E44*'EL '!I$23,AND($C44="Bus",$D44="Average"),$E44*'EL '!I$24,AND($C44="Bus",$D44="Nearly full"),$E44*'EL '!I$25,AND($C44="Electric bus",$D44="Almost empty"),$E44*'EL '!I$7,AND($C44="Electric bus",$D44="Average"),$E44*'EL '!I$8,AND($C44="Electric bus",$D44="Nearly full"),$E44*'EL '!I$9,AND($C44="Diesel bus",$D44="Almost empty"),$E44*'EL '!I$19,AND($C44="Diesel bus",$D44="Average"),$E44*'EL '!I$20,AND($C44="Diesel bus",$D44="Nearly full"),$E44*'EL '!I$21,AND($C44="Hybrid-electric bus",$D44="Almost empty"),$E44*'EL '!I$11,AND($C44="Hybrid-electric bus",$D44="Average"),$E44*'EL '!I$12,AND($C44="Hybrid-electric bus",$D44="Nearly full"),$E44*'EL '!I$13,AND($C44="Alternative fuel bus",$D44="Almost empty"),$E44*'EL '!I$15,AND($C44="Alternative fuel bus",$D44="Average"),$E44*'EL '!I$16,AND($C44="Alternative fuel bus",$D44="Nearly full"),$E44*'EL '!I$17,AND($C44="Metro, tram, urban light train",$D44="Almost empty"),$E44*'EL '!D$35,AND($C44="Metro, tram, urban light train",$D44="Average"),$E44*'EL '!D$36,AND($C44="Metro, tram, urban light train",$D44="Nearly full"),$E44*'EL '!D$37,AND($C44="Electric passenger train",$D44="Almost empty"),$E44*'EL '!D$39,AND($C44="Electric passenger train",$D44="Average"),$E44*'EL '!D$40,AND($C44="Electric passenger train",$D44="Nearly full"),$E44*'EL '!D$41,AND($C44="Diesel passenger train",$D44="Almost empty"),$E44*'EL '!D$47,AND($C44="Diesel passenger train",$D44="Average"),$E44*'EL '!D$48,AND($C44="Diesel passenger train",$D44="Nearly full"),$E44*'EL '!D$49,AND($C44="Walking"),$E44*0,AND($C44="Bike"),$E44*0,AND($C44="Plane - domestic flight"),$E44*'EL '!$C68,AND($C44="Plane - international - intra EU"),$E44*'EL '!$C70,AND($C44="Plane - international (extra EU)"),$E44*'EL '!$C72)</f>
        <v>#N/A</v>
      </c>
      <c r="L44" s="218"/>
      <c r="M44" s="219"/>
      <c r="N44" s="220"/>
    </row>
    <row r="45" spans="1:14" ht="18.5" customHeight="1" x14ac:dyDescent="0.2">
      <c r="A45" s="222"/>
      <c r="B45" s="30"/>
      <c r="C45" s="15"/>
      <c r="D45" s="15"/>
      <c r="E45" s="125"/>
      <c r="F45" s="128" t="e" cm="1">
        <f t="array" ref="F45">_xlfn.IFS(AND($C45="Fuel car",$D45=1),$E45*'EL '!C$7,AND($C45="Fuel car",$D45=2),$E45*'EL '!C$8,AND($C45="Fuel car",$D45=3),$E45*'EL '!C$9,AND($C45="Fuel car",$D45=4),$E45*'EL '!C$10,AND($C45="Fuel car",$D45=5),$E45*'EL '!C$11,AND($C45="Motorcycle",$D45=1),$E45*'EL '!C$13,AND($C45="Motorcycle",$D45=2),$E45*'EL '!C$14,AND($C45="Electric car",$D45=1),$E45*'EL '!C$16,AND($C45="Electric car",$D45=2),$E45*'EL '!C$17,AND($C45="Electric car",$D45=3),$E45*'EL '!C$18,AND($C45="Electric car",$D45=4),$E45*'EL '!C$19,AND($C45="Electric car",$D45=5),$E45*'EL '!C$20,AND($C45="Hybrid car",$D45=1),$E45*'EL '!C$22,AND($C45="Hybrid car",$D45=2),$E45*'EL '!C$23,AND($C45="Hybrid car",$D45=3),$E45*'EL '!C$24,AND($C45="Hybrid car",$D45=4),$E45*'EL '!C$25,AND($C45="Hybrid car",$D45=5),$E45*'EL '!C$26,AND($C45="Electric motorcycle",$D45=1),$E45*'EL '!C$28,AND($C45="Electric motorcycle",$D45=2),$E45*'EL '!C$29,AND($C45="Electric bike",$D45=1),$E45*'EL '!C$31,AND($C45="Electric scooter",$D45=1),$E45*'EL '!C$33,AND($C45="Bus",$D45="Almost empty"),$E45*'EL '!H$23,AND($C45="Bus",$D45="Average"),$E45*'EL '!H$24,AND($C45="Bus",$D45="Nearly full"),$E45*'EL '!H$25,AND($C45="Electric bus",$D45="Almost empty"),$E45*'EL '!H$7,AND($C45="Electric bus",$D45="Average"),$E45*'EL '!H$8,AND($C45="Electric bus",$D45="Nearly full"),$E45*'EL '!H$9,AND($C45="Diesel bus",$D45="Almost empty"),$E45*'EL '!H$19,AND($C45="Diesel bus",$D45="Average"),$E45*'EL '!H$20,AND($C45="Diesel bus",$D45="Nearly full"),$E45*'EL '!H$21,AND($C45="Hybrid-electric bus",$D45="Almost empty"),$E45*'EL '!H$11,AND($C45="Hybrid-electric bus",$D45="Average"),$E45*'EL '!H$12,AND($C45="Hybrid-electric bus",$D45="Nearly full"),$E45*'EL '!H$13,AND($C45="Alternative fuel bus",$D45="Almost empty"),$E45*'EL '!H$15,AND($C45="Alternative fuel bus",$D45="Average"),$E45*'EL '!H$16,AND($C45="Alternative fuel bus",$D45="Nearly full"),$E45*'EL '!H$17,AND($C45="Metro, tram, urban light train",$D45="Almost empty"),$E45*'EL '!C$35,AND($C45="Metro, tram, urban light train",$D45="Average"),$E45*'EL '!C$36,AND($C45="Metro, tram, urban light train",$D45="Nearly full"),$E45*'EL '!C$37,AND($C45="Electric passenger train",$D45="Almost empty"),$E45*'EL '!C$39,AND($C45="Electric passenger train",$D45="Average"),$E45*'EL '!C$40,AND($C45="Electric passenger train",$D45="Nearly full"),$E45*'EL '!C$41,AND($C45="Diesel passenger train",$D45="Almost empty"),$E45*'EL '!C$47,AND($C45="Diesel passenger train",$D45="Average"),$E45*'EL '!C$48,AND($C45="Diesel passenger train",$D45="Nearly full"),$E45*'EL '!C$49,AND($C45="Walking"),$E45*0,AND($C45="Bike"),$E45*0,AND($C45="Plane - domestic flight"),$E45*'EL '!$C69,AND($C45="Plane - international - intra EU"),$E45*'EL '!$C71,AND($C45="Plane - international (extra EU)"),$E45*'EL '!$C73)</f>
        <v>#N/A</v>
      </c>
      <c r="G45" s="31" t="e" cm="1">
        <f t="array" ref="G45">_xlfn.IFS(AND($C45="Fuel car",$D45=1),$E45*'EL '!D$7,AND($C45="Fuel car",$D45=2),$E45*'EL '!D$8,AND($C45="Fuel car",$D45=3),$E45*'EL '!D$9,AND($C45="Fuel car",$D45=4),$E45*'EL '!D$10,AND($C45="Fuel car",$D45=5),$E45*'EL '!D$11,AND($C45="Motorcycle",$D45=1),$E45*'EL '!D$13,AND($C45="Motorcycle",$D45=2),$E45*'EL '!D$14,AND($C45="Electric car",$D45=1),$E45*'EL '!D$16,AND($C45="Electric car",$D45=2),$E45*'EL '!D$17,AND($C45="Electric car",$D45=3),$E45*'EL '!D$18,AND($C45="Electric car",$D45=4),$E45*'EL '!D$19,AND($C45="Electric car",$D45=5),$E45*'EL '!D$20,AND($C45="Hybrid car",$D45=1),$E45*'EL '!D$22,AND($C45="Hybrid car",$D45=2),$E45*'EL '!D$23,AND($C45="Hybrid car",$D45=3),$E45*'EL '!D$24,AND($C45="Hybrid car",$D45=4),$E45*'EL '!D$25,AND($C45="Hybrid car",$D45=5),$E45*'EL '!D$26,AND($C45="Electric motorcycle",$D45=1),$E45*'EL '!D$28,AND($C45="Electric motorcycle",$D45=2),$E45*'EL '!D$29,AND($C45="Electric bike",$D45=1),$E45*'EL '!D$31,AND($C45="Electric scooter",$D45=1),$E45*'EL '!D$33,AND($C45="Bus",$D45="Almost empty"),$E45*'EL '!I$23,AND($C45="Bus",$D45="Average"),$E45*'EL '!I$24,AND($C45="Bus",$D45="Nearly full"),$E45*'EL '!I$25,AND($C45="Electric bus",$D45="Almost empty"),$E45*'EL '!I$7,AND($C45="Electric bus",$D45="Average"),$E45*'EL '!I$8,AND($C45="Electric bus",$D45="Nearly full"),$E45*'EL '!I$9,AND($C45="Diesel bus",$D45="Almost empty"),$E45*'EL '!I$19,AND($C45="Diesel bus",$D45="Average"),$E45*'EL '!I$20,AND($C45="Diesel bus",$D45="Nearly full"),$E45*'EL '!I$21,AND($C45="Hybrid-electric bus",$D45="Almost empty"),$E45*'EL '!I$11,AND($C45="Hybrid-electric bus",$D45="Average"),$E45*'EL '!I$12,AND($C45="Hybrid-electric bus",$D45="Nearly full"),$E45*'EL '!I$13,AND($C45="Alternative fuel bus",$D45="Almost empty"),$E45*'EL '!I$15,AND($C45="Alternative fuel bus",$D45="Average"),$E45*'EL '!I$16,AND($C45="Alternative fuel bus",$D45="Nearly full"),$E45*'EL '!I$17,AND($C45="Metro, tram, urban light train",$D45="Almost empty"),$E45*'EL '!D$35,AND($C45="Metro, tram, urban light train",$D45="Average"),$E45*'EL '!D$36,AND($C45="Metro, tram, urban light train",$D45="Nearly full"),$E45*'EL '!D$37,AND($C45="Electric passenger train",$D45="Almost empty"),$E45*'EL '!D$39,AND($C45="Electric passenger train",$D45="Average"),$E45*'EL '!D$40,AND($C45="Electric passenger train",$D45="Nearly full"),$E45*'EL '!D$41,AND($C45="Diesel passenger train",$D45="Almost empty"),$E45*'EL '!D$47,AND($C45="Diesel passenger train",$D45="Average"),$E45*'EL '!D$48,AND($C45="Diesel passenger train",$D45="Nearly full"),$E45*'EL '!D$49,AND($C45="Walking"),$E45*0,AND($C45="Bike"),$E45*0,AND($C45="Plane - domestic flight"),$E45*'EL '!$C69,AND($C45="Plane - international - intra EU"),$E45*'EL '!$C71,AND($C45="Plane - international (extra EU)"),$E45*'EL '!$C73)</f>
        <v>#N/A</v>
      </c>
      <c r="L45" s="198" t="s">
        <v>256</v>
      </c>
      <c r="M45" s="199"/>
      <c r="N45" s="200"/>
    </row>
    <row r="46" spans="1:14" ht="16" thickBot="1" x14ac:dyDescent="0.25">
      <c r="A46" s="222"/>
      <c r="B46" s="30"/>
      <c r="C46" s="15"/>
      <c r="D46" s="15"/>
      <c r="E46" s="125"/>
      <c r="F46" s="128" t="e" cm="1">
        <f t="array" ref="F46">_xlfn.IFS(AND($C46="Fuel car",$D46=1),$E46*'EL '!C$7,AND($C46="Fuel car",$D46=2),$E46*'EL '!C$8,AND($C46="Fuel car",$D46=3),$E46*'EL '!C$9,AND($C46="Fuel car",$D46=4),$E46*'EL '!C$10,AND($C46="Fuel car",$D46=5),$E46*'EL '!C$11,AND($C46="Motorcycle",$D46=1),$E46*'EL '!C$13,AND($C46="Motorcycle",$D46=2),$E46*'EL '!C$14,AND($C46="Electric car",$D46=1),$E46*'EL '!C$16,AND($C46="Electric car",$D46=2),$E46*'EL '!C$17,AND($C46="Electric car",$D46=3),$E46*'EL '!C$18,AND($C46="Electric car",$D46=4),$E46*'EL '!C$19,AND($C46="Electric car",$D46=5),$E46*'EL '!C$20,AND($C46="Hybrid car",$D46=1),$E46*'EL '!C$22,AND($C46="Hybrid car",$D46=2),$E46*'EL '!C$23,AND($C46="Hybrid car",$D46=3),$E46*'EL '!C$24,AND($C46="Hybrid car",$D46=4),$E46*'EL '!C$25,AND($C46="Hybrid car",$D46=5),$E46*'EL '!C$26,AND($C46="Electric motorcycle",$D46=1),$E46*'EL '!C$28,AND($C46="Electric motorcycle",$D46=2),$E46*'EL '!C$29,AND($C46="Electric bike",$D46=1),$E46*'EL '!C$31,AND($C46="Electric scooter",$D46=1),$E46*'EL '!C$33,AND($C46="Bus",$D46="Almost empty"),$E46*'EL '!H$23,AND($C46="Bus",$D46="Average"),$E46*'EL '!H$24,AND($C46="Bus",$D46="Nearly full"),$E46*'EL '!H$25,AND($C46="Electric bus",$D46="Almost empty"),$E46*'EL '!H$7,AND($C46="Electric bus",$D46="Average"),$E46*'EL '!H$8,AND($C46="Electric bus",$D46="Nearly full"),$E46*'EL '!H$9,AND($C46="Diesel bus",$D46="Almost empty"),$E46*'EL '!H$19,AND($C46="Diesel bus",$D46="Average"),$E46*'EL '!H$20,AND($C46="Diesel bus",$D46="Nearly full"),$E46*'EL '!H$21,AND($C46="Hybrid-electric bus",$D46="Almost empty"),$E46*'EL '!H$11,AND($C46="Hybrid-electric bus",$D46="Average"),$E46*'EL '!H$12,AND($C46="Hybrid-electric bus",$D46="Nearly full"),$E46*'EL '!H$13,AND($C46="Alternative fuel bus",$D46="Almost empty"),$E46*'EL '!H$15,AND($C46="Alternative fuel bus",$D46="Average"),$E46*'EL '!H$16,AND($C46="Alternative fuel bus",$D46="Nearly full"),$E46*'EL '!H$17,AND($C46="Metro, tram, urban light train",$D46="Almost empty"),$E46*'EL '!C$35,AND($C46="Metro, tram, urban light train",$D46="Average"),$E46*'EL '!C$36,AND($C46="Metro, tram, urban light train",$D46="Nearly full"),$E46*'EL '!C$37,AND($C46="Electric passenger train",$D46="Almost empty"),$E46*'EL '!C$39,AND($C46="Electric passenger train",$D46="Average"),$E46*'EL '!C$40,AND($C46="Electric passenger train",$D46="Nearly full"),$E46*'EL '!C$41,AND($C46="Diesel passenger train",$D46="Almost empty"),$E46*'EL '!C$47,AND($C46="Diesel passenger train",$D46="Average"),$E46*'EL '!C$48,AND($C46="Diesel passenger train",$D46="Nearly full"),$E46*'EL '!C$49,AND($C46="Walking"),$E46*0,AND($C46="Bike"),$E46*0,AND($C46="Plane - domestic flight"),$E46*'EL '!$C70,AND($C46="Plane - international - intra EU"),$E46*'EL '!$C72,AND($C46="Plane - international (extra EU)"),$E46*'EL '!$C74)</f>
        <v>#N/A</v>
      </c>
      <c r="G46" s="31" t="e" cm="1">
        <f t="array" ref="G46">_xlfn.IFS(AND($C46="Fuel car",$D46=1),$E46*'EL '!D$7,AND($C46="Fuel car",$D46=2),$E46*'EL '!D$8,AND($C46="Fuel car",$D46=3),$E46*'EL '!D$9,AND($C46="Fuel car",$D46=4),$E46*'EL '!D$10,AND($C46="Fuel car",$D46=5),$E46*'EL '!D$11,AND($C46="Motorcycle",$D46=1),$E46*'EL '!D$13,AND($C46="Motorcycle",$D46=2),$E46*'EL '!D$14,AND($C46="Electric car",$D46=1),$E46*'EL '!D$16,AND($C46="Electric car",$D46=2),$E46*'EL '!D$17,AND($C46="Electric car",$D46=3),$E46*'EL '!D$18,AND($C46="Electric car",$D46=4),$E46*'EL '!D$19,AND($C46="Electric car",$D46=5),$E46*'EL '!D$20,AND($C46="Hybrid car",$D46=1),$E46*'EL '!D$22,AND($C46="Hybrid car",$D46=2),$E46*'EL '!D$23,AND($C46="Hybrid car",$D46=3),$E46*'EL '!D$24,AND($C46="Hybrid car",$D46=4),$E46*'EL '!D$25,AND($C46="Hybrid car",$D46=5),$E46*'EL '!D$26,AND($C46="Electric motorcycle",$D46=1),$E46*'EL '!D$28,AND($C46="Electric motorcycle",$D46=2),$E46*'EL '!D$29,AND($C46="Electric bike",$D46=1),$E46*'EL '!D$31,AND($C46="Electric scooter",$D46=1),$E46*'EL '!D$33,AND($C46="Bus",$D46="Almost empty"),$E46*'EL '!I$23,AND($C46="Bus",$D46="Average"),$E46*'EL '!I$24,AND($C46="Bus",$D46="Nearly full"),$E46*'EL '!I$25,AND($C46="Electric bus",$D46="Almost empty"),$E46*'EL '!I$7,AND($C46="Electric bus",$D46="Average"),$E46*'EL '!I$8,AND($C46="Electric bus",$D46="Nearly full"),$E46*'EL '!I$9,AND($C46="Diesel bus",$D46="Almost empty"),$E46*'EL '!I$19,AND($C46="Diesel bus",$D46="Average"),$E46*'EL '!I$20,AND($C46="Diesel bus",$D46="Nearly full"),$E46*'EL '!I$21,AND($C46="Hybrid-electric bus",$D46="Almost empty"),$E46*'EL '!I$11,AND($C46="Hybrid-electric bus",$D46="Average"),$E46*'EL '!I$12,AND($C46="Hybrid-electric bus",$D46="Nearly full"),$E46*'EL '!I$13,AND($C46="Alternative fuel bus",$D46="Almost empty"),$E46*'EL '!I$15,AND($C46="Alternative fuel bus",$D46="Average"),$E46*'EL '!I$16,AND($C46="Alternative fuel bus",$D46="Nearly full"),$E46*'EL '!I$17,AND($C46="Metro, tram, urban light train",$D46="Almost empty"),$E46*'EL '!D$35,AND($C46="Metro, tram, urban light train",$D46="Average"),$E46*'EL '!D$36,AND($C46="Metro, tram, urban light train",$D46="Nearly full"),$E46*'EL '!D$37,AND($C46="Electric passenger train",$D46="Almost empty"),$E46*'EL '!D$39,AND($C46="Electric passenger train",$D46="Average"),$E46*'EL '!D$40,AND($C46="Electric passenger train",$D46="Nearly full"),$E46*'EL '!D$41,AND($C46="Diesel passenger train",$D46="Almost empty"),$E46*'EL '!D$47,AND($C46="Diesel passenger train",$D46="Average"),$E46*'EL '!D$48,AND($C46="Diesel passenger train",$D46="Nearly full"),$E46*'EL '!D$49,AND($C46="Walking"),$E46*0,AND($C46="Bike"),$E46*0,AND($C46="Plane - domestic flight"),$E46*'EL '!$C70,AND($C46="Plane - international - intra EU"),$E46*'EL '!$C72,AND($C46="Plane - international (extra EU)"),$E46*'EL '!$C74)</f>
        <v>#N/A</v>
      </c>
      <c r="L46" s="246"/>
      <c r="M46" s="247"/>
      <c r="N46" s="248"/>
    </row>
    <row r="47" spans="1:14" ht="20" thickBot="1" x14ac:dyDescent="0.25">
      <c r="A47" s="222"/>
      <c r="B47" s="30"/>
      <c r="C47" s="15"/>
      <c r="D47" s="15"/>
      <c r="E47" s="125"/>
      <c r="F47" s="128" t="e" cm="1">
        <f t="array" ref="F47">_xlfn.IFS(AND($C47="Fuel car",$D47=1),$E47*'EL '!C$7,AND($C47="Fuel car",$D47=2),$E47*'EL '!C$8,AND($C47="Fuel car",$D47=3),$E47*'EL '!C$9,AND($C47="Fuel car",$D47=4),$E47*'EL '!C$10,AND($C47="Fuel car",$D47=5),$E47*'EL '!C$11,AND($C47="Motorcycle",$D47=1),$E47*'EL '!C$13,AND($C47="Motorcycle",$D47=2),$E47*'EL '!C$14,AND($C47="Electric car",$D47=1),$E47*'EL '!C$16,AND($C47="Electric car",$D47=2),$E47*'EL '!C$17,AND($C47="Electric car",$D47=3),$E47*'EL '!C$18,AND($C47="Electric car",$D47=4),$E47*'EL '!C$19,AND($C47="Electric car",$D47=5),$E47*'EL '!C$20,AND($C47="Hybrid car",$D47=1),$E47*'EL '!C$22,AND($C47="Hybrid car",$D47=2),$E47*'EL '!C$23,AND($C47="Hybrid car",$D47=3),$E47*'EL '!C$24,AND($C47="Hybrid car",$D47=4),$E47*'EL '!C$25,AND($C47="Hybrid car",$D47=5),$E47*'EL '!C$26,AND($C47="Electric motorcycle",$D47=1),$E47*'EL '!C$28,AND($C47="Electric motorcycle",$D47=2),$E47*'EL '!C$29,AND($C47="Electric bike",$D47=1),$E47*'EL '!C$31,AND($C47="Electric scooter",$D47=1),$E47*'EL '!C$33,AND($C47="Bus",$D47="Almost empty"),$E47*'EL '!H$23,AND($C47="Bus",$D47="Average"),$E47*'EL '!H$24,AND($C47="Bus",$D47="Nearly full"),$E47*'EL '!H$25,AND($C47="Electric bus",$D47="Almost empty"),$E47*'EL '!H$7,AND($C47="Electric bus",$D47="Average"),$E47*'EL '!H$8,AND($C47="Electric bus",$D47="Nearly full"),$E47*'EL '!H$9,AND($C47="Diesel bus",$D47="Almost empty"),$E47*'EL '!H$19,AND($C47="Diesel bus",$D47="Average"),$E47*'EL '!H$20,AND($C47="Diesel bus",$D47="Nearly full"),$E47*'EL '!H$21,AND($C47="Hybrid-electric bus",$D47="Almost empty"),$E47*'EL '!H$11,AND($C47="Hybrid-electric bus",$D47="Average"),$E47*'EL '!H$12,AND($C47="Hybrid-electric bus",$D47="Nearly full"),$E47*'EL '!H$13,AND($C47="Alternative fuel bus",$D47="Almost empty"),$E47*'EL '!H$15,AND($C47="Alternative fuel bus",$D47="Average"),$E47*'EL '!H$16,AND($C47="Alternative fuel bus",$D47="Nearly full"),$E47*'EL '!H$17,AND($C47="Metro, tram, urban light train",$D47="Almost empty"),$E47*'EL '!C$35,AND($C47="Metro, tram, urban light train",$D47="Average"),$E47*'EL '!C$36,AND($C47="Metro, tram, urban light train",$D47="Nearly full"),$E47*'EL '!C$37,AND($C47="Electric passenger train",$D47="Almost empty"),$E47*'EL '!C$39,AND($C47="Electric passenger train",$D47="Average"),$E47*'EL '!C$40,AND($C47="Electric passenger train",$D47="Nearly full"),$E47*'EL '!C$41,AND($C47="Diesel passenger train",$D47="Almost empty"),$E47*'EL '!C$47,AND($C47="Diesel passenger train",$D47="Average"),$E47*'EL '!C$48,AND($C47="Diesel passenger train",$D47="Nearly full"),$E47*'EL '!C$49,AND($C47="Walking"),$E47*0,AND($C47="Bike"),$E47*0,AND($C47="Plane - domestic flight"),$E47*'EL '!$C71,AND($C47="Plane - international - intra EU"),$E47*'EL '!$C73,AND($C47="Plane - international (extra EU)"),$E47*'EL '!$C75)</f>
        <v>#N/A</v>
      </c>
      <c r="G47" s="31" t="e" cm="1">
        <f t="array" ref="G47">_xlfn.IFS(AND($C47="Fuel car",$D47=1),$E47*'EL '!D$7,AND($C47="Fuel car",$D47=2),$E47*'EL '!D$8,AND($C47="Fuel car",$D47=3),$E47*'EL '!D$9,AND($C47="Fuel car",$D47=4),$E47*'EL '!D$10,AND($C47="Fuel car",$D47=5),$E47*'EL '!D$11,AND($C47="Motorcycle",$D47=1),$E47*'EL '!D$13,AND($C47="Motorcycle",$D47=2),$E47*'EL '!D$14,AND($C47="Electric car",$D47=1),$E47*'EL '!D$16,AND($C47="Electric car",$D47=2),$E47*'EL '!D$17,AND($C47="Electric car",$D47=3),$E47*'EL '!D$18,AND($C47="Electric car",$D47=4),$E47*'EL '!D$19,AND($C47="Electric car",$D47=5),$E47*'EL '!D$20,AND($C47="Hybrid car",$D47=1),$E47*'EL '!D$22,AND($C47="Hybrid car",$D47=2),$E47*'EL '!D$23,AND($C47="Hybrid car",$D47=3),$E47*'EL '!D$24,AND($C47="Hybrid car",$D47=4),$E47*'EL '!D$25,AND($C47="Hybrid car",$D47=5),$E47*'EL '!D$26,AND($C47="Electric motorcycle",$D47=1),$E47*'EL '!D$28,AND($C47="Electric motorcycle",$D47=2),$E47*'EL '!D$29,AND($C47="Electric bike",$D47=1),$E47*'EL '!D$31,AND($C47="Electric scooter",$D47=1),$E47*'EL '!D$33,AND($C47="Bus",$D47="Almost empty"),$E47*'EL '!I$23,AND($C47="Bus",$D47="Average"),$E47*'EL '!I$24,AND($C47="Bus",$D47="Nearly full"),$E47*'EL '!I$25,AND($C47="Electric bus",$D47="Almost empty"),$E47*'EL '!I$7,AND($C47="Electric bus",$D47="Average"),$E47*'EL '!I$8,AND($C47="Electric bus",$D47="Nearly full"),$E47*'EL '!I$9,AND($C47="Diesel bus",$D47="Almost empty"),$E47*'EL '!I$19,AND($C47="Diesel bus",$D47="Average"),$E47*'EL '!I$20,AND($C47="Diesel bus",$D47="Nearly full"),$E47*'EL '!I$21,AND($C47="Hybrid-electric bus",$D47="Almost empty"),$E47*'EL '!I$11,AND($C47="Hybrid-electric bus",$D47="Average"),$E47*'EL '!I$12,AND($C47="Hybrid-electric bus",$D47="Nearly full"),$E47*'EL '!I$13,AND($C47="Alternative fuel bus",$D47="Almost empty"),$E47*'EL '!I$15,AND($C47="Alternative fuel bus",$D47="Average"),$E47*'EL '!I$16,AND($C47="Alternative fuel bus",$D47="Nearly full"),$E47*'EL '!I$17,AND($C47="Metro, tram, urban light train",$D47="Almost empty"),$E47*'EL '!D$35,AND($C47="Metro, tram, urban light train",$D47="Average"),$E47*'EL '!D$36,AND($C47="Metro, tram, urban light train",$D47="Nearly full"),$E47*'EL '!D$37,AND($C47="Electric passenger train",$D47="Almost empty"),$E47*'EL '!D$39,AND($C47="Electric passenger train",$D47="Average"),$E47*'EL '!D$40,AND($C47="Electric passenger train",$D47="Nearly full"),$E47*'EL '!D$41,AND($C47="Diesel passenger train",$D47="Almost empty"),$E47*'EL '!D$47,AND($C47="Diesel passenger train",$D47="Average"),$E47*'EL '!D$48,AND($C47="Diesel passenger train",$D47="Nearly full"),$E47*'EL '!D$49,AND($C47="Walking"),$E47*0,AND($C47="Bike"),$E47*0,AND($C47="Plane - domestic flight"),$E47*'EL '!$C71,AND($C47="Plane - international - intra EU"),$E47*'EL '!$C73,AND($C47="Plane - international (extra EU)"),$E47*'EL '!$C75)</f>
        <v>#N/A</v>
      </c>
      <c r="L47" s="238" t="s">
        <v>56</v>
      </c>
      <c r="M47" s="239"/>
      <c r="N47" s="240"/>
    </row>
    <row r="48" spans="1:14" ht="16" thickBot="1" x14ac:dyDescent="0.25">
      <c r="A48" s="222"/>
      <c r="B48" s="30"/>
      <c r="C48" s="15"/>
      <c r="D48" s="15"/>
      <c r="E48" s="125"/>
      <c r="F48" s="128" t="e" cm="1">
        <f t="array" ref="F48">_xlfn.IFS(AND($C48="Fuel car",$D48=1),$E48*'EL '!C$7,AND($C48="Fuel car",$D48=2),$E48*'EL '!C$8,AND($C48="Fuel car",$D48=3),$E48*'EL '!C$9,AND($C48="Fuel car",$D48=4),$E48*'EL '!C$10,AND($C48="Fuel car",$D48=5),$E48*'EL '!C$11,AND($C48="Motorcycle",$D48=1),$E48*'EL '!C$13,AND($C48="Motorcycle",$D48=2),$E48*'EL '!C$14,AND($C48="Electric car",$D48=1),$E48*'EL '!C$16,AND($C48="Electric car",$D48=2),$E48*'EL '!C$17,AND($C48="Electric car",$D48=3),$E48*'EL '!C$18,AND($C48="Electric car",$D48=4),$E48*'EL '!C$19,AND($C48="Electric car",$D48=5),$E48*'EL '!C$20,AND($C48="Hybrid car",$D48=1),$E48*'EL '!C$22,AND($C48="Hybrid car",$D48=2),$E48*'EL '!C$23,AND($C48="Hybrid car",$D48=3),$E48*'EL '!C$24,AND($C48="Hybrid car",$D48=4),$E48*'EL '!C$25,AND($C48="Hybrid car",$D48=5),$E48*'EL '!C$26,AND($C48="Electric motorcycle",$D48=1),$E48*'EL '!C$28,AND($C48="Electric motorcycle",$D48=2),$E48*'EL '!C$29,AND($C48="Electric bike",$D48=1),$E48*'EL '!C$31,AND($C48="Electric scooter",$D48=1),$E48*'EL '!C$33,AND($C48="Bus",$D48="Almost empty"),$E48*'EL '!H$23,AND($C48="Bus",$D48="Average"),$E48*'EL '!H$24,AND($C48="Bus",$D48="Nearly full"),$E48*'EL '!H$25,AND($C48="Electric bus",$D48="Almost empty"),$E48*'EL '!H$7,AND($C48="Electric bus",$D48="Average"),$E48*'EL '!H$8,AND($C48="Electric bus",$D48="Nearly full"),$E48*'EL '!H$9,AND($C48="Diesel bus",$D48="Almost empty"),$E48*'EL '!H$19,AND($C48="Diesel bus",$D48="Average"),$E48*'EL '!H$20,AND($C48="Diesel bus",$D48="Nearly full"),$E48*'EL '!H$21,AND($C48="Hybrid-electric bus",$D48="Almost empty"),$E48*'EL '!H$11,AND($C48="Hybrid-electric bus",$D48="Average"),$E48*'EL '!H$12,AND($C48="Hybrid-electric bus",$D48="Nearly full"),$E48*'EL '!H$13,AND($C48="Alternative fuel bus",$D48="Almost empty"),$E48*'EL '!H$15,AND($C48="Alternative fuel bus",$D48="Average"),$E48*'EL '!H$16,AND($C48="Alternative fuel bus",$D48="Nearly full"),$E48*'EL '!H$17,AND($C48="Metro, tram, urban light train",$D48="Almost empty"),$E48*'EL '!C$35,AND($C48="Metro, tram, urban light train",$D48="Average"),$E48*'EL '!C$36,AND($C48="Metro, tram, urban light train",$D48="Nearly full"),$E48*'EL '!C$37,AND($C48="Electric passenger train",$D48="Almost empty"),$E48*'EL '!C$39,AND($C48="Electric passenger train",$D48="Average"),$E48*'EL '!C$40,AND($C48="Electric passenger train",$D48="Nearly full"),$E48*'EL '!C$41,AND($C48="Diesel passenger train",$D48="Almost empty"),$E48*'EL '!C$47,AND($C48="Diesel passenger train",$D48="Average"),$E48*'EL '!C$48,AND($C48="Diesel passenger train",$D48="Nearly full"),$E48*'EL '!C$49,AND($C48="Walking"),$E48*0,AND($C48="Bike"),$E48*0,AND($C48="Plane - domestic flight"),$E48*'EL '!$C72,AND($C48="Plane - international - intra EU"),$E48*'EL '!$C74,AND($C48="Plane - international (extra EU)"),$E48*'EL '!$C76)</f>
        <v>#N/A</v>
      </c>
      <c r="G48" s="31" t="e" cm="1">
        <f t="array" ref="G48">_xlfn.IFS(AND($C48="Fuel car",$D48=1),$E48*'EL '!D$7,AND($C48="Fuel car",$D48=2),$E48*'EL '!D$8,AND($C48="Fuel car",$D48=3),$E48*'EL '!D$9,AND($C48="Fuel car",$D48=4),$E48*'EL '!D$10,AND($C48="Fuel car",$D48=5),$E48*'EL '!D$11,AND($C48="Motorcycle",$D48=1),$E48*'EL '!D$13,AND($C48="Motorcycle",$D48=2),$E48*'EL '!D$14,AND($C48="Electric car",$D48=1),$E48*'EL '!D$16,AND($C48="Electric car",$D48=2),$E48*'EL '!D$17,AND($C48="Electric car",$D48=3),$E48*'EL '!D$18,AND($C48="Electric car",$D48=4),$E48*'EL '!D$19,AND($C48="Electric car",$D48=5),$E48*'EL '!D$20,AND($C48="Hybrid car",$D48=1),$E48*'EL '!D$22,AND($C48="Hybrid car",$D48=2),$E48*'EL '!D$23,AND($C48="Hybrid car",$D48=3),$E48*'EL '!D$24,AND($C48="Hybrid car",$D48=4),$E48*'EL '!D$25,AND($C48="Hybrid car",$D48=5),$E48*'EL '!D$26,AND($C48="Electric motorcycle",$D48=1),$E48*'EL '!D$28,AND($C48="Electric motorcycle",$D48=2),$E48*'EL '!D$29,AND($C48="Electric bike",$D48=1),$E48*'EL '!D$31,AND($C48="Electric scooter",$D48=1),$E48*'EL '!D$33,AND($C48="Bus",$D48="Almost empty"),$E48*'EL '!I$23,AND($C48="Bus",$D48="Average"),$E48*'EL '!I$24,AND($C48="Bus",$D48="Nearly full"),$E48*'EL '!I$25,AND($C48="Electric bus",$D48="Almost empty"),$E48*'EL '!I$7,AND($C48="Electric bus",$D48="Average"),$E48*'EL '!I$8,AND($C48="Electric bus",$D48="Nearly full"),$E48*'EL '!I$9,AND($C48="Diesel bus",$D48="Almost empty"),$E48*'EL '!I$19,AND($C48="Diesel bus",$D48="Average"),$E48*'EL '!I$20,AND($C48="Diesel bus",$D48="Nearly full"),$E48*'EL '!I$21,AND($C48="Hybrid-electric bus",$D48="Almost empty"),$E48*'EL '!I$11,AND($C48="Hybrid-electric bus",$D48="Average"),$E48*'EL '!I$12,AND($C48="Hybrid-electric bus",$D48="Nearly full"),$E48*'EL '!I$13,AND($C48="Alternative fuel bus",$D48="Almost empty"),$E48*'EL '!I$15,AND($C48="Alternative fuel bus",$D48="Average"),$E48*'EL '!I$16,AND($C48="Alternative fuel bus",$D48="Nearly full"),$E48*'EL '!I$17,AND($C48="Metro, tram, urban light train",$D48="Almost empty"),$E48*'EL '!D$35,AND($C48="Metro, tram, urban light train",$D48="Average"),$E48*'EL '!D$36,AND($C48="Metro, tram, urban light train",$D48="Nearly full"),$E48*'EL '!D$37,AND($C48="Electric passenger train",$D48="Almost empty"),$E48*'EL '!D$39,AND($C48="Electric passenger train",$D48="Average"),$E48*'EL '!D$40,AND($C48="Electric passenger train",$D48="Nearly full"),$E48*'EL '!D$41,AND($C48="Diesel passenger train",$D48="Almost empty"),$E48*'EL '!D$47,AND($C48="Diesel passenger train",$D48="Average"),$E48*'EL '!D$48,AND($C48="Diesel passenger train",$D48="Nearly full"),$E48*'EL '!D$49,AND($C48="Walking"),$E48*0,AND($C48="Bike"),$E48*0,AND($C48="Plane - domestic flight"),$E48*'EL '!$C72,AND($C48="Plane - international - intra EU"),$E48*'EL '!$C74,AND($C48="Plane - international (extra EU)"),$E48*'EL '!$C76)</f>
        <v>#N/A</v>
      </c>
      <c r="H48" s="196" t="s">
        <v>67</v>
      </c>
      <c r="I48" s="197"/>
      <c r="L48" s="249"/>
      <c r="M48" s="250"/>
      <c r="N48" s="251"/>
    </row>
    <row r="49" spans="1:14" x14ac:dyDescent="0.2">
      <c r="A49" s="222"/>
      <c r="B49" s="30"/>
      <c r="C49" s="15"/>
      <c r="D49" s="15"/>
      <c r="E49" s="125"/>
      <c r="F49" s="128" t="e" cm="1">
        <f t="array" ref="F49">_xlfn.IFS(AND($C49="Fuel car",$D49=1),$E49*'EL '!C$7,AND($C49="Fuel car",$D49=2),$E49*'EL '!C$8,AND($C49="Fuel car",$D49=3),$E49*'EL '!C$9,AND($C49="Fuel car",$D49=4),$E49*'EL '!C$10,AND($C49="Fuel car",$D49=5),$E49*'EL '!C$11,AND($C49="Motorcycle",$D49=1),$E49*'EL '!C$13,AND($C49="Motorcycle",$D49=2),$E49*'EL '!C$14,AND($C49="Electric car",$D49=1),$E49*'EL '!C$16,AND($C49="Electric car",$D49=2),$E49*'EL '!C$17,AND($C49="Electric car",$D49=3),$E49*'EL '!C$18,AND($C49="Electric car",$D49=4),$E49*'EL '!C$19,AND($C49="Electric car",$D49=5),$E49*'EL '!C$20,AND($C49="Hybrid car",$D49=1),$E49*'EL '!C$22,AND($C49="Hybrid car",$D49=2),$E49*'EL '!C$23,AND($C49="Hybrid car",$D49=3),$E49*'EL '!C$24,AND($C49="Hybrid car",$D49=4),$E49*'EL '!C$25,AND($C49="Hybrid car",$D49=5),$E49*'EL '!C$26,AND($C49="Electric motorcycle",$D49=1),$E49*'EL '!C$28,AND($C49="Electric motorcycle",$D49=2),$E49*'EL '!C$29,AND($C49="Electric bike",$D49=1),$E49*'EL '!C$31,AND($C49="Electric scooter",$D49=1),$E49*'EL '!C$33,AND($C49="Bus",$D49="Almost empty"),$E49*'EL '!H$23,AND($C49="Bus",$D49="Average"),$E49*'EL '!H$24,AND($C49="Bus",$D49="Nearly full"),$E49*'EL '!H$25,AND($C49="Electric bus",$D49="Almost empty"),$E49*'EL '!H$7,AND($C49="Electric bus",$D49="Average"),$E49*'EL '!H$8,AND($C49="Electric bus",$D49="Nearly full"),$E49*'EL '!H$9,AND($C49="Diesel bus",$D49="Almost empty"),$E49*'EL '!H$19,AND($C49="Diesel bus",$D49="Average"),$E49*'EL '!H$20,AND($C49="Diesel bus",$D49="Nearly full"),$E49*'EL '!H$21,AND($C49="Hybrid-electric bus",$D49="Almost empty"),$E49*'EL '!H$11,AND($C49="Hybrid-electric bus",$D49="Average"),$E49*'EL '!H$12,AND($C49="Hybrid-electric bus",$D49="Nearly full"),$E49*'EL '!H$13,AND($C49="Alternative fuel bus",$D49="Almost empty"),$E49*'EL '!H$15,AND($C49="Alternative fuel bus",$D49="Average"),$E49*'EL '!H$16,AND($C49="Alternative fuel bus",$D49="Nearly full"),$E49*'EL '!H$17,AND($C49="Metro, tram, urban light train",$D49="Almost empty"),$E49*'EL '!C$35,AND($C49="Metro, tram, urban light train",$D49="Average"),$E49*'EL '!C$36,AND($C49="Metro, tram, urban light train",$D49="Nearly full"),$E49*'EL '!C$37,AND($C49="Electric passenger train",$D49="Almost empty"),$E49*'EL '!C$39,AND($C49="Electric passenger train",$D49="Average"),$E49*'EL '!C$40,AND($C49="Electric passenger train",$D49="Nearly full"),$E49*'EL '!C$41,AND($C49="Diesel passenger train",$D49="Almost empty"),$E49*'EL '!C$47,AND($C49="Diesel passenger train",$D49="Average"),$E49*'EL '!C$48,AND($C49="Diesel passenger train",$D49="Nearly full"),$E49*'EL '!C$49,AND($C49="Walking"),$E49*0,AND($C49="Bike"),$E49*0,AND($C49="Plane - domestic flight"),$E49*'EL '!$C73,AND($C49="Plane - international - intra EU"),$E49*'EL '!$C75,AND($C49="Plane - international (extra EU)"),$E49*'EL '!$C77)</f>
        <v>#N/A</v>
      </c>
      <c r="G49" s="31" t="e" cm="1">
        <f t="array" ref="G49">_xlfn.IFS(AND($C49="Fuel car",$D49=1),$E49*'EL '!D$7,AND($C49="Fuel car",$D49=2),$E49*'EL '!D$8,AND($C49="Fuel car",$D49=3),$E49*'EL '!D$9,AND($C49="Fuel car",$D49=4),$E49*'EL '!D$10,AND($C49="Fuel car",$D49=5),$E49*'EL '!D$11,AND($C49="Motorcycle",$D49=1),$E49*'EL '!D$13,AND($C49="Motorcycle",$D49=2),$E49*'EL '!D$14,AND($C49="Electric car",$D49=1),$E49*'EL '!D$16,AND($C49="Electric car",$D49=2),$E49*'EL '!D$17,AND($C49="Electric car",$D49=3),$E49*'EL '!D$18,AND($C49="Electric car",$D49=4),$E49*'EL '!D$19,AND($C49="Electric car",$D49=5),$E49*'EL '!D$20,AND($C49="Hybrid car",$D49=1),$E49*'EL '!D$22,AND($C49="Hybrid car",$D49=2),$E49*'EL '!D$23,AND($C49="Hybrid car",$D49=3),$E49*'EL '!D$24,AND($C49="Hybrid car",$D49=4),$E49*'EL '!D$25,AND($C49="Hybrid car",$D49=5),$E49*'EL '!D$26,AND($C49="Electric motorcycle",$D49=1),$E49*'EL '!D$28,AND($C49="Electric motorcycle",$D49=2),$E49*'EL '!D$29,AND($C49="Electric bike",$D49=1),$E49*'EL '!D$31,AND($C49="Electric scooter",$D49=1),$E49*'EL '!D$33,AND($C49="Bus",$D49="Almost empty"),$E49*'EL '!I$23,AND($C49="Bus",$D49="Average"),$E49*'EL '!I$24,AND($C49="Bus",$D49="Nearly full"),$E49*'EL '!I$25,AND($C49="Electric bus",$D49="Almost empty"),$E49*'EL '!I$7,AND($C49="Electric bus",$D49="Average"),$E49*'EL '!I$8,AND($C49="Electric bus",$D49="Nearly full"),$E49*'EL '!I$9,AND($C49="Diesel bus",$D49="Almost empty"),$E49*'EL '!I$19,AND($C49="Diesel bus",$D49="Average"),$E49*'EL '!I$20,AND($C49="Diesel bus",$D49="Nearly full"),$E49*'EL '!I$21,AND($C49="Hybrid-electric bus",$D49="Almost empty"),$E49*'EL '!I$11,AND($C49="Hybrid-electric bus",$D49="Average"),$E49*'EL '!I$12,AND($C49="Hybrid-electric bus",$D49="Nearly full"),$E49*'EL '!I$13,AND($C49="Alternative fuel bus",$D49="Almost empty"),$E49*'EL '!I$15,AND($C49="Alternative fuel bus",$D49="Average"),$E49*'EL '!I$16,AND($C49="Alternative fuel bus",$D49="Nearly full"),$E49*'EL '!I$17,AND($C49="Metro, tram, urban light train",$D49="Almost empty"),$E49*'EL '!D$35,AND($C49="Metro, tram, urban light train",$D49="Average"),$E49*'EL '!D$36,AND($C49="Metro, tram, urban light train",$D49="Nearly full"),$E49*'EL '!D$37,AND($C49="Electric passenger train",$D49="Almost empty"),$E49*'EL '!D$39,AND($C49="Electric passenger train",$D49="Average"),$E49*'EL '!D$40,AND($C49="Electric passenger train",$D49="Nearly full"),$E49*'EL '!D$41,AND($C49="Diesel passenger train",$D49="Almost empty"),$E49*'EL '!D$47,AND($C49="Diesel passenger train",$D49="Average"),$E49*'EL '!D$48,AND($C49="Diesel passenger train",$D49="Nearly full"),$E49*'EL '!D$49,AND($C49="Walking"),$E49*0,AND($C49="Bike"),$E49*0,AND($C49="Plane - domestic flight"),$E49*'EL '!$C73,AND($C49="Plane - international - intra EU"),$E49*'EL '!$C75,AND($C49="Plane - international (extra EU)"),$E49*'EL '!$C77)</f>
        <v>#N/A</v>
      </c>
      <c r="H49" s="244" t="s">
        <v>74</v>
      </c>
      <c r="I49" s="141"/>
      <c r="L49" s="252"/>
      <c r="M49" s="253"/>
      <c r="N49" s="254"/>
    </row>
    <row r="50" spans="1:14" ht="16" thickBot="1" x14ac:dyDescent="0.25">
      <c r="A50" s="222"/>
      <c r="B50" s="51"/>
      <c r="C50" s="15"/>
      <c r="D50" s="15"/>
      <c r="E50" s="126"/>
      <c r="F50" s="128" t="e" cm="1">
        <f t="array" ref="F50">_xlfn.IFS(AND($C50="Fuel car",$D50=1),$E50*'EL '!C$7,AND($C50="Fuel car",$D50=2),$E50*'EL '!C$8,AND($C50="Fuel car",$D50=3),$E50*'EL '!C$9,AND($C50="Fuel car",$D50=4),$E50*'EL '!C$10,AND($C50="Fuel car",$D50=5),$E50*'EL '!C$11,AND($C50="Motorcycle",$D50=1),$E50*'EL '!C$13,AND($C50="Motorcycle",$D50=2),$E50*'EL '!C$14,AND($C50="Electric car",$D50=1),$E50*'EL '!C$16,AND($C50="Electric car",$D50=2),$E50*'EL '!C$17,AND($C50="Electric car",$D50=3),$E50*'EL '!C$18,AND($C50="Electric car",$D50=4),$E50*'EL '!C$19,AND($C50="Electric car",$D50=5),$E50*'EL '!C$20,AND($C50="Hybrid car",$D50=1),$E50*'EL '!C$22,AND($C50="Hybrid car",$D50=2),$E50*'EL '!C$23,AND($C50="Hybrid car",$D50=3),$E50*'EL '!C$24,AND($C50="Hybrid car",$D50=4),$E50*'EL '!C$25,AND($C50="Hybrid car",$D50=5),$E50*'EL '!C$26,AND($C50="Electric motorcycle",$D50=1),$E50*'EL '!C$28,AND($C50="Electric motorcycle",$D50=2),$E50*'EL '!C$29,AND($C50="Electric bike",$D50=1),$E50*'EL '!C$31,AND($C50="Electric scooter",$D50=1),$E50*'EL '!C$33,AND($C50="Bus",$D50="Almost empty"),$E50*'EL '!H$23,AND($C50="Bus",$D50="Average"),$E50*'EL '!H$24,AND($C50="Bus",$D50="Nearly full"),$E50*'EL '!H$25,AND($C50="Electric bus",$D50="Almost empty"),$E50*'EL '!H$7,AND($C50="Electric bus",$D50="Average"),$E50*'EL '!H$8,AND($C50="Electric bus",$D50="Nearly full"),$E50*'EL '!H$9,AND($C50="Diesel bus",$D50="Almost empty"),$E50*'EL '!H$19,AND($C50="Diesel bus",$D50="Average"),$E50*'EL '!H$20,AND($C50="Diesel bus",$D50="Nearly full"),$E50*'EL '!H$21,AND($C50="Hybrid-electric bus",$D50="Almost empty"),$E50*'EL '!H$11,AND($C50="Hybrid-electric bus",$D50="Average"),$E50*'EL '!H$12,AND($C50="Hybrid-electric bus",$D50="Nearly full"),$E50*'EL '!H$13,AND($C50="Alternative fuel bus",$D50="Almost empty"),$E50*'EL '!H$15,AND($C50="Alternative fuel bus",$D50="Average"),$E50*'EL '!H$16,AND($C50="Alternative fuel bus",$D50="Nearly full"),$E50*'EL '!H$17,AND($C50="Metro, tram, urban light train",$D50="Almost empty"),$E50*'EL '!C$35,AND($C50="Metro, tram, urban light train",$D50="Average"),$E50*'EL '!C$36,AND($C50="Metro, tram, urban light train",$D50="Nearly full"),$E50*'EL '!C$37,AND($C50="Electric passenger train",$D50="Almost empty"),$E50*'EL '!C$39,AND($C50="Electric passenger train",$D50="Average"),$E50*'EL '!C$40,AND($C50="Electric passenger train",$D50="Nearly full"),$E50*'EL '!C$41,AND($C50="Diesel passenger train",$D50="Almost empty"),$E50*'EL '!C$47,AND($C50="Diesel passenger train",$D50="Average"),$E50*'EL '!C$48,AND($C50="Diesel passenger train",$D50="Nearly full"),$E50*'EL '!C$49,AND($C50="Walking"),$E50*0,AND($C50="Bike"),$E50*0,AND($C50="Plane - domestic flight"),$E50*'EL '!$C74,AND($C50="Plane - international - intra EU"),$E50*'EL '!$C76,AND($C50="Plane - international (extra EU)"),$E50*'EL '!$C78)</f>
        <v>#N/A</v>
      </c>
      <c r="G50" s="31" t="e" cm="1">
        <f t="array" ref="G50">_xlfn.IFS(AND($C50="Fuel car",$D50=1),$E50*'EL '!D$7,AND($C50="Fuel car",$D50=2),$E50*'EL '!D$8,AND($C50="Fuel car",$D50=3),$E50*'EL '!D$9,AND($C50="Fuel car",$D50=4),$E50*'EL '!D$10,AND($C50="Fuel car",$D50=5),$E50*'EL '!D$11,AND($C50="Motorcycle",$D50=1),$E50*'EL '!D$13,AND($C50="Motorcycle",$D50=2),$E50*'EL '!D$14,AND($C50="Electric car",$D50=1),$E50*'EL '!D$16,AND($C50="Electric car",$D50=2),$E50*'EL '!D$17,AND($C50="Electric car",$D50=3),$E50*'EL '!D$18,AND($C50="Electric car",$D50=4),$E50*'EL '!D$19,AND($C50="Electric car",$D50=5),$E50*'EL '!D$20,AND($C50="Hybrid car",$D50=1),$E50*'EL '!D$22,AND($C50="Hybrid car",$D50=2),$E50*'EL '!D$23,AND($C50="Hybrid car",$D50=3),$E50*'EL '!D$24,AND($C50="Hybrid car",$D50=4),$E50*'EL '!D$25,AND($C50="Hybrid car",$D50=5),$E50*'EL '!D$26,AND($C50="Electric motorcycle",$D50=1),$E50*'EL '!D$28,AND($C50="Electric motorcycle",$D50=2),$E50*'EL '!D$29,AND($C50="Electric bike",$D50=1),$E50*'EL '!D$31,AND($C50="Electric scooter",$D50=1),$E50*'EL '!D$33,AND($C50="Bus",$D50="Almost empty"),$E50*'EL '!I$23,AND($C50="Bus",$D50="Average"),$E50*'EL '!I$24,AND($C50="Bus",$D50="Nearly full"),$E50*'EL '!I$25,AND($C50="Electric bus",$D50="Almost empty"),$E50*'EL '!I$7,AND($C50="Electric bus",$D50="Average"),$E50*'EL '!I$8,AND($C50="Electric bus",$D50="Nearly full"),$E50*'EL '!I$9,AND($C50="Diesel bus",$D50="Almost empty"),$E50*'EL '!I$19,AND($C50="Diesel bus",$D50="Average"),$E50*'EL '!I$20,AND($C50="Diesel bus",$D50="Nearly full"),$E50*'EL '!I$21,AND($C50="Hybrid-electric bus",$D50="Almost empty"),$E50*'EL '!I$11,AND($C50="Hybrid-electric bus",$D50="Average"),$E50*'EL '!I$12,AND($C50="Hybrid-electric bus",$D50="Nearly full"),$E50*'EL '!I$13,AND($C50="Alternative fuel bus",$D50="Almost empty"),$E50*'EL '!I$15,AND($C50="Alternative fuel bus",$D50="Average"),$E50*'EL '!I$16,AND($C50="Alternative fuel bus",$D50="Nearly full"),$E50*'EL '!I$17,AND($C50="Metro, tram, urban light train",$D50="Almost empty"),$E50*'EL '!D$35,AND($C50="Metro, tram, urban light train",$D50="Average"),$E50*'EL '!D$36,AND($C50="Metro, tram, urban light train",$D50="Nearly full"),$E50*'EL '!D$37,AND($C50="Electric passenger train",$D50="Almost empty"),$E50*'EL '!D$39,AND($C50="Electric passenger train",$D50="Average"),$E50*'EL '!D$40,AND($C50="Electric passenger train",$D50="Nearly full"),$E50*'EL '!D$41,AND($C50="Diesel passenger train",$D50="Almost empty"),$E50*'EL '!D$47,AND($C50="Diesel passenger train",$D50="Average"),$E50*'EL '!D$48,AND($C50="Diesel passenger train",$D50="Nearly full"),$E50*'EL '!D$49,AND($C50="Walking"),$E50*0,AND($C50="Bike"),$E50*0,AND($C50="Plane - domestic flight"),$E50*'EL '!$C74,AND($C50="Plane - international - intra EU"),$E50*'EL '!$C76,AND($C50="Plane - international (extra EU)"),$E50*'EL '!$C78)</f>
        <v>#N/A</v>
      </c>
      <c r="H50" s="245"/>
      <c r="I50" s="142"/>
      <c r="L50" s="252"/>
      <c r="M50" s="253"/>
      <c r="N50" s="254"/>
    </row>
    <row r="51" spans="1:14" ht="33" thickBot="1" x14ac:dyDescent="0.25">
      <c r="A51" s="222"/>
      <c r="B51" s="53"/>
      <c r="C51" s="32"/>
      <c r="D51" s="34"/>
      <c r="E51" s="113"/>
      <c r="F51" s="129" t="e" cm="1">
        <f t="array" ref="F51">_xlfn.IFS(AND($C51="Fuel car",$D51=1),$E51*'EL '!C$7,AND($C51="Fuel car",$D51=2),$E51*'EL '!C$8,AND($C51="Fuel car",$D51=3),$E51*'EL '!C$9,AND($C51="Fuel car",$D51=4),$E51*'EL '!C$10,AND($C51="Fuel car",$D51=5),$E51*'EL '!C$11,AND($C51="Motorcycle",$D51=1),$E51*'EL '!C$13,AND($C51="Motorcycle",$D51=2),$E51*'EL '!C$14,AND($C51="Electric car",$D51=1),$E51*'EL '!C$16,AND($C51="Electric car",$D51=2),$E51*'EL '!C$17,AND($C51="Electric car",$D51=3),$E51*'EL '!C$18,AND($C51="Electric car",$D51=4),$E51*'EL '!C$19,AND($C51="Electric car",$D51=5),$E51*'EL '!C$20,AND($C51="Hybrid car",$D51=1),$E51*'EL '!C$22,AND($C51="Hybrid car",$D51=2),$E51*'EL '!C$23,AND($C51="Hybrid car",$D51=3),$E51*'EL '!C$24,AND($C51="Hybrid car",$D51=4),$E51*'EL '!C$25,AND($C51="Hybrid car",$D51=5),$E51*'EL '!C$26,AND($C51="Electric motorcycle",$D51=1),$E51*'EL '!C$28,AND($C51="Electric motorcycle",$D51=2),$E51*'EL '!C$29,AND($C51="Electric bike",$D51=1),$E51*'EL '!C$31,AND($C51="Electric scooter",$D51=1),$E51*'EL '!C$33,AND($C51="Bus",$D51="Almost empty"),$E51*'EL '!H$23,AND($C51="Bus",$D51="Average"),$E51*'EL '!H$24,AND($C51="Bus",$D51="Nearly full"),$E51*'EL '!H$25,AND($C51="Electric bus",$D51="Almost empty"),$E51*'EL '!H$7,AND($C51="Electric bus",$D51="Average"),$E51*'EL '!H$8,AND($C51="Electric bus",$D51="Nearly full"),$E51*'EL '!H$9,AND($C51="Diesel bus",$D51="Almost empty"),$E51*'EL '!H$19,AND($C51="Diesel bus",$D51="Average"),$E51*'EL '!H$20,AND($C51="Diesel bus",$D51="Nearly full"),$E51*'EL '!H$21,AND($C51="Hybrid-electric bus",$D51="Almost empty"),$E51*'EL '!H$11,AND($C51="Hybrid-electric bus",$D51="Average"),$E51*'EL '!H$12,AND($C51="Hybrid-electric bus",$D51="Nearly full"),$E51*'EL '!H$13,AND($C51="Alternative fuel bus",$D51="Almost empty"),$E51*'EL '!H$15,AND($C51="Alternative fuel bus",$D51="Average"),$E51*'EL '!H$16,AND($C51="Alternative fuel bus",$D51="Nearly full"),$E51*'EL '!H$17,AND($C51="Metro, tram, urban light train",$D51="Almost empty"),$E51*'EL '!C$35,AND($C51="Metro, tram, urban light train",$D51="Average"),$E51*'EL '!C$36,AND($C51="Metro, tram, urban light train",$D51="Nearly full"),$E51*'EL '!C$37,AND($C51="Electric passenger train",$D51="Almost empty"),$E51*'EL '!C$39,AND($C51="Electric passenger train",$D51="Average"),$E51*'EL '!C$40,AND($C51="Electric passenger train",$D51="Nearly full"),$E51*'EL '!C$41,AND($C51="Diesel passenger train",$D51="Almost empty"),$E51*'EL '!C$47,AND($C51="Diesel passenger train",$D51="Average"),$E51*'EL '!C$48,AND($C51="Diesel passenger train",$D51="Nearly full"),$E51*'EL '!C$49,AND($C51="Walking"),$E51*0,AND($C51="Bike"),$E51*0,AND($C51="Plane - domestic flight"),$E51*'EL '!$C75,AND($C51="Plane - international - intra EU"),$E51*'EL '!$C77,AND($C51="Plane - international (extra EU)"),$E51*'EL '!$C79)</f>
        <v>#N/A</v>
      </c>
      <c r="G51" s="35" t="e" cm="1">
        <f t="array" ref="G51">_xlfn.IFS(AND($C51="Fuel car",$D51=1),$E51*'EL '!D$7,AND($C51="Fuel car",$D51=2),$E51*'EL '!D$8,AND($C51="Fuel car",$D51=3),$E51*'EL '!D$9,AND($C51="Fuel car",$D51=4),$E51*'EL '!D$10,AND($C51="Fuel car",$D51=5),$E51*'EL '!D$11,AND($C51="Motorcycle",$D51=1),$E51*'EL '!D$13,AND($C51="Motorcycle",$D51=2),$E51*'EL '!D$14,AND($C51="Electric car",$D51=1),$E51*'EL '!D$16,AND($C51="Electric car",$D51=2),$E51*'EL '!D$17,AND($C51="Electric car",$D51=3),$E51*'EL '!D$18,AND($C51="Electric car",$D51=4),$E51*'EL '!D$19,AND($C51="Electric car",$D51=5),$E51*'EL '!D$20,AND($C51="Hybrid car",$D51=1),$E51*'EL '!D$22,AND($C51="Hybrid car",$D51=2),$E51*'EL '!D$23,AND($C51="Hybrid car",$D51=3),$E51*'EL '!D$24,AND($C51="Hybrid car",$D51=4),$E51*'EL '!D$25,AND($C51="Hybrid car",$D51=5),$E51*'EL '!D$26,AND($C51="Electric motorcycle",$D51=1),$E51*'EL '!D$28,AND($C51="Electric motorcycle",$D51=2),$E51*'EL '!D$29,AND($C51="Electric bike",$D51=1),$E51*'EL '!D$31,AND($C51="Electric scooter",$D51=1),$E51*'EL '!D$33,AND($C51="Bus",$D51="Almost empty"),$E51*'EL '!I$23,AND($C51="Bus",$D51="Average"),$E51*'EL '!I$24,AND($C51="Bus",$D51="Nearly full"),$E51*'EL '!I$25,AND($C51="Electric bus",$D51="Almost empty"),$E51*'EL '!I$7,AND($C51="Electric bus",$D51="Average"),$E51*'EL '!I$8,AND($C51="Electric bus",$D51="Nearly full"),$E51*'EL '!I$9,AND($C51="Diesel bus",$D51="Almost empty"),$E51*'EL '!I$19,AND($C51="Diesel bus",$D51="Average"),$E51*'EL '!I$20,AND($C51="Diesel bus",$D51="Nearly full"),$E51*'EL '!I$21,AND($C51="Hybrid-electric bus",$D51="Almost empty"),$E51*'EL '!I$11,AND($C51="Hybrid-electric bus",$D51="Average"),$E51*'EL '!I$12,AND($C51="Hybrid-electric bus",$D51="Nearly full"),$E51*'EL '!I$13,AND($C51="Alternative fuel bus",$D51="Almost empty"),$E51*'EL '!I$15,AND($C51="Alternative fuel bus",$D51="Average"),$E51*'EL '!I$16,AND($C51="Alternative fuel bus",$D51="Nearly full"),$E51*'EL '!I$17,AND($C51="Metro, tram, urban light train",$D51="Almost empty"),$E51*'EL '!D$35,AND($C51="Metro, tram, urban light train",$D51="Average"),$E51*'EL '!D$36,AND($C51="Metro, tram, urban light train",$D51="Nearly full"),$E51*'EL '!D$37,AND($C51="Electric passenger train",$D51="Almost empty"),$E51*'EL '!D$39,AND($C51="Electric passenger train",$D51="Average"),$E51*'EL '!D$40,AND($C51="Electric passenger train",$D51="Nearly full"),$E51*'EL '!D$41,AND($C51="Diesel passenger train",$D51="Almost empty"),$E51*'EL '!D$47,AND($C51="Diesel passenger train",$D51="Average"),$E51*'EL '!D$48,AND($C51="Diesel passenger train",$D51="Nearly full"),$E51*'EL '!D$49,AND($C51="Walking"),$E51*0,AND($C51="Bike"),$E51*0,AND($C51="Plane - domestic flight"),$E51*'EL '!$C75,AND($C51="Plane - international - intra EU"),$E51*'EL '!$C77,AND($C51="Plane - international (extra EU)"),$E51*'EL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_xlfn.IFS(AND(D57&lt;='EL '!L4),"A+",AND(D57&lt;='EL '!M4,D57&gt;'EL '!L4),"A",AND(D57&lt;='EL '!N4,D57&gt;'EL '!M4),"B",AND(D57&lt;='EL '!O4,D57&gt;'EL '!N4),"C",AND(D57&lt;='EL '!P4,D57&gt;'EL '!O4),"D",AND(D57&lt;='EL '!Q4,D57&gt;'EL '!P4),"E",AND(D57&lt;='EL '!R4,D57&gt;'EL '!Q4),"F",AND(D57&gt;'EL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_xlfn.IFS(D58="#","#",AND(D58&lt;='EL '!L5),"A+",AND(D58&lt;='EL '!M5,D58&gt;'EL '!L5),"A",AND(D58&lt;='EL '!N5,D58&gt;'EL '!M5),"B",AND(D58&lt;='EL '!O5,D58&gt;'EL '!N5),"C",AND(D58&lt;='EL '!P5,D58&gt;'EL '!O5),"D",AND(D58&lt;='EL '!Q5,D58&gt;'EL '!P5),"E",AND(D58&lt;='EL '!R5,D58&gt;'EL '!Q5),"F",AND(D58&gt;'EL '!R5),"G")</f>
        <v>#</v>
      </c>
    </row>
    <row r="59" spans="1:14" ht="32" x14ac:dyDescent="0.2">
      <c r="A59" s="262"/>
      <c r="B59" s="264"/>
      <c r="C59" s="21" t="s">
        <v>88</v>
      </c>
      <c r="D59" s="47" t="e">
        <f>IF(ISNUMBER(D58), D57 + D58, D57)</f>
        <v>#DIV/0!</v>
      </c>
      <c r="E59" s="277"/>
      <c r="G59" s="264"/>
      <c r="H59" t="s">
        <v>88</v>
      </c>
      <c r="I59" s="56" t="e" cm="1">
        <f t="array" ref="I59">_xlfn.IFS(AND(D59&lt;='EL '!L6),"A+",AND(D59&lt;='EL '!M6,D59&gt;'EL '!L6),"A",AND(D59&lt;='EL '!N6,D59&gt;'EL '!M6),"B",AND(D59&lt;='EL '!O6,D59&gt;'EL '!N6),"C",AND(D59&lt;='EL '!P6,D59&gt;'EL '!O6),"D",AND(D59&lt;='EL '!Q6,D59&gt;'EL '!P6),"E",AND(D59&lt;='EL '!R6,D59&gt;'EL '!Q6),"F",AND(D59&gt;'EL '!R6),"G")</f>
        <v>#DIV/0!</v>
      </c>
    </row>
    <row r="60" spans="1:14" ht="16" x14ac:dyDescent="0.2">
      <c r="A60" s="262"/>
      <c r="B60" s="264"/>
      <c r="C60" s="21" t="s">
        <v>89</v>
      </c>
      <c r="D60" s="99">
        <f>I30</f>
        <v>0</v>
      </c>
      <c r="E60" s="277"/>
      <c r="G60" s="264"/>
      <c r="H60" t="s">
        <v>89</v>
      </c>
      <c r="I60" s="56" t="str" cm="1">
        <f t="array" ref="I60">_xlfn.IFS(AND(D60&lt;='EL '!L7),"A+",AND(D60&lt;='EL '!M7,D60&gt;'EL '!L7),"A",AND(D60&lt;='EL '!N7,D60&gt;'EL '!M7),"B",AND(D60&lt;='EL '!O7,D60&gt;'EL '!N7),"C",AND(D60&lt;='EL '!P7,D60&gt;'EL '!O7),"D",AND(D60&lt;='EL '!Q7,D60&gt;'EL '!P7),"E",AND(D60&lt;='EL '!R7,D60&gt;'EL '!Q7),"F",AND(D60&gt;'EL '!R7),"G")</f>
        <v>A+</v>
      </c>
    </row>
    <row r="61" spans="1:14" ht="16" thickBot="1" x14ac:dyDescent="0.25">
      <c r="A61" s="262"/>
      <c r="B61" s="265"/>
      <c r="C61" s="16" t="s">
        <v>57</v>
      </c>
      <c r="D61" s="58" t="e">
        <f>SUM(D59:D60)</f>
        <v>#DIV/0!</v>
      </c>
      <c r="E61" s="261"/>
      <c r="G61" s="265"/>
      <c r="H61" s="16" t="s">
        <v>57</v>
      </c>
      <c r="I61" s="1" t="e" cm="1">
        <f t="array" ref="I61">_xlfn.IFS(AND(D61&lt;='EL '!L8),"A+",AND(D61&lt;='EL '!M8,D61&gt;'EL '!L8),"A",AND(D61&lt;='EL '!N8,D61&gt;'EL '!M8),"B",AND(D61&lt;='EL '!O8,D61&gt;'EL '!N8),"C",AND(D61&lt;='EL '!P8,D61&gt;'EL '!O8),"D",AND(D61&lt;='EL '!Q8,D61&gt;'EL '!P8),"E",AND(D61&lt;='EL '!R8,D61&gt;'EL '!Q8),"F",AND(D61&gt;'EL '!R8),"G")</f>
        <v>#DIV/0!</v>
      </c>
    </row>
    <row r="62" spans="1:14" ht="32" x14ac:dyDescent="0.2">
      <c r="A62" s="262"/>
      <c r="B62" s="263" t="s">
        <v>90</v>
      </c>
      <c r="C62" s="57" t="s">
        <v>85</v>
      </c>
      <c r="D62" s="100" t="e">
        <f>I16</f>
        <v>#DIV/0!</v>
      </c>
      <c r="E62" s="266" t="s">
        <v>91</v>
      </c>
      <c r="G62" s="263" t="s">
        <v>90</v>
      </c>
      <c r="H62" s="46" t="s">
        <v>85</v>
      </c>
      <c r="I62" s="55" t="e" cm="1">
        <f t="array" ref="I62">_xlfn.IFS(AND(D62&lt;='EL '!L9),"A+",AND(D62&lt;='EL '!M9,D62&gt;'EL '!L9),"A",AND(D62&lt;='EL '!N9,D62&gt;'EL '!M9),"B",AND(D62&lt;='EL '!O9,D62&gt;'EL '!N9),"C",AND(D62&lt;='EL '!P9,D62&gt;'EL '!O9),"D",AND(D62&lt;='EL '!Q9,D62&gt;'EL '!P9),"E",AND(D62&lt;='EL '!R9,D62&gt;'EL '!Q9),"F",AND(D62&gt;'EL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_xlfn.IFS(D63="#","#",AND(D63&lt;='EL '!L10),"A+",AND(D63&lt;='EL '!M10,D63&gt;'EL '!L10),"A",AND(D63&lt;='EL '!N10,D63&gt;'EL '!M10),"B",AND(D63&lt;='EL '!O10,D63&gt;'EL '!N10),"C",AND(D63&lt;='EL '!P10,D63&gt;'EL '!O10),"D",AND(D63&lt;='EL '!Q10,D63&gt;'EL '!P10),"E",AND(D63&lt;='EL '!R10,D63&gt;'EL '!Q10),"F",AND(D63&gt;'EL '!R10),"G")</f>
        <v>#</v>
      </c>
    </row>
    <row r="64" spans="1:14" ht="32" x14ac:dyDescent="0.2">
      <c r="A64" s="262"/>
      <c r="B64" s="264"/>
      <c r="C64" s="21" t="s">
        <v>92</v>
      </c>
      <c r="D64" s="47" t="e">
        <f>IF(ISNUMBER(D63), D62 + D63, D62)</f>
        <v>#DIV/0!</v>
      </c>
      <c r="E64" s="202"/>
      <c r="G64" s="264"/>
      <c r="H64" t="s">
        <v>92</v>
      </c>
      <c r="I64" s="56" t="e" cm="1">
        <f t="array" ref="I64">_xlfn.IFS(AND(D64&lt;='EL '!L11),"A+",AND(D64&lt;='EL '!M11,D64&gt;'EL '!L11),"A",AND(D64&lt;='EL '!N11,D64&gt;'EL '!M11),"B",AND(D64&lt;='EL '!O11,D64&gt;'EL '!N11),"C",AND(D64&lt;='EL '!P11,D64&gt;'EL '!O11),"D",AND(D64&lt;='EL '!Q11,D64&gt;'EL '!P11),"E",AND(D64&lt;='EL '!R11,D64&gt;'EL '!Q11),"F",AND(D64&gt;'EL '!R11),"G")</f>
        <v>#DIV/0!</v>
      </c>
    </row>
    <row r="65" spans="1:9" x14ac:dyDescent="0.2">
      <c r="A65" s="262"/>
      <c r="B65" s="264"/>
      <c r="C65" t="s">
        <v>89</v>
      </c>
      <c r="D65" s="99">
        <f>I31</f>
        <v>0</v>
      </c>
      <c r="E65" s="202"/>
      <c r="G65" s="264"/>
      <c r="H65" t="s">
        <v>89</v>
      </c>
      <c r="I65" s="56" t="str" cm="1">
        <f t="array" ref="I65">_xlfn.IFS(AND(D65&lt;='EL '!L12),"A+",AND(D65&lt;='EL '!M12,D65&gt;'EL '!L12),"A",AND(D65&lt;='EL '!N12,D65&gt;'EL '!M12),"B",AND(D65&lt;='EL '!O12,D65&gt;'EL '!N12),"C",AND(D65&lt;='EL '!P12,D65&gt;'EL '!O12),"D",AND(D65&lt;='EL '!Q12,D65&gt;'EL '!P12),"E",AND(D65&lt;='EL '!R12,D65&gt;'EL '!Q12),"F",AND(D65&gt;'EL '!R12),"G")</f>
        <v>A+</v>
      </c>
    </row>
    <row r="66" spans="1:9" ht="16" thickBot="1" x14ac:dyDescent="0.25">
      <c r="A66" s="262"/>
      <c r="B66" s="265"/>
      <c r="C66" s="16" t="s">
        <v>57</v>
      </c>
      <c r="D66" s="16" t="e">
        <f>SUM(D64:D65)</f>
        <v>#DIV/0!</v>
      </c>
      <c r="E66" s="267"/>
      <c r="G66" s="265"/>
      <c r="H66" s="16" t="s">
        <v>57</v>
      </c>
      <c r="I66" s="1" t="e" cm="1">
        <f t="array" ref="I66">_xlfn.IFS(AND(D66&lt;='EL '!L13),"A+",AND(D66&lt;='EL '!M13,D66&gt;'EL '!L13),"A",AND(D66&lt;='EL '!N13,D66&gt;'EL '!M13),"B",AND(D66&lt;='EL '!O13,D66&gt;'EL '!N13),"C",AND(D66&lt;='EL '!P13,D66&gt;'EL '!O13),"D",AND(D66&lt;='EL '!Q13,D66&gt;'EL '!P13),"E",AND(D66&lt;='EL '!R13,D66&gt;'EL '!Q13),"F",AND(D66&gt;'EL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93" priority="7" operator="equal">
      <formula>"A+"</formula>
    </cfRule>
    <cfRule type="containsText" dxfId="292" priority="8" operator="containsText" text="A">
      <formula>NOT(ISERROR(SEARCH("A",I57)))</formula>
    </cfRule>
    <cfRule type="containsText" dxfId="291" priority="9" operator="containsText" text="B">
      <formula>NOT(ISERROR(SEARCH("B",I57)))</formula>
    </cfRule>
    <cfRule type="containsText" dxfId="290" priority="10" operator="containsText" text="C">
      <formula>NOT(ISERROR(SEARCH("C",I57)))</formula>
    </cfRule>
    <cfRule type="containsText" dxfId="289" priority="11" operator="containsText" text="D">
      <formula>NOT(ISERROR(SEARCH("D",I57)))</formula>
    </cfRule>
    <cfRule type="containsText" dxfId="288" priority="12" operator="containsText" text="E">
      <formula>NOT(ISERROR(SEARCH("E",I57)))</formula>
    </cfRule>
    <cfRule type="containsText" dxfId="287" priority="13" operator="containsText" text="F">
      <formula>NOT(ISERROR(SEARCH("F",I57)))</formula>
    </cfRule>
    <cfRule type="containsText" dxfId="286" priority="14" operator="containsText" text="G">
      <formula>NOT(ISERROR(SEARCH("G",I57)))</formula>
    </cfRule>
  </conditionalFormatting>
  <conditionalFormatting sqref="K5:K15">
    <cfRule type="expression" dxfId="25" priority="2" stopIfTrue="1">
      <formula>$O$19="No"</formula>
    </cfRule>
  </conditionalFormatting>
  <conditionalFormatting sqref="L5:L15">
    <cfRule type="expression" dxfId="24"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51EADBC8-CA10-9B49-A139-1B8F6EBAA44F}">
      <formula1>AND(Q19="Yes", ISNUMBER(L5))</formula1>
    </dataValidation>
    <dataValidation type="custom" operator="lessThan" allowBlank="1" showErrorMessage="1" errorTitle="Error" error="You can only enter values if you have selected HOME PV. The value must be a number." sqref="K5:K15" xr:uid="{090F7ECB-A449-2B43-922A-B9D7073136E3}">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10E21C10-B1AF-459F-AAF9-605F5EF59DAA}">
          <x14:formula1>
            <xm:f>DATA!$J$3:$J$10</xm:f>
          </x14:formula1>
          <xm:sqref>D29:D51</xm:sqref>
        </x14:dataValidation>
        <x14:dataValidation type="list" allowBlank="1" showInputMessage="1" showErrorMessage="1" xr:uid="{A336C1C8-4BE2-6644-B04F-D94EB5029A04}">
          <x14:formula1>
            <xm:f>DATA!$B$15:$B$23</xm:f>
          </x14:formula1>
          <xm:sqref>J2</xm:sqref>
        </x14:dataValidation>
        <x14:dataValidation type="list" allowBlank="1" showInputMessage="1" showErrorMessage="1" xr:uid="{12ADE2EA-EDE2-4435-9093-8E71C8263905}">
          <x14:formula1>
            <xm:f>DATA!$H$3:$H$23</xm:f>
          </x14:formula1>
          <xm:sqref>C29:C51</xm:sqref>
        </x14:dataValidation>
        <x14:dataValidation type="list" allowBlank="1" showInputMessage="1" showErrorMessage="1" xr:uid="{6D071300-A6AF-344E-8014-995EFD297579}">
          <x14:formula1>
            <xm:f>DATA!$B$3:$B$13</xm:f>
          </x14:formula1>
          <xm:sqref>H2</xm:sqref>
        </x14:dataValidation>
        <x14:dataValidation type="list" allowBlank="1" showInputMessage="1" showErrorMessage="1" xr:uid="{ED26087E-AF80-B64A-A9F4-385BDA88AFA8}">
          <x14:formula1>
            <xm:f>DATA!$L$4:$L$5</xm:f>
          </x14:formula1>
          <xm:sqref>O18:O19 Q19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373E7-E03B-46A2-8D2C-56103839211F}">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83203125" customWidth="1"/>
    <col min="5" max="5" width="18.6640625" customWidth="1"/>
    <col min="6" max="6" width="18.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105</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IF($O$18="Yes",(E5/$F$2)*DATA!$C$9,(E5/$F$2)*DATA!F$16)+IF(ISBLANK(K5),0,K5/$F$2)*DATA!$C$9-IF(ISBLANK(L5),0,L5/$F$2)*DATA!F$16</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IF($O$18="Yes",(E6/$F$2)*DATA!$C$9,(E6/$F$2)*DATA!F$16)+IF(ISBLANK(K6),0,K6/$F$2)*DATA!$C$9-IF(ISBLANK(L6),0,L6/$F$2)*DATA!F$16</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IF($O$18="Yes",(E7/$F$2)*DATA!$C$9,(E7/$F$2)*DATA!F$16)+IF(ISBLANK(K7),0,K7/$F$2)*DATA!$C$9-IF(ISBLANK(L7),0,L7/$F$2)*DATA!F$16</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IF($O$18="Yes",(E8/$F$2)*DATA!$C$9,(E8/$F$2)*DATA!F$16)+IF(ISBLANK(K8),0,K8/$F$2)*DATA!$C$9-IF(ISBLANK(L8),0,L8/$F$2)*DATA!F$16</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IF($O$18="Yes",(E9/$F$2)*DATA!$C$9,(E9/$F$2)*DATA!F$16)+IF(ISBLANK(K9),0,K9/$F$2)*DATA!$C$9-IF(ISBLANK(L9),0,L9/$F$2)*DATA!F$16</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IF($O$18="Yes",(E10/$F$2)*DATA!$C$9,(E10/$F$2)*DATA!F$16)+IF(ISBLANK(K10),0,K10/$F$2)*DATA!$C$9-IF(ISBLANK(L10),0,L10/$F$2)*DATA!F$16</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IF($O$18="Yes",(E11/$F$2)*DATA!$C$9,(E11/$F$2)*DATA!F$16)+IF(ISBLANK(K11),0,K11/$F$2)*DATA!$C$9-IF(ISBLANK(L11),0,L11/$F$2)*DATA!F$16</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IF($O$18="Yes",(E12/$F$2)*DATA!$C$9,(E12/$F$2)*DATA!F$16)+IF(ISBLANK(K12),0,K12/$F$2)*DATA!$C$9-IF(ISBLANK(L12),0,L12/$F$2)*DATA!F$16</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IF($O$18="Yes",(E13/$F$2)*DATA!$C$9,(E13/$F$2)*DATA!F$16)+IF(ISBLANK(K13),0,K13/$F$2)*DATA!$C$9-IF(ISBLANK(L13),0,L13/$F$2)*DATA!F$16</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IF($O$18="Yes",(E14/$F$2)*DATA!$C$9,(E14/$F$2)*DATA!F$16)+IF(ISBLANK(K14),0,K14/$F$2)*DATA!$C$9-IF(ISBLANK(L14),0,L14/$F$2)*DATA!F$16</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IF($O$18="Yes",(E15/$F$2)*DATA!$C$9,(E15/$F$2)*DATA!F$16)+IF(ISBLANK(K15),0,K15/$F$2)*DATA!$C$9-IF(ISBLANK(L15),0,L15/$F$2)*DATA!F$16</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car",$D29=1),$E29*'HU '!C$7,AND($C29="Fuel car",$D29=2),$E29*'HU '!C$8,AND($C29="Fuel car",$D29=3),$E29*'HU '!C$9,AND($C29="Fuel car",$D29=4),$E29*'HU '!C$10,AND($C29="Fuel car",$D29=5),$E29*'HU '!C$11,AND($C29="Motorcycle",$D29=1),$E29*'HU '!C$13,AND($C29="Motorcycle",$D29=2),$E29*'HU '!C$14,AND($C29="Electric car",$D29=1),$E29*'HU '!C$16,AND($C29="Electric car",$D29=2),$E29*'HU '!C$17,AND($C29="Electric car",$D29=3),$E29*'HU '!C$18,AND($C29="Electric car",$D29=4),$E29*'HU '!C$19,AND($C29="Electric car",$D29=5),$E29*'HU '!C$20,AND($C29="Hybrid car",$D29=1),$E29*'HU '!C$22,AND($C29="Hybrid car",$D29=2),$E29*'HU '!C$23,AND($C29="Hybrid car",$D29=3),$E29*'HU '!C$24,AND($C29="Hybrid car",$D29=4),$E29*'HU '!C$25,AND($C29="Hybrid car",$D29=5),$E29*'HU '!C$26,AND($C29="Electric motorcycle",$D29=1),$E29*'HU '!C$28,AND($C29="Electric motorcycle",$D29=2),$E29*'HU '!C$29,AND($C29="Electric bike",$D29=1),$E29*'HU '!C$31,AND($C29="Electric scooter",$D29=1),$E29*'HU '!C$33,AND($C29="Bus",$D29="Almost empty"),$E29*'HU '!H$23,AND($C29="Bus",$D29="Average"),$E29*'HU '!H$24,AND($C29="Bus",$D29="Nearly full"),$E29*'HU '!H$25,AND($C29="Electric bus",$D29="Almost empty"),$E29*'HU '!H$7,AND($C29="Electric bus",$D29="Average"),$E29*'HU '!H$8,AND($C29="Electric bus",$D29="Nearly full"),$E29*'HU '!H$9,AND($C29="Diesel bus",$D29="Almost empty"),$E29*'HU '!H$19,AND($C29="Diesel bus",$D29="Average"),$E29*'HU '!H$20,AND($C29="Diesel bus",$D29="Nearly full"),$E29*'HU '!H$21,AND($C29="Hybrid-electric bus",$D29="Almost empty"),$E29*'HU '!H$11,AND($C29="Hybrid-electric bus",$D29="Average"),$E29*'HU '!H$12,AND($C29="Hybrid-electric bus",$D29="Nearly full"),$E29*'HU '!H$13,AND($C29="Alternative fuel bus",$D29="Almost empty"),$E29*'HU '!H$15,AND($C29="Alternative fuel bus",$D29="Average"),$E29*'HU '!H$16,AND($C29="Alternative fuel bus",$D29="Nearly full"),$E29*'HU '!H$17,AND($C29="Metro, tram, urban light train",$D29="Almost empty"),$E29*'HU '!C$35,AND($C29="Metro, tram, urban light train",$D29="Average"),$E29*'HU '!C$36,AND($C29="Metro, tram, urban light train",$D29="Nearly full"),$E29*'HU '!C$37,AND($C29="Electric passenger train",$D29="Almost empty"),$E29*'HU '!C$39,AND($C29="Electric passenger train",$D29="Average"),$E29*'HU '!C$40,AND($C29="Electric passenger train",$D29="Nearly full"),$E29*'HU '!C$41,AND($C29="Diesel passenger train",$D29="Almost empty"),$E29*'HU '!C$47,AND($C29="Diesel passenger train",$D29="Average"),$E29*'HU '!C$48,AND($C29="Diesel passenger train",$D29="Nearly full"),$E29*'HU '!C$49,AND($C29="Walking"),$E29*0,AND($C29="Bike"),$E29*0,AND($C29="Plane - domestic flight"),$E29*'HU '!$C53,AND($C29="Plane - international - intra EU"),$E29*'HU '!$C55,AND($C29="Plane - international (extra EU)"),$E29*'HU '!$C57)</f>
        <v>#N/A</v>
      </c>
      <c r="G29" s="104" t="e" cm="1">
        <f t="array" ref="G29">_xlfn.IFS(AND($C29="Fuel car",$D29=1),$E29*'HU '!D$7,AND($C29="Fuel car",$D29=2),$E29*'HU '!D$8,AND($C29="Fuel car",$D29=3),$E29*'HU '!D$9,AND($C29="Fuel car",$D29=4),$E29*'HU '!D$10,AND($C29="Fuel car",$D29=5),$E29*'HU '!D$11,AND($C29="Motorcycle",$D29=1),$E29*'HU '!D$13,AND($C29="Motorcycle",$D29=2),$E29*'HU '!D$14,AND($C29="Electric car",$D29=1),$E29*'HU '!D$16,AND($C29="Electric car",$D29=2),$E29*'HU '!D$17,AND($C29="Electric car",$D29=3),$E29*'HU '!D$18,AND($C29="Electric car",$D29=4),$E29*'HU '!D$19,AND($C29="Electric car",$D29=5),$E29*'HU '!D$20,AND($C29="Hybrid car",$D29=1),$E29*'HU '!D$22,AND($C29="Hybrid car",$D29=2),$E29*'HU '!D$23,AND($C29="Hybrid car",$D29=3),$E29*'HU '!D$24,AND($C29="Hybrid car",$D29=4),$E29*'HU '!D$25,AND($C29="Hybrid car",$D29=5),$E29*'HU '!D$26,AND($C29="Electric motorcycle",$D29=1),$E29*'HU '!D$28,AND($C29="Electric motorcycle",$D29=2),$E29*'HU '!D$29,AND($C29="Electric bike",$D29=1),$E29*'HU '!D$31,AND($C29="Electric scooter",$D29=1),$E29*'HU '!D$33,AND($C29="Bus",$D29="Almost empty"),$E29*'HU '!I$23,AND($C29="Bus",$D29="Average"),$E29*'HU '!I$24,AND($C29="Bus",$D29="Nearly full"),$E29*'HU '!I$25,AND($C29="Electric bus",$D29="Almost empty"),$E29*'HU '!I$7,AND($C29="Electric bus",$D29="Average"),$E29*'HU '!I$8,AND($C29="Electric bus",$D29="Nearly full"),$E29*'HU '!I$9,AND($C29="Diesel bus",$D29="Almost empty"),$E29*'HU '!I$19,AND($C29="Diesel bus",$D29="Average"),$E29*'HU '!I$20,AND($C29="Diesel bus",$D29="Nearly full"),$E29*'HU '!I$21,AND($C29="Hybrid-electric bus",$D29="Almost empty"),$E29*'HU '!I$11,AND($C29="Hybrid-electric bus",$D29="Average"),$E29*'HU '!I$12,AND($C29="Hybrid-electric bus",$D29="Nearly full"),$E29*'HU '!I$13,AND($C29="Alternative fuel bus",$D29="Almost empty"),$E29*'HU '!I$15,AND($C29="Alternative fuel bus",$D29="Average"),$E29*'HU '!I$16,AND($C29="Alternative fuel bus",$D29="Nearly full"),$E29*'HU '!I$17,AND($C29="Metro, tram, urban light train",$D29="Almost empty"),$E29*'HU '!D$35,AND($C29="Metro, tram, urban light train",$D29="Average"),$E29*'HU '!D$36,AND($C29="Metro, tram, urban light train",$D29="Nearly full"),$E29*'HU '!D$37,AND($C29="Electric passenger train",$D29="Almost empty"),$E29*'HU '!D$39,AND($C29="Electric passenger train",$D29="Average"),$E29*'HU '!D$40,AND($C29="Electric passenger train",$D29="Nearly full"),$E29*'HU '!D$41,AND($C29="Diesel passenger train",$D29="Almost empty"),$E29*'HU '!D$47,AND($C29="Diesel passenger train",$D29="Average"),$E29*'HU '!D$48,AND($C29="Diesel passenger train",$D29="Nearly full"),$E29*'HU '!D$49,AND($C29="Walking"),$E29*0,AND($C29="Bike"),$E29*0,AND($C29="Plane - domestic flight"),$E29*'HU '!$C53,AND($C29="Plane - international - intra EU"),$E29*'HU '!$C55,AND($C29="Plane - international (extra EU)"),$E29*'HU '!$C57)</f>
        <v>#N/A</v>
      </c>
      <c r="H29" s="151"/>
      <c r="I29" s="152">
        <f>H29/10*E29</f>
        <v>0</v>
      </c>
      <c r="J29" s="146" t="e" cm="1">
        <f t="array" ref="J29">_xlfn.IFS(C29="Fuel car",C29*DATA!$C$17,C29="Electric car",C29*DATA!$F$16,C29="Hybrid car",I29*(0.5*DATA!$C$17+0.5*DATA!$F$16))</f>
        <v>#N/A</v>
      </c>
      <c r="L29" s="218"/>
      <c r="M29" s="219"/>
      <c r="N29" s="220"/>
    </row>
    <row r="30" spans="1:17" ht="32" customHeight="1" x14ac:dyDescent="0.2">
      <c r="A30" s="222"/>
      <c r="B30" s="30"/>
      <c r="C30" s="15"/>
      <c r="D30" s="15"/>
      <c r="E30" s="125"/>
      <c r="F30" s="128" t="e" cm="1">
        <f t="array" ref="F30">_xlfn.IFS(AND($C30="Fuel car",$D30=1),$E30*'HU '!C$7,AND($C30="Fuel car",$D30=2),$E30*'HU '!C$8,AND($C30="Fuel car",$D30=3),$E30*'HU '!C$9,AND($C30="Fuel car",$D30=4),$E30*'HU '!C$10,AND($C30="Fuel car",$D30=5),$E30*'HU '!C$11,AND($C30="Motorcycle",$D30=1),$E30*'HU '!C$13,AND($C30="Motorcycle",$D30=2),$E30*'HU '!C$14,AND($C30="Electric car",$D30=1),$E30*'HU '!C$16,AND($C30="Electric car",$D30=2),$E30*'HU '!C$17,AND($C30="Electric car",$D30=3),$E30*'HU '!C$18,AND($C30="Electric car",$D30=4),$E30*'HU '!C$19,AND($C30="Electric car",$D30=5),$E30*'HU '!C$20,AND($C30="Hybrid car",$D30=1),$E30*'HU '!C$22,AND($C30="Hybrid car",$D30=2),$E30*'HU '!C$23,AND($C30="Hybrid car",$D30=3),$E30*'HU '!C$24,AND($C30="Hybrid car",$D30=4),$E30*'HU '!C$25,AND($C30="Hybrid car",$D30=5),$E30*'HU '!C$26,AND($C30="Electric motorcycle",$D30=1),$E30*'HU '!C$28,AND($C30="Electric motorcycle",$D30=2),$E30*'HU '!C$29,AND($C30="Electric bike",$D30=1),$E30*'HU '!C$31,AND($C30="Electric scooter",$D30=1),$E30*'HU '!C$33,AND($C30="Bus",$D30="Almost empty"),$E30*'HU '!H$23,AND($C30="Bus",$D30="Average"),$E30*'HU '!H$24,AND($C30="Bus",$D30="Nearly full"),$E30*'HU '!H$25,AND($C30="Electric bus",$D30="Almost empty"),$E30*'HU '!H$7,AND($C30="Electric bus",$D30="Average"),$E30*'HU '!H$8,AND($C30="Electric bus",$D30="Nearly full"),$E30*'HU '!H$9,AND($C30="Diesel bus",$D30="Almost empty"),$E30*'HU '!H$19,AND($C30="Diesel bus",$D30="Average"),$E30*'HU '!H$20,AND($C30="Diesel bus",$D30="Nearly full"),$E30*'HU '!H$21,AND($C30="Hybrid-electric bus",$D30="Almost empty"),$E30*'HU '!H$11,AND($C30="Hybrid-electric bus",$D30="Average"),$E30*'HU '!H$12,AND($C30="Hybrid-electric bus",$D30="Nearly full"),$E30*'HU '!H$13,AND($C30="Alternative fuel bus",$D30="Almost empty"),$E30*'HU '!H$15,AND($C30="Alternative fuel bus",$D30="Average"),$E30*'HU '!H$16,AND($C30="Alternative fuel bus",$D30="Nearly full"),$E30*'HU '!H$17,AND($C30="Metro, tram, urban light train",$D30="Almost empty"),$E30*'HU '!C$35,AND($C30="Metro, tram, urban light train",$D30="Average"),$E30*'HU '!C$36,AND($C30="Metro, tram, urban light train",$D30="Nearly full"),$E30*'HU '!C$37,AND($C30="Electric passenger train",$D30="Almost empty"),$E30*'HU '!C$39,AND($C30="Electric passenger train",$D30="Average"),$E30*'HU '!C$40,AND($C30="Electric passenger train",$D30="Nearly full"),$E30*'HU '!C$41,AND($C30="Diesel passenger train",$D30="Almost empty"),$E30*'HU '!C$47,AND($C30="Diesel passenger train",$D30="Average"),$E30*'HU '!C$48,AND($C30="Diesel passenger train",$D30="Nearly full"),$E30*'HU '!C$49,AND($C30="Walking"),$E30*0,AND($C30="Bike"),$E30*0,AND($C30="Plane - domestic flight"),$E30*'HU '!$C54,AND($C30="Plane - international - intra EU"),$E30*'HU '!$C56,AND($C30="Plane - international (extra EU)"),$E30*'HU '!$C58)</f>
        <v>#N/A</v>
      </c>
      <c r="G30" s="31" t="e" cm="1">
        <f t="array" ref="G30">_xlfn.IFS(AND($C30="Fuel car",$D30=1),$E30*'HU '!D$7,AND($C30="Fuel car",$D30=2),$E30*'HU '!D$8,AND($C30="Fuel car",$D30=3),$E30*'HU '!D$9,AND($C30="Fuel car",$D30=4),$E30*'HU '!D$10,AND($C30="Fuel car",$D30=5),$E30*'HU '!D$11,AND($C30="Motorcycle",$D30=1),$E30*'HU '!D$13,AND($C30="Motorcycle",$D30=2),$E30*'HU '!D$14,AND($C30="Electric car",$D30=1),$E30*'HU '!D$16,AND($C30="Electric car",$D30=2),$E30*'HU '!D$17,AND($C30="Electric car",$D30=3),$E30*'HU '!D$18,AND($C30="Electric car",$D30=4),$E30*'HU '!D$19,AND($C30="Electric car",$D30=5),$E30*'HU '!D$20,AND($C30="Hybrid car",$D30=1),$E30*'HU '!D$22,AND($C30="Hybrid car",$D30=2),$E30*'HU '!D$23,AND($C30="Hybrid car",$D30=3),$E30*'HU '!D$24,AND($C30="Hybrid car",$D30=4),$E30*'HU '!D$25,AND($C30="Hybrid car",$D30=5),$E30*'HU '!D$26,AND($C30="Electric motorcycle",$D30=1),$E30*'HU '!D$28,AND($C30="Electric motorcycle",$D30=2),$E30*'HU '!D$29,AND($C30="Electric bike",$D30=1),$E30*'HU '!D$31,AND($C30="Electric scooter",$D30=1),$E30*'HU '!D$33,AND($C30="Bus",$D30="Almost empty"),$E30*'HU '!I$23,AND($C30="Bus",$D30="Average"),$E30*'HU '!I$24,AND($C30="Bus",$D30="Nearly full"),$E30*'HU '!I$25,AND($C30="Electric bus",$D30="Almost empty"),$E30*'HU '!I$7,AND($C30="Electric bus",$D30="Average"),$E30*'HU '!I$8,AND($C30="Electric bus",$D30="Nearly full"),$E30*'HU '!I$9,AND($C30="Diesel bus",$D30="Almost empty"),$E30*'HU '!I$19,AND($C30="Diesel bus",$D30="Average"),$E30*'HU '!I$20,AND($C30="Diesel bus",$D30="Nearly full"),$E30*'HU '!I$21,AND($C30="Hybrid-electric bus",$D30="Almost empty"),$E30*'HU '!I$11,AND($C30="Hybrid-electric bus",$D30="Average"),$E30*'HU '!I$12,AND($C30="Hybrid-electric bus",$D30="Nearly full"),$E30*'HU '!I$13,AND($C30="Alternative fuel bus",$D30="Almost empty"),$E30*'HU '!I$15,AND($C30="Alternative fuel bus",$D30="Average"),$E30*'HU '!I$16,AND($C30="Alternative fuel bus",$D30="Nearly full"),$E30*'HU '!I$17,AND($C30="Metro, tram, urban light train",$D30="Almost empty"),$E30*'HU '!D$35,AND($C30="Metro, tram, urban light train",$D30="Average"),$E30*'HU '!D$36,AND($C30="Metro, tram, urban light train",$D30="Nearly full"),$E30*'HU '!D$37,AND($C30="Electric passenger train",$D30="Almost empty"),$E30*'HU '!D$39,AND($C30="Electric passenger train",$D30="Average"),$E30*'HU '!D$40,AND($C30="Electric passenger train",$D30="Nearly full"),$E30*'HU '!D$41,AND($C30="Diesel passenger train",$D30="Almost empty"),$E30*'HU '!D$47,AND($C30="Diesel passenger train",$D30="Average"),$E30*'HU '!D$48,AND($C30="Diesel passenger train",$D30="Nearly full"),$E30*'HU '!D$49,AND($C30="Walking"),$E30*0,AND($C30="Bike"),$E30*0,AND($C30="Plane - domestic flight"),$E30*'HU '!$C54,AND($C30="Plane - international - intra EU"),$E30*'HU '!$C56,AND($C30="Plane - international (extra EU)"),$E30*'HU '!$C58)</f>
        <v>#N/A</v>
      </c>
      <c r="H30" s="145"/>
      <c r="I30" s="148">
        <f t="shared" ref="I30:I43" si="6">H30/10*E30</f>
        <v>0</v>
      </c>
      <c r="J30" s="146" t="e" cm="1">
        <f t="array" ref="J30">_xlfn.IFS(C30="Fuel car",C30*DATA!$C$17,C30="Electric car",C30*DATA!$F$16,C30="Hybrid car",I30*(0.5*DATA!$C$17+0.5*DATA!$F$16))</f>
        <v>#N/A</v>
      </c>
      <c r="L30" s="215" t="s">
        <v>76</v>
      </c>
      <c r="M30" s="216"/>
      <c r="N30" s="217"/>
    </row>
    <row r="31" spans="1:17" x14ac:dyDescent="0.2">
      <c r="A31" s="222"/>
      <c r="B31" s="30"/>
      <c r="C31" s="15"/>
      <c r="D31" s="15"/>
      <c r="E31" s="125"/>
      <c r="F31" s="128" t="e" cm="1">
        <f t="array" ref="F31">_xlfn.IFS(AND($C31="Fuel car",$D31=1),$E31*'HU '!C$7,AND($C31="Fuel car",$D31=2),$E31*'HU '!C$8,AND($C31="Fuel car",$D31=3),$E31*'HU '!C$9,AND($C31="Fuel car",$D31=4),$E31*'HU '!C$10,AND($C31="Fuel car",$D31=5),$E31*'HU '!C$11,AND($C31="Motorcycle",$D31=1),$E31*'HU '!C$13,AND($C31="Motorcycle",$D31=2),$E31*'HU '!C$14,AND($C31="Electric car",$D31=1),$E31*'HU '!C$16,AND($C31="Electric car",$D31=2),$E31*'HU '!C$17,AND($C31="Electric car",$D31=3),$E31*'HU '!C$18,AND($C31="Electric car",$D31=4),$E31*'HU '!C$19,AND($C31="Electric car",$D31=5),$E31*'HU '!C$20,AND($C31="Hybrid car",$D31=1),$E31*'HU '!C$22,AND($C31="Hybrid car",$D31=2),$E31*'HU '!C$23,AND($C31="Hybrid car",$D31=3),$E31*'HU '!C$24,AND($C31="Hybrid car",$D31=4),$E31*'HU '!C$25,AND($C31="Hybrid car",$D31=5),$E31*'HU '!C$26,AND($C31="Electric motorcycle",$D31=1),$E31*'HU '!C$28,AND($C31="Electric motorcycle",$D31=2),$E31*'HU '!C$29,AND($C31="Electric bike",$D31=1),$E31*'HU '!C$31,AND($C31="Electric scooter",$D31=1),$E31*'HU '!C$33,AND($C31="Bus",$D31="Almost empty"),$E31*'HU '!H$23,AND($C31="Bus",$D31="Average"),$E31*'HU '!H$24,AND($C31="Bus",$D31="Nearly full"),$E31*'HU '!H$25,AND($C31="Electric bus",$D31="Almost empty"),$E31*'HU '!H$7,AND($C31="Electric bus",$D31="Average"),$E31*'HU '!H$8,AND($C31="Electric bus",$D31="Nearly full"),$E31*'HU '!H$9,AND($C31="Diesel bus",$D31="Almost empty"),$E31*'HU '!H$19,AND($C31="Diesel bus",$D31="Average"),$E31*'HU '!H$20,AND($C31="Diesel bus",$D31="Nearly full"),$E31*'HU '!H$21,AND($C31="Hybrid-electric bus",$D31="Almost empty"),$E31*'HU '!H$11,AND($C31="Hybrid-electric bus",$D31="Average"),$E31*'HU '!H$12,AND($C31="Hybrid-electric bus",$D31="Nearly full"),$E31*'HU '!H$13,AND($C31="Alternative fuel bus",$D31="Almost empty"),$E31*'HU '!H$15,AND($C31="Alternative fuel bus",$D31="Average"),$E31*'HU '!H$16,AND($C31="Alternative fuel bus",$D31="Nearly full"),$E31*'HU '!H$17,AND($C31="Metro, tram, urban light train",$D31="Almost empty"),$E31*'HU '!C$35,AND($C31="Metro, tram, urban light train",$D31="Average"),$E31*'HU '!C$36,AND($C31="Metro, tram, urban light train",$D31="Nearly full"),$E31*'HU '!C$37,AND($C31="Electric passenger train",$D31="Almost empty"),$E31*'HU '!C$39,AND($C31="Electric passenger train",$D31="Average"),$E31*'HU '!C$40,AND($C31="Electric passenger train",$D31="Nearly full"),$E31*'HU '!C$41,AND($C31="Diesel passenger train",$D31="Almost empty"),$E31*'HU '!C$47,AND($C31="Diesel passenger train",$D31="Average"),$E31*'HU '!C$48,AND($C31="Diesel passenger train",$D31="Nearly full"),$E31*'HU '!C$49,AND($C31="Walking"),$E31*0,AND($C31="Bike"),$E31*0,AND($C31="Plane - domestic flight"),$E31*'HU '!$C55,AND($C31="Plane - international - intra EU"),$E31*'HU '!$C57,AND($C31="Plane - international (extra EU)"),$E31*'HU '!$C59)</f>
        <v>#N/A</v>
      </c>
      <c r="G31" s="31" t="e" cm="1">
        <f t="array" ref="G31">_xlfn.IFS(AND($C31="Fuel car",$D31=1),$E31*'HU '!D$7,AND($C31="Fuel car",$D31=2),$E31*'HU '!D$8,AND($C31="Fuel car",$D31=3),$E31*'HU '!D$9,AND($C31="Fuel car",$D31=4),$E31*'HU '!D$10,AND($C31="Fuel car",$D31=5),$E31*'HU '!D$11,AND($C31="Motorcycle",$D31=1),$E31*'HU '!D$13,AND($C31="Motorcycle",$D31=2),$E31*'HU '!D$14,AND($C31="Electric car",$D31=1),$E31*'HU '!D$16,AND($C31="Electric car",$D31=2),$E31*'HU '!D$17,AND($C31="Electric car",$D31=3),$E31*'HU '!D$18,AND($C31="Electric car",$D31=4),$E31*'HU '!D$19,AND($C31="Electric car",$D31=5),$E31*'HU '!D$20,AND($C31="Hybrid car",$D31=1),$E31*'HU '!D$22,AND($C31="Hybrid car",$D31=2),$E31*'HU '!D$23,AND($C31="Hybrid car",$D31=3),$E31*'HU '!D$24,AND($C31="Hybrid car",$D31=4),$E31*'HU '!D$25,AND($C31="Hybrid car",$D31=5),$E31*'HU '!D$26,AND($C31="Electric motorcycle",$D31=1),$E31*'HU '!D$28,AND($C31="Electric motorcycle",$D31=2),$E31*'HU '!D$29,AND($C31="Electric bike",$D31=1),$E31*'HU '!D$31,AND($C31="Electric scooter",$D31=1),$E31*'HU '!D$33,AND($C31="Bus",$D31="Almost empty"),$E31*'HU '!I$23,AND($C31="Bus",$D31="Average"),$E31*'HU '!I$24,AND($C31="Bus",$D31="Nearly full"),$E31*'HU '!I$25,AND($C31="Electric bus",$D31="Almost empty"),$E31*'HU '!I$7,AND($C31="Electric bus",$D31="Average"),$E31*'HU '!I$8,AND($C31="Electric bus",$D31="Nearly full"),$E31*'HU '!I$9,AND($C31="Diesel bus",$D31="Almost empty"),$E31*'HU '!I$19,AND($C31="Diesel bus",$D31="Average"),$E31*'HU '!I$20,AND($C31="Diesel bus",$D31="Nearly full"),$E31*'HU '!I$21,AND($C31="Hybrid-electric bus",$D31="Almost empty"),$E31*'HU '!I$11,AND($C31="Hybrid-electric bus",$D31="Average"),$E31*'HU '!I$12,AND($C31="Hybrid-electric bus",$D31="Nearly full"),$E31*'HU '!I$13,AND($C31="Alternative fuel bus",$D31="Almost empty"),$E31*'HU '!I$15,AND($C31="Alternative fuel bus",$D31="Average"),$E31*'HU '!I$16,AND($C31="Alternative fuel bus",$D31="Nearly full"),$E31*'HU '!I$17,AND($C31="Metro, tram, urban light train",$D31="Almost empty"),$E31*'HU '!D$35,AND($C31="Metro, tram, urban light train",$D31="Average"),$E31*'HU '!D$36,AND($C31="Metro, tram, urban light train",$D31="Nearly full"),$E31*'HU '!D$37,AND($C31="Electric passenger train",$D31="Almost empty"),$E31*'HU '!D$39,AND($C31="Electric passenger train",$D31="Average"),$E31*'HU '!D$40,AND($C31="Electric passenger train",$D31="Nearly full"),$E31*'HU '!D$41,AND($C31="Diesel passenger train",$D31="Almost empty"),$E31*'HU '!D$47,AND($C31="Diesel passenger train",$D31="Average"),$E31*'HU '!D$48,AND($C31="Diesel passenger train",$D31="Nearly full"),$E31*'HU '!D$49,AND($C31="Walking"),$E31*0,AND($C31="Bike"),$E31*0,AND($C31="Plane - domestic flight"),$E31*'HU '!$C55,AND($C31="Plane - international - intra EU"),$E31*'HU '!$C57,AND($C31="Plane - international (extra EU)"),$E31*'HU '!$C59)</f>
        <v>#N/A</v>
      </c>
      <c r="H31" s="145"/>
      <c r="I31" s="148">
        <f t="shared" si="6"/>
        <v>0</v>
      </c>
      <c r="J31" s="146" t="e" cm="1">
        <f t="array" ref="J31">_xlfn.IFS(C31="Fuel car",C31*DATA!$C$17,C31="Electric car",C31*DATA!$F$16,C31="Hybrid car",I31*(0.5*DATA!$C$17+0.5*DATA!$F$16))</f>
        <v>#N/A</v>
      </c>
      <c r="L31" s="223"/>
      <c r="M31" s="224"/>
      <c r="N31" s="225"/>
    </row>
    <row r="32" spans="1:17" ht="16" thickBot="1" x14ac:dyDescent="0.25">
      <c r="A32" s="222"/>
      <c r="B32" s="30"/>
      <c r="C32" s="15"/>
      <c r="D32" s="15"/>
      <c r="E32" s="125"/>
      <c r="F32" s="128" t="e" cm="1">
        <f t="array" ref="F32">_xlfn.IFS(AND($C32="Fuel car",$D32=1),$E32*'HU '!C$7,AND($C32="Fuel car",$D32=2),$E32*'HU '!C$8,AND($C32="Fuel car",$D32=3),$E32*'HU '!C$9,AND($C32="Fuel car",$D32=4),$E32*'HU '!C$10,AND($C32="Fuel car",$D32=5),$E32*'HU '!C$11,AND($C32="Motorcycle",$D32=1),$E32*'HU '!C$13,AND($C32="Motorcycle",$D32=2),$E32*'HU '!C$14,AND($C32="Electric car",$D32=1),$E32*'HU '!C$16,AND($C32="Electric car",$D32=2),$E32*'HU '!C$17,AND($C32="Electric car",$D32=3),$E32*'HU '!C$18,AND($C32="Electric car",$D32=4),$E32*'HU '!C$19,AND($C32="Electric car",$D32=5),$E32*'HU '!C$20,AND($C32="Hybrid car",$D32=1),$E32*'HU '!C$22,AND($C32="Hybrid car",$D32=2),$E32*'HU '!C$23,AND($C32="Hybrid car",$D32=3),$E32*'HU '!C$24,AND($C32="Hybrid car",$D32=4),$E32*'HU '!C$25,AND($C32="Hybrid car",$D32=5),$E32*'HU '!C$26,AND($C32="Electric motorcycle",$D32=1),$E32*'HU '!C$28,AND($C32="Electric motorcycle",$D32=2),$E32*'HU '!C$29,AND($C32="Electric bike",$D32=1),$E32*'HU '!C$31,AND($C32="Electric scooter",$D32=1),$E32*'HU '!C$33,AND($C32="Bus",$D32="Almost empty"),$E32*'HU '!H$23,AND($C32="Bus",$D32="Average"),$E32*'HU '!H$24,AND($C32="Bus",$D32="Nearly full"),$E32*'HU '!H$25,AND($C32="Electric bus",$D32="Almost empty"),$E32*'HU '!H$7,AND($C32="Electric bus",$D32="Average"),$E32*'HU '!H$8,AND($C32="Electric bus",$D32="Nearly full"),$E32*'HU '!H$9,AND($C32="Diesel bus",$D32="Almost empty"),$E32*'HU '!H$19,AND($C32="Diesel bus",$D32="Average"),$E32*'HU '!H$20,AND($C32="Diesel bus",$D32="Nearly full"),$E32*'HU '!H$21,AND($C32="Hybrid-electric bus",$D32="Almost empty"),$E32*'HU '!H$11,AND($C32="Hybrid-electric bus",$D32="Average"),$E32*'HU '!H$12,AND($C32="Hybrid-electric bus",$D32="Nearly full"),$E32*'HU '!H$13,AND($C32="Alternative fuel bus",$D32="Almost empty"),$E32*'HU '!H$15,AND($C32="Alternative fuel bus",$D32="Average"),$E32*'HU '!H$16,AND($C32="Alternative fuel bus",$D32="Nearly full"),$E32*'HU '!H$17,AND($C32="Metro, tram, urban light train",$D32="Almost empty"),$E32*'HU '!C$35,AND($C32="Metro, tram, urban light train",$D32="Average"),$E32*'HU '!C$36,AND($C32="Metro, tram, urban light train",$D32="Nearly full"),$E32*'HU '!C$37,AND($C32="Electric passenger train",$D32="Almost empty"),$E32*'HU '!C$39,AND($C32="Electric passenger train",$D32="Average"),$E32*'HU '!C$40,AND($C32="Electric passenger train",$D32="Nearly full"),$E32*'HU '!C$41,AND($C32="Diesel passenger train",$D32="Almost empty"),$E32*'HU '!C$47,AND($C32="Diesel passenger train",$D32="Average"),$E32*'HU '!C$48,AND($C32="Diesel passenger train",$D32="Nearly full"),$E32*'HU '!C$49,AND($C32="Walking"),$E32*0,AND($C32="Bike"),$E32*0,AND($C32="Plane - domestic flight"),$E32*'HU '!$C56,AND($C32="Plane - international - intra EU"),$E32*'HU '!$C58,AND($C32="Plane - international (extra EU)"),$E32*'HU '!$C60)</f>
        <v>#N/A</v>
      </c>
      <c r="G32" s="31" t="e" cm="1">
        <f t="array" ref="G32">_xlfn.IFS(AND($C32="Fuel car",$D32=1),$E32*'HU '!D$7,AND($C32="Fuel car",$D32=2),$E32*'HU '!D$8,AND($C32="Fuel car",$D32=3),$E32*'HU '!D$9,AND($C32="Fuel car",$D32=4),$E32*'HU '!D$10,AND($C32="Fuel car",$D32=5),$E32*'HU '!D$11,AND($C32="Motorcycle",$D32=1),$E32*'HU '!D$13,AND($C32="Motorcycle",$D32=2),$E32*'HU '!D$14,AND($C32="Electric car",$D32=1),$E32*'HU '!D$16,AND($C32="Electric car",$D32=2),$E32*'HU '!D$17,AND($C32="Electric car",$D32=3),$E32*'HU '!D$18,AND($C32="Electric car",$D32=4),$E32*'HU '!D$19,AND($C32="Electric car",$D32=5),$E32*'HU '!D$20,AND($C32="Hybrid car",$D32=1),$E32*'HU '!D$22,AND($C32="Hybrid car",$D32=2),$E32*'HU '!D$23,AND($C32="Hybrid car",$D32=3),$E32*'HU '!D$24,AND($C32="Hybrid car",$D32=4),$E32*'HU '!D$25,AND($C32="Hybrid car",$D32=5),$E32*'HU '!D$26,AND($C32="Electric motorcycle",$D32=1),$E32*'HU '!D$28,AND($C32="Electric motorcycle",$D32=2),$E32*'HU '!D$29,AND($C32="Electric bike",$D32=1),$E32*'HU '!D$31,AND($C32="Electric scooter",$D32=1),$E32*'HU '!D$33,AND($C32="Bus",$D32="Almost empty"),$E32*'HU '!I$23,AND($C32="Bus",$D32="Average"),$E32*'HU '!I$24,AND($C32="Bus",$D32="Nearly full"),$E32*'HU '!I$25,AND($C32="Electric bus",$D32="Almost empty"),$E32*'HU '!I$7,AND($C32="Electric bus",$D32="Average"),$E32*'HU '!I$8,AND($C32="Electric bus",$D32="Nearly full"),$E32*'HU '!I$9,AND($C32="Diesel bus",$D32="Almost empty"),$E32*'HU '!I$19,AND($C32="Diesel bus",$D32="Average"),$E32*'HU '!I$20,AND($C32="Diesel bus",$D32="Nearly full"),$E32*'HU '!I$21,AND($C32="Hybrid-electric bus",$D32="Almost empty"),$E32*'HU '!I$11,AND($C32="Hybrid-electric bus",$D32="Average"),$E32*'HU '!I$12,AND($C32="Hybrid-electric bus",$D32="Nearly full"),$E32*'HU '!I$13,AND($C32="Alternative fuel bus",$D32="Almost empty"),$E32*'HU '!I$15,AND($C32="Alternative fuel bus",$D32="Average"),$E32*'HU '!I$16,AND($C32="Alternative fuel bus",$D32="Nearly full"),$E32*'HU '!I$17,AND($C32="Metro, tram, urban light train",$D32="Almost empty"),$E32*'HU '!D$35,AND($C32="Metro, tram, urban light train",$D32="Average"),$E32*'HU '!D$36,AND($C32="Metro, tram, urban light train",$D32="Nearly full"),$E32*'HU '!D$37,AND($C32="Electric passenger train",$D32="Almost empty"),$E32*'HU '!D$39,AND($C32="Electric passenger train",$D32="Average"),$E32*'HU '!D$40,AND($C32="Electric passenger train",$D32="Nearly full"),$E32*'HU '!D$41,AND($C32="Diesel passenger train",$D32="Almost empty"),$E32*'HU '!D$47,AND($C32="Diesel passenger train",$D32="Average"),$E32*'HU '!D$48,AND($C32="Diesel passenger train",$D32="Nearly full"),$E32*'HU '!D$49,AND($C32="Walking"),$E32*0,AND($C32="Bike"),$E32*0,AND($C32="Plane - domestic flight"),$E32*'HU '!$C56,AND($C32="Plane - international - intra EU"),$E32*'HU '!$C58,AND($C32="Plane - international (extra EU)"),$E32*'HU '!$C60)</f>
        <v>#N/A</v>
      </c>
      <c r="H32" s="145"/>
      <c r="I32" s="148">
        <f t="shared" si="6"/>
        <v>0</v>
      </c>
      <c r="J32" s="146" t="e" cm="1">
        <f t="array" ref="J32">_xlfn.IFS(C32="Fuel car",C32*DATA!$C$17,C32="Electric car",C32*DATA!$F$16,C32="Hybrid car",I32*(0.5*DATA!$C$17+0.5*DATA!$F$16))</f>
        <v>#N/A</v>
      </c>
      <c r="L32" s="218"/>
      <c r="M32" s="219"/>
      <c r="N32" s="220"/>
    </row>
    <row r="33" spans="1:14" ht="14.5" customHeight="1" x14ac:dyDescent="0.2">
      <c r="A33" s="222"/>
      <c r="B33" s="30"/>
      <c r="C33" s="15"/>
      <c r="D33" s="15"/>
      <c r="E33" s="125"/>
      <c r="F33" s="128" t="e" cm="1">
        <f t="array" ref="F33">_xlfn.IFS(AND($C33="Fuel car",$D33=1),$E33*'HU '!C$7,AND($C33="Fuel car",$D33=2),$E33*'HU '!C$8,AND($C33="Fuel car",$D33=3),$E33*'HU '!C$9,AND($C33="Fuel car",$D33=4),$E33*'HU '!C$10,AND($C33="Fuel car",$D33=5),$E33*'HU '!C$11,AND($C33="Motorcycle",$D33=1),$E33*'HU '!C$13,AND($C33="Motorcycle",$D33=2),$E33*'HU '!C$14,AND($C33="Electric car",$D33=1),$E33*'HU '!C$16,AND($C33="Electric car",$D33=2),$E33*'HU '!C$17,AND($C33="Electric car",$D33=3),$E33*'HU '!C$18,AND($C33="Electric car",$D33=4),$E33*'HU '!C$19,AND($C33="Electric car",$D33=5),$E33*'HU '!C$20,AND($C33="Hybrid car",$D33=1),$E33*'HU '!C$22,AND($C33="Hybrid car",$D33=2),$E33*'HU '!C$23,AND($C33="Hybrid car",$D33=3),$E33*'HU '!C$24,AND($C33="Hybrid car",$D33=4),$E33*'HU '!C$25,AND($C33="Hybrid car",$D33=5),$E33*'HU '!C$26,AND($C33="Electric motorcycle",$D33=1),$E33*'HU '!C$28,AND($C33="Electric motorcycle",$D33=2),$E33*'HU '!C$29,AND($C33="Electric bike",$D33=1),$E33*'HU '!C$31,AND($C33="Electric scooter",$D33=1),$E33*'HU '!C$33,AND($C33="Bus",$D33="Almost empty"),$E33*'HU '!H$23,AND($C33="Bus",$D33="Average"),$E33*'HU '!H$24,AND($C33="Bus",$D33="Nearly full"),$E33*'HU '!H$25,AND($C33="Electric bus",$D33="Almost empty"),$E33*'HU '!H$7,AND($C33="Electric bus",$D33="Average"),$E33*'HU '!H$8,AND($C33="Electric bus",$D33="Nearly full"),$E33*'HU '!H$9,AND($C33="Diesel bus",$D33="Almost empty"),$E33*'HU '!H$19,AND($C33="Diesel bus",$D33="Average"),$E33*'HU '!H$20,AND($C33="Diesel bus",$D33="Nearly full"),$E33*'HU '!H$21,AND($C33="Hybrid-electric bus",$D33="Almost empty"),$E33*'HU '!H$11,AND($C33="Hybrid-electric bus",$D33="Average"),$E33*'HU '!H$12,AND($C33="Hybrid-electric bus",$D33="Nearly full"),$E33*'HU '!H$13,AND($C33="Alternative fuel bus",$D33="Almost empty"),$E33*'HU '!H$15,AND($C33="Alternative fuel bus",$D33="Average"),$E33*'HU '!H$16,AND($C33="Alternative fuel bus",$D33="Nearly full"),$E33*'HU '!H$17,AND($C33="Metro, tram, urban light train",$D33="Almost empty"),$E33*'HU '!C$35,AND($C33="Metro, tram, urban light train",$D33="Average"),$E33*'HU '!C$36,AND($C33="Metro, tram, urban light train",$D33="Nearly full"),$E33*'HU '!C$37,AND($C33="Electric passenger train",$D33="Almost empty"),$E33*'HU '!C$39,AND($C33="Electric passenger train",$D33="Average"),$E33*'HU '!C$40,AND($C33="Electric passenger train",$D33="Nearly full"),$E33*'HU '!C$41,AND($C33="Diesel passenger train",$D33="Almost empty"),$E33*'HU '!C$47,AND($C33="Diesel passenger train",$D33="Average"),$E33*'HU '!C$48,AND($C33="Diesel passenger train",$D33="Nearly full"),$E33*'HU '!C$49,AND($C33="Walking"),$E33*0,AND($C33="Bike"),$E33*0,AND($C33="Plane - domestic flight"),$E33*'HU '!$C57,AND($C33="Plane - international - intra EU"),$E33*'HU '!$C59,AND($C33="Plane - international (extra EU)"),$E33*'HU '!$C61)</f>
        <v>#N/A</v>
      </c>
      <c r="G33" s="31" t="e" cm="1">
        <f t="array" ref="G33">_xlfn.IFS(AND($C33="Fuel car",$D33=1),$E33*'HU '!D$7,AND($C33="Fuel car",$D33=2),$E33*'HU '!D$8,AND($C33="Fuel car",$D33=3),$E33*'HU '!D$9,AND($C33="Fuel car",$D33=4),$E33*'HU '!D$10,AND($C33="Fuel car",$D33=5),$E33*'HU '!D$11,AND($C33="Motorcycle",$D33=1),$E33*'HU '!D$13,AND($C33="Motorcycle",$D33=2),$E33*'HU '!D$14,AND($C33="Electric car",$D33=1),$E33*'HU '!D$16,AND($C33="Electric car",$D33=2),$E33*'HU '!D$17,AND($C33="Electric car",$D33=3),$E33*'HU '!D$18,AND($C33="Electric car",$D33=4),$E33*'HU '!D$19,AND($C33="Electric car",$D33=5),$E33*'HU '!D$20,AND($C33="Hybrid car",$D33=1),$E33*'HU '!D$22,AND($C33="Hybrid car",$D33=2),$E33*'HU '!D$23,AND($C33="Hybrid car",$D33=3),$E33*'HU '!D$24,AND($C33="Hybrid car",$D33=4),$E33*'HU '!D$25,AND($C33="Hybrid car",$D33=5),$E33*'HU '!D$26,AND($C33="Electric motorcycle",$D33=1),$E33*'HU '!D$28,AND($C33="Electric motorcycle",$D33=2),$E33*'HU '!D$29,AND($C33="Electric bike",$D33=1),$E33*'HU '!D$31,AND($C33="Electric scooter",$D33=1),$E33*'HU '!D$33,AND($C33="Bus",$D33="Almost empty"),$E33*'HU '!I$23,AND($C33="Bus",$D33="Average"),$E33*'HU '!I$24,AND($C33="Bus",$D33="Nearly full"),$E33*'HU '!I$25,AND($C33="Electric bus",$D33="Almost empty"),$E33*'HU '!I$7,AND($C33="Electric bus",$D33="Average"),$E33*'HU '!I$8,AND($C33="Electric bus",$D33="Nearly full"),$E33*'HU '!I$9,AND($C33="Diesel bus",$D33="Almost empty"),$E33*'HU '!I$19,AND($C33="Diesel bus",$D33="Average"),$E33*'HU '!I$20,AND($C33="Diesel bus",$D33="Nearly full"),$E33*'HU '!I$21,AND($C33="Hybrid-electric bus",$D33="Almost empty"),$E33*'HU '!I$11,AND($C33="Hybrid-electric bus",$D33="Average"),$E33*'HU '!I$12,AND($C33="Hybrid-electric bus",$D33="Nearly full"),$E33*'HU '!I$13,AND($C33="Alternative fuel bus",$D33="Almost empty"),$E33*'HU '!I$15,AND($C33="Alternative fuel bus",$D33="Average"),$E33*'HU '!I$16,AND($C33="Alternative fuel bus",$D33="Nearly full"),$E33*'HU '!I$17,AND($C33="Metro, tram, urban light train",$D33="Almost empty"),$E33*'HU '!D$35,AND($C33="Metro, tram, urban light train",$D33="Average"),$E33*'HU '!D$36,AND($C33="Metro, tram, urban light train",$D33="Nearly full"),$E33*'HU '!D$37,AND($C33="Electric passenger train",$D33="Almost empty"),$E33*'HU '!D$39,AND($C33="Electric passenger train",$D33="Average"),$E33*'HU '!D$40,AND($C33="Electric passenger train",$D33="Nearly full"),$E33*'HU '!D$41,AND($C33="Diesel passenger train",$D33="Almost empty"),$E33*'HU '!D$47,AND($C33="Diesel passenger train",$D33="Average"),$E33*'HU '!D$48,AND($C33="Diesel passenger train",$D33="Nearly full"),$E33*'HU '!D$49,AND($C33="Walking"),$E33*0,AND($C33="Bike"),$E33*0,AND($C33="Plane - domestic flight"),$E33*'HU '!$C57,AND($C33="Plane - international - intra EU"),$E33*'HU '!$C59,AND($C33="Plane - international (extra EU)"),$E33*'HU '!$C61)</f>
        <v>#N/A</v>
      </c>
      <c r="H33" s="145"/>
      <c r="I33" s="148">
        <f t="shared" si="6"/>
        <v>0</v>
      </c>
      <c r="J33" s="146" t="e" cm="1">
        <f t="array" ref="J33">_xlfn.IFS(C33="Fuel car",C33*DATA!$C$17,C33="Electric car",C33*DATA!$F$16,C33="Hybrid car",I33*(0.5*DATA!$C$17+0.5*DATA!$F$16))</f>
        <v>#N/A</v>
      </c>
      <c r="L33" s="223" t="s">
        <v>78</v>
      </c>
      <c r="M33" s="224"/>
      <c r="N33" s="225"/>
    </row>
    <row r="34" spans="1:14" x14ac:dyDescent="0.2">
      <c r="A34" s="222"/>
      <c r="B34" s="30"/>
      <c r="C34" s="15"/>
      <c r="D34" s="15"/>
      <c r="E34" s="125"/>
      <c r="F34" s="128" t="e" cm="1">
        <f t="array" ref="F34">_xlfn.IFS(AND($C34="Fuel car",$D34=1),$E34*'HU '!C$7,AND($C34="Fuel car",$D34=2),$E34*'HU '!C$8,AND($C34="Fuel car",$D34=3),$E34*'HU '!C$9,AND($C34="Fuel car",$D34=4),$E34*'HU '!C$10,AND($C34="Fuel car",$D34=5),$E34*'HU '!C$11,AND($C34="Motorcycle",$D34=1),$E34*'HU '!C$13,AND($C34="Motorcycle",$D34=2),$E34*'HU '!C$14,AND($C34="Electric car",$D34=1),$E34*'HU '!C$16,AND($C34="Electric car",$D34=2),$E34*'HU '!C$17,AND($C34="Electric car",$D34=3),$E34*'HU '!C$18,AND($C34="Electric car",$D34=4),$E34*'HU '!C$19,AND($C34="Electric car",$D34=5),$E34*'HU '!C$20,AND($C34="Hybrid car",$D34=1),$E34*'HU '!C$22,AND($C34="Hybrid car",$D34=2),$E34*'HU '!C$23,AND($C34="Hybrid car",$D34=3),$E34*'HU '!C$24,AND($C34="Hybrid car",$D34=4),$E34*'HU '!C$25,AND($C34="Hybrid car",$D34=5),$E34*'HU '!C$26,AND($C34="Electric motorcycle",$D34=1),$E34*'HU '!C$28,AND($C34="Electric motorcycle",$D34=2),$E34*'HU '!C$29,AND($C34="Electric bike",$D34=1),$E34*'HU '!C$31,AND($C34="Electric scooter",$D34=1),$E34*'HU '!C$33,AND($C34="Bus",$D34="Almost empty"),$E34*'HU '!H$23,AND($C34="Bus",$D34="Average"),$E34*'HU '!H$24,AND($C34="Bus",$D34="Nearly full"),$E34*'HU '!H$25,AND($C34="Electric bus",$D34="Almost empty"),$E34*'HU '!H$7,AND($C34="Electric bus",$D34="Average"),$E34*'HU '!H$8,AND($C34="Electric bus",$D34="Nearly full"),$E34*'HU '!H$9,AND($C34="Diesel bus",$D34="Almost empty"),$E34*'HU '!H$19,AND($C34="Diesel bus",$D34="Average"),$E34*'HU '!H$20,AND($C34="Diesel bus",$D34="Nearly full"),$E34*'HU '!H$21,AND($C34="Hybrid-electric bus",$D34="Almost empty"),$E34*'HU '!H$11,AND($C34="Hybrid-electric bus",$D34="Average"),$E34*'HU '!H$12,AND($C34="Hybrid-electric bus",$D34="Nearly full"),$E34*'HU '!H$13,AND($C34="Alternative fuel bus",$D34="Almost empty"),$E34*'HU '!H$15,AND($C34="Alternative fuel bus",$D34="Average"),$E34*'HU '!H$16,AND($C34="Alternative fuel bus",$D34="Nearly full"),$E34*'HU '!H$17,AND($C34="Metro, tram, urban light train",$D34="Almost empty"),$E34*'HU '!C$35,AND($C34="Metro, tram, urban light train",$D34="Average"),$E34*'HU '!C$36,AND($C34="Metro, tram, urban light train",$D34="Nearly full"),$E34*'HU '!C$37,AND($C34="Electric passenger train",$D34="Almost empty"),$E34*'HU '!C$39,AND($C34="Electric passenger train",$D34="Average"),$E34*'HU '!C$40,AND($C34="Electric passenger train",$D34="Nearly full"),$E34*'HU '!C$41,AND($C34="Diesel passenger train",$D34="Almost empty"),$E34*'HU '!C$47,AND($C34="Diesel passenger train",$D34="Average"),$E34*'HU '!C$48,AND($C34="Diesel passenger train",$D34="Nearly full"),$E34*'HU '!C$49,AND($C34="Walking"),$E34*0,AND($C34="Bike"),$E34*0,AND($C34="Plane - domestic flight"),$E34*'HU '!$C58,AND($C34="Plane - international - intra EU"),$E34*'HU '!$C60,AND($C34="Plane - international (extra EU)"),$E34*'HU '!$C62)</f>
        <v>#N/A</v>
      </c>
      <c r="G34" s="31" t="e" cm="1">
        <f t="array" ref="G34">_xlfn.IFS(AND($C34="Fuel car",$D34=1),$E34*'HU '!D$7,AND($C34="Fuel car",$D34=2),$E34*'HU '!D$8,AND($C34="Fuel car",$D34=3),$E34*'HU '!D$9,AND($C34="Fuel car",$D34=4),$E34*'HU '!D$10,AND($C34="Fuel car",$D34=5),$E34*'HU '!D$11,AND($C34="Motorcycle",$D34=1),$E34*'HU '!D$13,AND($C34="Motorcycle",$D34=2),$E34*'HU '!D$14,AND($C34="Electric car",$D34=1),$E34*'HU '!D$16,AND($C34="Electric car",$D34=2),$E34*'HU '!D$17,AND($C34="Electric car",$D34=3),$E34*'HU '!D$18,AND($C34="Electric car",$D34=4),$E34*'HU '!D$19,AND($C34="Electric car",$D34=5),$E34*'HU '!D$20,AND($C34="Hybrid car",$D34=1),$E34*'HU '!D$22,AND($C34="Hybrid car",$D34=2),$E34*'HU '!D$23,AND($C34="Hybrid car",$D34=3),$E34*'HU '!D$24,AND($C34="Hybrid car",$D34=4),$E34*'HU '!D$25,AND($C34="Hybrid car",$D34=5),$E34*'HU '!D$26,AND($C34="Electric motorcycle",$D34=1),$E34*'HU '!D$28,AND($C34="Electric motorcycle",$D34=2),$E34*'HU '!D$29,AND($C34="Electric bike",$D34=1),$E34*'HU '!D$31,AND($C34="Electric scooter",$D34=1),$E34*'HU '!D$33,AND($C34="Bus",$D34="Almost empty"),$E34*'HU '!I$23,AND($C34="Bus",$D34="Average"),$E34*'HU '!I$24,AND($C34="Bus",$D34="Nearly full"),$E34*'HU '!I$25,AND($C34="Electric bus",$D34="Almost empty"),$E34*'HU '!I$7,AND($C34="Electric bus",$D34="Average"),$E34*'HU '!I$8,AND($C34="Electric bus",$D34="Nearly full"),$E34*'HU '!I$9,AND($C34="Diesel bus",$D34="Almost empty"),$E34*'HU '!I$19,AND($C34="Diesel bus",$D34="Average"),$E34*'HU '!I$20,AND($C34="Diesel bus",$D34="Nearly full"),$E34*'HU '!I$21,AND($C34="Hybrid-electric bus",$D34="Almost empty"),$E34*'HU '!I$11,AND($C34="Hybrid-electric bus",$D34="Average"),$E34*'HU '!I$12,AND($C34="Hybrid-electric bus",$D34="Nearly full"),$E34*'HU '!I$13,AND($C34="Alternative fuel bus",$D34="Almost empty"),$E34*'HU '!I$15,AND($C34="Alternative fuel bus",$D34="Average"),$E34*'HU '!I$16,AND($C34="Alternative fuel bus",$D34="Nearly full"),$E34*'HU '!I$17,AND($C34="Metro, tram, urban light train",$D34="Almost empty"),$E34*'HU '!D$35,AND($C34="Metro, tram, urban light train",$D34="Average"),$E34*'HU '!D$36,AND($C34="Metro, tram, urban light train",$D34="Nearly full"),$E34*'HU '!D$37,AND($C34="Electric passenger train",$D34="Almost empty"),$E34*'HU '!D$39,AND($C34="Electric passenger train",$D34="Average"),$E34*'HU '!D$40,AND($C34="Electric passenger train",$D34="Nearly full"),$E34*'HU '!D$41,AND($C34="Diesel passenger train",$D34="Almost empty"),$E34*'HU '!D$47,AND($C34="Diesel passenger train",$D34="Average"),$E34*'HU '!D$48,AND($C34="Diesel passenger train",$D34="Nearly full"),$E34*'HU '!D$49,AND($C34="Walking"),$E34*0,AND($C34="Bike"),$E34*0,AND($C34="Plane - domestic flight"),$E34*'HU '!$C58,AND($C34="Plane - international - intra EU"),$E34*'HU '!$C60,AND($C34="Plane - international (extra EU)"),$E34*'HU '!$C62)</f>
        <v>#N/A</v>
      </c>
      <c r="H34" s="145"/>
      <c r="I34" s="148">
        <f t="shared" si="6"/>
        <v>0</v>
      </c>
      <c r="J34" s="146" t="e" cm="1">
        <f t="array" ref="J34">_xlfn.IFS(C34="Fuel car",C34*DATA!$C$17,C34="Electric car",C34*DATA!$F$16,C34="Hybrid car",I34*(0.5*DATA!$C$17+0.5*DATA!$F$16))</f>
        <v>#N/A</v>
      </c>
      <c r="L34" s="223"/>
      <c r="M34" s="224"/>
      <c r="N34" s="225"/>
    </row>
    <row r="35" spans="1:14" ht="14.5" customHeight="1" x14ac:dyDescent="0.2">
      <c r="A35" s="222"/>
      <c r="B35" s="30"/>
      <c r="C35" s="15"/>
      <c r="D35" s="15"/>
      <c r="E35" s="125"/>
      <c r="F35" s="128" t="e" cm="1">
        <f t="array" ref="F35">_xlfn.IFS(AND($C35="Fuel car",$D35=1),$E35*'HU '!C$7,AND($C35="Fuel car",$D35=2),$E35*'HU '!C$8,AND($C35="Fuel car",$D35=3),$E35*'HU '!C$9,AND($C35="Fuel car",$D35=4),$E35*'HU '!C$10,AND($C35="Fuel car",$D35=5),$E35*'HU '!C$11,AND($C35="Motorcycle",$D35=1),$E35*'HU '!C$13,AND($C35="Motorcycle",$D35=2),$E35*'HU '!C$14,AND($C35="Electric car",$D35=1),$E35*'HU '!C$16,AND($C35="Electric car",$D35=2),$E35*'HU '!C$17,AND($C35="Electric car",$D35=3),$E35*'HU '!C$18,AND($C35="Electric car",$D35=4),$E35*'HU '!C$19,AND($C35="Electric car",$D35=5),$E35*'HU '!C$20,AND($C35="Hybrid car",$D35=1),$E35*'HU '!C$22,AND($C35="Hybrid car",$D35=2),$E35*'HU '!C$23,AND($C35="Hybrid car",$D35=3),$E35*'HU '!C$24,AND($C35="Hybrid car",$D35=4),$E35*'HU '!C$25,AND($C35="Hybrid car",$D35=5),$E35*'HU '!C$26,AND($C35="Electric motorcycle",$D35=1),$E35*'HU '!C$28,AND($C35="Electric motorcycle",$D35=2),$E35*'HU '!C$29,AND($C35="Electric bike",$D35=1),$E35*'HU '!C$31,AND($C35="Electric scooter",$D35=1),$E35*'HU '!C$33,AND($C35="Bus",$D35="Almost empty"),$E35*'HU '!H$23,AND($C35="Bus",$D35="Average"),$E35*'HU '!H$24,AND($C35="Bus",$D35="Nearly full"),$E35*'HU '!H$25,AND($C35="Electric bus",$D35="Almost empty"),$E35*'HU '!H$7,AND($C35="Electric bus",$D35="Average"),$E35*'HU '!H$8,AND($C35="Electric bus",$D35="Nearly full"),$E35*'HU '!H$9,AND($C35="Diesel bus",$D35="Almost empty"),$E35*'HU '!H$19,AND($C35="Diesel bus",$D35="Average"),$E35*'HU '!H$20,AND($C35="Diesel bus",$D35="Nearly full"),$E35*'HU '!H$21,AND($C35="Hybrid-electric bus",$D35="Almost empty"),$E35*'HU '!H$11,AND($C35="Hybrid-electric bus",$D35="Average"),$E35*'HU '!H$12,AND($C35="Hybrid-electric bus",$D35="Nearly full"),$E35*'HU '!H$13,AND($C35="Alternative fuel bus",$D35="Almost empty"),$E35*'HU '!H$15,AND($C35="Alternative fuel bus",$D35="Average"),$E35*'HU '!H$16,AND($C35="Alternative fuel bus",$D35="Nearly full"),$E35*'HU '!H$17,AND($C35="Metro, tram, urban light train",$D35="Almost empty"),$E35*'HU '!C$35,AND($C35="Metro, tram, urban light train",$D35="Average"),$E35*'HU '!C$36,AND($C35="Metro, tram, urban light train",$D35="Nearly full"),$E35*'HU '!C$37,AND($C35="Electric passenger train",$D35="Almost empty"),$E35*'HU '!C$39,AND($C35="Electric passenger train",$D35="Average"),$E35*'HU '!C$40,AND($C35="Electric passenger train",$D35="Nearly full"),$E35*'HU '!C$41,AND($C35="Diesel passenger train",$D35="Almost empty"),$E35*'HU '!C$47,AND($C35="Diesel passenger train",$D35="Average"),$E35*'HU '!C$48,AND($C35="Diesel passenger train",$D35="Nearly full"),$E35*'HU '!C$49,AND($C35="Walking"),$E35*0,AND($C35="Bike"),$E35*0,AND($C35="Plane - domestic flight"),$E35*'HU '!$C59,AND($C35="Plane - international - intra EU"),$E35*'HU '!$C61,AND($C35="Plane - international (extra EU)"),$E35*'HU '!$C63)</f>
        <v>#N/A</v>
      </c>
      <c r="G35" s="31" t="e" cm="1">
        <f t="array" ref="G35">_xlfn.IFS(AND($C35="Fuel car",$D35=1),$E35*'HU '!D$7,AND($C35="Fuel car",$D35=2),$E35*'HU '!D$8,AND($C35="Fuel car",$D35=3),$E35*'HU '!D$9,AND($C35="Fuel car",$D35=4),$E35*'HU '!D$10,AND($C35="Fuel car",$D35=5),$E35*'HU '!D$11,AND($C35="Motorcycle",$D35=1),$E35*'HU '!D$13,AND($C35="Motorcycle",$D35=2),$E35*'HU '!D$14,AND($C35="Electric car",$D35=1),$E35*'HU '!D$16,AND($C35="Electric car",$D35=2),$E35*'HU '!D$17,AND($C35="Electric car",$D35=3),$E35*'HU '!D$18,AND($C35="Electric car",$D35=4),$E35*'HU '!D$19,AND($C35="Electric car",$D35=5),$E35*'HU '!D$20,AND($C35="Hybrid car",$D35=1),$E35*'HU '!D$22,AND($C35="Hybrid car",$D35=2),$E35*'HU '!D$23,AND($C35="Hybrid car",$D35=3),$E35*'HU '!D$24,AND($C35="Hybrid car",$D35=4),$E35*'HU '!D$25,AND($C35="Hybrid car",$D35=5),$E35*'HU '!D$26,AND($C35="Electric motorcycle",$D35=1),$E35*'HU '!D$28,AND($C35="Electric motorcycle",$D35=2),$E35*'HU '!D$29,AND($C35="Electric bike",$D35=1),$E35*'HU '!D$31,AND($C35="Electric scooter",$D35=1),$E35*'HU '!D$33,AND($C35="Bus",$D35="Almost empty"),$E35*'HU '!I$23,AND($C35="Bus",$D35="Average"),$E35*'HU '!I$24,AND($C35="Bus",$D35="Nearly full"),$E35*'HU '!I$25,AND($C35="Electric bus",$D35="Almost empty"),$E35*'HU '!I$7,AND($C35="Electric bus",$D35="Average"),$E35*'HU '!I$8,AND($C35="Electric bus",$D35="Nearly full"),$E35*'HU '!I$9,AND($C35="Diesel bus",$D35="Almost empty"),$E35*'HU '!I$19,AND($C35="Diesel bus",$D35="Average"),$E35*'HU '!I$20,AND($C35="Diesel bus",$D35="Nearly full"),$E35*'HU '!I$21,AND($C35="Hybrid-electric bus",$D35="Almost empty"),$E35*'HU '!I$11,AND($C35="Hybrid-electric bus",$D35="Average"),$E35*'HU '!I$12,AND($C35="Hybrid-electric bus",$D35="Nearly full"),$E35*'HU '!I$13,AND($C35="Alternative fuel bus",$D35="Almost empty"),$E35*'HU '!I$15,AND($C35="Alternative fuel bus",$D35="Average"),$E35*'HU '!I$16,AND($C35="Alternative fuel bus",$D35="Nearly full"),$E35*'HU '!I$17,AND($C35="Metro, tram, urban light train",$D35="Almost empty"),$E35*'HU '!D$35,AND($C35="Metro, tram, urban light train",$D35="Average"),$E35*'HU '!D$36,AND($C35="Metro, tram, urban light train",$D35="Nearly full"),$E35*'HU '!D$37,AND($C35="Electric passenger train",$D35="Almost empty"),$E35*'HU '!D$39,AND($C35="Electric passenger train",$D35="Average"),$E35*'HU '!D$40,AND($C35="Electric passenger train",$D35="Nearly full"),$E35*'HU '!D$41,AND($C35="Diesel passenger train",$D35="Almost empty"),$E35*'HU '!D$47,AND($C35="Diesel passenger train",$D35="Average"),$E35*'HU '!D$48,AND($C35="Diesel passenger train",$D35="Nearly full"),$E35*'HU '!D$49,AND($C35="Walking"),$E35*0,AND($C35="Bike"),$E35*0,AND($C35="Plane - domestic flight"),$E35*'HU '!$C59,AND($C35="Plane - international - intra EU"),$E35*'HU '!$C61,AND($C35="Plane - international (extra EU)"),$E35*'HU '!$C63)</f>
        <v>#N/A</v>
      </c>
      <c r="H35" s="145"/>
      <c r="I35" s="148">
        <f t="shared" si="6"/>
        <v>0</v>
      </c>
      <c r="J35" s="146" t="e" cm="1">
        <f t="array" ref="J35">_xlfn.IFS(C35="Fuel car",C35*DATA!$C$17,C35="Electric car",C35*DATA!$F$16,C35="Hybrid car",I35*(0.5*DATA!$C$17+0.5*DATA!$F$16))</f>
        <v>#N/A</v>
      </c>
      <c r="L35" s="223"/>
      <c r="M35" s="224"/>
      <c r="N35" s="225"/>
    </row>
    <row r="36" spans="1:14" ht="16" thickBot="1" x14ac:dyDescent="0.25">
      <c r="A36" s="222"/>
      <c r="B36" s="30"/>
      <c r="C36" s="15"/>
      <c r="D36" s="15"/>
      <c r="E36" s="125"/>
      <c r="F36" s="128" t="e" cm="1">
        <f t="array" ref="F36">_xlfn.IFS(AND($C36="Fuel car",$D36=1),$E36*'HU '!C$7,AND($C36="Fuel car",$D36=2),$E36*'HU '!C$8,AND($C36="Fuel car",$D36=3),$E36*'HU '!C$9,AND($C36="Fuel car",$D36=4),$E36*'HU '!C$10,AND($C36="Fuel car",$D36=5),$E36*'HU '!C$11,AND($C36="Motorcycle",$D36=1),$E36*'HU '!C$13,AND($C36="Motorcycle",$D36=2),$E36*'HU '!C$14,AND($C36="Electric car",$D36=1),$E36*'HU '!C$16,AND($C36="Electric car",$D36=2),$E36*'HU '!C$17,AND($C36="Electric car",$D36=3),$E36*'HU '!C$18,AND($C36="Electric car",$D36=4),$E36*'HU '!C$19,AND($C36="Electric car",$D36=5),$E36*'HU '!C$20,AND($C36="Hybrid car",$D36=1),$E36*'HU '!C$22,AND($C36="Hybrid car",$D36=2),$E36*'HU '!C$23,AND($C36="Hybrid car",$D36=3),$E36*'HU '!C$24,AND($C36="Hybrid car",$D36=4),$E36*'HU '!C$25,AND($C36="Hybrid car",$D36=5),$E36*'HU '!C$26,AND($C36="Electric motorcycle",$D36=1),$E36*'HU '!C$28,AND($C36="Electric motorcycle",$D36=2),$E36*'HU '!C$29,AND($C36="Electric bike",$D36=1),$E36*'HU '!C$31,AND($C36="Electric scooter",$D36=1),$E36*'HU '!C$33,AND($C36="Bus",$D36="Almost empty"),$E36*'HU '!H$23,AND($C36="Bus",$D36="Average"),$E36*'HU '!H$24,AND($C36="Bus",$D36="Nearly full"),$E36*'HU '!H$25,AND($C36="Electric bus",$D36="Almost empty"),$E36*'HU '!H$7,AND($C36="Electric bus",$D36="Average"),$E36*'HU '!H$8,AND($C36="Electric bus",$D36="Nearly full"),$E36*'HU '!H$9,AND($C36="Diesel bus",$D36="Almost empty"),$E36*'HU '!H$19,AND($C36="Diesel bus",$D36="Average"),$E36*'HU '!H$20,AND($C36="Diesel bus",$D36="Nearly full"),$E36*'HU '!H$21,AND($C36="Hybrid-electric bus",$D36="Almost empty"),$E36*'HU '!H$11,AND($C36="Hybrid-electric bus",$D36="Average"),$E36*'HU '!H$12,AND($C36="Hybrid-electric bus",$D36="Nearly full"),$E36*'HU '!H$13,AND($C36="Alternative fuel bus",$D36="Almost empty"),$E36*'HU '!H$15,AND($C36="Alternative fuel bus",$D36="Average"),$E36*'HU '!H$16,AND($C36="Alternative fuel bus",$D36="Nearly full"),$E36*'HU '!H$17,AND($C36="Metro, tram, urban light train",$D36="Almost empty"),$E36*'HU '!C$35,AND($C36="Metro, tram, urban light train",$D36="Average"),$E36*'HU '!C$36,AND($C36="Metro, tram, urban light train",$D36="Nearly full"),$E36*'HU '!C$37,AND($C36="Electric passenger train",$D36="Almost empty"),$E36*'HU '!C$39,AND($C36="Electric passenger train",$D36="Average"),$E36*'HU '!C$40,AND($C36="Electric passenger train",$D36="Nearly full"),$E36*'HU '!C$41,AND($C36="Diesel passenger train",$D36="Almost empty"),$E36*'HU '!C$47,AND($C36="Diesel passenger train",$D36="Average"),$E36*'HU '!C$48,AND($C36="Diesel passenger train",$D36="Nearly full"),$E36*'HU '!C$49,AND($C36="Walking"),$E36*0,AND($C36="Bike"),$E36*0,AND($C36="Plane - domestic flight"),$E36*'HU '!$C60,AND($C36="Plane - international - intra EU"),$E36*'HU '!$C62,AND($C36="Plane - international (extra EU)"),$E36*'HU '!$C64)</f>
        <v>#N/A</v>
      </c>
      <c r="G36" s="31" t="e" cm="1">
        <f t="array" ref="G36">_xlfn.IFS(AND($C36="Fuel car",$D36=1),$E36*'HU '!D$7,AND($C36="Fuel car",$D36=2),$E36*'HU '!D$8,AND($C36="Fuel car",$D36=3),$E36*'HU '!D$9,AND($C36="Fuel car",$D36=4),$E36*'HU '!D$10,AND($C36="Fuel car",$D36=5),$E36*'HU '!D$11,AND($C36="Motorcycle",$D36=1),$E36*'HU '!D$13,AND($C36="Motorcycle",$D36=2),$E36*'HU '!D$14,AND($C36="Electric car",$D36=1),$E36*'HU '!D$16,AND($C36="Electric car",$D36=2),$E36*'HU '!D$17,AND($C36="Electric car",$D36=3),$E36*'HU '!D$18,AND($C36="Electric car",$D36=4),$E36*'HU '!D$19,AND($C36="Electric car",$D36=5),$E36*'HU '!D$20,AND($C36="Hybrid car",$D36=1),$E36*'HU '!D$22,AND($C36="Hybrid car",$D36=2),$E36*'HU '!D$23,AND($C36="Hybrid car",$D36=3),$E36*'HU '!D$24,AND($C36="Hybrid car",$D36=4),$E36*'HU '!D$25,AND($C36="Hybrid car",$D36=5),$E36*'HU '!D$26,AND($C36="Electric motorcycle",$D36=1),$E36*'HU '!D$28,AND($C36="Electric motorcycle",$D36=2),$E36*'HU '!D$29,AND($C36="Electric bike",$D36=1),$E36*'HU '!D$31,AND($C36="Electric scooter",$D36=1),$E36*'HU '!D$33,AND($C36="Bus",$D36="Almost empty"),$E36*'HU '!I$23,AND($C36="Bus",$D36="Average"),$E36*'HU '!I$24,AND($C36="Bus",$D36="Nearly full"),$E36*'HU '!I$25,AND($C36="Electric bus",$D36="Almost empty"),$E36*'HU '!I$7,AND($C36="Electric bus",$D36="Average"),$E36*'HU '!I$8,AND($C36="Electric bus",$D36="Nearly full"),$E36*'HU '!I$9,AND($C36="Diesel bus",$D36="Almost empty"),$E36*'HU '!I$19,AND($C36="Diesel bus",$D36="Average"),$E36*'HU '!I$20,AND($C36="Diesel bus",$D36="Nearly full"),$E36*'HU '!I$21,AND($C36="Hybrid-electric bus",$D36="Almost empty"),$E36*'HU '!I$11,AND($C36="Hybrid-electric bus",$D36="Average"),$E36*'HU '!I$12,AND($C36="Hybrid-electric bus",$D36="Nearly full"),$E36*'HU '!I$13,AND($C36="Alternative fuel bus",$D36="Almost empty"),$E36*'HU '!I$15,AND($C36="Alternative fuel bus",$D36="Average"),$E36*'HU '!I$16,AND($C36="Alternative fuel bus",$D36="Nearly full"),$E36*'HU '!I$17,AND($C36="Metro, tram, urban light train",$D36="Almost empty"),$E36*'HU '!D$35,AND($C36="Metro, tram, urban light train",$D36="Average"),$E36*'HU '!D$36,AND($C36="Metro, tram, urban light train",$D36="Nearly full"),$E36*'HU '!D$37,AND($C36="Electric passenger train",$D36="Almost empty"),$E36*'HU '!D$39,AND($C36="Electric passenger train",$D36="Average"),$E36*'HU '!D$40,AND($C36="Electric passenger train",$D36="Nearly full"),$E36*'HU '!D$41,AND($C36="Diesel passenger train",$D36="Almost empty"),$E36*'HU '!D$47,AND($C36="Diesel passenger train",$D36="Average"),$E36*'HU '!D$48,AND($C36="Diesel passenger train",$D36="Nearly full"),$E36*'HU '!D$49,AND($C36="Walking"),$E36*0,AND($C36="Bike"),$E36*0,AND($C36="Plane - domestic flight"),$E36*'HU '!$C60,AND($C36="Plane - international - intra EU"),$E36*'HU '!$C62,AND($C36="Plane - international (extra EU)"),$E36*'HU '!$C64)</f>
        <v>#N/A</v>
      </c>
      <c r="H36" s="145"/>
      <c r="I36" s="148">
        <f t="shared" si="6"/>
        <v>0</v>
      </c>
      <c r="J36" s="146" t="e" cm="1">
        <f t="array" ref="J36">_xlfn.IFS(C36="Fuel car",C36*DATA!$C$17,C36="Electric car",C36*DATA!$F$16,C36="Hybrid car",I36*(0.5*DATA!$C$17+0.5*DATA!$F$16))</f>
        <v>#N/A</v>
      </c>
      <c r="L36" s="218"/>
      <c r="M36" s="219"/>
      <c r="N36" s="220"/>
    </row>
    <row r="37" spans="1:14" ht="14.5" customHeight="1" x14ac:dyDescent="0.2">
      <c r="A37" s="222"/>
      <c r="B37" s="30"/>
      <c r="C37" s="15"/>
      <c r="D37" s="15"/>
      <c r="E37" s="125"/>
      <c r="F37" s="128" t="e" cm="1">
        <f t="array" ref="F37">_xlfn.IFS(AND($C37="Fuel car",$D37=1),$E37*'HU '!C$7,AND($C37="Fuel car",$D37=2),$E37*'HU '!C$8,AND($C37="Fuel car",$D37=3),$E37*'HU '!C$9,AND($C37="Fuel car",$D37=4),$E37*'HU '!C$10,AND($C37="Fuel car",$D37=5),$E37*'HU '!C$11,AND($C37="Motorcycle",$D37=1),$E37*'HU '!C$13,AND($C37="Motorcycle",$D37=2),$E37*'HU '!C$14,AND($C37="Electric car",$D37=1),$E37*'HU '!C$16,AND($C37="Electric car",$D37=2),$E37*'HU '!C$17,AND($C37="Electric car",$D37=3),$E37*'HU '!C$18,AND($C37="Electric car",$D37=4),$E37*'HU '!C$19,AND($C37="Electric car",$D37=5),$E37*'HU '!C$20,AND($C37="Hybrid car",$D37=1),$E37*'HU '!C$22,AND($C37="Hybrid car",$D37=2),$E37*'HU '!C$23,AND($C37="Hybrid car",$D37=3),$E37*'HU '!C$24,AND($C37="Hybrid car",$D37=4),$E37*'HU '!C$25,AND($C37="Hybrid car",$D37=5),$E37*'HU '!C$26,AND($C37="Electric motorcycle",$D37=1),$E37*'HU '!C$28,AND($C37="Electric motorcycle",$D37=2),$E37*'HU '!C$29,AND($C37="Electric bike",$D37=1),$E37*'HU '!C$31,AND($C37="Electric scooter",$D37=1),$E37*'HU '!C$33,AND($C37="Bus",$D37="Almost empty"),$E37*'HU '!H$23,AND($C37="Bus",$D37="Average"),$E37*'HU '!H$24,AND($C37="Bus",$D37="Nearly full"),$E37*'HU '!H$25,AND($C37="Electric bus",$D37="Almost empty"),$E37*'HU '!H$7,AND($C37="Electric bus",$D37="Average"),$E37*'HU '!H$8,AND($C37="Electric bus",$D37="Nearly full"),$E37*'HU '!H$9,AND($C37="Diesel bus",$D37="Almost empty"),$E37*'HU '!H$19,AND($C37="Diesel bus",$D37="Average"),$E37*'HU '!H$20,AND($C37="Diesel bus",$D37="Nearly full"),$E37*'HU '!H$21,AND($C37="Hybrid-electric bus",$D37="Almost empty"),$E37*'HU '!H$11,AND($C37="Hybrid-electric bus",$D37="Average"),$E37*'HU '!H$12,AND($C37="Hybrid-electric bus",$D37="Nearly full"),$E37*'HU '!H$13,AND($C37="Alternative fuel bus",$D37="Almost empty"),$E37*'HU '!H$15,AND($C37="Alternative fuel bus",$D37="Average"),$E37*'HU '!H$16,AND($C37="Alternative fuel bus",$D37="Nearly full"),$E37*'HU '!H$17,AND($C37="Metro, tram, urban light train",$D37="Almost empty"),$E37*'HU '!C$35,AND($C37="Metro, tram, urban light train",$D37="Average"),$E37*'HU '!C$36,AND($C37="Metro, tram, urban light train",$D37="Nearly full"),$E37*'HU '!C$37,AND($C37="Electric passenger train",$D37="Almost empty"),$E37*'HU '!C$39,AND($C37="Electric passenger train",$D37="Average"),$E37*'HU '!C$40,AND($C37="Electric passenger train",$D37="Nearly full"),$E37*'HU '!C$41,AND($C37="Diesel passenger train",$D37="Almost empty"),$E37*'HU '!C$47,AND($C37="Diesel passenger train",$D37="Average"),$E37*'HU '!C$48,AND($C37="Diesel passenger train",$D37="Nearly full"),$E37*'HU '!C$49,AND($C37="Walking"),$E37*0,AND($C37="Bike"),$E37*0,AND($C37="Plane - domestic flight"),$E37*'HU '!$C61,AND($C37="Plane - international - intra EU"),$E37*'HU '!$C63,AND($C37="Plane - international (extra EU)"),$E37*'HU '!$C65)</f>
        <v>#N/A</v>
      </c>
      <c r="G37" s="31" t="e" cm="1">
        <f t="array" ref="G37">_xlfn.IFS(AND($C37="Fuel car",$D37=1),$E37*'HU '!D$7,AND($C37="Fuel car",$D37=2),$E37*'HU '!D$8,AND($C37="Fuel car",$D37=3),$E37*'HU '!D$9,AND($C37="Fuel car",$D37=4),$E37*'HU '!D$10,AND($C37="Fuel car",$D37=5),$E37*'HU '!D$11,AND($C37="Motorcycle",$D37=1),$E37*'HU '!D$13,AND($C37="Motorcycle",$D37=2),$E37*'HU '!D$14,AND($C37="Electric car",$D37=1),$E37*'HU '!D$16,AND($C37="Electric car",$D37=2),$E37*'HU '!D$17,AND($C37="Electric car",$D37=3),$E37*'HU '!D$18,AND($C37="Electric car",$D37=4),$E37*'HU '!D$19,AND($C37="Electric car",$D37=5),$E37*'HU '!D$20,AND($C37="Hybrid car",$D37=1),$E37*'HU '!D$22,AND($C37="Hybrid car",$D37=2),$E37*'HU '!D$23,AND($C37="Hybrid car",$D37=3),$E37*'HU '!D$24,AND($C37="Hybrid car",$D37=4),$E37*'HU '!D$25,AND($C37="Hybrid car",$D37=5),$E37*'HU '!D$26,AND($C37="Electric motorcycle",$D37=1),$E37*'HU '!D$28,AND($C37="Electric motorcycle",$D37=2),$E37*'HU '!D$29,AND($C37="Electric bike",$D37=1),$E37*'HU '!D$31,AND($C37="Electric scooter",$D37=1),$E37*'HU '!D$33,AND($C37="Bus",$D37="Almost empty"),$E37*'HU '!I$23,AND($C37="Bus",$D37="Average"),$E37*'HU '!I$24,AND($C37="Bus",$D37="Nearly full"),$E37*'HU '!I$25,AND($C37="Electric bus",$D37="Almost empty"),$E37*'HU '!I$7,AND($C37="Electric bus",$D37="Average"),$E37*'HU '!I$8,AND($C37="Electric bus",$D37="Nearly full"),$E37*'HU '!I$9,AND($C37="Diesel bus",$D37="Almost empty"),$E37*'HU '!I$19,AND($C37="Diesel bus",$D37="Average"),$E37*'HU '!I$20,AND($C37="Diesel bus",$D37="Nearly full"),$E37*'HU '!I$21,AND($C37="Hybrid-electric bus",$D37="Almost empty"),$E37*'HU '!I$11,AND($C37="Hybrid-electric bus",$D37="Average"),$E37*'HU '!I$12,AND($C37="Hybrid-electric bus",$D37="Nearly full"),$E37*'HU '!I$13,AND($C37="Alternative fuel bus",$D37="Almost empty"),$E37*'HU '!I$15,AND($C37="Alternative fuel bus",$D37="Average"),$E37*'HU '!I$16,AND($C37="Alternative fuel bus",$D37="Nearly full"),$E37*'HU '!I$17,AND($C37="Metro, tram, urban light train",$D37="Almost empty"),$E37*'HU '!D$35,AND($C37="Metro, tram, urban light train",$D37="Average"),$E37*'HU '!D$36,AND($C37="Metro, tram, urban light train",$D37="Nearly full"),$E37*'HU '!D$37,AND($C37="Electric passenger train",$D37="Almost empty"),$E37*'HU '!D$39,AND($C37="Electric passenger train",$D37="Average"),$E37*'HU '!D$40,AND($C37="Electric passenger train",$D37="Nearly full"),$E37*'HU '!D$41,AND($C37="Diesel passenger train",$D37="Almost empty"),$E37*'HU '!D$47,AND($C37="Diesel passenger train",$D37="Average"),$E37*'HU '!D$48,AND($C37="Diesel passenger train",$D37="Nearly full"),$E37*'HU '!D$49,AND($C37="Walking"),$E37*0,AND($C37="Bike"),$E37*0,AND($C37="Plane - domestic flight"),$E37*'HU '!$C61,AND($C37="Plane - international - intra EU"),$E37*'HU '!$C63,AND($C37="Plane - international (extra EU)"),$E37*'HU '!$C65)</f>
        <v>#N/A</v>
      </c>
      <c r="H37" s="145"/>
      <c r="I37" s="148">
        <f t="shared" si="6"/>
        <v>0</v>
      </c>
      <c r="J37" s="146" t="e" cm="1">
        <f t="array" ref="J37">_xlfn.IFS(C37="Fuel car",C37*DATA!$C$17,C37="Electric car",C37*DATA!$F$16,C37="Hybrid car",I37*(0.5*DATA!$C$17+0.5*DATA!$F$16))</f>
        <v>#N/A</v>
      </c>
      <c r="L37" s="215" t="s">
        <v>79</v>
      </c>
      <c r="M37" s="216"/>
      <c r="N37" s="217"/>
    </row>
    <row r="38" spans="1:14" ht="16" thickBot="1" x14ac:dyDescent="0.25">
      <c r="A38" s="222"/>
      <c r="B38" s="30"/>
      <c r="C38" s="15"/>
      <c r="D38" s="15"/>
      <c r="E38" s="125"/>
      <c r="F38" s="128" t="e" cm="1">
        <f t="array" ref="F38">_xlfn.IFS(AND($C38="Fuel car",$D38=1),$E38*'HU '!C$7,AND($C38="Fuel car",$D38=2),$E38*'HU '!C$8,AND($C38="Fuel car",$D38=3),$E38*'HU '!C$9,AND($C38="Fuel car",$D38=4),$E38*'HU '!C$10,AND($C38="Fuel car",$D38=5),$E38*'HU '!C$11,AND($C38="Motorcycle",$D38=1),$E38*'HU '!C$13,AND($C38="Motorcycle",$D38=2),$E38*'HU '!C$14,AND($C38="Electric car",$D38=1),$E38*'HU '!C$16,AND($C38="Electric car",$D38=2),$E38*'HU '!C$17,AND($C38="Electric car",$D38=3),$E38*'HU '!C$18,AND($C38="Electric car",$D38=4),$E38*'HU '!C$19,AND($C38="Electric car",$D38=5),$E38*'HU '!C$20,AND($C38="Hybrid car",$D38=1),$E38*'HU '!C$22,AND($C38="Hybrid car",$D38=2),$E38*'HU '!C$23,AND($C38="Hybrid car",$D38=3),$E38*'HU '!C$24,AND($C38="Hybrid car",$D38=4),$E38*'HU '!C$25,AND($C38="Hybrid car",$D38=5),$E38*'HU '!C$26,AND($C38="Electric motorcycle",$D38=1),$E38*'HU '!C$28,AND($C38="Electric motorcycle",$D38=2),$E38*'HU '!C$29,AND($C38="Electric bike",$D38=1),$E38*'HU '!C$31,AND($C38="Electric scooter",$D38=1),$E38*'HU '!C$33,AND($C38="Bus",$D38="Almost empty"),$E38*'HU '!H$23,AND($C38="Bus",$D38="Average"),$E38*'HU '!H$24,AND($C38="Bus",$D38="Nearly full"),$E38*'HU '!H$25,AND($C38="Electric bus",$D38="Almost empty"),$E38*'HU '!H$7,AND($C38="Electric bus",$D38="Average"),$E38*'HU '!H$8,AND($C38="Electric bus",$D38="Nearly full"),$E38*'HU '!H$9,AND($C38="Diesel bus",$D38="Almost empty"),$E38*'HU '!H$19,AND($C38="Diesel bus",$D38="Average"),$E38*'HU '!H$20,AND($C38="Diesel bus",$D38="Nearly full"),$E38*'HU '!H$21,AND($C38="Hybrid-electric bus",$D38="Almost empty"),$E38*'HU '!H$11,AND($C38="Hybrid-electric bus",$D38="Average"),$E38*'HU '!H$12,AND($C38="Hybrid-electric bus",$D38="Nearly full"),$E38*'HU '!H$13,AND($C38="Alternative fuel bus",$D38="Almost empty"),$E38*'HU '!H$15,AND($C38="Alternative fuel bus",$D38="Average"),$E38*'HU '!H$16,AND($C38="Alternative fuel bus",$D38="Nearly full"),$E38*'HU '!H$17,AND($C38="Metro, tram, urban light train",$D38="Almost empty"),$E38*'HU '!C$35,AND($C38="Metro, tram, urban light train",$D38="Average"),$E38*'HU '!C$36,AND($C38="Metro, tram, urban light train",$D38="Nearly full"),$E38*'HU '!C$37,AND($C38="Electric passenger train",$D38="Almost empty"),$E38*'HU '!C$39,AND($C38="Electric passenger train",$D38="Average"),$E38*'HU '!C$40,AND($C38="Electric passenger train",$D38="Nearly full"),$E38*'HU '!C$41,AND($C38="Diesel passenger train",$D38="Almost empty"),$E38*'HU '!C$47,AND($C38="Diesel passenger train",$D38="Average"),$E38*'HU '!C$48,AND($C38="Diesel passenger train",$D38="Nearly full"),$E38*'HU '!C$49,AND($C38="Walking"),$E38*0,AND($C38="Bike"),$E38*0,AND($C38="Plane - domestic flight"),$E38*'HU '!$C62,AND($C38="Plane - international - intra EU"),$E38*'HU '!$C64,AND($C38="Plane - international (extra EU)"),$E38*'HU '!$C66)</f>
        <v>#N/A</v>
      </c>
      <c r="G38" s="31" t="e" cm="1">
        <f t="array" ref="G38">_xlfn.IFS(AND($C38="Fuel car",$D38=1),$E38*'HU '!D$7,AND($C38="Fuel car",$D38=2),$E38*'HU '!D$8,AND($C38="Fuel car",$D38=3),$E38*'HU '!D$9,AND($C38="Fuel car",$D38=4),$E38*'HU '!D$10,AND($C38="Fuel car",$D38=5),$E38*'HU '!D$11,AND($C38="Motorcycle",$D38=1),$E38*'HU '!D$13,AND($C38="Motorcycle",$D38=2),$E38*'HU '!D$14,AND($C38="Electric car",$D38=1),$E38*'HU '!D$16,AND($C38="Electric car",$D38=2),$E38*'HU '!D$17,AND($C38="Electric car",$D38=3),$E38*'HU '!D$18,AND($C38="Electric car",$D38=4),$E38*'HU '!D$19,AND($C38="Electric car",$D38=5),$E38*'HU '!D$20,AND($C38="Hybrid car",$D38=1),$E38*'HU '!D$22,AND($C38="Hybrid car",$D38=2),$E38*'HU '!D$23,AND($C38="Hybrid car",$D38=3),$E38*'HU '!D$24,AND($C38="Hybrid car",$D38=4),$E38*'HU '!D$25,AND($C38="Hybrid car",$D38=5),$E38*'HU '!D$26,AND($C38="Electric motorcycle",$D38=1),$E38*'HU '!D$28,AND($C38="Electric motorcycle",$D38=2),$E38*'HU '!D$29,AND($C38="Electric bike",$D38=1),$E38*'HU '!D$31,AND($C38="Electric scooter",$D38=1),$E38*'HU '!D$33,AND($C38="Bus",$D38="Almost empty"),$E38*'HU '!I$23,AND($C38="Bus",$D38="Average"),$E38*'HU '!I$24,AND($C38="Bus",$D38="Nearly full"),$E38*'HU '!I$25,AND($C38="Electric bus",$D38="Almost empty"),$E38*'HU '!I$7,AND($C38="Electric bus",$D38="Average"),$E38*'HU '!I$8,AND($C38="Electric bus",$D38="Nearly full"),$E38*'HU '!I$9,AND($C38="Diesel bus",$D38="Almost empty"),$E38*'HU '!I$19,AND($C38="Diesel bus",$D38="Average"),$E38*'HU '!I$20,AND($C38="Diesel bus",$D38="Nearly full"),$E38*'HU '!I$21,AND($C38="Hybrid-electric bus",$D38="Almost empty"),$E38*'HU '!I$11,AND($C38="Hybrid-electric bus",$D38="Average"),$E38*'HU '!I$12,AND($C38="Hybrid-electric bus",$D38="Nearly full"),$E38*'HU '!I$13,AND($C38="Alternative fuel bus",$D38="Almost empty"),$E38*'HU '!I$15,AND($C38="Alternative fuel bus",$D38="Average"),$E38*'HU '!I$16,AND($C38="Alternative fuel bus",$D38="Nearly full"),$E38*'HU '!I$17,AND($C38="Metro, tram, urban light train",$D38="Almost empty"),$E38*'HU '!D$35,AND($C38="Metro, tram, urban light train",$D38="Average"),$E38*'HU '!D$36,AND($C38="Metro, tram, urban light train",$D38="Nearly full"),$E38*'HU '!D$37,AND($C38="Electric passenger train",$D38="Almost empty"),$E38*'HU '!D$39,AND($C38="Electric passenger train",$D38="Average"),$E38*'HU '!D$40,AND($C38="Electric passenger train",$D38="Nearly full"),$E38*'HU '!D$41,AND($C38="Diesel passenger train",$D38="Almost empty"),$E38*'HU '!D$47,AND($C38="Diesel passenger train",$D38="Average"),$E38*'HU '!D$48,AND($C38="Diesel passenger train",$D38="Nearly full"),$E38*'HU '!D$49,AND($C38="Walking"),$E38*0,AND($C38="Bike"),$E38*0,AND($C38="Plane - domestic flight"),$E38*'HU '!$C62,AND($C38="Plane - international - intra EU"),$E38*'HU '!$C64,AND($C38="Plane - international (extra EU)"),$E38*'HU '!$C66)</f>
        <v>#N/A</v>
      </c>
      <c r="H38" s="145"/>
      <c r="I38" s="148">
        <f t="shared" si="6"/>
        <v>0</v>
      </c>
      <c r="J38" s="146" t="e" cm="1">
        <f t="array" ref="J38">_xlfn.IFS(C38="Fuel car",C38*DATA!$C$17,C38="Electric car",C38*DATA!$F$16,C38="Hybrid car",I38*(0.5*DATA!$C$17+0.5*DATA!$F$16))</f>
        <v>#N/A</v>
      </c>
      <c r="L38" s="218"/>
      <c r="M38" s="219"/>
      <c r="N38" s="220"/>
    </row>
    <row r="39" spans="1:14" ht="14.5" customHeight="1" x14ac:dyDescent="0.2">
      <c r="A39" s="222"/>
      <c r="B39" s="30"/>
      <c r="C39" s="15"/>
      <c r="D39" s="15"/>
      <c r="E39" s="125"/>
      <c r="F39" s="128" t="e" cm="1">
        <f t="array" ref="F39">_xlfn.IFS(AND($C39="Fuel car",$D39=1),$E39*'HU '!C$7,AND($C39="Fuel car",$D39=2),$E39*'HU '!C$8,AND($C39="Fuel car",$D39=3),$E39*'HU '!C$9,AND($C39="Fuel car",$D39=4),$E39*'HU '!C$10,AND($C39="Fuel car",$D39=5),$E39*'HU '!C$11,AND($C39="Motorcycle",$D39=1),$E39*'HU '!C$13,AND($C39="Motorcycle",$D39=2),$E39*'HU '!C$14,AND($C39="Electric car",$D39=1),$E39*'HU '!C$16,AND($C39="Electric car",$D39=2),$E39*'HU '!C$17,AND($C39="Electric car",$D39=3),$E39*'HU '!C$18,AND($C39="Electric car",$D39=4),$E39*'HU '!C$19,AND($C39="Electric car",$D39=5),$E39*'HU '!C$20,AND($C39="Hybrid car",$D39=1),$E39*'HU '!C$22,AND($C39="Hybrid car",$D39=2),$E39*'HU '!C$23,AND($C39="Hybrid car",$D39=3),$E39*'HU '!C$24,AND($C39="Hybrid car",$D39=4),$E39*'HU '!C$25,AND($C39="Hybrid car",$D39=5),$E39*'HU '!C$26,AND($C39="Electric motorcycle",$D39=1),$E39*'HU '!C$28,AND($C39="Electric motorcycle",$D39=2),$E39*'HU '!C$29,AND($C39="Electric bike",$D39=1),$E39*'HU '!C$31,AND($C39="Electric scooter",$D39=1),$E39*'HU '!C$33,AND($C39="Bus",$D39="Almost empty"),$E39*'HU '!H$23,AND($C39="Bus",$D39="Average"),$E39*'HU '!H$24,AND($C39="Bus",$D39="Nearly full"),$E39*'HU '!H$25,AND($C39="Electric bus",$D39="Almost empty"),$E39*'HU '!H$7,AND($C39="Electric bus",$D39="Average"),$E39*'HU '!H$8,AND($C39="Electric bus",$D39="Nearly full"),$E39*'HU '!H$9,AND($C39="Diesel bus",$D39="Almost empty"),$E39*'HU '!H$19,AND($C39="Diesel bus",$D39="Average"),$E39*'HU '!H$20,AND($C39="Diesel bus",$D39="Nearly full"),$E39*'HU '!H$21,AND($C39="Hybrid-electric bus",$D39="Almost empty"),$E39*'HU '!H$11,AND($C39="Hybrid-electric bus",$D39="Average"),$E39*'HU '!H$12,AND($C39="Hybrid-electric bus",$D39="Nearly full"),$E39*'HU '!H$13,AND($C39="Alternative fuel bus",$D39="Almost empty"),$E39*'HU '!H$15,AND($C39="Alternative fuel bus",$D39="Average"),$E39*'HU '!H$16,AND($C39="Alternative fuel bus",$D39="Nearly full"),$E39*'HU '!H$17,AND($C39="Metro, tram, urban light train",$D39="Almost empty"),$E39*'HU '!C$35,AND($C39="Metro, tram, urban light train",$D39="Average"),$E39*'HU '!C$36,AND($C39="Metro, tram, urban light train",$D39="Nearly full"),$E39*'HU '!C$37,AND($C39="Electric passenger train",$D39="Almost empty"),$E39*'HU '!C$39,AND($C39="Electric passenger train",$D39="Average"),$E39*'HU '!C$40,AND($C39="Electric passenger train",$D39="Nearly full"),$E39*'HU '!C$41,AND($C39="Diesel passenger train",$D39="Almost empty"),$E39*'HU '!C$47,AND($C39="Diesel passenger train",$D39="Average"),$E39*'HU '!C$48,AND($C39="Diesel passenger train",$D39="Nearly full"),$E39*'HU '!C$49,AND($C39="Walking"),$E39*0,AND($C39="Bike"),$E39*0,AND($C39="Plane - domestic flight"),$E39*'HU '!$C63,AND($C39="Plane - international - intra EU"),$E39*'HU '!$C65,AND($C39="Plane - international (extra EU)"),$E39*'HU '!$C67)</f>
        <v>#N/A</v>
      </c>
      <c r="G39" s="31" t="e" cm="1">
        <f t="array" ref="G39">_xlfn.IFS(AND($C39="Fuel car",$D39=1),$E39*'HU '!D$7,AND($C39="Fuel car",$D39=2),$E39*'HU '!D$8,AND($C39="Fuel car",$D39=3),$E39*'HU '!D$9,AND($C39="Fuel car",$D39=4),$E39*'HU '!D$10,AND($C39="Fuel car",$D39=5),$E39*'HU '!D$11,AND($C39="Motorcycle",$D39=1),$E39*'HU '!D$13,AND($C39="Motorcycle",$D39=2),$E39*'HU '!D$14,AND($C39="Electric car",$D39=1),$E39*'HU '!D$16,AND($C39="Electric car",$D39=2),$E39*'HU '!D$17,AND($C39="Electric car",$D39=3),$E39*'HU '!D$18,AND($C39="Electric car",$D39=4),$E39*'HU '!D$19,AND($C39="Electric car",$D39=5),$E39*'HU '!D$20,AND($C39="Hybrid car",$D39=1),$E39*'HU '!D$22,AND($C39="Hybrid car",$D39=2),$E39*'HU '!D$23,AND($C39="Hybrid car",$D39=3),$E39*'HU '!D$24,AND($C39="Hybrid car",$D39=4),$E39*'HU '!D$25,AND($C39="Hybrid car",$D39=5),$E39*'HU '!D$26,AND($C39="Electric motorcycle",$D39=1),$E39*'HU '!D$28,AND($C39="Electric motorcycle",$D39=2),$E39*'HU '!D$29,AND($C39="Electric bike",$D39=1),$E39*'HU '!D$31,AND($C39="Electric scooter",$D39=1),$E39*'HU '!D$33,AND($C39="Bus",$D39="Almost empty"),$E39*'HU '!I$23,AND($C39="Bus",$D39="Average"),$E39*'HU '!I$24,AND($C39="Bus",$D39="Nearly full"),$E39*'HU '!I$25,AND($C39="Electric bus",$D39="Almost empty"),$E39*'HU '!I$7,AND($C39="Electric bus",$D39="Average"),$E39*'HU '!I$8,AND($C39="Electric bus",$D39="Nearly full"),$E39*'HU '!I$9,AND($C39="Diesel bus",$D39="Almost empty"),$E39*'HU '!I$19,AND($C39="Diesel bus",$D39="Average"),$E39*'HU '!I$20,AND($C39="Diesel bus",$D39="Nearly full"),$E39*'HU '!I$21,AND($C39="Hybrid-electric bus",$D39="Almost empty"),$E39*'HU '!I$11,AND($C39="Hybrid-electric bus",$D39="Average"),$E39*'HU '!I$12,AND($C39="Hybrid-electric bus",$D39="Nearly full"),$E39*'HU '!I$13,AND($C39="Alternative fuel bus",$D39="Almost empty"),$E39*'HU '!I$15,AND($C39="Alternative fuel bus",$D39="Average"),$E39*'HU '!I$16,AND($C39="Alternative fuel bus",$D39="Nearly full"),$E39*'HU '!I$17,AND($C39="Metro, tram, urban light train",$D39="Almost empty"),$E39*'HU '!D$35,AND($C39="Metro, tram, urban light train",$D39="Average"),$E39*'HU '!D$36,AND($C39="Metro, tram, urban light train",$D39="Nearly full"),$E39*'HU '!D$37,AND($C39="Electric passenger train",$D39="Almost empty"),$E39*'HU '!D$39,AND($C39="Electric passenger train",$D39="Average"),$E39*'HU '!D$40,AND($C39="Electric passenger train",$D39="Nearly full"),$E39*'HU '!D$41,AND($C39="Diesel passenger train",$D39="Almost empty"),$E39*'HU '!D$47,AND($C39="Diesel passenger train",$D39="Average"),$E39*'HU '!D$48,AND($C39="Diesel passenger train",$D39="Nearly full"),$E39*'HU '!D$49,AND($C39="Walking"),$E39*0,AND($C39="Bike"),$E39*0,AND($C39="Plane - domestic flight"),$E39*'HU '!$C63,AND($C39="Plane - international - intra EU"),$E39*'HU '!$C65,AND($C39="Plane - international (extra EU)"),$E39*'HU '!$C67)</f>
        <v>#N/A</v>
      </c>
      <c r="H39" s="145"/>
      <c r="I39" s="148">
        <f t="shared" si="6"/>
        <v>0</v>
      </c>
      <c r="J39" s="146" t="e" cm="1">
        <f t="array" ref="J39">_xlfn.IFS(C39="Fuel car",C39*DATA!$C$17,C39="Electric car",C39*DATA!$F$16,C39="Hybrid car",I39*(0.5*DATA!$C$17+0.5*DATA!$F$16))</f>
        <v>#N/A</v>
      </c>
      <c r="L39" s="226" t="s">
        <v>80</v>
      </c>
      <c r="M39" s="227"/>
      <c r="N39" s="228"/>
    </row>
    <row r="40" spans="1:14" x14ac:dyDescent="0.2">
      <c r="A40" s="222"/>
      <c r="B40" s="30"/>
      <c r="C40" s="15"/>
      <c r="D40" s="15"/>
      <c r="E40" s="125"/>
      <c r="F40" s="128" t="e" cm="1">
        <f t="array" ref="F40">_xlfn.IFS(AND($C40="Fuel car",$D40=1),$E40*'HU '!C$7,AND($C40="Fuel car",$D40=2),$E40*'HU '!C$8,AND($C40="Fuel car",$D40=3),$E40*'HU '!C$9,AND($C40="Fuel car",$D40=4),$E40*'HU '!C$10,AND($C40="Fuel car",$D40=5),$E40*'HU '!C$11,AND($C40="Motorcycle",$D40=1),$E40*'HU '!C$13,AND($C40="Motorcycle",$D40=2),$E40*'HU '!C$14,AND($C40="Electric car",$D40=1),$E40*'HU '!C$16,AND($C40="Electric car",$D40=2),$E40*'HU '!C$17,AND($C40="Electric car",$D40=3),$E40*'HU '!C$18,AND($C40="Electric car",$D40=4),$E40*'HU '!C$19,AND($C40="Electric car",$D40=5),$E40*'HU '!C$20,AND($C40="Hybrid car",$D40=1),$E40*'HU '!C$22,AND($C40="Hybrid car",$D40=2),$E40*'HU '!C$23,AND($C40="Hybrid car",$D40=3),$E40*'HU '!C$24,AND($C40="Hybrid car",$D40=4),$E40*'HU '!C$25,AND($C40="Hybrid car",$D40=5),$E40*'HU '!C$26,AND($C40="Electric motorcycle",$D40=1),$E40*'HU '!C$28,AND($C40="Electric motorcycle",$D40=2),$E40*'HU '!C$29,AND($C40="Electric bike",$D40=1),$E40*'HU '!C$31,AND($C40="Electric scooter",$D40=1),$E40*'HU '!C$33,AND($C40="Bus",$D40="Almost empty"),$E40*'HU '!H$23,AND($C40="Bus",$D40="Average"),$E40*'HU '!H$24,AND($C40="Bus",$D40="Nearly full"),$E40*'HU '!H$25,AND($C40="Electric bus",$D40="Almost empty"),$E40*'HU '!H$7,AND($C40="Electric bus",$D40="Average"),$E40*'HU '!H$8,AND($C40="Electric bus",$D40="Nearly full"),$E40*'HU '!H$9,AND($C40="Diesel bus",$D40="Almost empty"),$E40*'HU '!H$19,AND($C40="Diesel bus",$D40="Average"),$E40*'HU '!H$20,AND($C40="Diesel bus",$D40="Nearly full"),$E40*'HU '!H$21,AND($C40="Hybrid-electric bus",$D40="Almost empty"),$E40*'HU '!H$11,AND($C40="Hybrid-electric bus",$D40="Average"),$E40*'HU '!H$12,AND($C40="Hybrid-electric bus",$D40="Nearly full"),$E40*'HU '!H$13,AND($C40="Alternative fuel bus",$D40="Almost empty"),$E40*'HU '!H$15,AND($C40="Alternative fuel bus",$D40="Average"),$E40*'HU '!H$16,AND($C40="Alternative fuel bus",$D40="Nearly full"),$E40*'HU '!H$17,AND($C40="Metro, tram, urban light train",$D40="Almost empty"),$E40*'HU '!C$35,AND($C40="Metro, tram, urban light train",$D40="Average"),$E40*'HU '!C$36,AND($C40="Metro, tram, urban light train",$D40="Nearly full"),$E40*'HU '!C$37,AND($C40="Electric passenger train",$D40="Almost empty"),$E40*'HU '!C$39,AND($C40="Electric passenger train",$D40="Average"),$E40*'HU '!C$40,AND($C40="Electric passenger train",$D40="Nearly full"),$E40*'HU '!C$41,AND($C40="Diesel passenger train",$D40="Almost empty"),$E40*'HU '!C$47,AND($C40="Diesel passenger train",$D40="Average"),$E40*'HU '!C$48,AND($C40="Diesel passenger train",$D40="Nearly full"),$E40*'HU '!C$49,AND($C40="Walking"),$E40*0,AND($C40="Bike"),$E40*0,AND($C40="Plane - domestic flight"),$E40*'HU '!$C64,AND($C40="Plane - international - intra EU"),$E40*'HU '!$C66,AND($C40="Plane - international (extra EU)"),$E40*'HU '!$C68)</f>
        <v>#N/A</v>
      </c>
      <c r="G40" s="31" t="e" cm="1">
        <f t="array" ref="G40">_xlfn.IFS(AND($C40="Fuel car",$D40=1),$E40*'HU '!D$7,AND($C40="Fuel car",$D40=2),$E40*'HU '!D$8,AND($C40="Fuel car",$D40=3),$E40*'HU '!D$9,AND($C40="Fuel car",$D40=4),$E40*'HU '!D$10,AND($C40="Fuel car",$D40=5),$E40*'HU '!D$11,AND($C40="Motorcycle",$D40=1),$E40*'HU '!D$13,AND($C40="Motorcycle",$D40=2),$E40*'HU '!D$14,AND($C40="Electric car",$D40=1),$E40*'HU '!D$16,AND($C40="Electric car",$D40=2),$E40*'HU '!D$17,AND($C40="Electric car",$D40=3),$E40*'HU '!D$18,AND($C40="Electric car",$D40=4),$E40*'HU '!D$19,AND($C40="Electric car",$D40=5),$E40*'HU '!D$20,AND($C40="Hybrid car",$D40=1),$E40*'HU '!D$22,AND($C40="Hybrid car",$D40=2),$E40*'HU '!D$23,AND($C40="Hybrid car",$D40=3),$E40*'HU '!D$24,AND($C40="Hybrid car",$D40=4),$E40*'HU '!D$25,AND($C40="Hybrid car",$D40=5),$E40*'HU '!D$26,AND($C40="Electric motorcycle",$D40=1),$E40*'HU '!D$28,AND($C40="Electric motorcycle",$D40=2),$E40*'HU '!D$29,AND($C40="Electric bike",$D40=1),$E40*'HU '!D$31,AND($C40="Electric scooter",$D40=1),$E40*'HU '!D$33,AND($C40="Bus",$D40="Almost empty"),$E40*'HU '!I$23,AND($C40="Bus",$D40="Average"),$E40*'HU '!I$24,AND($C40="Bus",$D40="Nearly full"),$E40*'HU '!I$25,AND($C40="Electric bus",$D40="Almost empty"),$E40*'HU '!I$7,AND($C40="Electric bus",$D40="Average"),$E40*'HU '!I$8,AND($C40="Electric bus",$D40="Nearly full"),$E40*'HU '!I$9,AND($C40="Diesel bus",$D40="Almost empty"),$E40*'HU '!I$19,AND($C40="Diesel bus",$D40="Average"),$E40*'HU '!I$20,AND($C40="Diesel bus",$D40="Nearly full"),$E40*'HU '!I$21,AND($C40="Hybrid-electric bus",$D40="Almost empty"),$E40*'HU '!I$11,AND($C40="Hybrid-electric bus",$D40="Average"),$E40*'HU '!I$12,AND($C40="Hybrid-electric bus",$D40="Nearly full"),$E40*'HU '!I$13,AND($C40="Alternative fuel bus",$D40="Almost empty"),$E40*'HU '!I$15,AND($C40="Alternative fuel bus",$D40="Average"),$E40*'HU '!I$16,AND($C40="Alternative fuel bus",$D40="Nearly full"),$E40*'HU '!I$17,AND($C40="Metro, tram, urban light train",$D40="Almost empty"),$E40*'HU '!D$35,AND($C40="Metro, tram, urban light train",$D40="Average"),$E40*'HU '!D$36,AND($C40="Metro, tram, urban light train",$D40="Nearly full"),$E40*'HU '!D$37,AND($C40="Electric passenger train",$D40="Almost empty"),$E40*'HU '!D$39,AND($C40="Electric passenger train",$D40="Average"),$E40*'HU '!D$40,AND($C40="Electric passenger train",$D40="Nearly full"),$E40*'HU '!D$41,AND($C40="Diesel passenger train",$D40="Almost empty"),$E40*'HU '!D$47,AND($C40="Diesel passenger train",$D40="Average"),$E40*'HU '!D$48,AND($C40="Diesel passenger train",$D40="Nearly full"),$E40*'HU '!D$49,AND($C40="Walking"),$E40*0,AND($C40="Bike"),$E40*0,AND($C40="Plane - domestic flight"),$E40*'HU '!$C64,AND($C40="Plane - international - intra EU"),$E40*'HU '!$C66,AND($C40="Plane - international (extra EU)"),$E40*'HU '!$C68)</f>
        <v>#N/A</v>
      </c>
      <c r="H40" s="145"/>
      <c r="I40" s="148">
        <f t="shared" si="6"/>
        <v>0</v>
      </c>
      <c r="J40" s="146" t="e" cm="1">
        <f t="array" ref="J40">_xlfn.IFS(C40="Fuel car",C40*DATA!$C$17,C40="Electric car",C40*DATA!$F$16,C40="Hybrid car",I40*(0.5*DATA!$C$17+0.5*DATA!$F$16))</f>
        <v>#N/A</v>
      </c>
      <c r="L40" s="229"/>
      <c r="M40" s="230"/>
      <c r="N40" s="231"/>
    </row>
    <row r="41" spans="1:14" ht="14.5" customHeight="1" x14ac:dyDescent="0.2">
      <c r="A41" s="222"/>
      <c r="B41" s="30"/>
      <c r="C41" s="15"/>
      <c r="D41" s="15"/>
      <c r="E41" s="125"/>
      <c r="F41" s="128" t="e" cm="1">
        <f t="array" ref="F41">_xlfn.IFS(AND($C41="Fuel car",$D41=1),$E41*'HU '!C$7,AND($C41="Fuel car",$D41=2),$E41*'HU '!C$8,AND($C41="Fuel car",$D41=3),$E41*'HU '!C$9,AND($C41="Fuel car",$D41=4),$E41*'HU '!C$10,AND($C41="Fuel car",$D41=5),$E41*'HU '!C$11,AND($C41="Motorcycle",$D41=1),$E41*'HU '!C$13,AND($C41="Motorcycle",$D41=2),$E41*'HU '!C$14,AND($C41="Electric car",$D41=1),$E41*'HU '!C$16,AND($C41="Electric car",$D41=2),$E41*'HU '!C$17,AND($C41="Electric car",$D41=3),$E41*'HU '!C$18,AND($C41="Electric car",$D41=4),$E41*'HU '!C$19,AND($C41="Electric car",$D41=5),$E41*'HU '!C$20,AND($C41="Hybrid car",$D41=1),$E41*'HU '!C$22,AND($C41="Hybrid car",$D41=2),$E41*'HU '!C$23,AND($C41="Hybrid car",$D41=3),$E41*'HU '!C$24,AND($C41="Hybrid car",$D41=4),$E41*'HU '!C$25,AND($C41="Hybrid car",$D41=5),$E41*'HU '!C$26,AND($C41="Electric motorcycle",$D41=1),$E41*'HU '!C$28,AND($C41="Electric motorcycle",$D41=2),$E41*'HU '!C$29,AND($C41="Electric bike",$D41=1),$E41*'HU '!C$31,AND($C41="Electric scooter",$D41=1),$E41*'HU '!C$33,AND($C41="Bus",$D41="Almost empty"),$E41*'HU '!H$23,AND($C41="Bus",$D41="Average"),$E41*'HU '!H$24,AND($C41="Bus",$D41="Nearly full"),$E41*'HU '!H$25,AND($C41="Electric bus",$D41="Almost empty"),$E41*'HU '!H$7,AND($C41="Electric bus",$D41="Average"),$E41*'HU '!H$8,AND($C41="Electric bus",$D41="Nearly full"),$E41*'HU '!H$9,AND($C41="Diesel bus",$D41="Almost empty"),$E41*'HU '!H$19,AND($C41="Diesel bus",$D41="Average"),$E41*'HU '!H$20,AND($C41="Diesel bus",$D41="Nearly full"),$E41*'HU '!H$21,AND($C41="Hybrid-electric bus",$D41="Almost empty"),$E41*'HU '!H$11,AND($C41="Hybrid-electric bus",$D41="Average"),$E41*'HU '!H$12,AND($C41="Hybrid-electric bus",$D41="Nearly full"),$E41*'HU '!H$13,AND($C41="Alternative fuel bus",$D41="Almost empty"),$E41*'HU '!H$15,AND($C41="Alternative fuel bus",$D41="Average"),$E41*'HU '!H$16,AND($C41="Alternative fuel bus",$D41="Nearly full"),$E41*'HU '!H$17,AND($C41="Metro, tram, urban light train",$D41="Almost empty"),$E41*'HU '!C$35,AND($C41="Metro, tram, urban light train",$D41="Average"),$E41*'HU '!C$36,AND($C41="Metro, tram, urban light train",$D41="Nearly full"),$E41*'HU '!C$37,AND($C41="Electric passenger train",$D41="Almost empty"),$E41*'HU '!C$39,AND($C41="Electric passenger train",$D41="Average"),$E41*'HU '!C$40,AND($C41="Electric passenger train",$D41="Nearly full"),$E41*'HU '!C$41,AND($C41="Diesel passenger train",$D41="Almost empty"),$E41*'HU '!C$47,AND($C41="Diesel passenger train",$D41="Average"),$E41*'HU '!C$48,AND($C41="Diesel passenger train",$D41="Nearly full"),$E41*'HU '!C$49,AND($C41="Walking"),$E41*0,AND($C41="Bike"),$E41*0,AND($C41="Plane - domestic flight"),$E41*'HU '!$C65,AND($C41="Plane - international - intra EU"),$E41*'HU '!$C67,AND($C41="Plane - international (extra EU)"),$E41*'HU '!$C69)</f>
        <v>#N/A</v>
      </c>
      <c r="G41" s="31" t="e" cm="1">
        <f t="array" ref="G41">_xlfn.IFS(AND($C41="Fuel car",$D41=1),$E41*'HU '!D$7,AND($C41="Fuel car",$D41=2),$E41*'HU '!D$8,AND($C41="Fuel car",$D41=3),$E41*'HU '!D$9,AND($C41="Fuel car",$D41=4),$E41*'HU '!D$10,AND($C41="Fuel car",$D41=5),$E41*'HU '!D$11,AND($C41="Motorcycle",$D41=1),$E41*'HU '!D$13,AND($C41="Motorcycle",$D41=2),$E41*'HU '!D$14,AND($C41="Electric car",$D41=1),$E41*'HU '!D$16,AND($C41="Electric car",$D41=2),$E41*'HU '!D$17,AND($C41="Electric car",$D41=3),$E41*'HU '!D$18,AND($C41="Electric car",$D41=4),$E41*'HU '!D$19,AND($C41="Electric car",$D41=5),$E41*'HU '!D$20,AND($C41="Hybrid car",$D41=1),$E41*'HU '!D$22,AND($C41="Hybrid car",$D41=2),$E41*'HU '!D$23,AND($C41="Hybrid car",$D41=3),$E41*'HU '!D$24,AND($C41="Hybrid car",$D41=4),$E41*'HU '!D$25,AND($C41="Hybrid car",$D41=5),$E41*'HU '!D$26,AND($C41="Electric motorcycle",$D41=1),$E41*'HU '!D$28,AND($C41="Electric motorcycle",$D41=2),$E41*'HU '!D$29,AND($C41="Electric bike",$D41=1),$E41*'HU '!D$31,AND($C41="Electric scooter",$D41=1),$E41*'HU '!D$33,AND($C41="Bus",$D41="Almost empty"),$E41*'HU '!I$23,AND($C41="Bus",$D41="Average"),$E41*'HU '!I$24,AND($C41="Bus",$D41="Nearly full"),$E41*'HU '!I$25,AND($C41="Electric bus",$D41="Almost empty"),$E41*'HU '!I$7,AND($C41="Electric bus",$D41="Average"),$E41*'HU '!I$8,AND($C41="Electric bus",$D41="Nearly full"),$E41*'HU '!I$9,AND($C41="Diesel bus",$D41="Almost empty"),$E41*'HU '!I$19,AND($C41="Diesel bus",$D41="Average"),$E41*'HU '!I$20,AND($C41="Diesel bus",$D41="Nearly full"),$E41*'HU '!I$21,AND($C41="Hybrid-electric bus",$D41="Almost empty"),$E41*'HU '!I$11,AND($C41="Hybrid-electric bus",$D41="Average"),$E41*'HU '!I$12,AND($C41="Hybrid-electric bus",$D41="Nearly full"),$E41*'HU '!I$13,AND($C41="Alternative fuel bus",$D41="Almost empty"),$E41*'HU '!I$15,AND($C41="Alternative fuel bus",$D41="Average"),$E41*'HU '!I$16,AND($C41="Alternative fuel bus",$D41="Nearly full"),$E41*'HU '!I$17,AND($C41="Metro, tram, urban light train",$D41="Almost empty"),$E41*'HU '!D$35,AND($C41="Metro, tram, urban light train",$D41="Average"),$E41*'HU '!D$36,AND($C41="Metro, tram, urban light train",$D41="Nearly full"),$E41*'HU '!D$37,AND($C41="Electric passenger train",$D41="Almost empty"),$E41*'HU '!D$39,AND($C41="Electric passenger train",$D41="Average"),$E41*'HU '!D$40,AND($C41="Electric passenger train",$D41="Nearly full"),$E41*'HU '!D$41,AND($C41="Diesel passenger train",$D41="Almost empty"),$E41*'HU '!D$47,AND($C41="Diesel passenger train",$D41="Average"),$E41*'HU '!D$48,AND($C41="Diesel passenger train",$D41="Nearly full"),$E41*'HU '!D$49,AND($C41="Walking"),$E41*0,AND($C41="Bike"),$E41*0,AND($C41="Plane - domestic flight"),$E41*'HU '!$C65,AND($C41="Plane - international - intra EU"),$E41*'HU '!$C67,AND($C41="Plane - international (extra EU)"),$E41*'HU '!$C69)</f>
        <v>#N/A</v>
      </c>
      <c r="H41" s="145"/>
      <c r="I41" s="148">
        <f t="shared" si="6"/>
        <v>0</v>
      </c>
      <c r="J41" s="146" t="e" cm="1">
        <f t="array" ref="J41">_xlfn.IFS(C41="Fuel car",C41*DATA!$C$17,C41="Electric car",C41*DATA!$F$16,C41="Hybrid car",I41*(0.5*DATA!$C$17+0.5*DATA!$F$16))</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car",$D42=1),$E42*'HU '!C$7,AND($C42="Fuel car",$D42=2),$E42*'HU '!C$8,AND($C42="Fuel car",$D42=3),$E42*'HU '!C$9,AND($C42="Fuel car",$D42=4),$E42*'HU '!C$10,AND($C42="Fuel car",$D42=5),$E42*'HU '!C$11,AND($C42="Motorcycle",$D42=1),$E42*'HU '!C$13,AND($C42="Motorcycle",$D42=2),$E42*'HU '!C$14,AND($C42="Electric car",$D42=1),$E42*'HU '!C$16,AND($C42="Electric car",$D42=2),$E42*'HU '!C$17,AND($C42="Electric car",$D42=3),$E42*'HU '!C$18,AND($C42="Electric car",$D42=4),$E42*'HU '!C$19,AND($C42="Electric car",$D42=5),$E42*'HU '!C$20,AND($C42="Hybrid car",$D42=1),$E42*'HU '!C$22,AND($C42="Hybrid car",$D42=2),$E42*'HU '!C$23,AND($C42="Hybrid car",$D42=3),$E42*'HU '!C$24,AND($C42="Hybrid car",$D42=4),$E42*'HU '!C$25,AND($C42="Hybrid car",$D42=5),$E42*'HU '!C$26,AND($C42="Electric motorcycle",$D42=1),$E42*'HU '!C$28,AND($C42="Electric motorcycle",$D42=2),$E42*'HU '!C$29,AND($C42="Electric bike",$D42=1),$E42*'HU '!C$31,AND($C42="Electric scooter",$D42=1),$E42*'HU '!C$33,AND($C42="Bus",$D42="Almost empty"),$E42*'HU '!H$23,AND($C42="Bus",$D42="Average"),$E42*'HU '!H$24,AND($C42="Bus",$D42="Nearly full"),$E42*'HU '!H$25,AND($C42="Electric bus",$D42="Almost empty"),$E42*'HU '!H$7,AND($C42="Electric bus",$D42="Average"),$E42*'HU '!H$8,AND($C42="Electric bus",$D42="Nearly full"),$E42*'HU '!H$9,AND($C42="Diesel bus",$D42="Almost empty"),$E42*'HU '!H$19,AND($C42="Diesel bus",$D42="Average"),$E42*'HU '!H$20,AND($C42="Diesel bus",$D42="Nearly full"),$E42*'HU '!H$21,AND($C42="Hybrid-electric bus",$D42="Almost empty"),$E42*'HU '!H$11,AND($C42="Hybrid-electric bus",$D42="Average"),$E42*'HU '!H$12,AND($C42="Hybrid-electric bus",$D42="Nearly full"),$E42*'HU '!H$13,AND($C42="Alternative fuel bus",$D42="Almost empty"),$E42*'HU '!H$15,AND($C42="Alternative fuel bus",$D42="Average"),$E42*'HU '!H$16,AND($C42="Alternative fuel bus",$D42="Nearly full"),$E42*'HU '!H$17,AND($C42="Metro, tram, urban light train",$D42="Almost empty"),$E42*'HU '!C$35,AND($C42="Metro, tram, urban light train",$D42="Average"),$E42*'HU '!C$36,AND($C42="Metro, tram, urban light train",$D42="Nearly full"),$E42*'HU '!C$37,AND($C42="Electric passenger train",$D42="Almost empty"),$E42*'HU '!C$39,AND($C42="Electric passenger train",$D42="Average"),$E42*'HU '!C$40,AND($C42="Electric passenger train",$D42="Nearly full"),$E42*'HU '!C$41,AND($C42="Diesel passenger train",$D42="Almost empty"),$E42*'HU '!C$47,AND($C42="Diesel passenger train",$D42="Average"),$E42*'HU '!C$48,AND($C42="Diesel passenger train",$D42="Nearly full"),$E42*'HU '!C$49,AND($C42="Walking"),$E42*0,AND($C42="Bike"),$E42*0,AND($C42="Plane - domestic flight"),$E42*'HU '!$C66,AND($C42="Plane - international - intra EU"),$E42*'HU '!$C68,AND($C42="Plane - international (extra EU)"),$E42*'HU '!$C70)</f>
        <v>#N/A</v>
      </c>
      <c r="G42" s="31" t="e" cm="1">
        <f t="array" ref="G42">_xlfn.IFS(AND($C42="Fuel car",$D42=1),$E42*'HU '!D$7,AND($C42="Fuel car",$D42=2),$E42*'HU '!D$8,AND($C42="Fuel car",$D42=3),$E42*'HU '!D$9,AND($C42="Fuel car",$D42=4),$E42*'HU '!D$10,AND($C42="Fuel car",$D42=5),$E42*'HU '!D$11,AND($C42="Motorcycle",$D42=1),$E42*'HU '!D$13,AND($C42="Motorcycle",$D42=2),$E42*'HU '!D$14,AND($C42="Electric car",$D42=1),$E42*'HU '!D$16,AND($C42="Electric car",$D42=2),$E42*'HU '!D$17,AND($C42="Electric car",$D42=3),$E42*'HU '!D$18,AND($C42="Electric car",$D42=4),$E42*'HU '!D$19,AND($C42="Electric car",$D42=5),$E42*'HU '!D$20,AND($C42="Hybrid car",$D42=1),$E42*'HU '!D$22,AND($C42="Hybrid car",$D42=2),$E42*'HU '!D$23,AND($C42="Hybrid car",$D42=3),$E42*'HU '!D$24,AND($C42="Hybrid car",$D42=4),$E42*'HU '!D$25,AND($C42="Hybrid car",$D42=5),$E42*'HU '!D$26,AND($C42="Electric motorcycle",$D42=1),$E42*'HU '!D$28,AND($C42="Electric motorcycle",$D42=2),$E42*'HU '!D$29,AND($C42="Electric bike",$D42=1),$E42*'HU '!D$31,AND($C42="Electric scooter",$D42=1),$E42*'HU '!D$33,AND($C42="Bus",$D42="Almost empty"),$E42*'HU '!I$23,AND($C42="Bus",$D42="Average"),$E42*'HU '!I$24,AND($C42="Bus",$D42="Nearly full"),$E42*'HU '!I$25,AND($C42="Electric bus",$D42="Almost empty"),$E42*'HU '!I$7,AND($C42="Electric bus",$D42="Average"),$E42*'HU '!I$8,AND($C42="Electric bus",$D42="Nearly full"),$E42*'HU '!I$9,AND($C42="Diesel bus",$D42="Almost empty"),$E42*'HU '!I$19,AND($C42="Diesel bus",$D42="Average"),$E42*'HU '!I$20,AND($C42="Diesel bus",$D42="Nearly full"),$E42*'HU '!I$21,AND($C42="Hybrid-electric bus",$D42="Almost empty"),$E42*'HU '!I$11,AND($C42="Hybrid-electric bus",$D42="Average"),$E42*'HU '!I$12,AND($C42="Hybrid-electric bus",$D42="Nearly full"),$E42*'HU '!I$13,AND($C42="Alternative fuel bus",$D42="Almost empty"),$E42*'HU '!I$15,AND($C42="Alternative fuel bus",$D42="Average"),$E42*'HU '!I$16,AND($C42="Alternative fuel bus",$D42="Nearly full"),$E42*'HU '!I$17,AND($C42="Metro, tram, urban light train",$D42="Almost empty"),$E42*'HU '!D$35,AND($C42="Metro, tram, urban light train",$D42="Average"),$E42*'HU '!D$36,AND($C42="Metro, tram, urban light train",$D42="Nearly full"),$E42*'HU '!D$37,AND($C42="Electric passenger train",$D42="Almost empty"),$E42*'HU '!D$39,AND($C42="Electric passenger train",$D42="Average"),$E42*'HU '!D$40,AND($C42="Electric passenger train",$D42="Nearly full"),$E42*'HU '!D$41,AND($C42="Diesel passenger train",$D42="Almost empty"),$E42*'HU '!D$47,AND($C42="Diesel passenger train",$D42="Average"),$E42*'HU '!D$48,AND($C42="Diesel passenger train",$D42="Nearly full"),$E42*'HU '!D$49,AND($C42="Walking"),$E42*0,AND($C42="Bike"),$E42*0,AND($C42="Plane - domestic flight"),$E42*'HU '!$C66,AND($C42="Plane - international - intra EU"),$E42*'HU '!$C68,AND($C42="Plane - international (extra EU)"),$E42*'HU '!$C70)</f>
        <v>#N/A</v>
      </c>
      <c r="H42" s="145"/>
      <c r="I42" s="148">
        <f t="shared" si="6"/>
        <v>0</v>
      </c>
      <c r="J42" s="146" t="e" cm="1">
        <f t="array" ref="J42">_xlfn.IFS(C42="Fuel car",C42*DATA!$C$17,C42="Electric car",C42*DATA!$F$16,C42="Hybrid car",I42*(0.5*DATA!$C$17+0.5*DATA!$F$16))</f>
        <v>#N/A</v>
      </c>
      <c r="L42" s="235"/>
      <c r="M42" s="236"/>
      <c r="N42" s="237"/>
    </row>
    <row r="43" spans="1:14" ht="14.5" customHeight="1" thickBot="1" x14ac:dyDescent="0.25">
      <c r="A43" s="222"/>
      <c r="B43" s="30"/>
      <c r="C43" s="15"/>
      <c r="D43" s="15"/>
      <c r="E43" s="125"/>
      <c r="F43" s="128" t="e" cm="1">
        <f t="array" ref="F43">_xlfn.IFS(AND($C43="Fuel car",$D43=1),$E43*'HU '!C$7,AND($C43="Fuel car",$D43=2),$E43*'HU '!C$8,AND($C43="Fuel car",$D43=3),$E43*'HU '!C$9,AND($C43="Fuel car",$D43=4),$E43*'HU '!C$10,AND($C43="Fuel car",$D43=5),$E43*'HU '!C$11,AND($C43="Motorcycle",$D43=1),$E43*'HU '!C$13,AND($C43="Motorcycle",$D43=2),$E43*'HU '!C$14,AND($C43="Electric car",$D43=1),$E43*'HU '!C$16,AND($C43="Electric car",$D43=2),$E43*'HU '!C$17,AND($C43="Electric car",$D43=3),$E43*'HU '!C$18,AND($C43="Electric car",$D43=4),$E43*'HU '!C$19,AND($C43="Electric car",$D43=5),$E43*'HU '!C$20,AND($C43="Hybrid car",$D43=1),$E43*'HU '!C$22,AND($C43="Hybrid car",$D43=2),$E43*'HU '!C$23,AND($C43="Hybrid car",$D43=3),$E43*'HU '!C$24,AND($C43="Hybrid car",$D43=4),$E43*'HU '!C$25,AND($C43="Hybrid car",$D43=5),$E43*'HU '!C$26,AND($C43="Electric motorcycle",$D43=1),$E43*'HU '!C$28,AND($C43="Electric motorcycle",$D43=2),$E43*'HU '!C$29,AND($C43="Electric bike",$D43=1),$E43*'HU '!C$31,AND($C43="Electric scooter",$D43=1),$E43*'HU '!C$33,AND($C43="Bus",$D43="Almost empty"),$E43*'HU '!H$23,AND($C43="Bus",$D43="Average"),$E43*'HU '!H$24,AND($C43="Bus",$D43="Nearly full"),$E43*'HU '!H$25,AND($C43="Electric bus",$D43="Almost empty"),$E43*'HU '!H$7,AND($C43="Electric bus",$D43="Average"),$E43*'HU '!H$8,AND($C43="Electric bus",$D43="Nearly full"),$E43*'HU '!H$9,AND($C43="Diesel bus",$D43="Almost empty"),$E43*'HU '!H$19,AND($C43="Diesel bus",$D43="Average"),$E43*'HU '!H$20,AND($C43="Diesel bus",$D43="Nearly full"),$E43*'HU '!H$21,AND($C43="Hybrid-electric bus",$D43="Almost empty"),$E43*'HU '!H$11,AND($C43="Hybrid-electric bus",$D43="Average"),$E43*'HU '!H$12,AND($C43="Hybrid-electric bus",$D43="Nearly full"),$E43*'HU '!H$13,AND($C43="Alternative fuel bus",$D43="Almost empty"),$E43*'HU '!H$15,AND($C43="Alternative fuel bus",$D43="Average"),$E43*'HU '!H$16,AND($C43="Alternative fuel bus",$D43="Nearly full"),$E43*'HU '!H$17,AND($C43="Metro, tram, urban light train",$D43="Almost empty"),$E43*'HU '!C$35,AND($C43="Metro, tram, urban light train",$D43="Average"),$E43*'HU '!C$36,AND($C43="Metro, tram, urban light train",$D43="Nearly full"),$E43*'HU '!C$37,AND($C43="Electric passenger train",$D43="Almost empty"),$E43*'HU '!C$39,AND($C43="Electric passenger train",$D43="Average"),$E43*'HU '!C$40,AND($C43="Electric passenger train",$D43="Nearly full"),$E43*'HU '!C$41,AND($C43="Diesel passenger train",$D43="Almost empty"),$E43*'HU '!C$47,AND($C43="Diesel passenger train",$D43="Average"),$E43*'HU '!C$48,AND($C43="Diesel passenger train",$D43="Nearly full"),$E43*'HU '!C$49,AND($C43="Walking"),$E43*0,AND($C43="Bike"),$E43*0,AND($C43="Plane - domestic flight"),$E43*'HU '!$C67,AND($C43="Plane - international - intra EU"),$E43*'HU '!$C69,AND($C43="Plane - international (extra EU)"),$E43*'HU '!$C71)</f>
        <v>#N/A</v>
      </c>
      <c r="G43" s="31" t="e" cm="1">
        <f t="array" ref="G43">_xlfn.IFS(AND($C43="Fuel car",$D43=1),$E43*'HU '!D$7,AND($C43="Fuel car",$D43=2),$E43*'HU '!D$8,AND($C43="Fuel car",$D43=3),$E43*'HU '!D$9,AND($C43="Fuel car",$D43=4),$E43*'HU '!D$10,AND($C43="Fuel car",$D43=5),$E43*'HU '!D$11,AND($C43="Motorcycle",$D43=1),$E43*'HU '!D$13,AND($C43="Motorcycle",$D43=2),$E43*'HU '!D$14,AND($C43="Electric car",$D43=1),$E43*'HU '!D$16,AND($C43="Electric car",$D43=2),$E43*'HU '!D$17,AND($C43="Electric car",$D43=3),$E43*'HU '!D$18,AND($C43="Electric car",$D43=4),$E43*'HU '!D$19,AND($C43="Electric car",$D43=5),$E43*'HU '!D$20,AND($C43="Hybrid car",$D43=1),$E43*'HU '!D$22,AND($C43="Hybrid car",$D43=2),$E43*'HU '!D$23,AND($C43="Hybrid car",$D43=3),$E43*'HU '!D$24,AND($C43="Hybrid car",$D43=4),$E43*'HU '!D$25,AND($C43="Hybrid car",$D43=5),$E43*'HU '!D$26,AND($C43="Electric motorcycle",$D43=1),$E43*'HU '!D$28,AND($C43="Electric motorcycle",$D43=2),$E43*'HU '!D$29,AND($C43="Electric bike",$D43=1),$E43*'HU '!D$31,AND($C43="Electric scooter",$D43=1),$E43*'HU '!D$33,AND($C43="Bus",$D43="Almost empty"),$E43*'HU '!I$23,AND($C43="Bus",$D43="Average"),$E43*'HU '!I$24,AND($C43="Bus",$D43="Nearly full"),$E43*'HU '!I$25,AND($C43="Electric bus",$D43="Almost empty"),$E43*'HU '!I$7,AND($C43="Electric bus",$D43="Average"),$E43*'HU '!I$8,AND($C43="Electric bus",$D43="Nearly full"),$E43*'HU '!I$9,AND($C43="Diesel bus",$D43="Almost empty"),$E43*'HU '!I$19,AND($C43="Diesel bus",$D43="Average"),$E43*'HU '!I$20,AND($C43="Diesel bus",$D43="Nearly full"),$E43*'HU '!I$21,AND($C43="Hybrid-electric bus",$D43="Almost empty"),$E43*'HU '!I$11,AND($C43="Hybrid-electric bus",$D43="Average"),$E43*'HU '!I$12,AND($C43="Hybrid-electric bus",$D43="Nearly full"),$E43*'HU '!I$13,AND($C43="Alternative fuel bus",$D43="Almost empty"),$E43*'HU '!I$15,AND($C43="Alternative fuel bus",$D43="Average"),$E43*'HU '!I$16,AND($C43="Alternative fuel bus",$D43="Nearly full"),$E43*'HU '!I$17,AND($C43="Metro, tram, urban light train",$D43="Almost empty"),$E43*'HU '!D$35,AND($C43="Metro, tram, urban light train",$D43="Average"),$E43*'HU '!D$36,AND($C43="Metro, tram, urban light train",$D43="Nearly full"),$E43*'HU '!D$37,AND($C43="Electric passenger train",$D43="Almost empty"),$E43*'HU '!D$39,AND($C43="Electric passenger train",$D43="Average"),$E43*'HU '!D$40,AND($C43="Electric passenger train",$D43="Nearly full"),$E43*'HU '!D$41,AND($C43="Diesel passenger train",$D43="Almost empty"),$E43*'HU '!D$47,AND($C43="Diesel passenger train",$D43="Average"),$E43*'HU '!D$48,AND($C43="Diesel passenger train",$D43="Nearly full"),$E43*'HU '!D$49,AND($C43="Walking"),$E43*0,AND($C43="Bike"),$E43*0,AND($C43="Plane - domestic flight"),$E43*'HU '!$C67,AND($C43="Plane - international - intra EU"),$E43*'HU '!$C69,AND($C43="Plane - international (extra EU)"),$E43*'HU '!$C71)</f>
        <v>#N/A</v>
      </c>
      <c r="H43" s="109"/>
      <c r="I43" s="154">
        <f t="shared" si="6"/>
        <v>0</v>
      </c>
      <c r="J43" s="147" t="e" cm="1">
        <f t="array" ref="J43">_xlfn.IFS(C43="Fuel car",C43*DATA!$C$17,C43="Electric car",C43*DATA!$F$16,C43="Hybrid car",I43*(0.5*DATA!$C$17+0.5*DATA!$F$16))</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car",$D44=1),$E44*'HU '!C$7,AND($C44="Fuel car",$D44=2),$E44*'HU '!C$8,AND($C44="Fuel car",$D44=3),$E44*'HU '!C$9,AND($C44="Fuel car",$D44=4),$E44*'HU '!C$10,AND($C44="Fuel car",$D44=5),$E44*'HU '!C$11,AND($C44="Motorcycle",$D44=1),$E44*'HU '!C$13,AND($C44="Motorcycle",$D44=2),$E44*'HU '!C$14,AND($C44="Electric car",$D44=1),$E44*'HU '!C$16,AND($C44="Electric car",$D44=2),$E44*'HU '!C$17,AND($C44="Electric car",$D44=3),$E44*'HU '!C$18,AND($C44="Electric car",$D44=4),$E44*'HU '!C$19,AND($C44="Electric car",$D44=5),$E44*'HU '!C$20,AND($C44="Hybrid car",$D44=1),$E44*'HU '!C$22,AND($C44="Hybrid car",$D44=2),$E44*'HU '!C$23,AND($C44="Hybrid car",$D44=3),$E44*'HU '!C$24,AND($C44="Hybrid car",$D44=4),$E44*'HU '!C$25,AND($C44="Hybrid car",$D44=5),$E44*'HU '!C$26,AND($C44="Electric motorcycle",$D44=1),$E44*'HU '!C$28,AND($C44="Electric motorcycle",$D44=2),$E44*'HU '!C$29,AND($C44="Electric bike",$D44=1),$E44*'HU '!C$31,AND($C44="Electric scooter",$D44=1),$E44*'HU '!C$33,AND($C44="Bus",$D44="Almost empty"),$E44*'HU '!H$23,AND($C44="Bus",$D44="Average"),$E44*'HU '!H$24,AND($C44="Bus",$D44="Nearly full"),$E44*'HU '!H$25,AND($C44="Electric bus",$D44="Almost empty"),$E44*'HU '!H$7,AND($C44="Electric bus",$D44="Average"),$E44*'HU '!H$8,AND($C44="Electric bus",$D44="Nearly full"),$E44*'HU '!H$9,AND($C44="Diesel bus",$D44="Almost empty"),$E44*'HU '!H$19,AND($C44="Diesel bus",$D44="Average"),$E44*'HU '!H$20,AND($C44="Diesel bus",$D44="Nearly full"),$E44*'HU '!H$21,AND($C44="Hybrid-electric bus",$D44="Almost empty"),$E44*'HU '!H$11,AND($C44="Hybrid-electric bus",$D44="Average"),$E44*'HU '!H$12,AND($C44="Hybrid-electric bus",$D44="Nearly full"),$E44*'HU '!H$13,AND($C44="Alternative fuel bus",$D44="Almost empty"),$E44*'HU '!H$15,AND($C44="Alternative fuel bus",$D44="Average"),$E44*'HU '!H$16,AND($C44="Alternative fuel bus",$D44="Nearly full"),$E44*'HU '!H$17,AND($C44="Metro, tram, urban light train",$D44="Almost empty"),$E44*'HU '!C$35,AND($C44="Metro, tram, urban light train",$D44="Average"),$E44*'HU '!C$36,AND($C44="Metro, tram, urban light train",$D44="Nearly full"),$E44*'HU '!C$37,AND($C44="Electric passenger train",$D44="Almost empty"),$E44*'HU '!C$39,AND($C44="Electric passenger train",$D44="Average"),$E44*'HU '!C$40,AND($C44="Electric passenger train",$D44="Nearly full"),$E44*'HU '!C$41,AND($C44="Diesel passenger train",$D44="Almost empty"),$E44*'HU '!C$47,AND($C44="Diesel passenger train",$D44="Average"),$E44*'HU '!C$48,AND($C44="Diesel passenger train",$D44="Nearly full"),$E44*'HU '!C$49,AND($C44="Walking"),$E44*0,AND($C44="Bike"),$E44*0,AND($C44="Plane - domestic flight"),$E44*'HU '!$C68,AND($C44="Plane - international - intra EU"),$E44*'HU '!$C70,AND($C44="Plane - international (extra EU)"),$E44*'HU '!$C72)</f>
        <v>#N/A</v>
      </c>
      <c r="G44" s="31" t="e" cm="1">
        <f t="array" ref="G44">_xlfn.IFS(AND($C44="Fuel car",$D44=1),$E44*'HU '!D$7,AND($C44="Fuel car",$D44=2),$E44*'HU '!D$8,AND($C44="Fuel car",$D44=3),$E44*'HU '!D$9,AND($C44="Fuel car",$D44=4),$E44*'HU '!D$10,AND($C44="Fuel car",$D44=5),$E44*'HU '!D$11,AND($C44="Motorcycle",$D44=1),$E44*'HU '!D$13,AND($C44="Motorcycle",$D44=2),$E44*'HU '!D$14,AND($C44="Electric car",$D44=1),$E44*'HU '!D$16,AND($C44="Electric car",$D44=2),$E44*'HU '!D$17,AND($C44="Electric car",$D44=3),$E44*'HU '!D$18,AND($C44="Electric car",$D44=4),$E44*'HU '!D$19,AND($C44="Electric car",$D44=5),$E44*'HU '!D$20,AND($C44="Hybrid car",$D44=1),$E44*'HU '!D$22,AND($C44="Hybrid car",$D44=2),$E44*'HU '!D$23,AND($C44="Hybrid car",$D44=3),$E44*'HU '!D$24,AND($C44="Hybrid car",$D44=4),$E44*'HU '!D$25,AND($C44="Hybrid car",$D44=5),$E44*'HU '!D$26,AND($C44="Electric motorcycle",$D44=1),$E44*'HU '!D$28,AND($C44="Electric motorcycle",$D44=2),$E44*'HU '!D$29,AND($C44="Electric bike",$D44=1),$E44*'HU '!D$31,AND($C44="Electric scooter",$D44=1),$E44*'HU '!D$33,AND($C44="Bus",$D44="Almost empty"),$E44*'HU '!I$23,AND($C44="Bus",$D44="Average"),$E44*'HU '!I$24,AND($C44="Bus",$D44="Nearly full"),$E44*'HU '!I$25,AND($C44="Electric bus",$D44="Almost empty"),$E44*'HU '!I$7,AND($C44="Electric bus",$D44="Average"),$E44*'HU '!I$8,AND($C44="Electric bus",$D44="Nearly full"),$E44*'HU '!I$9,AND($C44="Diesel bus",$D44="Almost empty"),$E44*'HU '!I$19,AND($C44="Diesel bus",$D44="Average"),$E44*'HU '!I$20,AND($C44="Diesel bus",$D44="Nearly full"),$E44*'HU '!I$21,AND($C44="Hybrid-electric bus",$D44="Almost empty"),$E44*'HU '!I$11,AND($C44="Hybrid-electric bus",$D44="Average"),$E44*'HU '!I$12,AND($C44="Hybrid-electric bus",$D44="Nearly full"),$E44*'HU '!I$13,AND($C44="Alternative fuel bus",$D44="Almost empty"),$E44*'HU '!I$15,AND($C44="Alternative fuel bus",$D44="Average"),$E44*'HU '!I$16,AND($C44="Alternative fuel bus",$D44="Nearly full"),$E44*'HU '!I$17,AND($C44="Metro, tram, urban light train",$D44="Almost empty"),$E44*'HU '!D$35,AND($C44="Metro, tram, urban light train",$D44="Average"),$E44*'HU '!D$36,AND($C44="Metro, tram, urban light train",$D44="Nearly full"),$E44*'HU '!D$37,AND($C44="Electric passenger train",$D44="Almost empty"),$E44*'HU '!D$39,AND($C44="Electric passenger train",$D44="Average"),$E44*'HU '!D$40,AND($C44="Electric passenger train",$D44="Nearly full"),$E44*'HU '!D$41,AND($C44="Diesel passenger train",$D44="Almost empty"),$E44*'HU '!D$47,AND($C44="Diesel passenger train",$D44="Average"),$E44*'HU '!D$48,AND($C44="Diesel passenger train",$D44="Nearly full"),$E44*'HU '!D$49,AND($C44="Walking"),$E44*0,AND($C44="Bike"),$E44*0,AND($C44="Plane - domestic flight"),$E44*'HU '!$C68,AND($C44="Plane - international - intra EU"),$E44*'HU '!$C70,AND($C44="Plane - international (extra EU)"),$E44*'HU '!$C72)</f>
        <v>#N/A</v>
      </c>
      <c r="L44" s="218"/>
      <c r="M44" s="219"/>
      <c r="N44" s="220"/>
    </row>
    <row r="45" spans="1:14" ht="18.5" customHeight="1" x14ac:dyDescent="0.2">
      <c r="A45" s="222"/>
      <c r="B45" s="30"/>
      <c r="C45" s="15"/>
      <c r="D45" s="15"/>
      <c r="E45" s="125"/>
      <c r="F45" s="128" t="e" cm="1">
        <f t="array" ref="F45">_xlfn.IFS(AND($C45="Fuel car",$D45=1),$E45*'HU '!C$7,AND($C45="Fuel car",$D45=2),$E45*'HU '!C$8,AND($C45="Fuel car",$D45=3),$E45*'HU '!C$9,AND($C45="Fuel car",$D45=4),$E45*'HU '!C$10,AND($C45="Fuel car",$D45=5),$E45*'HU '!C$11,AND($C45="Motorcycle",$D45=1),$E45*'HU '!C$13,AND($C45="Motorcycle",$D45=2),$E45*'HU '!C$14,AND($C45="Electric car",$D45=1),$E45*'HU '!C$16,AND($C45="Electric car",$D45=2),$E45*'HU '!C$17,AND($C45="Electric car",$D45=3),$E45*'HU '!C$18,AND($C45="Electric car",$D45=4),$E45*'HU '!C$19,AND($C45="Electric car",$D45=5),$E45*'HU '!C$20,AND($C45="Hybrid car",$D45=1),$E45*'HU '!C$22,AND($C45="Hybrid car",$D45=2),$E45*'HU '!C$23,AND($C45="Hybrid car",$D45=3),$E45*'HU '!C$24,AND($C45="Hybrid car",$D45=4),$E45*'HU '!C$25,AND($C45="Hybrid car",$D45=5),$E45*'HU '!C$26,AND($C45="Electric motorcycle",$D45=1),$E45*'HU '!C$28,AND($C45="Electric motorcycle",$D45=2),$E45*'HU '!C$29,AND($C45="Electric bike",$D45=1),$E45*'HU '!C$31,AND($C45="Electric scooter",$D45=1),$E45*'HU '!C$33,AND($C45="Bus",$D45="Almost empty"),$E45*'HU '!H$23,AND($C45="Bus",$D45="Average"),$E45*'HU '!H$24,AND($C45="Bus",$D45="Nearly full"),$E45*'HU '!H$25,AND($C45="Electric bus",$D45="Almost empty"),$E45*'HU '!H$7,AND($C45="Electric bus",$D45="Average"),$E45*'HU '!H$8,AND($C45="Electric bus",$D45="Nearly full"),$E45*'HU '!H$9,AND($C45="Diesel bus",$D45="Almost empty"),$E45*'HU '!H$19,AND($C45="Diesel bus",$D45="Average"),$E45*'HU '!H$20,AND($C45="Diesel bus",$D45="Nearly full"),$E45*'HU '!H$21,AND($C45="Hybrid-electric bus",$D45="Almost empty"),$E45*'HU '!H$11,AND($C45="Hybrid-electric bus",$D45="Average"),$E45*'HU '!H$12,AND($C45="Hybrid-electric bus",$D45="Nearly full"),$E45*'HU '!H$13,AND($C45="Alternative fuel bus",$D45="Almost empty"),$E45*'HU '!H$15,AND($C45="Alternative fuel bus",$D45="Average"),$E45*'HU '!H$16,AND($C45="Alternative fuel bus",$D45="Nearly full"),$E45*'HU '!H$17,AND($C45="Metro, tram, urban light train",$D45="Almost empty"),$E45*'HU '!C$35,AND($C45="Metro, tram, urban light train",$D45="Average"),$E45*'HU '!C$36,AND($C45="Metro, tram, urban light train",$D45="Nearly full"),$E45*'HU '!C$37,AND($C45="Electric passenger train",$D45="Almost empty"),$E45*'HU '!C$39,AND($C45="Electric passenger train",$D45="Average"),$E45*'HU '!C$40,AND($C45="Electric passenger train",$D45="Nearly full"),$E45*'HU '!C$41,AND($C45="Diesel passenger train",$D45="Almost empty"),$E45*'HU '!C$47,AND($C45="Diesel passenger train",$D45="Average"),$E45*'HU '!C$48,AND($C45="Diesel passenger train",$D45="Nearly full"),$E45*'HU '!C$49,AND($C45="Walking"),$E45*0,AND($C45="Bike"),$E45*0,AND($C45="Plane - domestic flight"),$E45*'HU '!$C69,AND($C45="Plane - international - intra EU"),$E45*'HU '!$C71,AND($C45="Plane - international (extra EU)"),$E45*'HU '!$C73)</f>
        <v>#N/A</v>
      </c>
      <c r="G45" s="31" t="e" cm="1">
        <f t="array" ref="G45">_xlfn.IFS(AND($C45="Fuel car",$D45=1),$E45*'HU '!D$7,AND($C45="Fuel car",$D45=2),$E45*'HU '!D$8,AND($C45="Fuel car",$D45=3),$E45*'HU '!D$9,AND($C45="Fuel car",$D45=4),$E45*'HU '!D$10,AND($C45="Fuel car",$D45=5),$E45*'HU '!D$11,AND($C45="Motorcycle",$D45=1),$E45*'HU '!D$13,AND($C45="Motorcycle",$D45=2),$E45*'HU '!D$14,AND($C45="Electric car",$D45=1),$E45*'HU '!D$16,AND($C45="Electric car",$D45=2),$E45*'HU '!D$17,AND($C45="Electric car",$D45=3),$E45*'HU '!D$18,AND($C45="Electric car",$D45=4),$E45*'HU '!D$19,AND($C45="Electric car",$D45=5),$E45*'HU '!D$20,AND($C45="Hybrid car",$D45=1),$E45*'HU '!D$22,AND($C45="Hybrid car",$D45=2),$E45*'HU '!D$23,AND($C45="Hybrid car",$D45=3),$E45*'HU '!D$24,AND($C45="Hybrid car",$D45=4),$E45*'HU '!D$25,AND($C45="Hybrid car",$D45=5),$E45*'HU '!D$26,AND($C45="Electric motorcycle",$D45=1),$E45*'HU '!D$28,AND($C45="Electric motorcycle",$D45=2),$E45*'HU '!D$29,AND($C45="Electric bike",$D45=1),$E45*'HU '!D$31,AND($C45="Electric scooter",$D45=1),$E45*'HU '!D$33,AND($C45="Bus",$D45="Almost empty"),$E45*'HU '!I$23,AND($C45="Bus",$D45="Average"),$E45*'HU '!I$24,AND($C45="Bus",$D45="Nearly full"),$E45*'HU '!I$25,AND($C45="Electric bus",$D45="Almost empty"),$E45*'HU '!I$7,AND($C45="Electric bus",$D45="Average"),$E45*'HU '!I$8,AND($C45="Electric bus",$D45="Nearly full"),$E45*'HU '!I$9,AND($C45="Diesel bus",$D45="Almost empty"),$E45*'HU '!I$19,AND($C45="Diesel bus",$D45="Average"),$E45*'HU '!I$20,AND($C45="Diesel bus",$D45="Nearly full"),$E45*'HU '!I$21,AND($C45="Hybrid-electric bus",$D45="Almost empty"),$E45*'HU '!I$11,AND($C45="Hybrid-electric bus",$D45="Average"),$E45*'HU '!I$12,AND($C45="Hybrid-electric bus",$D45="Nearly full"),$E45*'HU '!I$13,AND($C45="Alternative fuel bus",$D45="Almost empty"),$E45*'HU '!I$15,AND($C45="Alternative fuel bus",$D45="Average"),$E45*'HU '!I$16,AND($C45="Alternative fuel bus",$D45="Nearly full"),$E45*'HU '!I$17,AND($C45="Metro, tram, urban light train",$D45="Almost empty"),$E45*'HU '!D$35,AND($C45="Metro, tram, urban light train",$D45="Average"),$E45*'HU '!D$36,AND($C45="Metro, tram, urban light train",$D45="Nearly full"),$E45*'HU '!D$37,AND($C45="Electric passenger train",$D45="Almost empty"),$E45*'HU '!D$39,AND($C45="Electric passenger train",$D45="Average"),$E45*'HU '!D$40,AND($C45="Electric passenger train",$D45="Nearly full"),$E45*'HU '!D$41,AND($C45="Diesel passenger train",$D45="Almost empty"),$E45*'HU '!D$47,AND($C45="Diesel passenger train",$D45="Average"),$E45*'HU '!D$48,AND($C45="Diesel passenger train",$D45="Nearly full"),$E45*'HU '!D$49,AND($C45="Walking"),$E45*0,AND($C45="Bike"),$E45*0,AND($C45="Plane - domestic flight"),$E45*'HU '!$C69,AND($C45="Plane - international - intra EU"),$E45*'HU '!$C71,AND($C45="Plane - international (extra EU)"),$E45*'HU '!$C73)</f>
        <v>#N/A</v>
      </c>
      <c r="L45" s="198" t="s">
        <v>256</v>
      </c>
      <c r="M45" s="199"/>
      <c r="N45" s="200"/>
    </row>
    <row r="46" spans="1:14" ht="16" thickBot="1" x14ac:dyDescent="0.25">
      <c r="A46" s="222"/>
      <c r="B46" s="30"/>
      <c r="C46" s="15"/>
      <c r="D46" s="15"/>
      <c r="E46" s="125"/>
      <c r="F46" s="128" t="e" cm="1">
        <f t="array" ref="F46">_xlfn.IFS(AND($C46="Fuel car",$D46=1),$E46*'HU '!C$7,AND($C46="Fuel car",$D46=2),$E46*'HU '!C$8,AND($C46="Fuel car",$D46=3),$E46*'HU '!C$9,AND($C46="Fuel car",$D46=4),$E46*'HU '!C$10,AND($C46="Fuel car",$D46=5),$E46*'HU '!C$11,AND($C46="Motorcycle",$D46=1),$E46*'HU '!C$13,AND($C46="Motorcycle",$D46=2),$E46*'HU '!C$14,AND($C46="Electric car",$D46=1),$E46*'HU '!C$16,AND($C46="Electric car",$D46=2),$E46*'HU '!C$17,AND($C46="Electric car",$D46=3),$E46*'HU '!C$18,AND($C46="Electric car",$D46=4),$E46*'HU '!C$19,AND($C46="Electric car",$D46=5),$E46*'HU '!C$20,AND($C46="Hybrid car",$D46=1),$E46*'HU '!C$22,AND($C46="Hybrid car",$D46=2),$E46*'HU '!C$23,AND($C46="Hybrid car",$D46=3),$E46*'HU '!C$24,AND($C46="Hybrid car",$D46=4),$E46*'HU '!C$25,AND($C46="Hybrid car",$D46=5),$E46*'HU '!C$26,AND($C46="Electric motorcycle",$D46=1),$E46*'HU '!C$28,AND($C46="Electric motorcycle",$D46=2),$E46*'HU '!C$29,AND($C46="Electric bike",$D46=1),$E46*'HU '!C$31,AND($C46="Electric scooter",$D46=1),$E46*'HU '!C$33,AND($C46="Bus",$D46="Almost empty"),$E46*'HU '!H$23,AND($C46="Bus",$D46="Average"),$E46*'HU '!H$24,AND($C46="Bus",$D46="Nearly full"),$E46*'HU '!H$25,AND($C46="Electric bus",$D46="Almost empty"),$E46*'HU '!H$7,AND($C46="Electric bus",$D46="Average"),$E46*'HU '!H$8,AND($C46="Electric bus",$D46="Nearly full"),$E46*'HU '!H$9,AND($C46="Diesel bus",$D46="Almost empty"),$E46*'HU '!H$19,AND($C46="Diesel bus",$D46="Average"),$E46*'HU '!H$20,AND($C46="Diesel bus",$D46="Nearly full"),$E46*'HU '!H$21,AND($C46="Hybrid-electric bus",$D46="Almost empty"),$E46*'HU '!H$11,AND($C46="Hybrid-electric bus",$D46="Average"),$E46*'HU '!H$12,AND($C46="Hybrid-electric bus",$D46="Nearly full"),$E46*'HU '!H$13,AND($C46="Alternative fuel bus",$D46="Almost empty"),$E46*'HU '!H$15,AND($C46="Alternative fuel bus",$D46="Average"),$E46*'HU '!H$16,AND($C46="Alternative fuel bus",$D46="Nearly full"),$E46*'HU '!H$17,AND($C46="Metro, tram, urban light train",$D46="Almost empty"),$E46*'HU '!C$35,AND($C46="Metro, tram, urban light train",$D46="Average"),$E46*'HU '!C$36,AND($C46="Metro, tram, urban light train",$D46="Nearly full"),$E46*'HU '!C$37,AND($C46="Electric passenger train",$D46="Almost empty"),$E46*'HU '!C$39,AND($C46="Electric passenger train",$D46="Average"),$E46*'HU '!C$40,AND($C46="Electric passenger train",$D46="Nearly full"),$E46*'HU '!C$41,AND($C46="Diesel passenger train",$D46="Almost empty"),$E46*'HU '!C$47,AND($C46="Diesel passenger train",$D46="Average"),$E46*'HU '!C$48,AND($C46="Diesel passenger train",$D46="Nearly full"),$E46*'HU '!C$49,AND($C46="Walking"),$E46*0,AND($C46="Bike"),$E46*0,AND($C46="Plane - domestic flight"),$E46*'HU '!$C70,AND($C46="Plane - international - intra EU"),$E46*'HU '!$C72,AND($C46="Plane - international (extra EU)"),$E46*'HU '!$C74)</f>
        <v>#N/A</v>
      </c>
      <c r="G46" s="31" t="e" cm="1">
        <f t="array" ref="G46">_xlfn.IFS(AND($C46="Fuel car",$D46=1),$E46*'HU '!D$7,AND($C46="Fuel car",$D46=2),$E46*'HU '!D$8,AND($C46="Fuel car",$D46=3),$E46*'HU '!D$9,AND($C46="Fuel car",$D46=4),$E46*'HU '!D$10,AND($C46="Fuel car",$D46=5),$E46*'HU '!D$11,AND($C46="Motorcycle",$D46=1),$E46*'HU '!D$13,AND($C46="Motorcycle",$D46=2),$E46*'HU '!D$14,AND($C46="Electric car",$D46=1),$E46*'HU '!D$16,AND($C46="Electric car",$D46=2),$E46*'HU '!D$17,AND($C46="Electric car",$D46=3),$E46*'HU '!D$18,AND($C46="Electric car",$D46=4),$E46*'HU '!D$19,AND($C46="Electric car",$D46=5),$E46*'HU '!D$20,AND($C46="Hybrid car",$D46=1),$E46*'HU '!D$22,AND($C46="Hybrid car",$D46=2),$E46*'HU '!D$23,AND($C46="Hybrid car",$D46=3),$E46*'HU '!D$24,AND($C46="Hybrid car",$D46=4),$E46*'HU '!D$25,AND($C46="Hybrid car",$D46=5),$E46*'HU '!D$26,AND($C46="Electric motorcycle",$D46=1),$E46*'HU '!D$28,AND($C46="Electric motorcycle",$D46=2),$E46*'HU '!D$29,AND($C46="Electric bike",$D46=1),$E46*'HU '!D$31,AND($C46="Electric scooter",$D46=1),$E46*'HU '!D$33,AND($C46="Bus",$D46="Almost empty"),$E46*'HU '!I$23,AND($C46="Bus",$D46="Average"),$E46*'HU '!I$24,AND($C46="Bus",$D46="Nearly full"),$E46*'HU '!I$25,AND($C46="Electric bus",$D46="Almost empty"),$E46*'HU '!I$7,AND($C46="Electric bus",$D46="Average"),$E46*'HU '!I$8,AND($C46="Electric bus",$D46="Nearly full"),$E46*'HU '!I$9,AND($C46="Diesel bus",$D46="Almost empty"),$E46*'HU '!I$19,AND($C46="Diesel bus",$D46="Average"),$E46*'HU '!I$20,AND($C46="Diesel bus",$D46="Nearly full"),$E46*'HU '!I$21,AND($C46="Hybrid-electric bus",$D46="Almost empty"),$E46*'HU '!I$11,AND($C46="Hybrid-electric bus",$D46="Average"),$E46*'HU '!I$12,AND($C46="Hybrid-electric bus",$D46="Nearly full"),$E46*'HU '!I$13,AND($C46="Alternative fuel bus",$D46="Almost empty"),$E46*'HU '!I$15,AND($C46="Alternative fuel bus",$D46="Average"),$E46*'HU '!I$16,AND($C46="Alternative fuel bus",$D46="Nearly full"),$E46*'HU '!I$17,AND($C46="Metro, tram, urban light train",$D46="Almost empty"),$E46*'HU '!D$35,AND($C46="Metro, tram, urban light train",$D46="Average"),$E46*'HU '!D$36,AND($C46="Metro, tram, urban light train",$D46="Nearly full"),$E46*'HU '!D$37,AND($C46="Electric passenger train",$D46="Almost empty"),$E46*'HU '!D$39,AND($C46="Electric passenger train",$D46="Average"),$E46*'HU '!D$40,AND($C46="Electric passenger train",$D46="Nearly full"),$E46*'HU '!D$41,AND($C46="Diesel passenger train",$D46="Almost empty"),$E46*'HU '!D$47,AND($C46="Diesel passenger train",$D46="Average"),$E46*'HU '!D$48,AND($C46="Diesel passenger train",$D46="Nearly full"),$E46*'HU '!D$49,AND($C46="Walking"),$E46*0,AND($C46="Bike"),$E46*0,AND($C46="Plane - domestic flight"),$E46*'HU '!$C70,AND($C46="Plane - international - intra EU"),$E46*'HU '!$C72,AND($C46="Plane - international (extra EU)"),$E46*'HU '!$C74)</f>
        <v>#N/A</v>
      </c>
      <c r="L46" s="246"/>
      <c r="M46" s="247"/>
      <c r="N46" s="248"/>
    </row>
    <row r="47" spans="1:14" ht="20" thickBot="1" x14ac:dyDescent="0.25">
      <c r="A47" s="222"/>
      <c r="B47" s="30"/>
      <c r="C47" s="15"/>
      <c r="D47" s="15"/>
      <c r="E47" s="125"/>
      <c r="F47" s="128" t="e" cm="1">
        <f t="array" ref="F47">_xlfn.IFS(AND($C47="Fuel car",$D47=1),$E47*'HU '!C$7,AND($C47="Fuel car",$D47=2),$E47*'HU '!C$8,AND($C47="Fuel car",$D47=3),$E47*'HU '!C$9,AND($C47="Fuel car",$D47=4),$E47*'HU '!C$10,AND($C47="Fuel car",$D47=5),$E47*'HU '!C$11,AND($C47="Motorcycle",$D47=1),$E47*'HU '!C$13,AND($C47="Motorcycle",$D47=2),$E47*'HU '!C$14,AND($C47="Electric car",$D47=1),$E47*'HU '!C$16,AND($C47="Electric car",$D47=2),$E47*'HU '!C$17,AND($C47="Electric car",$D47=3),$E47*'HU '!C$18,AND($C47="Electric car",$D47=4),$E47*'HU '!C$19,AND($C47="Electric car",$D47=5),$E47*'HU '!C$20,AND($C47="Hybrid car",$D47=1),$E47*'HU '!C$22,AND($C47="Hybrid car",$D47=2),$E47*'HU '!C$23,AND($C47="Hybrid car",$D47=3),$E47*'HU '!C$24,AND($C47="Hybrid car",$D47=4),$E47*'HU '!C$25,AND($C47="Hybrid car",$D47=5),$E47*'HU '!C$26,AND($C47="Electric motorcycle",$D47=1),$E47*'HU '!C$28,AND($C47="Electric motorcycle",$D47=2),$E47*'HU '!C$29,AND($C47="Electric bike",$D47=1),$E47*'HU '!C$31,AND($C47="Electric scooter",$D47=1),$E47*'HU '!C$33,AND($C47="Bus",$D47="Almost empty"),$E47*'HU '!H$23,AND($C47="Bus",$D47="Average"),$E47*'HU '!H$24,AND($C47="Bus",$D47="Nearly full"),$E47*'HU '!H$25,AND($C47="Electric bus",$D47="Almost empty"),$E47*'HU '!H$7,AND($C47="Electric bus",$D47="Average"),$E47*'HU '!H$8,AND($C47="Electric bus",$D47="Nearly full"),$E47*'HU '!H$9,AND($C47="Diesel bus",$D47="Almost empty"),$E47*'HU '!H$19,AND($C47="Diesel bus",$D47="Average"),$E47*'HU '!H$20,AND($C47="Diesel bus",$D47="Nearly full"),$E47*'HU '!H$21,AND($C47="Hybrid-electric bus",$D47="Almost empty"),$E47*'HU '!H$11,AND($C47="Hybrid-electric bus",$D47="Average"),$E47*'HU '!H$12,AND($C47="Hybrid-electric bus",$D47="Nearly full"),$E47*'HU '!H$13,AND($C47="Alternative fuel bus",$D47="Almost empty"),$E47*'HU '!H$15,AND($C47="Alternative fuel bus",$D47="Average"),$E47*'HU '!H$16,AND($C47="Alternative fuel bus",$D47="Nearly full"),$E47*'HU '!H$17,AND($C47="Metro, tram, urban light train",$D47="Almost empty"),$E47*'HU '!C$35,AND($C47="Metro, tram, urban light train",$D47="Average"),$E47*'HU '!C$36,AND($C47="Metro, tram, urban light train",$D47="Nearly full"),$E47*'HU '!C$37,AND($C47="Electric passenger train",$D47="Almost empty"),$E47*'HU '!C$39,AND($C47="Electric passenger train",$D47="Average"),$E47*'HU '!C$40,AND($C47="Electric passenger train",$D47="Nearly full"),$E47*'HU '!C$41,AND($C47="Diesel passenger train",$D47="Almost empty"),$E47*'HU '!C$47,AND($C47="Diesel passenger train",$D47="Average"),$E47*'HU '!C$48,AND($C47="Diesel passenger train",$D47="Nearly full"),$E47*'HU '!C$49,AND($C47="Walking"),$E47*0,AND($C47="Bike"),$E47*0,AND($C47="Plane - domestic flight"),$E47*'HU '!$C71,AND($C47="Plane - international - intra EU"),$E47*'HU '!$C73,AND($C47="Plane - international (extra EU)"),$E47*'HU '!$C75)</f>
        <v>#N/A</v>
      </c>
      <c r="G47" s="31" t="e" cm="1">
        <f t="array" ref="G47">_xlfn.IFS(AND($C47="Fuel car",$D47=1),$E47*'HU '!D$7,AND($C47="Fuel car",$D47=2),$E47*'HU '!D$8,AND($C47="Fuel car",$D47=3),$E47*'HU '!D$9,AND($C47="Fuel car",$D47=4),$E47*'HU '!D$10,AND($C47="Fuel car",$D47=5),$E47*'HU '!D$11,AND($C47="Motorcycle",$D47=1),$E47*'HU '!D$13,AND($C47="Motorcycle",$D47=2),$E47*'HU '!D$14,AND($C47="Electric car",$D47=1),$E47*'HU '!D$16,AND($C47="Electric car",$D47=2),$E47*'HU '!D$17,AND($C47="Electric car",$D47=3),$E47*'HU '!D$18,AND($C47="Electric car",$D47=4),$E47*'HU '!D$19,AND($C47="Electric car",$D47=5),$E47*'HU '!D$20,AND($C47="Hybrid car",$D47=1),$E47*'HU '!D$22,AND($C47="Hybrid car",$D47=2),$E47*'HU '!D$23,AND($C47="Hybrid car",$D47=3),$E47*'HU '!D$24,AND($C47="Hybrid car",$D47=4),$E47*'HU '!D$25,AND($C47="Hybrid car",$D47=5),$E47*'HU '!D$26,AND($C47="Electric motorcycle",$D47=1),$E47*'HU '!D$28,AND($C47="Electric motorcycle",$D47=2),$E47*'HU '!D$29,AND($C47="Electric bike",$D47=1),$E47*'HU '!D$31,AND($C47="Electric scooter",$D47=1),$E47*'HU '!D$33,AND($C47="Bus",$D47="Almost empty"),$E47*'HU '!I$23,AND($C47="Bus",$D47="Average"),$E47*'HU '!I$24,AND($C47="Bus",$D47="Nearly full"),$E47*'HU '!I$25,AND($C47="Electric bus",$D47="Almost empty"),$E47*'HU '!I$7,AND($C47="Electric bus",$D47="Average"),$E47*'HU '!I$8,AND($C47="Electric bus",$D47="Nearly full"),$E47*'HU '!I$9,AND($C47="Diesel bus",$D47="Almost empty"),$E47*'HU '!I$19,AND($C47="Diesel bus",$D47="Average"),$E47*'HU '!I$20,AND($C47="Diesel bus",$D47="Nearly full"),$E47*'HU '!I$21,AND($C47="Hybrid-electric bus",$D47="Almost empty"),$E47*'HU '!I$11,AND($C47="Hybrid-electric bus",$D47="Average"),$E47*'HU '!I$12,AND($C47="Hybrid-electric bus",$D47="Nearly full"),$E47*'HU '!I$13,AND($C47="Alternative fuel bus",$D47="Almost empty"),$E47*'HU '!I$15,AND($C47="Alternative fuel bus",$D47="Average"),$E47*'HU '!I$16,AND($C47="Alternative fuel bus",$D47="Nearly full"),$E47*'HU '!I$17,AND($C47="Metro, tram, urban light train",$D47="Almost empty"),$E47*'HU '!D$35,AND($C47="Metro, tram, urban light train",$D47="Average"),$E47*'HU '!D$36,AND($C47="Metro, tram, urban light train",$D47="Nearly full"),$E47*'HU '!D$37,AND($C47="Electric passenger train",$D47="Almost empty"),$E47*'HU '!D$39,AND($C47="Electric passenger train",$D47="Average"),$E47*'HU '!D$40,AND($C47="Electric passenger train",$D47="Nearly full"),$E47*'HU '!D$41,AND($C47="Diesel passenger train",$D47="Almost empty"),$E47*'HU '!D$47,AND($C47="Diesel passenger train",$D47="Average"),$E47*'HU '!D$48,AND($C47="Diesel passenger train",$D47="Nearly full"),$E47*'HU '!D$49,AND($C47="Walking"),$E47*0,AND($C47="Bike"),$E47*0,AND($C47="Plane - domestic flight"),$E47*'HU '!$C71,AND($C47="Plane - international - intra EU"),$E47*'HU '!$C73,AND($C47="Plane - international (extra EU)"),$E47*'HU '!$C75)</f>
        <v>#N/A</v>
      </c>
      <c r="L47" s="238" t="s">
        <v>56</v>
      </c>
      <c r="M47" s="239"/>
      <c r="N47" s="240"/>
    </row>
    <row r="48" spans="1:14" ht="16" thickBot="1" x14ac:dyDescent="0.25">
      <c r="A48" s="222"/>
      <c r="B48" s="30"/>
      <c r="C48" s="15"/>
      <c r="D48" s="15"/>
      <c r="E48" s="125"/>
      <c r="F48" s="128" t="e" cm="1">
        <f t="array" ref="F48">_xlfn.IFS(AND($C48="Fuel car",$D48=1),$E48*'HU '!C$7,AND($C48="Fuel car",$D48=2),$E48*'HU '!C$8,AND($C48="Fuel car",$D48=3),$E48*'HU '!C$9,AND($C48="Fuel car",$D48=4),$E48*'HU '!C$10,AND($C48="Fuel car",$D48=5),$E48*'HU '!C$11,AND($C48="Motorcycle",$D48=1),$E48*'HU '!C$13,AND($C48="Motorcycle",$D48=2),$E48*'HU '!C$14,AND($C48="Electric car",$D48=1),$E48*'HU '!C$16,AND($C48="Electric car",$D48=2),$E48*'HU '!C$17,AND($C48="Electric car",$D48=3),$E48*'HU '!C$18,AND($C48="Electric car",$D48=4),$E48*'HU '!C$19,AND($C48="Electric car",$D48=5),$E48*'HU '!C$20,AND($C48="Hybrid car",$D48=1),$E48*'HU '!C$22,AND($C48="Hybrid car",$D48=2),$E48*'HU '!C$23,AND($C48="Hybrid car",$D48=3),$E48*'HU '!C$24,AND($C48="Hybrid car",$D48=4),$E48*'HU '!C$25,AND($C48="Hybrid car",$D48=5),$E48*'HU '!C$26,AND($C48="Electric motorcycle",$D48=1),$E48*'HU '!C$28,AND($C48="Electric motorcycle",$D48=2),$E48*'HU '!C$29,AND($C48="Electric bike",$D48=1),$E48*'HU '!C$31,AND($C48="Electric scooter",$D48=1),$E48*'HU '!C$33,AND($C48="Bus",$D48="Almost empty"),$E48*'HU '!H$23,AND($C48="Bus",$D48="Average"),$E48*'HU '!H$24,AND($C48="Bus",$D48="Nearly full"),$E48*'HU '!H$25,AND($C48="Electric bus",$D48="Almost empty"),$E48*'HU '!H$7,AND($C48="Electric bus",$D48="Average"),$E48*'HU '!H$8,AND($C48="Electric bus",$D48="Nearly full"),$E48*'HU '!H$9,AND($C48="Diesel bus",$D48="Almost empty"),$E48*'HU '!H$19,AND($C48="Diesel bus",$D48="Average"),$E48*'HU '!H$20,AND($C48="Diesel bus",$D48="Nearly full"),$E48*'HU '!H$21,AND($C48="Hybrid-electric bus",$D48="Almost empty"),$E48*'HU '!H$11,AND($C48="Hybrid-electric bus",$D48="Average"),$E48*'HU '!H$12,AND($C48="Hybrid-electric bus",$D48="Nearly full"),$E48*'HU '!H$13,AND($C48="Alternative fuel bus",$D48="Almost empty"),$E48*'HU '!H$15,AND($C48="Alternative fuel bus",$D48="Average"),$E48*'HU '!H$16,AND($C48="Alternative fuel bus",$D48="Nearly full"),$E48*'HU '!H$17,AND($C48="Metro, tram, urban light train",$D48="Almost empty"),$E48*'HU '!C$35,AND($C48="Metro, tram, urban light train",$D48="Average"),$E48*'HU '!C$36,AND($C48="Metro, tram, urban light train",$D48="Nearly full"),$E48*'HU '!C$37,AND($C48="Electric passenger train",$D48="Almost empty"),$E48*'HU '!C$39,AND($C48="Electric passenger train",$D48="Average"),$E48*'HU '!C$40,AND($C48="Electric passenger train",$D48="Nearly full"),$E48*'HU '!C$41,AND($C48="Diesel passenger train",$D48="Almost empty"),$E48*'HU '!C$47,AND($C48="Diesel passenger train",$D48="Average"),$E48*'HU '!C$48,AND($C48="Diesel passenger train",$D48="Nearly full"),$E48*'HU '!C$49,AND($C48="Walking"),$E48*0,AND($C48="Bike"),$E48*0,AND($C48="Plane - domestic flight"),$E48*'HU '!$C72,AND($C48="Plane - international - intra EU"),$E48*'HU '!$C74,AND($C48="Plane - international (extra EU)"),$E48*'HU '!$C76)</f>
        <v>#N/A</v>
      </c>
      <c r="G48" s="31" t="e" cm="1">
        <f t="array" ref="G48">_xlfn.IFS(AND($C48="Fuel car",$D48=1),$E48*'HU '!D$7,AND($C48="Fuel car",$D48=2),$E48*'HU '!D$8,AND($C48="Fuel car",$D48=3),$E48*'HU '!D$9,AND($C48="Fuel car",$D48=4),$E48*'HU '!D$10,AND($C48="Fuel car",$D48=5),$E48*'HU '!D$11,AND($C48="Motorcycle",$D48=1),$E48*'HU '!D$13,AND($C48="Motorcycle",$D48=2),$E48*'HU '!D$14,AND($C48="Electric car",$D48=1),$E48*'HU '!D$16,AND($C48="Electric car",$D48=2),$E48*'HU '!D$17,AND($C48="Electric car",$D48=3),$E48*'HU '!D$18,AND($C48="Electric car",$D48=4),$E48*'HU '!D$19,AND($C48="Electric car",$D48=5),$E48*'HU '!D$20,AND($C48="Hybrid car",$D48=1),$E48*'HU '!D$22,AND($C48="Hybrid car",$D48=2),$E48*'HU '!D$23,AND($C48="Hybrid car",$D48=3),$E48*'HU '!D$24,AND($C48="Hybrid car",$D48=4),$E48*'HU '!D$25,AND($C48="Hybrid car",$D48=5),$E48*'HU '!D$26,AND($C48="Electric motorcycle",$D48=1),$E48*'HU '!D$28,AND($C48="Electric motorcycle",$D48=2),$E48*'HU '!D$29,AND($C48="Electric bike",$D48=1),$E48*'HU '!D$31,AND($C48="Electric scooter",$D48=1),$E48*'HU '!D$33,AND($C48="Bus",$D48="Almost empty"),$E48*'HU '!I$23,AND($C48="Bus",$D48="Average"),$E48*'HU '!I$24,AND($C48="Bus",$D48="Nearly full"),$E48*'HU '!I$25,AND($C48="Electric bus",$D48="Almost empty"),$E48*'HU '!I$7,AND($C48="Electric bus",$D48="Average"),$E48*'HU '!I$8,AND($C48="Electric bus",$D48="Nearly full"),$E48*'HU '!I$9,AND($C48="Diesel bus",$D48="Almost empty"),$E48*'HU '!I$19,AND($C48="Diesel bus",$D48="Average"),$E48*'HU '!I$20,AND($C48="Diesel bus",$D48="Nearly full"),$E48*'HU '!I$21,AND($C48="Hybrid-electric bus",$D48="Almost empty"),$E48*'HU '!I$11,AND($C48="Hybrid-electric bus",$D48="Average"),$E48*'HU '!I$12,AND($C48="Hybrid-electric bus",$D48="Nearly full"),$E48*'HU '!I$13,AND($C48="Alternative fuel bus",$D48="Almost empty"),$E48*'HU '!I$15,AND($C48="Alternative fuel bus",$D48="Average"),$E48*'HU '!I$16,AND($C48="Alternative fuel bus",$D48="Nearly full"),$E48*'HU '!I$17,AND($C48="Metro, tram, urban light train",$D48="Almost empty"),$E48*'HU '!D$35,AND($C48="Metro, tram, urban light train",$D48="Average"),$E48*'HU '!D$36,AND($C48="Metro, tram, urban light train",$D48="Nearly full"),$E48*'HU '!D$37,AND($C48="Electric passenger train",$D48="Almost empty"),$E48*'HU '!D$39,AND($C48="Electric passenger train",$D48="Average"),$E48*'HU '!D$40,AND($C48="Electric passenger train",$D48="Nearly full"),$E48*'HU '!D$41,AND($C48="Diesel passenger train",$D48="Almost empty"),$E48*'HU '!D$47,AND($C48="Diesel passenger train",$D48="Average"),$E48*'HU '!D$48,AND($C48="Diesel passenger train",$D48="Nearly full"),$E48*'HU '!D$49,AND($C48="Walking"),$E48*0,AND($C48="Bike"),$E48*0,AND($C48="Plane - domestic flight"),$E48*'HU '!$C72,AND($C48="Plane - international - intra EU"),$E48*'HU '!$C74,AND($C48="Plane - international (extra EU)"),$E48*'HU '!$C76)</f>
        <v>#N/A</v>
      </c>
      <c r="H48" s="196" t="s">
        <v>67</v>
      </c>
      <c r="I48" s="197"/>
      <c r="L48" s="249"/>
      <c r="M48" s="250"/>
      <c r="N48" s="251"/>
    </row>
    <row r="49" spans="1:14" x14ac:dyDescent="0.2">
      <c r="A49" s="222"/>
      <c r="B49" s="30"/>
      <c r="C49" s="15"/>
      <c r="D49" s="15"/>
      <c r="E49" s="125"/>
      <c r="F49" s="128" t="e" cm="1">
        <f t="array" ref="F49">_xlfn.IFS(AND($C49="Fuel car",$D49=1),$E49*'HU '!C$7,AND($C49="Fuel car",$D49=2),$E49*'HU '!C$8,AND($C49="Fuel car",$D49=3),$E49*'HU '!C$9,AND($C49="Fuel car",$D49=4),$E49*'HU '!C$10,AND($C49="Fuel car",$D49=5),$E49*'HU '!C$11,AND($C49="Motorcycle",$D49=1),$E49*'HU '!C$13,AND($C49="Motorcycle",$D49=2),$E49*'HU '!C$14,AND($C49="Electric car",$D49=1),$E49*'HU '!C$16,AND($C49="Electric car",$D49=2),$E49*'HU '!C$17,AND($C49="Electric car",$D49=3),$E49*'HU '!C$18,AND($C49="Electric car",$D49=4),$E49*'HU '!C$19,AND($C49="Electric car",$D49=5),$E49*'HU '!C$20,AND($C49="Hybrid car",$D49=1),$E49*'HU '!C$22,AND($C49="Hybrid car",$D49=2),$E49*'HU '!C$23,AND($C49="Hybrid car",$D49=3),$E49*'HU '!C$24,AND($C49="Hybrid car",$D49=4),$E49*'HU '!C$25,AND($C49="Hybrid car",$D49=5),$E49*'HU '!C$26,AND($C49="Electric motorcycle",$D49=1),$E49*'HU '!C$28,AND($C49="Electric motorcycle",$D49=2),$E49*'HU '!C$29,AND($C49="Electric bike",$D49=1),$E49*'HU '!C$31,AND($C49="Electric scooter",$D49=1),$E49*'HU '!C$33,AND($C49="Bus",$D49="Almost empty"),$E49*'HU '!H$23,AND($C49="Bus",$D49="Average"),$E49*'HU '!H$24,AND($C49="Bus",$D49="Nearly full"),$E49*'HU '!H$25,AND($C49="Electric bus",$D49="Almost empty"),$E49*'HU '!H$7,AND($C49="Electric bus",$D49="Average"),$E49*'HU '!H$8,AND($C49="Electric bus",$D49="Nearly full"),$E49*'HU '!H$9,AND($C49="Diesel bus",$D49="Almost empty"),$E49*'HU '!H$19,AND($C49="Diesel bus",$D49="Average"),$E49*'HU '!H$20,AND($C49="Diesel bus",$D49="Nearly full"),$E49*'HU '!H$21,AND($C49="Hybrid-electric bus",$D49="Almost empty"),$E49*'HU '!H$11,AND($C49="Hybrid-electric bus",$D49="Average"),$E49*'HU '!H$12,AND($C49="Hybrid-electric bus",$D49="Nearly full"),$E49*'HU '!H$13,AND($C49="Alternative fuel bus",$D49="Almost empty"),$E49*'HU '!H$15,AND($C49="Alternative fuel bus",$D49="Average"),$E49*'HU '!H$16,AND($C49="Alternative fuel bus",$D49="Nearly full"),$E49*'HU '!H$17,AND($C49="Metro, tram, urban light train",$D49="Almost empty"),$E49*'HU '!C$35,AND($C49="Metro, tram, urban light train",$D49="Average"),$E49*'HU '!C$36,AND($C49="Metro, tram, urban light train",$D49="Nearly full"),$E49*'HU '!C$37,AND($C49="Electric passenger train",$D49="Almost empty"),$E49*'HU '!C$39,AND($C49="Electric passenger train",$D49="Average"),$E49*'HU '!C$40,AND($C49="Electric passenger train",$D49="Nearly full"),$E49*'HU '!C$41,AND($C49="Diesel passenger train",$D49="Almost empty"),$E49*'HU '!C$47,AND($C49="Diesel passenger train",$D49="Average"),$E49*'HU '!C$48,AND($C49="Diesel passenger train",$D49="Nearly full"),$E49*'HU '!C$49,AND($C49="Walking"),$E49*0,AND($C49="Bike"),$E49*0,AND($C49="Plane - domestic flight"),$E49*'HU '!$C73,AND($C49="Plane - international - intra EU"),$E49*'HU '!$C75,AND($C49="Plane - international (extra EU)"),$E49*'HU '!$C77)</f>
        <v>#N/A</v>
      </c>
      <c r="G49" s="31" t="e" cm="1">
        <f t="array" ref="G49">_xlfn.IFS(AND($C49="Fuel car",$D49=1),$E49*'HU '!D$7,AND($C49="Fuel car",$D49=2),$E49*'HU '!D$8,AND($C49="Fuel car",$D49=3),$E49*'HU '!D$9,AND($C49="Fuel car",$D49=4),$E49*'HU '!D$10,AND($C49="Fuel car",$D49=5),$E49*'HU '!D$11,AND($C49="Motorcycle",$D49=1),$E49*'HU '!D$13,AND($C49="Motorcycle",$D49=2),$E49*'HU '!D$14,AND($C49="Electric car",$D49=1),$E49*'HU '!D$16,AND($C49="Electric car",$D49=2),$E49*'HU '!D$17,AND($C49="Electric car",$D49=3),$E49*'HU '!D$18,AND($C49="Electric car",$D49=4),$E49*'HU '!D$19,AND($C49="Electric car",$D49=5),$E49*'HU '!D$20,AND($C49="Hybrid car",$D49=1),$E49*'HU '!D$22,AND($C49="Hybrid car",$D49=2),$E49*'HU '!D$23,AND($C49="Hybrid car",$D49=3),$E49*'HU '!D$24,AND($C49="Hybrid car",$D49=4),$E49*'HU '!D$25,AND($C49="Hybrid car",$D49=5),$E49*'HU '!D$26,AND($C49="Electric motorcycle",$D49=1),$E49*'HU '!D$28,AND($C49="Electric motorcycle",$D49=2),$E49*'HU '!D$29,AND($C49="Electric bike",$D49=1),$E49*'HU '!D$31,AND($C49="Electric scooter",$D49=1),$E49*'HU '!D$33,AND($C49="Bus",$D49="Almost empty"),$E49*'HU '!I$23,AND($C49="Bus",$D49="Average"),$E49*'HU '!I$24,AND($C49="Bus",$D49="Nearly full"),$E49*'HU '!I$25,AND($C49="Electric bus",$D49="Almost empty"),$E49*'HU '!I$7,AND($C49="Electric bus",$D49="Average"),$E49*'HU '!I$8,AND($C49="Electric bus",$D49="Nearly full"),$E49*'HU '!I$9,AND($C49="Diesel bus",$D49="Almost empty"),$E49*'HU '!I$19,AND($C49="Diesel bus",$D49="Average"),$E49*'HU '!I$20,AND($C49="Diesel bus",$D49="Nearly full"),$E49*'HU '!I$21,AND($C49="Hybrid-electric bus",$D49="Almost empty"),$E49*'HU '!I$11,AND($C49="Hybrid-electric bus",$D49="Average"),$E49*'HU '!I$12,AND($C49="Hybrid-electric bus",$D49="Nearly full"),$E49*'HU '!I$13,AND($C49="Alternative fuel bus",$D49="Almost empty"),$E49*'HU '!I$15,AND($C49="Alternative fuel bus",$D49="Average"),$E49*'HU '!I$16,AND($C49="Alternative fuel bus",$D49="Nearly full"),$E49*'HU '!I$17,AND($C49="Metro, tram, urban light train",$D49="Almost empty"),$E49*'HU '!D$35,AND($C49="Metro, tram, urban light train",$D49="Average"),$E49*'HU '!D$36,AND($C49="Metro, tram, urban light train",$D49="Nearly full"),$E49*'HU '!D$37,AND($C49="Electric passenger train",$D49="Almost empty"),$E49*'HU '!D$39,AND($C49="Electric passenger train",$D49="Average"),$E49*'HU '!D$40,AND($C49="Electric passenger train",$D49="Nearly full"),$E49*'HU '!D$41,AND($C49="Diesel passenger train",$D49="Almost empty"),$E49*'HU '!D$47,AND($C49="Diesel passenger train",$D49="Average"),$E49*'HU '!D$48,AND($C49="Diesel passenger train",$D49="Nearly full"),$E49*'HU '!D$49,AND($C49="Walking"),$E49*0,AND($C49="Bike"),$E49*0,AND($C49="Plane - domestic flight"),$E49*'HU '!$C73,AND($C49="Plane - international - intra EU"),$E49*'HU '!$C75,AND($C49="Plane - international (extra EU)"),$E49*'HU '!$C77)</f>
        <v>#N/A</v>
      </c>
      <c r="H49" s="244" t="s">
        <v>74</v>
      </c>
      <c r="I49" s="141"/>
      <c r="L49" s="252"/>
      <c r="M49" s="253"/>
      <c r="N49" s="254"/>
    </row>
    <row r="50" spans="1:14" ht="16" thickBot="1" x14ac:dyDescent="0.25">
      <c r="A50" s="222"/>
      <c r="B50" s="51"/>
      <c r="C50" s="15"/>
      <c r="D50" s="15"/>
      <c r="E50" s="126"/>
      <c r="F50" s="128" t="e" cm="1">
        <f t="array" ref="F50">_xlfn.IFS(AND($C50="Fuel car",$D50=1),$E50*'HU '!C$7,AND($C50="Fuel car",$D50=2),$E50*'HU '!C$8,AND($C50="Fuel car",$D50=3),$E50*'HU '!C$9,AND($C50="Fuel car",$D50=4),$E50*'HU '!C$10,AND($C50="Fuel car",$D50=5),$E50*'HU '!C$11,AND($C50="Motorcycle",$D50=1),$E50*'HU '!C$13,AND($C50="Motorcycle",$D50=2),$E50*'HU '!C$14,AND($C50="Electric car",$D50=1),$E50*'HU '!C$16,AND($C50="Electric car",$D50=2),$E50*'HU '!C$17,AND($C50="Electric car",$D50=3),$E50*'HU '!C$18,AND($C50="Electric car",$D50=4),$E50*'HU '!C$19,AND($C50="Electric car",$D50=5),$E50*'HU '!C$20,AND($C50="Hybrid car",$D50=1),$E50*'HU '!C$22,AND($C50="Hybrid car",$D50=2),$E50*'HU '!C$23,AND($C50="Hybrid car",$D50=3),$E50*'HU '!C$24,AND($C50="Hybrid car",$D50=4),$E50*'HU '!C$25,AND($C50="Hybrid car",$D50=5),$E50*'HU '!C$26,AND($C50="Electric motorcycle",$D50=1),$E50*'HU '!C$28,AND($C50="Electric motorcycle",$D50=2),$E50*'HU '!C$29,AND($C50="Electric bike",$D50=1),$E50*'HU '!C$31,AND($C50="Electric scooter",$D50=1),$E50*'HU '!C$33,AND($C50="Bus",$D50="Almost empty"),$E50*'HU '!H$23,AND($C50="Bus",$D50="Average"),$E50*'HU '!H$24,AND($C50="Bus",$D50="Nearly full"),$E50*'HU '!H$25,AND($C50="Electric bus",$D50="Almost empty"),$E50*'HU '!H$7,AND($C50="Electric bus",$D50="Average"),$E50*'HU '!H$8,AND($C50="Electric bus",$D50="Nearly full"),$E50*'HU '!H$9,AND($C50="Diesel bus",$D50="Almost empty"),$E50*'HU '!H$19,AND($C50="Diesel bus",$D50="Average"),$E50*'HU '!H$20,AND($C50="Diesel bus",$D50="Nearly full"),$E50*'HU '!H$21,AND($C50="Hybrid-electric bus",$D50="Almost empty"),$E50*'HU '!H$11,AND($C50="Hybrid-electric bus",$D50="Average"),$E50*'HU '!H$12,AND($C50="Hybrid-electric bus",$D50="Nearly full"),$E50*'HU '!H$13,AND($C50="Alternative fuel bus",$D50="Almost empty"),$E50*'HU '!H$15,AND($C50="Alternative fuel bus",$D50="Average"),$E50*'HU '!H$16,AND($C50="Alternative fuel bus",$D50="Nearly full"),$E50*'HU '!H$17,AND($C50="Metro, tram, urban light train",$D50="Almost empty"),$E50*'HU '!C$35,AND($C50="Metro, tram, urban light train",$D50="Average"),$E50*'HU '!C$36,AND($C50="Metro, tram, urban light train",$D50="Nearly full"),$E50*'HU '!C$37,AND($C50="Electric passenger train",$D50="Almost empty"),$E50*'HU '!C$39,AND($C50="Electric passenger train",$D50="Average"),$E50*'HU '!C$40,AND($C50="Electric passenger train",$D50="Nearly full"),$E50*'HU '!C$41,AND($C50="Diesel passenger train",$D50="Almost empty"),$E50*'HU '!C$47,AND($C50="Diesel passenger train",$D50="Average"),$E50*'HU '!C$48,AND($C50="Diesel passenger train",$D50="Nearly full"),$E50*'HU '!C$49,AND($C50="Walking"),$E50*0,AND($C50="Bike"),$E50*0,AND($C50="Plane - domestic flight"),$E50*'HU '!$C74,AND($C50="Plane - international - intra EU"),$E50*'HU '!$C76,AND($C50="Plane - international (extra EU)"),$E50*'HU '!$C78)</f>
        <v>#N/A</v>
      </c>
      <c r="G50" s="31" t="e" cm="1">
        <f t="array" ref="G50">_xlfn.IFS(AND($C50="Fuel car",$D50=1),$E50*'HU '!D$7,AND($C50="Fuel car",$D50=2),$E50*'HU '!D$8,AND($C50="Fuel car",$D50=3),$E50*'HU '!D$9,AND($C50="Fuel car",$D50=4),$E50*'HU '!D$10,AND($C50="Fuel car",$D50=5),$E50*'HU '!D$11,AND($C50="Motorcycle",$D50=1),$E50*'HU '!D$13,AND($C50="Motorcycle",$D50=2),$E50*'HU '!D$14,AND($C50="Electric car",$D50=1),$E50*'HU '!D$16,AND($C50="Electric car",$D50=2),$E50*'HU '!D$17,AND($C50="Electric car",$D50=3),$E50*'HU '!D$18,AND($C50="Electric car",$D50=4),$E50*'HU '!D$19,AND($C50="Electric car",$D50=5),$E50*'HU '!D$20,AND($C50="Hybrid car",$D50=1),$E50*'HU '!D$22,AND($C50="Hybrid car",$D50=2),$E50*'HU '!D$23,AND($C50="Hybrid car",$D50=3),$E50*'HU '!D$24,AND($C50="Hybrid car",$D50=4),$E50*'HU '!D$25,AND($C50="Hybrid car",$D50=5),$E50*'HU '!D$26,AND($C50="Electric motorcycle",$D50=1),$E50*'HU '!D$28,AND($C50="Electric motorcycle",$D50=2),$E50*'HU '!D$29,AND($C50="Electric bike",$D50=1),$E50*'HU '!D$31,AND($C50="Electric scooter",$D50=1),$E50*'HU '!D$33,AND($C50="Bus",$D50="Almost empty"),$E50*'HU '!I$23,AND($C50="Bus",$D50="Average"),$E50*'HU '!I$24,AND($C50="Bus",$D50="Nearly full"),$E50*'HU '!I$25,AND($C50="Electric bus",$D50="Almost empty"),$E50*'HU '!I$7,AND($C50="Electric bus",$D50="Average"),$E50*'HU '!I$8,AND($C50="Electric bus",$D50="Nearly full"),$E50*'HU '!I$9,AND($C50="Diesel bus",$D50="Almost empty"),$E50*'HU '!I$19,AND($C50="Diesel bus",$D50="Average"),$E50*'HU '!I$20,AND($C50="Diesel bus",$D50="Nearly full"),$E50*'HU '!I$21,AND($C50="Hybrid-electric bus",$D50="Almost empty"),$E50*'HU '!I$11,AND($C50="Hybrid-electric bus",$D50="Average"),$E50*'HU '!I$12,AND($C50="Hybrid-electric bus",$D50="Nearly full"),$E50*'HU '!I$13,AND($C50="Alternative fuel bus",$D50="Almost empty"),$E50*'HU '!I$15,AND($C50="Alternative fuel bus",$D50="Average"),$E50*'HU '!I$16,AND($C50="Alternative fuel bus",$D50="Nearly full"),$E50*'HU '!I$17,AND($C50="Metro, tram, urban light train",$D50="Almost empty"),$E50*'HU '!D$35,AND($C50="Metro, tram, urban light train",$D50="Average"),$E50*'HU '!D$36,AND($C50="Metro, tram, urban light train",$D50="Nearly full"),$E50*'HU '!D$37,AND($C50="Electric passenger train",$D50="Almost empty"),$E50*'HU '!D$39,AND($C50="Electric passenger train",$D50="Average"),$E50*'HU '!D$40,AND($C50="Electric passenger train",$D50="Nearly full"),$E50*'HU '!D$41,AND($C50="Diesel passenger train",$D50="Almost empty"),$E50*'HU '!D$47,AND($C50="Diesel passenger train",$D50="Average"),$E50*'HU '!D$48,AND($C50="Diesel passenger train",$D50="Nearly full"),$E50*'HU '!D$49,AND($C50="Walking"),$E50*0,AND($C50="Bike"),$E50*0,AND($C50="Plane - domestic flight"),$E50*'HU '!$C74,AND($C50="Plane - international - intra EU"),$E50*'HU '!$C76,AND($C50="Plane - international (extra EU)"),$E50*'HU '!$C78)</f>
        <v>#N/A</v>
      </c>
      <c r="H50" s="245"/>
      <c r="I50" s="142"/>
      <c r="L50" s="252"/>
      <c r="M50" s="253"/>
      <c r="N50" s="254"/>
    </row>
    <row r="51" spans="1:14" ht="33" thickBot="1" x14ac:dyDescent="0.25">
      <c r="A51" s="222"/>
      <c r="B51" s="53"/>
      <c r="C51" s="32"/>
      <c r="D51" s="34"/>
      <c r="E51" s="113"/>
      <c r="F51" s="129" t="e" cm="1">
        <f t="array" ref="F51">_xlfn.IFS(AND($C51="Fuel car",$D51=1),$E51*'HU '!C$7,AND($C51="Fuel car",$D51=2),$E51*'HU '!C$8,AND($C51="Fuel car",$D51=3),$E51*'HU '!C$9,AND($C51="Fuel car",$D51=4),$E51*'HU '!C$10,AND($C51="Fuel car",$D51=5),$E51*'HU '!C$11,AND($C51="Motorcycle",$D51=1),$E51*'HU '!C$13,AND($C51="Motorcycle",$D51=2),$E51*'HU '!C$14,AND($C51="Electric car",$D51=1),$E51*'HU '!C$16,AND($C51="Electric car",$D51=2),$E51*'HU '!C$17,AND($C51="Electric car",$D51=3),$E51*'HU '!C$18,AND($C51="Electric car",$D51=4),$E51*'HU '!C$19,AND($C51="Electric car",$D51=5),$E51*'HU '!C$20,AND($C51="Hybrid car",$D51=1),$E51*'HU '!C$22,AND($C51="Hybrid car",$D51=2),$E51*'HU '!C$23,AND($C51="Hybrid car",$D51=3),$E51*'HU '!C$24,AND($C51="Hybrid car",$D51=4),$E51*'HU '!C$25,AND($C51="Hybrid car",$D51=5),$E51*'HU '!C$26,AND($C51="Electric motorcycle",$D51=1),$E51*'HU '!C$28,AND($C51="Electric motorcycle",$D51=2),$E51*'HU '!C$29,AND($C51="Electric bike",$D51=1),$E51*'HU '!C$31,AND($C51="Electric scooter",$D51=1),$E51*'HU '!C$33,AND($C51="Bus",$D51="Almost empty"),$E51*'HU '!H$23,AND($C51="Bus",$D51="Average"),$E51*'HU '!H$24,AND($C51="Bus",$D51="Nearly full"),$E51*'HU '!H$25,AND($C51="Electric bus",$D51="Almost empty"),$E51*'HU '!H$7,AND($C51="Electric bus",$D51="Average"),$E51*'HU '!H$8,AND($C51="Electric bus",$D51="Nearly full"),$E51*'HU '!H$9,AND($C51="Diesel bus",$D51="Almost empty"),$E51*'HU '!H$19,AND($C51="Diesel bus",$D51="Average"),$E51*'HU '!H$20,AND($C51="Diesel bus",$D51="Nearly full"),$E51*'HU '!H$21,AND($C51="Hybrid-electric bus",$D51="Almost empty"),$E51*'HU '!H$11,AND($C51="Hybrid-electric bus",$D51="Average"),$E51*'HU '!H$12,AND($C51="Hybrid-electric bus",$D51="Nearly full"),$E51*'HU '!H$13,AND($C51="Alternative fuel bus",$D51="Almost empty"),$E51*'HU '!H$15,AND($C51="Alternative fuel bus",$D51="Average"),$E51*'HU '!H$16,AND($C51="Alternative fuel bus",$D51="Nearly full"),$E51*'HU '!H$17,AND($C51="Metro, tram, urban light train",$D51="Almost empty"),$E51*'HU '!C$35,AND($C51="Metro, tram, urban light train",$D51="Average"),$E51*'HU '!C$36,AND($C51="Metro, tram, urban light train",$D51="Nearly full"),$E51*'HU '!C$37,AND($C51="Electric passenger train",$D51="Almost empty"),$E51*'HU '!C$39,AND($C51="Electric passenger train",$D51="Average"),$E51*'HU '!C$40,AND($C51="Electric passenger train",$D51="Nearly full"),$E51*'HU '!C$41,AND($C51="Diesel passenger train",$D51="Almost empty"),$E51*'HU '!C$47,AND($C51="Diesel passenger train",$D51="Average"),$E51*'HU '!C$48,AND($C51="Diesel passenger train",$D51="Nearly full"),$E51*'HU '!C$49,AND($C51="Walking"),$E51*0,AND($C51="Bike"),$E51*0,AND($C51="Plane - domestic flight"),$E51*'HU '!$C75,AND($C51="Plane - international - intra EU"),$E51*'HU '!$C77,AND($C51="Plane - international (extra EU)"),$E51*'HU '!$C79)</f>
        <v>#N/A</v>
      </c>
      <c r="G51" s="35" t="e" cm="1">
        <f t="array" ref="G51">_xlfn.IFS(AND($C51="Fuel car",$D51=1),$E51*'HU '!D$7,AND($C51="Fuel car",$D51=2),$E51*'HU '!D$8,AND($C51="Fuel car",$D51=3),$E51*'HU '!D$9,AND($C51="Fuel car",$D51=4),$E51*'HU '!D$10,AND($C51="Fuel car",$D51=5),$E51*'HU '!D$11,AND($C51="Motorcycle",$D51=1),$E51*'HU '!D$13,AND($C51="Motorcycle",$D51=2),$E51*'HU '!D$14,AND($C51="Electric car",$D51=1),$E51*'HU '!D$16,AND($C51="Electric car",$D51=2),$E51*'HU '!D$17,AND($C51="Electric car",$D51=3),$E51*'HU '!D$18,AND($C51="Electric car",$D51=4),$E51*'HU '!D$19,AND($C51="Electric car",$D51=5),$E51*'HU '!D$20,AND($C51="Hybrid car",$D51=1),$E51*'HU '!D$22,AND($C51="Hybrid car",$D51=2),$E51*'HU '!D$23,AND($C51="Hybrid car",$D51=3),$E51*'HU '!D$24,AND($C51="Hybrid car",$D51=4),$E51*'HU '!D$25,AND($C51="Hybrid car",$D51=5),$E51*'HU '!D$26,AND($C51="Electric motorcycle",$D51=1),$E51*'HU '!D$28,AND($C51="Electric motorcycle",$D51=2),$E51*'HU '!D$29,AND($C51="Electric bike",$D51=1),$E51*'HU '!D$31,AND($C51="Electric scooter",$D51=1),$E51*'HU '!D$33,AND($C51="Bus",$D51="Almost empty"),$E51*'HU '!I$23,AND($C51="Bus",$D51="Average"),$E51*'HU '!I$24,AND($C51="Bus",$D51="Nearly full"),$E51*'HU '!I$25,AND($C51="Electric bus",$D51="Almost empty"),$E51*'HU '!I$7,AND($C51="Electric bus",$D51="Average"),$E51*'HU '!I$8,AND($C51="Electric bus",$D51="Nearly full"),$E51*'HU '!I$9,AND($C51="Diesel bus",$D51="Almost empty"),$E51*'HU '!I$19,AND($C51="Diesel bus",$D51="Average"),$E51*'HU '!I$20,AND($C51="Diesel bus",$D51="Nearly full"),$E51*'HU '!I$21,AND($C51="Hybrid-electric bus",$D51="Almost empty"),$E51*'HU '!I$11,AND($C51="Hybrid-electric bus",$D51="Average"),$E51*'HU '!I$12,AND($C51="Hybrid-electric bus",$D51="Nearly full"),$E51*'HU '!I$13,AND($C51="Alternative fuel bus",$D51="Almost empty"),$E51*'HU '!I$15,AND($C51="Alternative fuel bus",$D51="Average"),$E51*'HU '!I$16,AND($C51="Alternative fuel bus",$D51="Nearly full"),$E51*'HU '!I$17,AND($C51="Metro, tram, urban light train",$D51="Almost empty"),$E51*'HU '!D$35,AND($C51="Metro, tram, urban light train",$D51="Average"),$E51*'HU '!D$36,AND($C51="Metro, tram, urban light train",$D51="Nearly full"),$E51*'HU '!D$37,AND($C51="Electric passenger train",$D51="Almost empty"),$E51*'HU '!D$39,AND($C51="Electric passenger train",$D51="Average"),$E51*'HU '!D$40,AND($C51="Electric passenger train",$D51="Nearly full"),$E51*'HU '!D$41,AND($C51="Diesel passenger train",$D51="Almost empty"),$E51*'HU '!D$47,AND($C51="Diesel passenger train",$D51="Average"),$E51*'HU '!D$48,AND($C51="Diesel passenger train",$D51="Nearly full"),$E51*'HU '!D$49,AND($C51="Walking"),$E51*0,AND($C51="Bike"),$E51*0,AND($C51="Plane - domestic flight"),$E51*'HU '!$C75,AND($C51="Plane - international - intra EU"),$E51*'HU '!$C77,AND($C51="Plane - international (extra EU)"),$E51*'HU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_xlfn.IFS(AND(D57&lt;='HU '!L4),"A+",AND(D57&lt;='HU '!M4,D57&gt;'HU '!L4),"A",AND(D57&lt;='HU '!N4,D57&gt;'HU '!M4),"B",AND(D57&lt;='HU '!O4,D57&gt;'HU '!N4),"C",AND(D57&lt;='HU '!P4,D57&gt;'HU '!O4),"D",AND(D57&lt;='HU '!Q4,D57&gt;'HU '!P4),"E",AND(D57&lt;='HU '!R4,D57&gt;'HU '!Q4),"F",AND(D57&gt;'HU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_xlfn.IFS(D58="#","#",AND(D58&lt;='HU '!L5),"A+",AND(D58&lt;='HU '!M5,D58&gt;'HU '!L5),"A",AND(D58&lt;='HU '!N5,D58&gt;'HU '!M5),"B",AND(D58&lt;='HU '!O5,D58&gt;'HU '!N5),"C",AND(D58&lt;='HU '!P5,D58&gt;'HU '!O5),"D",AND(D58&lt;='HU '!Q5,D58&gt;'HU '!P5),"E",AND(D58&lt;='HU '!R5,D58&gt;'HU '!Q5),"F",AND(D58&gt;'HU '!R5),"G")</f>
        <v>#</v>
      </c>
    </row>
    <row r="59" spans="1:14" ht="32" x14ac:dyDescent="0.2">
      <c r="A59" s="262"/>
      <c r="B59" s="264"/>
      <c r="C59" s="21" t="s">
        <v>88</v>
      </c>
      <c r="D59" s="47" t="e">
        <f>IF(ISNUMBER(D58), D57 + D58, D57)</f>
        <v>#DIV/0!</v>
      </c>
      <c r="E59" s="277"/>
      <c r="G59" s="264"/>
      <c r="H59" t="s">
        <v>88</v>
      </c>
      <c r="I59" s="56" t="e" cm="1">
        <f t="array" ref="I59">_xlfn.IFS(AND(D59&lt;='HU '!L6),"A+",AND(D59&lt;='HU '!M6,D59&gt;'HU '!L6),"A",AND(D59&lt;='HU '!N6,D59&gt;'HU '!M6),"B",AND(D59&lt;='HU '!O6,D59&gt;'HU '!N6),"C",AND(D59&lt;='HU '!P6,D59&gt;'HU '!O6),"D",AND(D59&lt;='HU '!Q6,D59&gt;'HU '!P6),"E",AND(D59&lt;='HU '!R6,D59&gt;'HU '!Q6),"F",AND(D59&gt;'HU '!R6),"G")</f>
        <v>#DIV/0!</v>
      </c>
    </row>
    <row r="60" spans="1:14" ht="16" x14ac:dyDescent="0.2">
      <c r="A60" s="262"/>
      <c r="B60" s="264"/>
      <c r="C60" s="21" t="s">
        <v>89</v>
      </c>
      <c r="D60" s="99">
        <f>I30</f>
        <v>0</v>
      </c>
      <c r="E60" s="277"/>
      <c r="G60" s="264"/>
      <c r="H60" t="s">
        <v>89</v>
      </c>
      <c r="I60" s="56" t="str" cm="1">
        <f t="array" ref="I60">_xlfn.IFS(AND(D60&lt;='HU '!L7),"A+",AND(D60&lt;='HU '!M7,D60&gt;'HU '!L7),"A",AND(D60&lt;='HU '!N7,D60&gt;'HU '!M7),"B",AND(D60&lt;='HU '!O7,D60&gt;'HU '!N7),"C",AND(D60&lt;='HU '!P7,D60&gt;'HU '!O7),"D",AND(D60&lt;='HU '!Q7,D60&gt;'HU '!P7),"E",AND(D60&lt;='HU '!R7,D60&gt;'HU '!Q7),"F",AND(D60&gt;'HU '!R7),"G")</f>
        <v>A+</v>
      </c>
    </row>
    <row r="61" spans="1:14" ht="16" thickBot="1" x14ac:dyDescent="0.25">
      <c r="A61" s="262"/>
      <c r="B61" s="265"/>
      <c r="C61" s="16" t="s">
        <v>57</v>
      </c>
      <c r="D61" s="58" t="e">
        <f>SUM(D59:D60)</f>
        <v>#DIV/0!</v>
      </c>
      <c r="E61" s="261"/>
      <c r="G61" s="265"/>
      <c r="H61" s="16" t="s">
        <v>57</v>
      </c>
      <c r="I61" s="1" t="e" cm="1">
        <f t="array" ref="I61">_xlfn.IFS(AND(D61&lt;='HU '!L8),"A+",AND(D61&lt;='HU '!M8,D61&gt;'HU '!L8),"A",AND(D61&lt;='HU '!N8,D61&gt;'HU '!M8),"B",AND(D61&lt;='HU '!O8,D61&gt;'HU '!N8),"C",AND(D61&lt;='HU '!P8,D61&gt;'HU '!O8),"D",AND(D61&lt;='HU '!Q8,D61&gt;'HU '!P8),"E",AND(D61&lt;='HU '!R8,D61&gt;'HU '!Q8),"F",AND(D61&gt;'HU '!R8),"G")</f>
        <v>#DIV/0!</v>
      </c>
    </row>
    <row r="62" spans="1:14" ht="32" x14ac:dyDescent="0.2">
      <c r="A62" s="262"/>
      <c r="B62" s="263" t="s">
        <v>90</v>
      </c>
      <c r="C62" s="57" t="s">
        <v>85</v>
      </c>
      <c r="D62" s="100" t="e">
        <f>I16</f>
        <v>#DIV/0!</v>
      </c>
      <c r="E62" s="266" t="s">
        <v>91</v>
      </c>
      <c r="G62" s="263" t="s">
        <v>90</v>
      </c>
      <c r="H62" s="46" t="s">
        <v>85</v>
      </c>
      <c r="I62" s="55" t="e" cm="1">
        <f t="array" ref="I62">_xlfn.IFS(AND(D62&lt;='HU '!L9),"A+",AND(D62&lt;='HU '!M9,D62&gt;'HU '!L9),"A",AND(D62&lt;='HU '!N9,D62&gt;'HU '!M9),"B",AND(D62&lt;='HU '!O9,D62&gt;'HU '!N9),"C",AND(D62&lt;='HU '!P9,D62&gt;'HU '!O9),"D",AND(D62&lt;='HU '!Q9,D62&gt;'HU '!P9),"E",AND(D62&lt;='HU '!R9,D62&gt;'HU '!Q9),"F",AND(D62&gt;'HU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_xlfn.IFS(D63="#","#",AND(D63&lt;='HU '!L10),"A+",AND(D63&lt;='HU '!M10,D63&gt;'HU '!L10),"A",AND(D63&lt;='HU '!N10,D63&gt;'HU '!M10),"B",AND(D63&lt;='HU '!O10,D63&gt;'HU '!N10),"C",AND(D63&lt;='HU '!P10,D63&gt;'HU '!O10),"D",AND(D63&lt;='HU '!Q10,D63&gt;'HU '!P10),"E",AND(D63&lt;='HU '!R10,D63&gt;'HU '!Q10),"F",AND(D63&gt;'HU '!R10),"G")</f>
        <v>#</v>
      </c>
    </row>
    <row r="64" spans="1:14" ht="32" x14ac:dyDescent="0.2">
      <c r="A64" s="262"/>
      <c r="B64" s="264"/>
      <c r="C64" s="21" t="s">
        <v>92</v>
      </c>
      <c r="D64" s="47" t="e">
        <f>IF(ISNUMBER(D63), D62 + D63, D62)</f>
        <v>#DIV/0!</v>
      </c>
      <c r="E64" s="202"/>
      <c r="G64" s="264"/>
      <c r="H64" t="s">
        <v>92</v>
      </c>
      <c r="I64" s="56" t="e" cm="1">
        <f t="array" ref="I64">_xlfn.IFS(AND(D64&lt;='HU '!L11),"A+",AND(D64&lt;='HU '!M11,D64&gt;'HU '!L11),"A",AND(D64&lt;='HU '!N11,D64&gt;'HU '!M11),"B",AND(D64&lt;='HU '!O11,D64&gt;'HU '!N11),"C",AND(D64&lt;='HU '!P11,D64&gt;'HU '!O11),"D",AND(D64&lt;='HU '!Q11,D64&gt;'HU '!P11),"E",AND(D64&lt;='HU '!R11,D64&gt;'HU '!Q11),"F",AND(D64&gt;'HU '!R11),"G")</f>
        <v>#DIV/0!</v>
      </c>
    </row>
    <row r="65" spans="1:9" x14ac:dyDescent="0.2">
      <c r="A65" s="262"/>
      <c r="B65" s="264"/>
      <c r="C65" t="s">
        <v>89</v>
      </c>
      <c r="D65" s="99">
        <f>I31</f>
        <v>0</v>
      </c>
      <c r="E65" s="202"/>
      <c r="G65" s="264"/>
      <c r="H65" t="s">
        <v>89</v>
      </c>
      <c r="I65" s="56" t="str" cm="1">
        <f t="array" ref="I65">_xlfn.IFS(AND(D65&lt;='HU '!L12),"A+",AND(D65&lt;='HU '!M12,D65&gt;'HU '!L12),"A",AND(D65&lt;='HU '!N12,D65&gt;'HU '!M12),"B",AND(D65&lt;='HU '!O12,D65&gt;'HU '!N12),"C",AND(D65&lt;='HU '!P12,D65&gt;'HU '!O12),"D",AND(D65&lt;='HU '!Q12,D65&gt;'HU '!P12),"E",AND(D65&lt;='HU '!R12,D65&gt;'HU '!Q12),"F",AND(D65&gt;'HU '!R12),"G")</f>
        <v>A+</v>
      </c>
    </row>
    <row r="66" spans="1:9" ht="16" thickBot="1" x14ac:dyDescent="0.25">
      <c r="A66" s="262"/>
      <c r="B66" s="265"/>
      <c r="C66" s="16" t="s">
        <v>57</v>
      </c>
      <c r="D66" s="16" t="e">
        <f>SUM(D64:D65)</f>
        <v>#DIV/0!</v>
      </c>
      <c r="E66" s="267"/>
      <c r="G66" s="265"/>
      <c r="H66" s="16" t="s">
        <v>57</v>
      </c>
      <c r="I66" s="1" t="e" cm="1">
        <f t="array" ref="I66">_xlfn.IFS(AND(D66&lt;='HU '!L13),"A+",AND(D66&lt;='HU '!M13,D66&gt;'HU '!L13),"A",AND(D66&lt;='HU '!N13,D66&gt;'HU '!M13),"B",AND(D66&lt;='HU '!O13,D66&gt;'HU '!N13),"C",AND(D66&lt;='HU '!P13,D66&gt;'HU '!O13),"D",AND(D66&lt;='HU '!Q13,D66&gt;'HU '!P13),"E",AND(D66&lt;='HU '!R13,D66&gt;'HU '!Q13),"F",AND(D66&gt;'HU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83" priority="7" operator="equal">
      <formula>"A+"</formula>
    </cfRule>
    <cfRule type="containsText" dxfId="282" priority="8" operator="containsText" text="A">
      <formula>NOT(ISERROR(SEARCH("A",I57)))</formula>
    </cfRule>
    <cfRule type="containsText" dxfId="281" priority="9" operator="containsText" text="B">
      <formula>NOT(ISERROR(SEARCH("B",I57)))</formula>
    </cfRule>
    <cfRule type="containsText" dxfId="280" priority="10" operator="containsText" text="C">
      <formula>NOT(ISERROR(SEARCH("C",I57)))</formula>
    </cfRule>
    <cfRule type="containsText" dxfId="279" priority="11" operator="containsText" text="D">
      <formula>NOT(ISERROR(SEARCH("D",I57)))</formula>
    </cfRule>
    <cfRule type="containsText" dxfId="278" priority="12" operator="containsText" text="E">
      <formula>NOT(ISERROR(SEARCH("E",I57)))</formula>
    </cfRule>
    <cfRule type="containsText" dxfId="277" priority="13" operator="containsText" text="F">
      <formula>NOT(ISERROR(SEARCH("F",I57)))</formula>
    </cfRule>
    <cfRule type="containsText" dxfId="276" priority="14" operator="containsText" text="G">
      <formula>NOT(ISERROR(SEARCH("G",I57)))</formula>
    </cfRule>
  </conditionalFormatting>
  <conditionalFormatting sqref="K5:K15">
    <cfRule type="expression" dxfId="27" priority="2" stopIfTrue="1">
      <formula>$O$19="No"</formula>
    </cfRule>
  </conditionalFormatting>
  <conditionalFormatting sqref="L5:L15">
    <cfRule type="expression" dxfId="26"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29F4D6A5-7380-D741-84D0-812184E010F3}">
      <formula1>AND(Q19="Yes", ISNUMBER(L5))</formula1>
    </dataValidation>
    <dataValidation type="custom" operator="lessThan" allowBlank="1" showErrorMessage="1" errorTitle="Error" error="You can only enter values if you have selected HOME PV. The value must be a number." sqref="K5:K15" xr:uid="{B343F319-4E68-8B40-AFA0-69592DC4673D}">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57C4886E-B073-40B1-95DC-E97F4068C5AB}">
          <x14:formula1>
            <xm:f>DATA!$J$3:$J$10</xm:f>
          </x14:formula1>
          <xm:sqref>D29:D51</xm:sqref>
        </x14:dataValidation>
        <x14:dataValidation type="list" allowBlank="1" showInputMessage="1" showErrorMessage="1" xr:uid="{814B5E78-66AE-FD4A-AB9D-025960D781B9}">
          <x14:formula1>
            <xm:f>DATA!$B$15:$B$23</xm:f>
          </x14:formula1>
          <xm:sqref>J2</xm:sqref>
        </x14:dataValidation>
        <x14:dataValidation type="list" allowBlank="1" showInputMessage="1" showErrorMessage="1" xr:uid="{5F571A71-9F13-4D25-A10E-DFF314E2A9CE}">
          <x14:formula1>
            <xm:f>DATA!$H$3:$H$23</xm:f>
          </x14:formula1>
          <xm:sqref>C29:C51</xm:sqref>
        </x14:dataValidation>
        <x14:dataValidation type="list" allowBlank="1" showInputMessage="1" showErrorMessage="1" xr:uid="{47BE9CDB-45D1-0F40-9985-A574AB2E1385}">
          <x14:formula1>
            <xm:f>DATA!$B$3:$B$13</xm:f>
          </x14:formula1>
          <xm:sqref>H2</xm:sqref>
        </x14:dataValidation>
        <x14:dataValidation type="list" allowBlank="1" showInputMessage="1" showErrorMessage="1" xr:uid="{61F354D5-BCAF-8845-81AA-C9421B32F373}">
          <x14:formula1>
            <xm:f>DATA!$L$4:$L$5</xm:f>
          </x14:formula1>
          <xm:sqref>O18:O19 Q19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AB79-C2E9-40A8-B778-0EE34DDA175A}">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6640625" customWidth="1"/>
    <col min="5" max="5" width="17.33203125" customWidth="1"/>
    <col min="6" max="6" width="16.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109</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IF($O$18="Yes",(E5/$F$2)*DATA!$C$9,(E5/$F$2)*DATA!F20)+IF(ISBLANK(K5),0,K5/$F$2)*DATA!$C$9-IF(ISBLANK(L5),0,L5/$F$2)*DATA!F$20</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IF($O$18="Yes",(E6/$F$2)*DATA!$C$9,(E6/$F$2)*DATA!F21)+IF(ISBLANK(K6),0,K6/$F$2)*DATA!$C$9-IF(ISBLANK(L6),0,L6/$F$2)*DATA!F$20</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IF($O$18="Yes",(E7/$F$2)*DATA!$C$9,(E7/$F$2)*DATA!F22)+IF(ISBLANK(K7),0,K7/$F$2)*DATA!$C$9-IF(ISBLANK(L7),0,L7/$F$2)*DATA!F$20</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IF($O$18="Yes",(E8/$F$2)*DATA!$C$9,(E8/$F$2)*DATA!F23)+IF(ISBLANK(K8),0,K8/$F$2)*DATA!$C$9-IF(ISBLANK(L8),0,L8/$F$2)*DATA!F$20</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IF($O$18="Yes",(E9/$F$2)*DATA!$C$9,(E9/$F$2)*DATA!F24)+IF(ISBLANK(K9),0,K9/$F$2)*DATA!$C$9-IF(ISBLANK(L9),0,L9/$F$2)*DATA!F$20</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IF($O$18="Yes",(E10/$F$2)*DATA!$C$9,(E10/$F$2)*DATA!F25)+IF(ISBLANK(K10),0,K10/$F$2)*DATA!$C$9-IF(ISBLANK(L10),0,L10/$F$2)*DATA!F$20</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IF($O$18="Yes",(E11/$F$2)*DATA!$C$9,(E11/$F$2)*DATA!F26)+IF(ISBLANK(K11),0,K11/$F$2)*DATA!$C$9-IF(ISBLANK(L11),0,L11/$F$2)*DATA!F$20</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IF($O$18="Yes",(E12/$F$2)*DATA!$C$9,(E12/$F$2)*DATA!F27)+IF(ISBLANK(K12),0,K12/$F$2)*DATA!$C$9-IF(ISBLANK(L12),0,L12/$F$2)*DATA!F$20</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IF($O$18="Yes",(E13/$F$2)*DATA!$C$9,(E13/$F$2)*DATA!F28)+IF(ISBLANK(K13),0,K13/$F$2)*DATA!$C$9-IF(ISBLANK(L13),0,L13/$F$2)*DATA!F$20</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IF($O$18="Yes",(E14/$F$2)*DATA!$C$9,(E14/$F$2)*DATA!F29)+IF(ISBLANK(K14),0,K14/$F$2)*DATA!$C$9-IF(ISBLANK(L14),0,L14/$F$2)*DATA!F$20</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IF($O$18="Yes",(E15/$F$2)*DATA!$C$9,(E15/$F$2)*DATA!F30)+IF(ISBLANK(K15),0,K15/$F$2)*DATA!$C$9-IF(ISBLANK(L15),0,L15/$F$2)*DATA!F$20</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car",$D29=1),$E29*'LT '!C$7,AND($C29="Fuel car",$D29=2),$E29*'LT '!C$8,AND($C29="Fuel car",$D29=3),$E29*'LT '!C$9,AND($C29="Fuel car",$D29=4),$E29*'LT '!C$10,AND($C29="Fuel car",$D29=5),$E29*'LT '!C$11,AND($C29="Motorcycle",$D29=1),$E29*'LT '!C$13,AND($C29="Motorcycle",$D29=2),$E29*'LT '!C$14,AND($C29="Electric car",$D29=1),$E29*'LT '!C$16,AND($C29="Electric car",$D29=2),$E29*'LT '!C$17,AND($C29="Electric car",$D29=3),$E29*'LT '!C$18,AND($C29="Electric car",$D29=4),$E29*'LT '!C$19,AND($C29="Electric car",$D29=5),$E29*'LT '!C$20,AND($C29="Hybrid car",$D29=1),$E29*'LT '!C$22,AND($C29="Hybrid car",$D29=2),$E29*'LT '!C$23,AND($C29="Hybrid car",$D29=3),$E29*'LT '!C$24,AND($C29="Hybrid car",$D29=4),$E29*'LT '!C$25,AND($C29="Hybrid car",$D29=5),$E29*'LT '!C$26,AND($C29="Electric motorcycle",$D29=1),$E29*'LT '!C$28,AND($C29="Electric motorcycle",$D29=2),$E29*'LT '!C$29,AND($C29="Electric bike",$D29=1),$E29*'LT '!C$31,AND($C29="Electric scooter",$D29=1),$E29*'LT '!C$33,AND($C29="Bus",$D29="Almost empty"),$E29*'LT '!H$23,AND($C29="Bus",$D29="Average"),$E29*'LT '!H$24,AND($C29="Bus",$D29="Nearly full"),$E29*'LT '!H$25,AND($C29="Electric bus",$D29="Almost empty"),$E29*'LT '!H$7,AND($C29="Electric bus",$D29="Average"),$E29*'LT '!H$8,AND($C29="Electric bus",$D29="Nearly full"),$E29*'LT '!H$9,AND($C29="Diesel bus",$D29="Almost empty"),$E29*'LT '!H$19,AND($C29="Diesel bus",$D29="Average"),$E29*'LT '!H$20,AND($C29="Diesel bus",$D29="Nearly full"),$E29*'LT '!H$21,AND($C29="Hybrid-electric bus",$D29="Almost empty"),$E29*'LT '!H$11,AND($C29="Hybrid-electric bus",$D29="Average"),$E29*'LT '!H$12,AND($C29="Hybrid-electric bus",$D29="Nearly full"),$E29*'LT '!H$13,AND($C29="Alternative fuel bus",$D29="Almost empty"),$E29*'LT '!H$15,AND($C29="Alternative fuel bus",$D29="Average"),$E29*'LT '!H$16,AND($C29="Alternative fuel bus",$D29="Nearly full"),$E29*'LT '!H$17,AND($C29="Metro, tram, urban light train",$D29="Almost empty"),$E29*'LT '!C$35,AND($C29="Metro, tram, urban light train",$D29="Average"),$E29*'LT '!C$36,AND($C29="Metro, tram, urban light train",$D29="Nearly full"),$E29*'LT '!C$37,AND($C29="Electric passenger train",$D29="Almost empty"),$E29*'LT '!C$39,AND($C29="Electric passenger train",$D29="Average"),$E29*'LT '!C$40,AND($C29="Electric passenger train",$D29="Nearly full"),$E29*'LT '!C$41,AND($C29="Diesel passenger train",$D29="Almost empty"),$E29*'LT '!C$47,AND($C29="Diesel passenger train",$D29="Average"),$E29*'LT '!C$48,AND($C29="Diesel passenger train",$D29="Nearly full"),$E29*'LT '!C$49,AND($C29="Walking"),$E29*0,AND($C29="Bike"),$E29*0,AND($C29="Plane - domestic flight"),$E29*'LT '!$C53,AND($C29="Plane - international - intra EU"),$E29*'LT '!$C55,AND($C29="Plane - international (extra EU)"),$E29*'LT '!$C57)</f>
        <v>#N/A</v>
      </c>
      <c r="G29" s="104" t="e" cm="1">
        <f t="array" ref="G29">_xlfn.IFS(AND($C29="Fuel car",$D29=1),$E29*'LT '!D$7,AND($C29="Fuel car",$D29=2),$E29*'LT '!D$8,AND($C29="Fuel car",$D29=3),$E29*'LT '!D$9,AND($C29="Fuel car",$D29=4),$E29*'LT '!D$10,AND($C29="Fuel car",$D29=5),$E29*'LT '!D$11,AND($C29="Motorcycle",$D29=1),$E29*'LT '!D$13,AND($C29="Motorcycle",$D29=2),$E29*'LT '!D$14,AND($C29="Electric car",$D29=1),$E29*'LT '!D$16,AND($C29="Electric car",$D29=2),$E29*'LT '!D$17,AND($C29="Electric car",$D29=3),$E29*'LT '!D$18,AND($C29="Electric car",$D29=4),$E29*'LT '!D$19,AND($C29="Electric car",$D29=5),$E29*'LT '!D$20,AND($C29="Hybrid car",$D29=1),$E29*'LT '!D$22,AND($C29="Hybrid car",$D29=2),$E29*'LT '!D$23,AND($C29="Hybrid car",$D29=3),$E29*'LT '!D$24,AND($C29="Hybrid car",$D29=4),$E29*'LT '!D$25,AND($C29="Hybrid car",$D29=5),$E29*'LT '!D$26,AND($C29="Electric motorcycle",$D29=1),$E29*'LT '!D$28,AND($C29="Electric motorcycle",$D29=2),$E29*'LT '!D$29,AND($C29="Electric bike",$D29=1),$E29*'LT '!D$31,AND($C29="Electric scooter",$D29=1),$E29*'LT '!D$33,AND($C29="Bus",$D29="Almost empty"),$E29*'LT '!I$23,AND($C29="Bus",$D29="Average"),$E29*'LT '!I$24,AND($C29="Bus",$D29="Nearly full"),$E29*'LT '!I$25,AND($C29="Electric bus",$D29="Almost empty"),$E29*'LT '!I$7,AND($C29="Electric bus",$D29="Average"),$E29*'LT '!I$8,AND($C29="Electric bus",$D29="Nearly full"),$E29*'LT '!I$9,AND($C29="Diesel bus",$D29="Almost empty"),$E29*'LT '!I$19,AND($C29="Diesel bus",$D29="Average"),$E29*'LT '!I$20,AND($C29="Diesel bus",$D29="Nearly full"),$E29*'LT '!I$21,AND($C29="Hybrid-electric bus",$D29="Almost empty"),$E29*'LT '!I$11,AND($C29="Hybrid-electric bus",$D29="Average"),$E29*'LT '!I$12,AND($C29="Hybrid-electric bus",$D29="Nearly full"),$E29*'LT '!I$13,AND($C29="Alternative fuel bus",$D29="Almost empty"),$E29*'LT '!I$15,AND($C29="Alternative fuel bus",$D29="Average"),$E29*'LT '!I$16,AND($C29="Alternative fuel bus",$D29="Nearly full"),$E29*'LT '!I$17,AND($C29="Metro, tram, urban light train",$D29="Almost empty"),$E29*'LT '!D$35,AND($C29="Metro, tram, urban light train",$D29="Average"),$E29*'LT '!D$36,AND($C29="Metro, tram, urban light train",$D29="Nearly full"),$E29*'LT '!D$37,AND($C29="Electric passenger train",$D29="Almost empty"),$E29*'LT '!D$39,AND($C29="Electric passenger train",$D29="Average"),$E29*'LT '!D$40,AND($C29="Electric passenger train",$D29="Nearly full"),$E29*'LT '!D$41,AND($C29="Diesel passenger train",$D29="Almost empty"),$E29*'LT '!D$47,AND($C29="Diesel passenger train",$D29="Average"),$E29*'LT '!D$48,AND($C29="Diesel passenger train",$D29="Nearly full"),$E29*'LT '!D$49,AND($C29="Walking"),$E29*0,AND($C29="Bike"),$E29*0,AND($C29="Plane - domestic flight"),$E29*'LT '!$C53,AND($C29="Plane - international - intra EU"),$E29*'LT '!$C55,AND($C29="Plane - international (extra EU)"),$E29*'LT '!$C57)</f>
        <v>#N/A</v>
      </c>
      <c r="H29" s="151"/>
      <c r="I29" s="152">
        <f>H29/10*E29</f>
        <v>0</v>
      </c>
      <c r="J29" s="146" t="e" cm="1">
        <f t="array" ref="J29">_xlfn.IFS(C29="Fuel car",C29*DATA!$C$17,C29="Electric car",C29*DATA!$F$17,C29="Hybrid car",I29*(0.5*DATA!$C$17+0.5*DATA!$F$17))</f>
        <v>#N/A</v>
      </c>
      <c r="L29" s="218"/>
      <c r="M29" s="219"/>
      <c r="N29" s="220"/>
    </row>
    <row r="30" spans="1:17" ht="32" customHeight="1" x14ac:dyDescent="0.2">
      <c r="A30" s="222"/>
      <c r="B30" s="30"/>
      <c r="C30" s="15"/>
      <c r="D30" s="15"/>
      <c r="E30" s="125"/>
      <c r="F30" s="128" t="e" cm="1">
        <f t="array" ref="F30">_xlfn.IFS(AND($C30="Fuel car",$D30=1),$E30*'LT '!C$7,AND($C30="Fuel car",$D30=2),$E30*'LT '!C$8,AND($C30="Fuel car",$D30=3),$E30*'LT '!C$9,AND($C30="Fuel car",$D30=4),$E30*'LT '!C$10,AND($C30="Fuel car",$D30=5),$E30*'LT '!C$11,AND($C30="Motorcycle",$D30=1),$E30*'LT '!C$13,AND($C30="Motorcycle",$D30=2),$E30*'LT '!C$14,AND($C30="Electric car",$D30=1),$E30*'LT '!C$16,AND($C30="Electric car",$D30=2),$E30*'LT '!C$17,AND($C30="Electric car",$D30=3),$E30*'LT '!C$18,AND($C30="Electric car",$D30=4),$E30*'LT '!C$19,AND($C30="Electric car",$D30=5),$E30*'LT '!C$20,AND($C30="Hybrid car",$D30=1),$E30*'LT '!C$22,AND($C30="Hybrid car",$D30=2),$E30*'LT '!C$23,AND($C30="Hybrid car",$D30=3),$E30*'LT '!C$24,AND($C30="Hybrid car",$D30=4),$E30*'LT '!C$25,AND($C30="Hybrid car",$D30=5),$E30*'LT '!C$26,AND($C30="Electric motorcycle",$D30=1),$E30*'LT '!C$28,AND($C30="Electric motorcycle",$D30=2),$E30*'LT '!C$29,AND($C30="Electric bike",$D30=1),$E30*'LT '!C$31,AND($C30="Electric scooter",$D30=1),$E30*'LT '!C$33,AND($C30="Bus",$D30="Almost empty"),$E30*'LT '!H$23,AND($C30="Bus",$D30="Average"),$E30*'LT '!H$24,AND($C30="Bus",$D30="Nearly full"),$E30*'LT '!H$25,AND($C30="Electric bus",$D30="Almost empty"),$E30*'LT '!H$7,AND($C30="Electric bus",$D30="Average"),$E30*'LT '!H$8,AND($C30="Electric bus",$D30="Nearly full"),$E30*'LT '!H$9,AND($C30="Diesel bus",$D30="Almost empty"),$E30*'LT '!H$19,AND($C30="Diesel bus",$D30="Average"),$E30*'LT '!H$20,AND($C30="Diesel bus",$D30="Nearly full"),$E30*'LT '!H$21,AND($C30="Hybrid-electric bus",$D30="Almost empty"),$E30*'LT '!H$11,AND($C30="Hybrid-electric bus",$D30="Average"),$E30*'LT '!H$12,AND($C30="Hybrid-electric bus",$D30="Nearly full"),$E30*'LT '!H$13,AND($C30="Alternative fuel bus",$D30="Almost empty"),$E30*'LT '!H$15,AND($C30="Alternative fuel bus",$D30="Average"),$E30*'LT '!H$16,AND($C30="Alternative fuel bus",$D30="Nearly full"),$E30*'LT '!H$17,AND($C30="Metro, tram, urban light train",$D30="Almost empty"),$E30*'LT '!C$35,AND($C30="Metro, tram, urban light train",$D30="Average"),$E30*'LT '!C$36,AND($C30="Metro, tram, urban light train",$D30="Nearly full"),$E30*'LT '!C$37,AND($C30="Electric passenger train",$D30="Almost empty"),$E30*'LT '!C$39,AND($C30="Electric passenger train",$D30="Average"),$E30*'LT '!C$40,AND($C30="Electric passenger train",$D30="Nearly full"),$E30*'LT '!C$41,AND($C30="Diesel passenger train",$D30="Almost empty"),$E30*'LT '!C$47,AND($C30="Diesel passenger train",$D30="Average"),$E30*'LT '!C$48,AND($C30="Diesel passenger train",$D30="Nearly full"),$E30*'LT '!C$49,AND($C30="Walking"),$E30*0,AND($C30="Bike"),$E30*0,AND($C30="Plane - domestic flight"),$E30*'LT '!$C54,AND($C30="Plane - international - intra EU"),$E30*'LT '!$C56,AND($C30="Plane - international (extra EU)"),$E30*'LT '!$C58)</f>
        <v>#N/A</v>
      </c>
      <c r="G30" s="31" t="e" cm="1">
        <f t="array" ref="G30">_xlfn.IFS(AND($C30="Fuel car",$D30=1),$E30*'LT '!D$7,AND($C30="Fuel car",$D30=2),$E30*'LT '!D$8,AND($C30="Fuel car",$D30=3),$E30*'LT '!D$9,AND($C30="Fuel car",$D30=4),$E30*'LT '!D$10,AND($C30="Fuel car",$D30=5),$E30*'LT '!D$11,AND($C30="Motorcycle",$D30=1),$E30*'LT '!D$13,AND($C30="Motorcycle",$D30=2),$E30*'LT '!D$14,AND($C30="Electric car",$D30=1),$E30*'LT '!D$16,AND($C30="Electric car",$D30=2),$E30*'LT '!D$17,AND($C30="Electric car",$D30=3),$E30*'LT '!D$18,AND($C30="Electric car",$D30=4),$E30*'LT '!D$19,AND($C30="Electric car",$D30=5),$E30*'LT '!D$20,AND($C30="Hybrid car",$D30=1),$E30*'LT '!D$22,AND($C30="Hybrid car",$D30=2),$E30*'LT '!D$23,AND($C30="Hybrid car",$D30=3),$E30*'LT '!D$24,AND($C30="Hybrid car",$D30=4),$E30*'LT '!D$25,AND($C30="Hybrid car",$D30=5),$E30*'LT '!D$26,AND($C30="Electric motorcycle",$D30=1),$E30*'LT '!D$28,AND($C30="Electric motorcycle",$D30=2),$E30*'LT '!D$29,AND($C30="Electric bike",$D30=1),$E30*'LT '!D$31,AND($C30="Electric scooter",$D30=1),$E30*'LT '!D$33,AND($C30="Bus",$D30="Almost empty"),$E30*'LT '!I$23,AND($C30="Bus",$D30="Average"),$E30*'LT '!I$24,AND($C30="Bus",$D30="Nearly full"),$E30*'LT '!I$25,AND($C30="Electric bus",$D30="Almost empty"),$E30*'LT '!I$7,AND($C30="Electric bus",$D30="Average"),$E30*'LT '!I$8,AND($C30="Electric bus",$D30="Nearly full"),$E30*'LT '!I$9,AND($C30="Diesel bus",$D30="Almost empty"),$E30*'LT '!I$19,AND($C30="Diesel bus",$D30="Average"),$E30*'LT '!I$20,AND($C30="Diesel bus",$D30="Nearly full"),$E30*'LT '!I$21,AND($C30="Hybrid-electric bus",$D30="Almost empty"),$E30*'LT '!I$11,AND($C30="Hybrid-electric bus",$D30="Average"),$E30*'LT '!I$12,AND($C30="Hybrid-electric bus",$D30="Nearly full"),$E30*'LT '!I$13,AND($C30="Alternative fuel bus",$D30="Almost empty"),$E30*'LT '!I$15,AND($C30="Alternative fuel bus",$D30="Average"),$E30*'LT '!I$16,AND($C30="Alternative fuel bus",$D30="Nearly full"),$E30*'LT '!I$17,AND($C30="Metro, tram, urban light train",$D30="Almost empty"),$E30*'LT '!D$35,AND($C30="Metro, tram, urban light train",$D30="Average"),$E30*'LT '!D$36,AND($C30="Metro, tram, urban light train",$D30="Nearly full"),$E30*'LT '!D$37,AND($C30="Electric passenger train",$D30="Almost empty"),$E30*'LT '!D$39,AND($C30="Electric passenger train",$D30="Average"),$E30*'LT '!D$40,AND($C30="Electric passenger train",$D30="Nearly full"),$E30*'LT '!D$41,AND($C30="Diesel passenger train",$D30="Almost empty"),$E30*'LT '!D$47,AND($C30="Diesel passenger train",$D30="Average"),$E30*'LT '!D$48,AND($C30="Diesel passenger train",$D30="Nearly full"),$E30*'LT '!D$49,AND($C30="Walking"),$E30*0,AND($C30="Bike"),$E30*0,AND($C30="Plane - domestic flight"),$E30*'LT '!$C54,AND($C30="Plane - international - intra EU"),$E30*'LT '!$C56,AND($C30="Plane - international (extra EU)"),$E30*'LT '!$C58)</f>
        <v>#N/A</v>
      </c>
      <c r="H30" s="145"/>
      <c r="I30" s="148">
        <f t="shared" ref="I30:I43" si="6">H30/10*E30</f>
        <v>0</v>
      </c>
      <c r="J30" s="146" t="e" cm="1">
        <f t="array" ref="J30">_xlfn.IFS(C30="Fuel car",C30*DATA!$C$17,C30="Electric car",C30*DATA!$F$17,C30="Hybrid car",I30*(0.5*DATA!$C$17+0.5*DATA!$F$17))</f>
        <v>#N/A</v>
      </c>
      <c r="L30" s="215" t="s">
        <v>76</v>
      </c>
      <c r="M30" s="216"/>
      <c r="N30" s="217"/>
    </row>
    <row r="31" spans="1:17" x14ac:dyDescent="0.2">
      <c r="A31" s="222"/>
      <c r="B31" s="30"/>
      <c r="C31" s="15"/>
      <c r="D31" s="15"/>
      <c r="E31" s="125"/>
      <c r="F31" s="128" t="e" cm="1">
        <f t="array" ref="F31">_xlfn.IFS(AND($C31="Fuel car",$D31=1),$E31*'LT '!C$7,AND($C31="Fuel car",$D31=2),$E31*'LT '!C$8,AND($C31="Fuel car",$D31=3),$E31*'LT '!C$9,AND($C31="Fuel car",$D31=4),$E31*'LT '!C$10,AND($C31="Fuel car",$D31=5),$E31*'LT '!C$11,AND($C31="Motorcycle",$D31=1),$E31*'LT '!C$13,AND($C31="Motorcycle",$D31=2),$E31*'LT '!C$14,AND($C31="Electric car",$D31=1),$E31*'LT '!C$16,AND($C31="Electric car",$D31=2),$E31*'LT '!C$17,AND($C31="Electric car",$D31=3),$E31*'LT '!C$18,AND($C31="Electric car",$D31=4),$E31*'LT '!C$19,AND($C31="Electric car",$D31=5),$E31*'LT '!C$20,AND($C31="Hybrid car",$D31=1),$E31*'LT '!C$22,AND($C31="Hybrid car",$D31=2),$E31*'LT '!C$23,AND($C31="Hybrid car",$D31=3),$E31*'LT '!C$24,AND($C31="Hybrid car",$D31=4),$E31*'LT '!C$25,AND($C31="Hybrid car",$D31=5),$E31*'LT '!C$26,AND($C31="Electric motorcycle",$D31=1),$E31*'LT '!C$28,AND($C31="Electric motorcycle",$D31=2),$E31*'LT '!C$29,AND($C31="Electric bike",$D31=1),$E31*'LT '!C$31,AND($C31="Electric scooter",$D31=1),$E31*'LT '!C$33,AND($C31="Bus",$D31="Almost empty"),$E31*'LT '!H$23,AND($C31="Bus",$D31="Average"),$E31*'LT '!H$24,AND($C31="Bus",$D31="Nearly full"),$E31*'LT '!H$25,AND($C31="Electric bus",$D31="Almost empty"),$E31*'LT '!H$7,AND($C31="Electric bus",$D31="Average"),$E31*'LT '!H$8,AND($C31="Electric bus",$D31="Nearly full"),$E31*'LT '!H$9,AND($C31="Diesel bus",$D31="Almost empty"),$E31*'LT '!H$19,AND($C31="Diesel bus",$D31="Average"),$E31*'LT '!H$20,AND($C31="Diesel bus",$D31="Nearly full"),$E31*'LT '!H$21,AND($C31="Hybrid-electric bus",$D31="Almost empty"),$E31*'LT '!H$11,AND($C31="Hybrid-electric bus",$D31="Average"),$E31*'LT '!H$12,AND($C31="Hybrid-electric bus",$D31="Nearly full"),$E31*'LT '!H$13,AND($C31="Alternative fuel bus",$D31="Almost empty"),$E31*'LT '!H$15,AND($C31="Alternative fuel bus",$D31="Average"),$E31*'LT '!H$16,AND($C31="Alternative fuel bus",$D31="Nearly full"),$E31*'LT '!H$17,AND($C31="Metro, tram, urban light train",$D31="Almost empty"),$E31*'LT '!C$35,AND($C31="Metro, tram, urban light train",$D31="Average"),$E31*'LT '!C$36,AND($C31="Metro, tram, urban light train",$D31="Nearly full"),$E31*'LT '!C$37,AND($C31="Electric passenger train",$D31="Almost empty"),$E31*'LT '!C$39,AND($C31="Electric passenger train",$D31="Average"),$E31*'LT '!C$40,AND($C31="Electric passenger train",$D31="Nearly full"),$E31*'LT '!C$41,AND($C31="Diesel passenger train",$D31="Almost empty"),$E31*'LT '!C$47,AND($C31="Diesel passenger train",$D31="Average"),$E31*'LT '!C$48,AND($C31="Diesel passenger train",$D31="Nearly full"),$E31*'LT '!C$49,AND($C31="Walking"),$E31*0,AND($C31="Bike"),$E31*0,AND($C31="Plane - domestic flight"),$E31*'LT '!$C55,AND($C31="Plane - international - intra EU"),$E31*'LT '!$C57,AND($C31="Plane - international (extra EU)"),$E31*'LT '!$C59)</f>
        <v>#N/A</v>
      </c>
      <c r="G31" s="31" t="e" cm="1">
        <f t="array" ref="G31">_xlfn.IFS(AND($C31="Fuel car",$D31=1),$E31*'LT '!D$7,AND($C31="Fuel car",$D31=2),$E31*'LT '!D$8,AND($C31="Fuel car",$D31=3),$E31*'LT '!D$9,AND($C31="Fuel car",$D31=4),$E31*'LT '!D$10,AND($C31="Fuel car",$D31=5),$E31*'LT '!D$11,AND($C31="Motorcycle",$D31=1),$E31*'LT '!D$13,AND($C31="Motorcycle",$D31=2),$E31*'LT '!D$14,AND($C31="Electric car",$D31=1),$E31*'LT '!D$16,AND($C31="Electric car",$D31=2),$E31*'LT '!D$17,AND($C31="Electric car",$D31=3),$E31*'LT '!D$18,AND($C31="Electric car",$D31=4),$E31*'LT '!D$19,AND($C31="Electric car",$D31=5),$E31*'LT '!D$20,AND($C31="Hybrid car",$D31=1),$E31*'LT '!D$22,AND($C31="Hybrid car",$D31=2),$E31*'LT '!D$23,AND($C31="Hybrid car",$D31=3),$E31*'LT '!D$24,AND($C31="Hybrid car",$D31=4),$E31*'LT '!D$25,AND($C31="Hybrid car",$D31=5),$E31*'LT '!D$26,AND($C31="Electric motorcycle",$D31=1),$E31*'LT '!D$28,AND($C31="Electric motorcycle",$D31=2),$E31*'LT '!D$29,AND($C31="Electric bike",$D31=1),$E31*'LT '!D$31,AND($C31="Electric scooter",$D31=1),$E31*'LT '!D$33,AND($C31="Bus",$D31="Almost empty"),$E31*'LT '!I$23,AND($C31="Bus",$D31="Average"),$E31*'LT '!I$24,AND($C31="Bus",$D31="Nearly full"),$E31*'LT '!I$25,AND($C31="Electric bus",$D31="Almost empty"),$E31*'LT '!I$7,AND($C31="Electric bus",$D31="Average"),$E31*'LT '!I$8,AND($C31="Electric bus",$D31="Nearly full"),$E31*'LT '!I$9,AND($C31="Diesel bus",$D31="Almost empty"),$E31*'LT '!I$19,AND($C31="Diesel bus",$D31="Average"),$E31*'LT '!I$20,AND($C31="Diesel bus",$D31="Nearly full"),$E31*'LT '!I$21,AND($C31="Hybrid-electric bus",$D31="Almost empty"),$E31*'LT '!I$11,AND($C31="Hybrid-electric bus",$D31="Average"),$E31*'LT '!I$12,AND($C31="Hybrid-electric bus",$D31="Nearly full"),$E31*'LT '!I$13,AND($C31="Alternative fuel bus",$D31="Almost empty"),$E31*'LT '!I$15,AND($C31="Alternative fuel bus",$D31="Average"),$E31*'LT '!I$16,AND($C31="Alternative fuel bus",$D31="Nearly full"),$E31*'LT '!I$17,AND($C31="Metro, tram, urban light train",$D31="Almost empty"),$E31*'LT '!D$35,AND($C31="Metro, tram, urban light train",$D31="Average"),$E31*'LT '!D$36,AND($C31="Metro, tram, urban light train",$D31="Nearly full"),$E31*'LT '!D$37,AND($C31="Electric passenger train",$D31="Almost empty"),$E31*'LT '!D$39,AND($C31="Electric passenger train",$D31="Average"),$E31*'LT '!D$40,AND($C31="Electric passenger train",$D31="Nearly full"),$E31*'LT '!D$41,AND($C31="Diesel passenger train",$D31="Almost empty"),$E31*'LT '!D$47,AND($C31="Diesel passenger train",$D31="Average"),$E31*'LT '!D$48,AND($C31="Diesel passenger train",$D31="Nearly full"),$E31*'LT '!D$49,AND($C31="Walking"),$E31*0,AND($C31="Bike"),$E31*0,AND($C31="Plane - domestic flight"),$E31*'LT '!$C55,AND($C31="Plane - international - intra EU"),$E31*'LT '!$C57,AND($C31="Plane - international (extra EU)"),$E31*'LT '!$C59)</f>
        <v>#N/A</v>
      </c>
      <c r="H31" s="145"/>
      <c r="I31" s="148">
        <f t="shared" si="6"/>
        <v>0</v>
      </c>
      <c r="J31" s="146" t="e" cm="1">
        <f t="array" ref="J31">_xlfn.IFS(C31="Fuel car",C31*DATA!$C$17,C31="Electric car",C31*DATA!$F$17,C31="Hybrid car",I31*(0.5*DATA!$C$17+0.5*DATA!$F$17))</f>
        <v>#N/A</v>
      </c>
      <c r="L31" s="223"/>
      <c r="M31" s="224"/>
      <c r="N31" s="225"/>
    </row>
    <row r="32" spans="1:17" ht="16" thickBot="1" x14ac:dyDescent="0.25">
      <c r="A32" s="222"/>
      <c r="B32" s="30"/>
      <c r="C32" s="15"/>
      <c r="D32" s="15"/>
      <c r="E32" s="125"/>
      <c r="F32" s="128" t="e" cm="1">
        <f t="array" ref="F32">_xlfn.IFS(AND($C32="Fuel car",$D32=1),$E32*'LT '!C$7,AND($C32="Fuel car",$D32=2),$E32*'LT '!C$8,AND($C32="Fuel car",$D32=3),$E32*'LT '!C$9,AND($C32="Fuel car",$D32=4),$E32*'LT '!C$10,AND($C32="Fuel car",$D32=5),$E32*'LT '!C$11,AND($C32="Motorcycle",$D32=1),$E32*'LT '!C$13,AND($C32="Motorcycle",$D32=2),$E32*'LT '!C$14,AND($C32="Electric car",$D32=1),$E32*'LT '!C$16,AND($C32="Electric car",$D32=2),$E32*'LT '!C$17,AND($C32="Electric car",$D32=3),$E32*'LT '!C$18,AND($C32="Electric car",$D32=4),$E32*'LT '!C$19,AND($C32="Electric car",$D32=5),$E32*'LT '!C$20,AND($C32="Hybrid car",$D32=1),$E32*'LT '!C$22,AND($C32="Hybrid car",$D32=2),$E32*'LT '!C$23,AND($C32="Hybrid car",$D32=3),$E32*'LT '!C$24,AND($C32="Hybrid car",$D32=4),$E32*'LT '!C$25,AND($C32="Hybrid car",$D32=5),$E32*'LT '!C$26,AND($C32="Electric motorcycle",$D32=1),$E32*'LT '!C$28,AND($C32="Electric motorcycle",$D32=2),$E32*'LT '!C$29,AND($C32="Electric bike",$D32=1),$E32*'LT '!C$31,AND($C32="Electric scooter",$D32=1),$E32*'LT '!C$33,AND($C32="Bus",$D32="Almost empty"),$E32*'LT '!H$23,AND($C32="Bus",$D32="Average"),$E32*'LT '!H$24,AND($C32="Bus",$D32="Nearly full"),$E32*'LT '!H$25,AND($C32="Electric bus",$D32="Almost empty"),$E32*'LT '!H$7,AND($C32="Electric bus",$D32="Average"),$E32*'LT '!H$8,AND($C32="Electric bus",$D32="Nearly full"),$E32*'LT '!H$9,AND($C32="Diesel bus",$D32="Almost empty"),$E32*'LT '!H$19,AND($C32="Diesel bus",$D32="Average"),$E32*'LT '!H$20,AND($C32="Diesel bus",$D32="Nearly full"),$E32*'LT '!H$21,AND($C32="Hybrid-electric bus",$D32="Almost empty"),$E32*'LT '!H$11,AND($C32="Hybrid-electric bus",$D32="Average"),$E32*'LT '!H$12,AND($C32="Hybrid-electric bus",$D32="Nearly full"),$E32*'LT '!H$13,AND($C32="Alternative fuel bus",$D32="Almost empty"),$E32*'LT '!H$15,AND($C32="Alternative fuel bus",$D32="Average"),$E32*'LT '!H$16,AND($C32="Alternative fuel bus",$D32="Nearly full"),$E32*'LT '!H$17,AND($C32="Metro, tram, urban light train",$D32="Almost empty"),$E32*'LT '!C$35,AND($C32="Metro, tram, urban light train",$D32="Average"),$E32*'LT '!C$36,AND($C32="Metro, tram, urban light train",$D32="Nearly full"),$E32*'LT '!C$37,AND($C32="Electric passenger train",$D32="Almost empty"),$E32*'LT '!C$39,AND($C32="Electric passenger train",$D32="Average"),$E32*'LT '!C$40,AND($C32="Electric passenger train",$D32="Nearly full"),$E32*'LT '!C$41,AND($C32="Diesel passenger train",$D32="Almost empty"),$E32*'LT '!C$47,AND($C32="Diesel passenger train",$D32="Average"),$E32*'LT '!C$48,AND($C32="Diesel passenger train",$D32="Nearly full"),$E32*'LT '!C$49,AND($C32="Walking"),$E32*0,AND($C32="Bike"),$E32*0,AND($C32="Plane - domestic flight"),$E32*'LT '!$C56,AND($C32="Plane - international - intra EU"),$E32*'LT '!$C58,AND($C32="Plane - international (extra EU)"),$E32*'LT '!$C60)</f>
        <v>#N/A</v>
      </c>
      <c r="G32" s="31" t="e" cm="1">
        <f t="array" ref="G32">_xlfn.IFS(AND($C32="Fuel car",$D32=1),$E32*'LT '!D$7,AND($C32="Fuel car",$D32=2),$E32*'LT '!D$8,AND($C32="Fuel car",$D32=3),$E32*'LT '!D$9,AND($C32="Fuel car",$D32=4),$E32*'LT '!D$10,AND($C32="Fuel car",$D32=5),$E32*'LT '!D$11,AND($C32="Motorcycle",$D32=1),$E32*'LT '!D$13,AND($C32="Motorcycle",$D32=2),$E32*'LT '!D$14,AND($C32="Electric car",$D32=1),$E32*'LT '!D$16,AND($C32="Electric car",$D32=2),$E32*'LT '!D$17,AND($C32="Electric car",$D32=3),$E32*'LT '!D$18,AND($C32="Electric car",$D32=4),$E32*'LT '!D$19,AND($C32="Electric car",$D32=5),$E32*'LT '!D$20,AND($C32="Hybrid car",$D32=1),$E32*'LT '!D$22,AND($C32="Hybrid car",$D32=2),$E32*'LT '!D$23,AND($C32="Hybrid car",$D32=3),$E32*'LT '!D$24,AND($C32="Hybrid car",$D32=4),$E32*'LT '!D$25,AND($C32="Hybrid car",$D32=5),$E32*'LT '!D$26,AND($C32="Electric motorcycle",$D32=1),$E32*'LT '!D$28,AND($C32="Electric motorcycle",$D32=2),$E32*'LT '!D$29,AND($C32="Electric bike",$D32=1),$E32*'LT '!D$31,AND($C32="Electric scooter",$D32=1),$E32*'LT '!D$33,AND($C32="Bus",$D32="Almost empty"),$E32*'LT '!I$23,AND($C32="Bus",$D32="Average"),$E32*'LT '!I$24,AND($C32="Bus",$D32="Nearly full"),$E32*'LT '!I$25,AND($C32="Electric bus",$D32="Almost empty"),$E32*'LT '!I$7,AND($C32="Electric bus",$D32="Average"),$E32*'LT '!I$8,AND($C32="Electric bus",$D32="Nearly full"),$E32*'LT '!I$9,AND($C32="Diesel bus",$D32="Almost empty"),$E32*'LT '!I$19,AND($C32="Diesel bus",$D32="Average"),$E32*'LT '!I$20,AND($C32="Diesel bus",$D32="Nearly full"),$E32*'LT '!I$21,AND($C32="Hybrid-electric bus",$D32="Almost empty"),$E32*'LT '!I$11,AND($C32="Hybrid-electric bus",$D32="Average"),$E32*'LT '!I$12,AND($C32="Hybrid-electric bus",$D32="Nearly full"),$E32*'LT '!I$13,AND($C32="Alternative fuel bus",$D32="Almost empty"),$E32*'LT '!I$15,AND($C32="Alternative fuel bus",$D32="Average"),$E32*'LT '!I$16,AND($C32="Alternative fuel bus",$D32="Nearly full"),$E32*'LT '!I$17,AND($C32="Metro, tram, urban light train",$D32="Almost empty"),$E32*'LT '!D$35,AND($C32="Metro, tram, urban light train",$D32="Average"),$E32*'LT '!D$36,AND($C32="Metro, tram, urban light train",$D32="Nearly full"),$E32*'LT '!D$37,AND($C32="Electric passenger train",$D32="Almost empty"),$E32*'LT '!D$39,AND($C32="Electric passenger train",$D32="Average"),$E32*'LT '!D$40,AND($C32="Electric passenger train",$D32="Nearly full"),$E32*'LT '!D$41,AND($C32="Diesel passenger train",$D32="Almost empty"),$E32*'LT '!D$47,AND($C32="Diesel passenger train",$D32="Average"),$E32*'LT '!D$48,AND($C32="Diesel passenger train",$D32="Nearly full"),$E32*'LT '!D$49,AND($C32="Walking"),$E32*0,AND($C32="Bike"),$E32*0,AND($C32="Plane - domestic flight"),$E32*'LT '!$C56,AND($C32="Plane - international - intra EU"),$E32*'LT '!$C58,AND($C32="Plane - international (extra EU)"),$E32*'LT '!$C60)</f>
        <v>#N/A</v>
      </c>
      <c r="H32" s="145"/>
      <c r="I32" s="148">
        <f t="shared" si="6"/>
        <v>0</v>
      </c>
      <c r="J32" s="146" t="e" cm="1">
        <f t="array" ref="J32">_xlfn.IFS(C32="Fuel car",C32*DATA!$C$17,C32="Electric car",C32*DATA!$F$17,C32="Hybrid car",I32*(0.5*DATA!$C$17+0.5*DATA!$F$17))</f>
        <v>#N/A</v>
      </c>
      <c r="L32" s="218"/>
      <c r="M32" s="219"/>
      <c r="N32" s="220"/>
    </row>
    <row r="33" spans="1:14" ht="14.5" customHeight="1" x14ac:dyDescent="0.2">
      <c r="A33" s="222"/>
      <c r="B33" s="30"/>
      <c r="C33" s="15"/>
      <c r="D33" s="15"/>
      <c r="E33" s="125"/>
      <c r="F33" s="128" t="e" cm="1">
        <f t="array" ref="F33">_xlfn.IFS(AND($C33="Fuel car",$D33=1),$E33*'LT '!C$7,AND($C33="Fuel car",$D33=2),$E33*'LT '!C$8,AND($C33="Fuel car",$D33=3),$E33*'LT '!C$9,AND($C33="Fuel car",$D33=4),$E33*'LT '!C$10,AND($C33="Fuel car",$D33=5),$E33*'LT '!C$11,AND($C33="Motorcycle",$D33=1),$E33*'LT '!C$13,AND($C33="Motorcycle",$D33=2),$E33*'LT '!C$14,AND($C33="Electric car",$D33=1),$E33*'LT '!C$16,AND($C33="Electric car",$D33=2),$E33*'LT '!C$17,AND($C33="Electric car",$D33=3),$E33*'LT '!C$18,AND($C33="Electric car",$D33=4),$E33*'LT '!C$19,AND($C33="Electric car",$D33=5),$E33*'LT '!C$20,AND($C33="Hybrid car",$D33=1),$E33*'LT '!C$22,AND($C33="Hybrid car",$D33=2),$E33*'LT '!C$23,AND($C33="Hybrid car",$D33=3),$E33*'LT '!C$24,AND($C33="Hybrid car",$D33=4),$E33*'LT '!C$25,AND($C33="Hybrid car",$D33=5),$E33*'LT '!C$26,AND($C33="Electric motorcycle",$D33=1),$E33*'LT '!C$28,AND($C33="Electric motorcycle",$D33=2),$E33*'LT '!C$29,AND($C33="Electric bike",$D33=1),$E33*'LT '!C$31,AND($C33="Electric scooter",$D33=1),$E33*'LT '!C$33,AND($C33="Bus",$D33="Almost empty"),$E33*'LT '!H$23,AND($C33="Bus",$D33="Average"),$E33*'LT '!H$24,AND($C33="Bus",$D33="Nearly full"),$E33*'LT '!H$25,AND($C33="Electric bus",$D33="Almost empty"),$E33*'LT '!H$7,AND($C33="Electric bus",$D33="Average"),$E33*'LT '!H$8,AND($C33="Electric bus",$D33="Nearly full"),$E33*'LT '!H$9,AND($C33="Diesel bus",$D33="Almost empty"),$E33*'LT '!H$19,AND($C33="Diesel bus",$D33="Average"),$E33*'LT '!H$20,AND($C33="Diesel bus",$D33="Nearly full"),$E33*'LT '!H$21,AND($C33="Hybrid-electric bus",$D33="Almost empty"),$E33*'LT '!H$11,AND($C33="Hybrid-electric bus",$D33="Average"),$E33*'LT '!H$12,AND($C33="Hybrid-electric bus",$D33="Nearly full"),$E33*'LT '!H$13,AND($C33="Alternative fuel bus",$D33="Almost empty"),$E33*'LT '!H$15,AND($C33="Alternative fuel bus",$D33="Average"),$E33*'LT '!H$16,AND($C33="Alternative fuel bus",$D33="Nearly full"),$E33*'LT '!H$17,AND($C33="Metro, tram, urban light train",$D33="Almost empty"),$E33*'LT '!C$35,AND($C33="Metro, tram, urban light train",$D33="Average"),$E33*'LT '!C$36,AND($C33="Metro, tram, urban light train",$D33="Nearly full"),$E33*'LT '!C$37,AND($C33="Electric passenger train",$D33="Almost empty"),$E33*'LT '!C$39,AND($C33="Electric passenger train",$D33="Average"),$E33*'LT '!C$40,AND($C33="Electric passenger train",$D33="Nearly full"),$E33*'LT '!C$41,AND($C33="Diesel passenger train",$D33="Almost empty"),$E33*'LT '!C$47,AND($C33="Diesel passenger train",$D33="Average"),$E33*'LT '!C$48,AND($C33="Diesel passenger train",$D33="Nearly full"),$E33*'LT '!C$49,AND($C33="Walking"),$E33*0,AND($C33="Bike"),$E33*0,AND($C33="Plane - domestic flight"),$E33*'LT '!$C57,AND($C33="Plane - international - intra EU"),$E33*'LT '!$C59,AND($C33="Plane - international (extra EU)"),$E33*'LT '!$C61)</f>
        <v>#N/A</v>
      </c>
      <c r="G33" s="31" t="e" cm="1">
        <f t="array" ref="G33">_xlfn.IFS(AND($C33="Fuel car",$D33=1),$E33*'LT '!D$7,AND($C33="Fuel car",$D33=2),$E33*'LT '!D$8,AND($C33="Fuel car",$D33=3),$E33*'LT '!D$9,AND($C33="Fuel car",$D33=4),$E33*'LT '!D$10,AND($C33="Fuel car",$D33=5),$E33*'LT '!D$11,AND($C33="Motorcycle",$D33=1),$E33*'LT '!D$13,AND($C33="Motorcycle",$D33=2),$E33*'LT '!D$14,AND($C33="Electric car",$D33=1),$E33*'LT '!D$16,AND($C33="Electric car",$D33=2),$E33*'LT '!D$17,AND($C33="Electric car",$D33=3),$E33*'LT '!D$18,AND($C33="Electric car",$D33=4),$E33*'LT '!D$19,AND($C33="Electric car",$D33=5),$E33*'LT '!D$20,AND($C33="Hybrid car",$D33=1),$E33*'LT '!D$22,AND($C33="Hybrid car",$D33=2),$E33*'LT '!D$23,AND($C33="Hybrid car",$D33=3),$E33*'LT '!D$24,AND($C33="Hybrid car",$D33=4),$E33*'LT '!D$25,AND($C33="Hybrid car",$D33=5),$E33*'LT '!D$26,AND($C33="Electric motorcycle",$D33=1),$E33*'LT '!D$28,AND($C33="Electric motorcycle",$D33=2),$E33*'LT '!D$29,AND($C33="Electric bike",$D33=1),$E33*'LT '!D$31,AND($C33="Electric scooter",$D33=1),$E33*'LT '!D$33,AND($C33="Bus",$D33="Almost empty"),$E33*'LT '!I$23,AND($C33="Bus",$D33="Average"),$E33*'LT '!I$24,AND($C33="Bus",$D33="Nearly full"),$E33*'LT '!I$25,AND($C33="Electric bus",$D33="Almost empty"),$E33*'LT '!I$7,AND($C33="Electric bus",$D33="Average"),$E33*'LT '!I$8,AND($C33="Electric bus",$D33="Nearly full"),$E33*'LT '!I$9,AND($C33="Diesel bus",$D33="Almost empty"),$E33*'LT '!I$19,AND($C33="Diesel bus",$D33="Average"),$E33*'LT '!I$20,AND($C33="Diesel bus",$D33="Nearly full"),$E33*'LT '!I$21,AND($C33="Hybrid-electric bus",$D33="Almost empty"),$E33*'LT '!I$11,AND($C33="Hybrid-electric bus",$D33="Average"),$E33*'LT '!I$12,AND($C33="Hybrid-electric bus",$D33="Nearly full"),$E33*'LT '!I$13,AND($C33="Alternative fuel bus",$D33="Almost empty"),$E33*'LT '!I$15,AND($C33="Alternative fuel bus",$D33="Average"),$E33*'LT '!I$16,AND($C33="Alternative fuel bus",$D33="Nearly full"),$E33*'LT '!I$17,AND($C33="Metro, tram, urban light train",$D33="Almost empty"),$E33*'LT '!D$35,AND($C33="Metro, tram, urban light train",$D33="Average"),$E33*'LT '!D$36,AND($C33="Metro, tram, urban light train",$D33="Nearly full"),$E33*'LT '!D$37,AND($C33="Electric passenger train",$D33="Almost empty"),$E33*'LT '!D$39,AND($C33="Electric passenger train",$D33="Average"),$E33*'LT '!D$40,AND($C33="Electric passenger train",$D33="Nearly full"),$E33*'LT '!D$41,AND($C33="Diesel passenger train",$D33="Almost empty"),$E33*'LT '!D$47,AND($C33="Diesel passenger train",$D33="Average"),$E33*'LT '!D$48,AND($C33="Diesel passenger train",$D33="Nearly full"),$E33*'LT '!D$49,AND($C33="Walking"),$E33*0,AND($C33="Bike"),$E33*0,AND($C33="Plane - domestic flight"),$E33*'LT '!$C57,AND($C33="Plane - international - intra EU"),$E33*'LT '!$C59,AND($C33="Plane - international (extra EU)"),$E33*'LT '!$C61)</f>
        <v>#N/A</v>
      </c>
      <c r="H33" s="145"/>
      <c r="I33" s="148">
        <f t="shared" si="6"/>
        <v>0</v>
      </c>
      <c r="J33" s="146" t="e" cm="1">
        <f t="array" ref="J33">_xlfn.IFS(C33="Fuel car",C33*DATA!$C$17,C33="Electric car",C33*DATA!$F$17,C33="Hybrid car",I33*(0.5*DATA!$C$17+0.5*DATA!$F$17))</f>
        <v>#N/A</v>
      </c>
      <c r="L33" s="223" t="s">
        <v>78</v>
      </c>
      <c r="M33" s="224"/>
      <c r="N33" s="225"/>
    </row>
    <row r="34" spans="1:14" x14ac:dyDescent="0.2">
      <c r="A34" s="222"/>
      <c r="B34" s="30"/>
      <c r="C34" s="15"/>
      <c r="D34" s="15"/>
      <c r="E34" s="125"/>
      <c r="F34" s="128" t="e" cm="1">
        <f t="array" ref="F34">_xlfn.IFS(AND($C34="Fuel car",$D34=1),$E34*'LT '!C$7,AND($C34="Fuel car",$D34=2),$E34*'LT '!C$8,AND($C34="Fuel car",$D34=3),$E34*'LT '!C$9,AND($C34="Fuel car",$D34=4),$E34*'LT '!C$10,AND($C34="Fuel car",$D34=5),$E34*'LT '!C$11,AND($C34="Motorcycle",$D34=1),$E34*'LT '!C$13,AND($C34="Motorcycle",$D34=2),$E34*'LT '!C$14,AND($C34="Electric car",$D34=1),$E34*'LT '!C$16,AND($C34="Electric car",$D34=2),$E34*'LT '!C$17,AND($C34="Electric car",$D34=3),$E34*'LT '!C$18,AND($C34="Electric car",$D34=4),$E34*'LT '!C$19,AND($C34="Electric car",$D34=5),$E34*'LT '!C$20,AND($C34="Hybrid car",$D34=1),$E34*'LT '!C$22,AND($C34="Hybrid car",$D34=2),$E34*'LT '!C$23,AND($C34="Hybrid car",$D34=3),$E34*'LT '!C$24,AND($C34="Hybrid car",$D34=4),$E34*'LT '!C$25,AND($C34="Hybrid car",$D34=5),$E34*'LT '!C$26,AND($C34="Electric motorcycle",$D34=1),$E34*'LT '!C$28,AND($C34="Electric motorcycle",$D34=2),$E34*'LT '!C$29,AND($C34="Electric bike",$D34=1),$E34*'LT '!C$31,AND($C34="Electric scooter",$D34=1),$E34*'LT '!C$33,AND($C34="Bus",$D34="Almost empty"),$E34*'LT '!H$23,AND($C34="Bus",$D34="Average"),$E34*'LT '!H$24,AND($C34="Bus",$D34="Nearly full"),$E34*'LT '!H$25,AND($C34="Electric bus",$D34="Almost empty"),$E34*'LT '!H$7,AND($C34="Electric bus",$D34="Average"),$E34*'LT '!H$8,AND($C34="Electric bus",$D34="Nearly full"),$E34*'LT '!H$9,AND($C34="Diesel bus",$D34="Almost empty"),$E34*'LT '!H$19,AND($C34="Diesel bus",$D34="Average"),$E34*'LT '!H$20,AND($C34="Diesel bus",$D34="Nearly full"),$E34*'LT '!H$21,AND($C34="Hybrid-electric bus",$D34="Almost empty"),$E34*'LT '!H$11,AND($C34="Hybrid-electric bus",$D34="Average"),$E34*'LT '!H$12,AND($C34="Hybrid-electric bus",$D34="Nearly full"),$E34*'LT '!H$13,AND($C34="Alternative fuel bus",$D34="Almost empty"),$E34*'LT '!H$15,AND($C34="Alternative fuel bus",$D34="Average"),$E34*'LT '!H$16,AND($C34="Alternative fuel bus",$D34="Nearly full"),$E34*'LT '!H$17,AND($C34="Metro, tram, urban light train",$D34="Almost empty"),$E34*'LT '!C$35,AND($C34="Metro, tram, urban light train",$D34="Average"),$E34*'LT '!C$36,AND($C34="Metro, tram, urban light train",$D34="Nearly full"),$E34*'LT '!C$37,AND($C34="Electric passenger train",$D34="Almost empty"),$E34*'LT '!C$39,AND($C34="Electric passenger train",$D34="Average"),$E34*'LT '!C$40,AND($C34="Electric passenger train",$D34="Nearly full"),$E34*'LT '!C$41,AND($C34="Diesel passenger train",$D34="Almost empty"),$E34*'LT '!C$47,AND($C34="Diesel passenger train",$D34="Average"),$E34*'LT '!C$48,AND($C34="Diesel passenger train",$D34="Nearly full"),$E34*'LT '!C$49,AND($C34="Walking"),$E34*0,AND($C34="Bike"),$E34*0,AND($C34="Plane - domestic flight"),$E34*'LT '!$C58,AND($C34="Plane - international - intra EU"),$E34*'LT '!$C60,AND($C34="Plane - international (extra EU)"),$E34*'LT '!$C62)</f>
        <v>#N/A</v>
      </c>
      <c r="G34" s="31" t="e" cm="1">
        <f t="array" ref="G34">_xlfn.IFS(AND($C34="Fuel car",$D34=1),$E34*'LT '!D$7,AND($C34="Fuel car",$D34=2),$E34*'LT '!D$8,AND($C34="Fuel car",$D34=3),$E34*'LT '!D$9,AND($C34="Fuel car",$D34=4),$E34*'LT '!D$10,AND($C34="Fuel car",$D34=5),$E34*'LT '!D$11,AND($C34="Motorcycle",$D34=1),$E34*'LT '!D$13,AND($C34="Motorcycle",$D34=2),$E34*'LT '!D$14,AND($C34="Electric car",$D34=1),$E34*'LT '!D$16,AND($C34="Electric car",$D34=2),$E34*'LT '!D$17,AND($C34="Electric car",$D34=3),$E34*'LT '!D$18,AND($C34="Electric car",$D34=4),$E34*'LT '!D$19,AND($C34="Electric car",$D34=5),$E34*'LT '!D$20,AND($C34="Hybrid car",$D34=1),$E34*'LT '!D$22,AND($C34="Hybrid car",$D34=2),$E34*'LT '!D$23,AND($C34="Hybrid car",$D34=3),$E34*'LT '!D$24,AND($C34="Hybrid car",$D34=4),$E34*'LT '!D$25,AND($C34="Hybrid car",$D34=5),$E34*'LT '!D$26,AND($C34="Electric motorcycle",$D34=1),$E34*'LT '!D$28,AND($C34="Electric motorcycle",$D34=2),$E34*'LT '!D$29,AND($C34="Electric bike",$D34=1),$E34*'LT '!D$31,AND($C34="Electric scooter",$D34=1),$E34*'LT '!D$33,AND($C34="Bus",$D34="Almost empty"),$E34*'LT '!I$23,AND($C34="Bus",$D34="Average"),$E34*'LT '!I$24,AND($C34="Bus",$D34="Nearly full"),$E34*'LT '!I$25,AND($C34="Electric bus",$D34="Almost empty"),$E34*'LT '!I$7,AND($C34="Electric bus",$D34="Average"),$E34*'LT '!I$8,AND($C34="Electric bus",$D34="Nearly full"),$E34*'LT '!I$9,AND($C34="Diesel bus",$D34="Almost empty"),$E34*'LT '!I$19,AND($C34="Diesel bus",$D34="Average"),$E34*'LT '!I$20,AND($C34="Diesel bus",$D34="Nearly full"),$E34*'LT '!I$21,AND($C34="Hybrid-electric bus",$D34="Almost empty"),$E34*'LT '!I$11,AND($C34="Hybrid-electric bus",$D34="Average"),$E34*'LT '!I$12,AND($C34="Hybrid-electric bus",$D34="Nearly full"),$E34*'LT '!I$13,AND($C34="Alternative fuel bus",$D34="Almost empty"),$E34*'LT '!I$15,AND($C34="Alternative fuel bus",$D34="Average"),$E34*'LT '!I$16,AND($C34="Alternative fuel bus",$D34="Nearly full"),$E34*'LT '!I$17,AND($C34="Metro, tram, urban light train",$D34="Almost empty"),$E34*'LT '!D$35,AND($C34="Metro, tram, urban light train",$D34="Average"),$E34*'LT '!D$36,AND($C34="Metro, tram, urban light train",$D34="Nearly full"),$E34*'LT '!D$37,AND($C34="Electric passenger train",$D34="Almost empty"),$E34*'LT '!D$39,AND($C34="Electric passenger train",$D34="Average"),$E34*'LT '!D$40,AND($C34="Electric passenger train",$D34="Nearly full"),$E34*'LT '!D$41,AND($C34="Diesel passenger train",$D34="Almost empty"),$E34*'LT '!D$47,AND($C34="Diesel passenger train",$D34="Average"),$E34*'LT '!D$48,AND($C34="Diesel passenger train",$D34="Nearly full"),$E34*'LT '!D$49,AND($C34="Walking"),$E34*0,AND($C34="Bike"),$E34*0,AND($C34="Plane - domestic flight"),$E34*'LT '!$C58,AND($C34="Plane - international - intra EU"),$E34*'LT '!$C60,AND($C34="Plane - international (extra EU)"),$E34*'LT '!$C62)</f>
        <v>#N/A</v>
      </c>
      <c r="H34" s="145"/>
      <c r="I34" s="148">
        <f t="shared" si="6"/>
        <v>0</v>
      </c>
      <c r="J34" s="146" t="e" cm="1">
        <f t="array" ref="J34">_xlfn.IFS(C34="Fuel car",C34*DATA!$C$17,C34="Electric car",C34*DATA!$F$17,C34="Hybrid car",I34*(0.5*DATA!$C$17+0.5*DATA!$F$17))</f>
        <v>#N/A</v>
      </c>
      <c r="L34" s="223"/>
      <c r="M34" s="224"/>
      <c r="N34" s="225"/>
    </row>
    <row r="35" spans="1:14" ht="14.5" customHeight="1" x14ac:dyDescent="0.2">
      <c r="A35" s="222"/>
      <c r="B35" s="30"/>
      <c r="C35" s="15"/>
      <c r="D35" s="15"/>
      <c r="E35" s="125"/>
      <c r="F35" s="128" t="e" cm="1">
        <f t="array" ref="F35">_xlfn.IFS(AND($C35="Fuel car",$D35=1),$E35*'LT '!C$7,AND($C35="Fuel car",$D35=2),$E35*'LT '!C$8,AND($C35="Fuel car",$D35=3),$E35*'LT '!C$9,AND($C35="Fuel car",$D35=4),$E35*'LT '!C$10,AND($C35="Fuel car",$D35=5),$E35*'LT '!C$11,AND($C35="Motorcycle",$D35=1),$E35*'LT '!C$13,AND($C35="Motorcycle",$D35=2),$E35*'LT '!C$14,AND($C35="Electric car",$D35=1),$E35*'LT '!C$16,AND($C35="Electric car",$D35=2),$E35*'LT '!C$17,AND($C35="Electric car",$D35=3),$E35*'LT '!C$18,AND($C35="Electric car",$D35=4),$E35*'LT '!C$19,AND($C35="Electric car",$D35=5),$E35*'LT '!C$20,AND($C35="Hybrid car",$D35=1),$E35*'LT '!C$22,AND($C35="Hybrid car",$D35=2),$E35*'LT '!C$23,AND($C35="Hybrid car",$D35=3),$E35*'LT '!C$24,AND($C35="Hybrid car",$D35=4),$E35*'LT '!C$25,AND($C35="Hybrid car",$D35=5),$E35*'LT '!C$26,AND($C35="Electric motorcycle",$D35=1),$E35*'LT '!C$28,AND($C35="Electric motorcycle",$D35=2),$E35*'LT '!C$29,AND($C35="Electric bike",$D35=1),$E35*'LT '!C$31,AND($C35="Electric scooter",$D35=1),$E35*'LT '!C$33,AND($C35="Bus",$D35="Almost empty"),$E35*'LT '!H$23,AND($C35="Bus",$D35="Average"),$E35*'LT '!H$24,AND($C35="Bus",$D35="Nearly full"),$E35*'LT '!H$25,AND($C35="Electric bus",$D35="Almost empty"),$E35*'LT '!H$7,AND($C35="Electric bus",$D35="Average"),$E35*'LT '!H$8,AND($C35="Electric bus",$D35="Nearly full"),$E35*'LT '!H$9,AND($C35="Diesel bus",$D35="Almost empty"),$E35*'LT '!H$19,AND($C35="Diesel bus",$D35="Average"),$E35*'LT '!H$20,AND($C35="Diesel bus",$D35="Nearly full"),$E35*'LT '!H$21,AND($C35="Hybrid-electric bus",$D35="Almost empty"),$E35*'LT '!H$11,AND($C35="Hybrid-electric bus",$D35="Average"),$E35*'LT '!H$12,AND($C35="Hybrid-electric bus",$D35="Nearly full"),$E35*'LT '!H$13,AND($C35="Alternative fuel bus",$D35="Almost empty"),$E35*'LT '!H$15,AND($C35="Alternative fuel bus",$D35="Average"),$E35*'LT '!H$16,AND($C35="Alternative fuel bus",$D35="Nearly full"),$E35*'LT '!H$17,AND($C35="Metro, tram, urban light train",$D35="Almost empty"),$E35*'LT '!C$35,AND($C35="Metro, tram, urban light train",$D35="Average"),$E35*'LT '!C$36,AND($C35="Metro, tram, urban light train",$D35="Nearly full"),$E35*'LT '!C$37,AND($C35="Electric passenger train",$D35="Almost empty"),$E35*'LT '!C$39,AND($C35="Electric passenger train",$D35="Average"),$E35*'LT '!C$40,AND($C35="Electric passenger train",$D35="Nearly full"),$E35*'LT '!C$41,AND($C35="Diesel passenger train",$D35="Almost empty"),$E35*'LT '!C$47,AND($C35="Diesel passenger train",$D35="Average"),$E35*'LT '!C$48,AND($C35="Diesel passenger train",$D35="Nearly full"),$E35*'LT '!C$49,AND($C35="Walking"),$E35*0,AND($C35="Bike"),$E35*0,AND($C35="Plane - domestic flight"),$E35*'LT '!$C59,AND($C35="Plane - international - intra EU"),$E35*'LT '!$C61,AND($C35="Plane - international (extra EU)"),$E35*'LT '!$C63)</f>
        <v>#N/A</v>
      </c>
      <c r="G35" s="31" t="e" cm="1">
        <f t="array" ref="G35">_xlfn.IFS(AND($C35="Fuel car",$D35=1),$E35*'LT '!D$7,AND($C35="Fuel car",$D35=2),$E35*'LT '!D$8,AND($C35="Fuel car",$D35=3),$E35*'LT '!D$9,AND($C35="Fuel car",$D35=4),$E35*'LT '!D$10,AND($C35="Fuel car",$D35=5),$E35*'LT '!D$11,AND($C35="Motorcycle",$D35=1),$E35*'LT '!D$13,AND($C35="Motorcycle",$D35=2),$E35*'LT '!D$14,AND($C35="Electric car",$D35=1),$E35*'LT '!D$16,AND($C35="Electric car",$D35=2),$E35*'LT '!D$17,AND($C35="Electric car",$D35=3),$E35*'LT '!D$18,AND($C35="Electric car",$D35=4),$E35*'LT '!D$19,AND($C35="Electric car",$D35=5),$E35*'LT '!D$20,AND($C35="Hybrid car",$D35=1),$E35*'LT '!D$22,AND($C35="Hybrid car",$D35=2),$E35*'LT '!D$23,AND($C35="Hybrid car",$D35=3),$E35*'LT '!D$24,AND($C35="Hybrid car",$D35=4),$E35*'LT '!D$25,AND($C35="Hybrid car",$D35=5),$E35*'LT '!D$26,AND($C35="Electric motorcycle",$D35=1),$E35*'LT '!D$28,AND($C35="Electric motorcycle",$D35=2),$E35*'LT '!D$29,AND($C35="Electric bike",$D35=1),$E35*'LT '!D$31,AND($C35="Electric scooter",$D35=1),$E35*'LT '!D$33,AND($C35="Bus",$D35="Almost empty"),$E35*'LT '!I$23,AND($C35="Bus",$D35="Average"),$E35*'LT '!I$24,AND($C35="Bus",$D35="Nearly full"),$E35*'LT '!I$25,AND($C35="Electric bus",$D35="Almost empty"),$E35*'LT '!I$7,AND($C35="Electric bus",$D35="Average"),$E35*'LT '!I$8,AND($C35="Electric bus",$D35="Nearly full"),$E35*'LT '!I$9,AND($C35="Diesel bus",$D35="Almost empty"),$E35*'LT '!I$19,AND($C35="Diesel bus",$D35="Average"),$E35*'LT '!I$20,AND($C35="Diesel bus",$D35="Nearly full"),$E35*'LT '!I$21,AND($C35="Hybrid-electric bus",$D35="Almost empty"),$E35*'LT '!I$11,AND($C35="Hybrid-electric bus",$D35="Average"),$E35*'LT '!I$12,AND($C35="Hybrid-electric bus",$D35="Nearly full"),$E35*'LT '!I$13,AND($C35="Alternative fuel bus",$D35="Almost empty"),$E35*'LT '!I$15,AND($C35="Alternative fuel bus",$D35="Average"),$E35*'LT '!I$16,AND($C35="Alternative fuel bus",$D35="Nearly full"),$E35*'LT '!I$17,AND($C35="Metro, tram, urban light train",$D35="Almost empty"),$E35*'LT '!D$35,AND($C35="Metro, tram, urban light train",$D35="Average"),$E35*'LT '!D$36,AND($C35="Metro, tram, urban light train",$D35="Nearly full"),$E35*'LT '!D$37,AND($C35="Electric passenger train",$D35="Almost empty"),$E35*'LT '!D$39,AND($C35="Electric passenger train",$D35="Average"),$E35*'LT '!D$40,AND($C35="Electric passenger train",$D35="Nearly full"),$E35*'LT '!D$41,AND($C35="Diesel passenger train",$D35="Almost empty"),$E35*'LT '!D$47,AND($C35="Diesel passenger train",$D35="Average"),$E35*'LT '!D$48,AND($C35="Diesel passenger train",$D35="Nearly full"),$E35*'LT '!D$49,AND($C35="Walking"),$E35*0,AND($C35="Bike"),$E35*0,AND($C35="Plane - domestic flight"),$E35*'LT '!$C59,AND($C35="Plane - international - intra EU"),$E35*'LT '!$C61,AND($C35="Plane - international (extra EU)"),$E35*'LT '!$C63)</f>
        <v>#N/A</v>
      </c>
      <c r="H35" s="145"/>
      <c r="I35" s="148">
        <f t="shared" si="6"/>
        <v>0</v>
      </c>
      <c r="J35" s="146" t="e" cm="1">
        <f t="array" ref="J35">_xlfn.IFS(C35="Fuel car",C35*DATA!$C$17,C35="Electric car",C35*DATA!$F$17,C35="Hybrid car",I35*(0.5*DATA!$C$17+0.5*DATA!$F$17))</f>
        <v>#N/A</v>
      </c>
      <c r="L35" s="223"/>
      <c r="M35" s="224"/>
      <c r="N35" s="225"/>
    </row>
    <row r="36" spans="1:14" ht="16" thickBot="1" x14ac:dyDescent="0.25">
      <c r="A36" s="222"/>
      <c r="B36" s="30"/>
      <c r="C36" s="15"/>
      <c r="D36" s="15"/>
      <c r="E36" s="125"/>
      <c r="F36" s="128" t="e" cm="1">
        <f t="array" ref="F36">_xlfn.IFS(AND($C36="Fuel car",$D36=1),$E36*'LT '!C$7,AND($C36="Fuel car",$D36=2),$E36*'LT '!C$8,AND($C36="Fuel car",$D36=3),$E36*'LT '!C$9,AND($C36="Fuel car",$D36=4),$E36*'LT '!C$10,AND($C36="Fuel car",$D36=5),$E36*'LT '!C$11,AND($C36="Motorcycle",$D36=1),$E36*'LT '!C$13,AND($C36="Motorcycle",$D36=2),$E36*'LT '!C$14,AND($C36="Electric car",$D36=1),$E36*'LT '!C$16,AND($C36="Electric car",$D36=2),$E36*'LT '!C$17,AND($C36="Electric car",$D36=3),$E36*'LT '!C$18,AND($C36="Electric car",$D36=4),$E36*'LT '!C$19,AND($C36="Electric car",$D36=5),$E36*'LT '!C$20,AND($C36="Hybrid car",$D36=1),$E36*'LT '!C$22,AND($C36="Hybrid car",$D36=2),$E36*'LT '!C$23,AND($C36="Hybrid car",$D36=3),$E36*'LT '!C$24,AND($C36="Hybrid car",$D36=4),$E36*'LT '!C$25,AND($C36="Hybrid car",$D36=5),$E36*'LT '!C$26,AND($C36="Electric motorcycle",$D36=1),$E36*'LT '!C$28,AND($C36="Electric motorcycle",$D36=2),$E36*'LT '!C$29,AND($C36="Electric bike",$D36=1),$E36*'LT '!C$31,AND($C36="Electric scooter",$D36=1),$E36*'LT '!C$33,AND($C36="Bus",$D36="Almost empty"),$E36*'LT '!H$23,AND($C36="Bus",$D36="Average"),$E36*'LT '!H$24,AND($C36="Bus",$D36="Nearly full"),$E36*'LT '!H$25,AND($C36="Electric bus",$D36="Almost empty"),$E36*'LT '!H$7,AND($C36="Electric bus",$D36="Average"),$E36*'LT '!H$8,AND($C36="Electric bus",$D36="Nearly full"),$E36*'LT '!H$9,AND($C36="Diesel bus",$D36="Almost empty"),$E36*'LT '!H$19,AND($C36="Diesel bus",$D36="Average"),$E36*'LT '!H$20,AND($C36="Diesel bus",$D36="Nearly full"),$E36*'LT '!H$21,AND($C36="Hybrid-electric bus",$D36="Almost empty"),$E36*'LT '!H$11,AND($C36="Hybrid-electric bus",$D36="Average"),$E36*'LT '!H$12,AND($C36="Hybrid-electric bus",$D36="Nearly full"),$E36*'LT '!H$13,AND($C36="Alternative fuel bus",$D36="Almost empty"),$E36*'LT '!H$15,AND($C36="Alternative fuel bus",$D36="Average"),$E36*'LT '!H$16,AND($C36="Alternative fuel bus",$D36="Nearly full"),$E36*'LT '!H$17,AND($C36="Metro, tram, urban light train",$D36="Almost empty"),$E36*'LT '!C$35,AND($C36="Metro, tram, urban light train",$D36="Average"),$E36*'LT '!C$36,AND($C36="Metro, tram, urban light train",$D36="Nearly full"),$E36*'LT '!C$37,AND($C36="Electric passenger train",$D36="Almost empty"),$E36*'LT '!C$39,AND($C36="Electric passenger train",$D36="Average"),$E36*'LT '!C$40,AND($C36="Electric passenger train",$D36="Nearly full"),$E36*'LT '!C$41,AND($C36="Diesel passenger train",$D36="Almost empty"),$E36*'LT '!C$47,AND($C36="Diesel passenger train",$D36="Average"),$E36*'LT '!C$48,AND($C36="Diesel passenger train",$D36="Nearly full"),$E36*'LT '!C$49,AND($C36="Walking"),$E36*0,AND($C36="Bike"),$E36*0,AND($C36="Plane - domestic flight"),$E36*'LT '!$C60,AND($C36="Plane - international - intra EU"),$E36*'LT '!$C62,AND($C36="Plane - international (extra EU)"),$E36*'LT '!$C64)</f>
        <v>#N/A</v>
      </c>
      <c r="G36" s="31" t="e" cm="1">
        <f t="array" ref="G36">_xlfn.IFS(AND($C36="Fuel car",$D36=1),$E36*'LT '!D$7,AND($C36="Fuel car",$D36=2),$E36*'LT '!D$8,AND($C36="Fuel car",$D36=3),$E36*'LT '!D$9,AND($C36="Fuel car",$D36=4),$E36*'LT '!D$10,AND($C36="Fuel car",$D36=5),$E36*'LT '!D$11,AND($C36="Motorcycle",$D36=1),$E36*'LT '!D$13,AND($C36="Motorcycle",$D36=2),$E36*'LT '!D$14,AND($C36="Electric car",$D36=1),$E36*'LT '!D$16,AND($C36="Electric car",$D36=2),$E36*'LT '!D$17,AND($C36="Electric car",$D36=3),$E36*'LT '!D$18,AND($C36="Electric car",$D36=4),$E36*'LT '!D$19,AND($C36="Electric car",$D36=5),$E36*'LT '!D$20,AND($C36="Hybrid car",$D36=1),$E36*'LT '!D$22,AND($C36="Hybrid car",$D36=2),$E36*'LT '!D$23,AND($C36="Hybrid car",$D36=3),$E36*'LT '!D$24,AND($C36="Hybrid car",$D36=4),$E36*'LT '!D$25,AND($C36="Hybrid car",$D36=5),$E36*'LT '!D$26,AND($C36="Electric motorcycle",$D36=1),$E36*'LT '!D$28,AND($C36="Electric motorcycle",$D36=2),$E36*'LT '!D$29,AND($C36="Electric bike",$D36=1),$E36*'LT '!D$31,AND($C36="Electric scooter",$D36=1),$E36*'LT '!D$33,AND($C36="Bus",$D36="Almost empty"),$E36*'LT '!I$23,AND($C36="Bus",$D36="Average"),$E36*'LT '!I$24,AND($C36="Bus",$D36="Nearly full"),$E36*'LT '!I$25,AND($C36="Electric bus",$D36="Almost empty"),$E36*'LT '!I$7,AND($C36="Electric bus",$D36="Average"),$E36*'LT '!I$8,AND($C36="Electric bus",$D36="Nearly full"),$E36*'LT '!I$9,AND($C36="Diesel bus",$D36="Almost empty"),$E36*'LT '!I$19,AND($C36="Diesel bus",$D36="Average"),$E36*'LT '!I$20,AND($C36="Diesel bus",$D36="Nearly full"),$E36*'LT '!I$21,AND($C36="Hybrid-electric bus",$D36="Almost empty"),$E36*'LT '!I$11,AND($C36="Hybrid-electric bus",$D36="Average"),$E36*'LT '!I$12,AND($C36="Hybrid-electric bus",$D36="Nearly full"),$E36*'LT '!I$13,AND($C36="Alternative fuel bus",$D36="Almost empty"),$E36*'LT '!I$15,AND($C36="Alternative fuel bus",$D36="Average"),$E36*'LT '!I$16,AND($C36="Alternative fuel bus",$D36="Nearly full"),$E36*'LT '!I$17,AND($C36="Metro, tram, urban light train",$D36="Almost empty"),$E36*'LT '!D$35,AND($C36="Metro, tram, urban light train",$D36="Average"),$E36*'LT '!D$36,AND($C36="Metro, tram, urban light train",$D36="Nearly full"),$E36*'LT '!D$37,AND($C36="Electric passenger train",$D36="Almost empty"),$E36*'LT '!D$39,AND($C36="Electric passenger train",$D36="Average"),$E36*'LT '!D$40,AND($C36="Electric passenger train",$D36="Nearly full"),$E36*'LT '!D$41,AND($C36="Diesel passenger train",$D36="Almost empty"),$E36*'LT '!D$47,AND($C36="Diesel passenger train",$D36="Average"),$E36*'LT '!D$48,AND($C36="Diesel passenger train",$D36="Nearly full"),$E36*'LT '!D$49,AND($C36="Walking"),$E36*0,AND($C36="Bike"),$E36*0,AND($C36="Plane - domestic flight"),$E36*'LT '!$C60,AND($C36="Plane - international - intra EU"),$E36*'LT '!$C62,AND($C36="Plane - international (extra EU)"),$E36*'LT '!$C64)</f>
        <v>#N/A</v>
      </c>
      <c r="H36" s="145"/>
      <c r="I36" s="148">
        <f t="shared" si="6"/>
        <v>0</v>
      </c>
      <c r="J36" s="146" t="e" cm="1">
        <f t="array" ref="J36">_xlfn.IFS(C36="Fuel car",C36*DATA!$C$17,C36="Electric car",C36*DATA!$F$17,C36="Hybrid car",I36*(0.5*DATA!$C$17+0.5*DATA!$F$17))</f>
        <v>#N/A</v>
      </c>
      <c r="L36" s="218"/>
      <c r="M36" s="219"/>
      <c r="N36" s="220"/>
    </row>
    <row r="37" spans="1:14" ht="14.5" customHeight="1" x14ac:dyDescent="0.2">
      <c r="A37" s="222"/>
      <c r="B37" s="30"/>
      <c r="C37" s="15"/>
      <c r="D37" s="15"/>
      <c r="E37" s="125"/>
      <c r="F37" s="128" t="e" cm="1">
        <f t="array" ref="F37">_xlfn.IFS(AND($C37="Fuel car",$D37=1),$E37*'LT '!C$7,AND($C37="Fuel car",$D37=2),$E37*'LT '!C$8,AND($C37="Fuel car",$D37=3),$E37*'LT '!C$9,AND($C37="Fuel car",$D37=4),$E37*'LT '!C$10,AND($C37="Fuel car",$D37=5),$E37*'LT '!C$11,AND($C37="Motorcycle",$D37=1),$E37*'LT '!C$13,AND($C37="Motorcycle",$D37=2),$E37*'LT '!C$14,AND($C37="Electric car",$D37=1),$E37*'LT '!C$16,AND($C37="Electric car",$D37=2),$E37*'LT '!C$17,AND($C37="Electric car",$D37=3),$E37*'LT '!C$18,AND($C37="Electric car",$D37=4),$E37*'LT '!C$19,AND($C37="Electric car",$D37=5),$E37*'LT '!C$20,AND($C37="Hybrid car",$D37=1),$E37*'LT '!C$22,AND($C37="Hybrid car",$D37=2),$E37*'LT '!C$23,AND($C37="Hybrid car",$D37=3),$E37*'LT '!C$24,AND($C37="Hybrid car",$D37=4),$E37*'LT '!C$25,AND($C37="Hybrid car",$D37=5),$E37*'LT '!C$26,AND($C37="Electric motorcycle",$D37=1),$E37*'LT '!C$28,AND($C37="Electric motorcycle",$D37=2),$E37*'LT '!C$29,AND($C37="Electric bike",$D37=1),$E37*'LT '!C$31,AND($C37="Electric scooter",$D37=1),$E37*'LT '!C$33,AND($C37="Bus",$D37="Almost empty"),$E37*'LT '!H$23,AND($C37="Bus",$D37="Average"),$E37*'LT '!H$24,AND($C37="Bus",$D37="Nearly full"),$E37*'LT '!H$25,AND($C37="Electric bus",$D37="Almost empty"),$E37*'LT '!H$7,AND($C37="Electric bus",$D37="Average"),$E37*'LT '!H$8,AND($C37="Electric bus",$D37="Nearly full"),$E37*'LT '!H$9,AND($C37="Diesel bus",$D37="Almost empty"),$E37*'LT '!H$19,AND($C37="Diesel bus",$D37="Average"),$E37*'LT '!H$20,AND($C37="Diesel bus",$D37="Nearly full"),$E37*'LT '!H$21,AND($C37="Hybrid-electric bus",$D37="Almost empty"),$E37*'LT '!H$11,AND($C37="Hybrid-electric bus",$D37="Average"),$E37*'LT '!H$12,AND($C37="Hybrid-electric bus",$D37="Nearly full"),$E37*'LT '!H$13,AND($C37="Alternative fuel bus",$D37="Almost empty"),$E37*'LT '!H$15,AND($C37="Alternative fuel bus",$D37="Average"),$E37*'LT '!H$16,AND($C37="Alternative fuel bus",$D37="Nearly full"),$E37*'LT '!H$17,AND($C37="Metro, tram, urban light train",$D37="Almost empty"),$E37*'LT '!C$35,AND($C37="Metro, tram, urban light train",$D37="Average"),$E37*'LT '!C$36,AND($C37="Metro, tram, urban light train",$D37="Nearly full"),$E37*'LT '!C$37,AND($C37="Electric passenger train",$D37="Almost empty"),$E37*'LT '!C$39,AND($C37="Electric passenger train",$D37="Average"),$E37*'LT '!C$40,AND($C37="Electric passenger train",$D37="Nearly full"),$E37*'LT '!C$41,AND($C37="Diesel passenger train",$D37="Almost empty"),$E37*'LT '!C$47,AND($C37="Diesel passenger train",$D37="Average"),$E37*'LT '!C$48,AND($C37="Diesel passenger train",$D37="Nearly full"),$E37*'LT '!C$49,AND($C37="Walking"),$E37*0,AND($C37="Bike"),$E37*0,AND($C37="Plane - domestic flight"),$E37*'LT '!$C61,AND($C37="Plane - international - intra EU"),$E37*'LT '!$C63,AND($C37="Plane - international (extra EU)"),$E37*'LT '!$C65)</f>
        <v>#N/A</v>
      </c>
      <c r="G37" s="31" t="e" cm="1">
        <f t="array" ref="G37">_xlfn.IFS(AND($C37="Fuel car",$D37=1),$E37*'LT '!D$7,AND($C37="Fuel car",$D37=2),$E37*'LT '!D$8,AND($C37="Fuel car",$D37=3),$E37*'LT '!D$9,AND($C37="Fuel car",$D37=4),$E37*'LT '!D$10,AND($C37="Fuel car",$D37=5),$E37*'LT '!D$11,AND($C37="Motorcycle",$D37=1),$E37*'LT '!D$13,AND($C37="Motorcycle",$D37=2),$E37*'LT '!D$14,AND($C37="Electric car",$D37=1),$E37*'LT '!D$16,AND($C37="Electric car",$D37=2),$E37*'LT '!D$17,AND($C37="Electric car",$D37=3),$E37*'LT '!D$18,AND($C37="Electric car",$D37=4),$E37*'LT '!D$19,AND($C37="Electric car",$D37=5),$E37*'LT '!D$20,AND($C37="Hybrid car",$D37=1),$E37*'LT '!D$22,AND($C37="Hybrid car",$D37=2),$E37*'LT '!D$23,AND($C37="Hybrid car",$D37=3),$E37*'LT '!D$24,AND($C37="Hybrid car",$D37=4),$E37*'LT '!D$25,AND($C37="Hybrid car",$D37=5),$E37*'LT '!D$26,AND($C37="Electric motorcycle",$D37=1),$E37*'LT '!D$28,AND($C37="Electric motorcycle",$D37=2),$E37*'LT '!D$29,AND($C37="Electric bike",$D37=1),$E37*'LT '!D$31,AND($C37="Electric scooter",$D37=1),$E37*'LT '!D$33,AND($C37="Bus",$D37="Almost empty"),$E37*'LT '!I$23,AND($C37="Bus",$D37="Average"),$E37*'LT '!I$24,AND($C37="Bus",$D37="Nearly full"),$E37*'LT '!I$25,AND($C37="Electric bus",$D37="Almost empty"),$E37*'LT '!I$7,AND($C37="Electric bus",$D37="Average"),$E37*'LT '!I$8,AND($C37="Electric bus",$D37="Nearly full"),$E37*'LT '!I$9,AND($C37="Diesel bus",$D37="Almost empty"),$E37*'LT '!I$19,AND($C37="Diesel bus",$D37="Average"),$E37*'LT '!I$20,AND($C37="Diesel bus",$D37="Nearly full"),$E37*'LT '!I$21,AND($C37="Hybrid-electric bus",$D37="Almost empty"),$E37*'LT '!I$11,AND($C37="Hybrid-electric bus",$D37="Average"),$E37*'LT '!I$12,AND($C37="Hybrid-electric bus",$D37="Nearly full"),$E37*'LT '!I$13,AND($C37="Alternative fuel bus",$D37="Almost empty"),$E37*'LT '!I$15,AND($C37="Alternative fuel bus",$D37="Average"),$E37*'LT '!I$16,AND($C37="Alternative fuel bus",$D37="Nearly full"),$E37*'LT '!I$17,AND($C37="Metro, tram, urban light train",$D37="Almost empty"),$E37*'LT '!D$35,AND($C37="Metro, tram, urban light train",$D37="Average"),$E37*'LT '!D$36,AND($C37="Metro, tram, urban light train",$D37="Nearly full"),$E37*'LT '!D$37,AND($C37="Electric passenger train",$D37="Almost empty"),$E37*'LT '!D$39,AND($C37="Electric passenger train",$D37="Average"),$E37*'LT '!D$40,AND($C37="Electric passenger train",$D37="Nearly full"),$E37*'LT '!D$41,AND($C37="Diesel passenger train",$D37="Almost empty"),$E37*'LT '!D$47,AND($C37="Diesel passenger train",$D37="Average"),$E37*'LT '!D$48,AND($C37="Diesel passenger train",$D37="Nearly full"),$E37*'LT '!D$49,AND($C37="Walking"),$E37*0,AND($C37="Bike"),$E37*0,AND($C37="Plane - domestic flight"),$E37*'LT '!$C61,AND($C37="Plane - international - intra EU"),$E37*'LT '!$C63,AND($C37="Plane - international (extra EU)"),$E37*'LT '!$C65)</f>
        <v>#N/A</v>
      </c>
      <c r="H37" s="145"/>
      <c r="I37" s="148">
        <f t="shared" si="6"/>
        <v>0</v>
      </c>
      <c r="J37" s="146" t="e" cm="1">
        <f t="array" ref="J37">_xlfn.IFS(C37="Fuel car",C37*DATA!$C$17,C37="Electric car",C37*DATA!$F$17,C37="Hybrid car",I37*(0.5*DATA!$C$17+0.5*DATA!$F$17))</f>
        <v>#N/A</v>
      </c>
      <c r="L37" s="215" t="s">
        <v>79</v>
      </c>
      <c r="M37" s="216"/>
      <c r="N37" s="217"/>
    </row>
    <row r="38" spans="1:14" ht="16" thickBot="1" x14ac:dyDescent="0.25">
      <c r="A38" s="222"/>
      <c r="B38" s="30"/>
      <c r="C38" s="15"/>
      <c r="D38" s="15"/>
      <c r="E38" s="125"/>
      <c r="F38" s="128" t="e" cm="1">
        <f t="array" ref="F38">_xlfn.IFS(AND($C38="Fuel car",$D38=1),$E38*'LT '!C$7,AND($C38="Fuel car",$D38=2),$E38*'LT '!C$8,AND($C38="Fuel car",$D38=3),$E38*'LT '!C$9,AND($C38="Fuel car",$D38=4),$E38*'LT '!C$10,AND($C38="Fuel car",$D38=5),$E38*'LT '!C$11,AND($C38="Motorcycle",$D38=1),$E38*'LT '!C$13,AND($C38="Motorcycle",$D38=2),$E38*'LT '!C$14,AND($C38="Electric car",$D38=1),$E38*'LT '!C$16,AND($C38="Electric car",$D38=2),$E38*'LT '!C$17,AND($C38="Electric car",$D38=3),$E38*'LT '!C$18,AND($C38="Electric car",$D38=4),$E38*'LT '!C$19,AND($C38="Electric car",$D38=5),$E38*'LT '!C$20,AND($C38="Hybrid car",$D38=1),$E38*'LT '!C$22,AND($C38="Hybrid car",$D38=2),$E38*'LT '!C$23,AND($C38="Hybrid car",$D38=3),$E38*'LT '!C$24,AND($C38="Hybrid car",$D38=4),$E38*'LT '!C$25,AND($C38="Hybrid car",$D38=5),$E38*'LT '!C$26,AND($C38="Electric motorcycle",$D38=1),$E38*'LT '!C$28,AND($C38="Electric motorcycle",$D38=2),$E38*'LT '!C$29,AND($C38="Electric bike",$D38=1),$E38*'LT '!C$31,AND($C38="Electric scooter",$D38=1),$E38*'LT '!C$33,AND($C38="Bus",$D38="Almost empty"),$E38*'LT '!H$23,AND($C38="Bus",$D38="Average"),$E38*'LT '!H$24,AND($C38="Bus",$D38="Nearly full"),$E38*'LT '!H$25,AND($C38="Electric bus",$D38="Almost empty"),$E38*'LT '!H$7,AND($C38="Electric bus",$D38="Average"),$E38*'LT '!H$8,AND($C38="Electric bus",$D38="Nearly full"),$E38*'LT '!H$9,AND($C38="Diesel bus",$D38="Almost empty"),$E38*'LT '!H$19,AND($C38="Diesel bus",$D38="Average"),$E38*'LT '!H$20,AND($C38="Diesel bus",$D38="Nearly full"),$E38*'LT '!H$21,AND($C38="Hybrid-electric bus",$D38="Almost empty"),$E38*'LT '!H$11,AND($C38="Hybrid-electric bus",$D38="Average"),$E38*'LT '!H$12,AND($C38="Hybrid-electric bus",$D38="Nearly full"),$E38*'LT '!H$13,AND($C38="Alternative fuel bus",$D38="Almost empty"),$E38*'LT '!H$15,AND($C38="Alternative fuel bus",$D38="Average"),$E38*'LT '!H$16,AND($C38="Alternative fuel bus",$D38="Nearly full"),$E38*'LT '!H$17,AND($C38="Metro, tram, urban light train",$D38="Almost empty"),$E38*'LT '!C$35,AND($C38="Metro, tram, urban light train",$D38="Average"),$E38*'LT '!C$36,AND($C38="Metro, tram, urban light train",$D38="Nearly full"),$E38*'LT '!C$37,AND($C38="Electric passenger train",$D38="Almost empty"),$E38*'LT '!C$39,AND($C38="Electric passenger train",$D38="Average"),$E38*'LT '!C$40,AND($C38="Electric passenger train",$D38="Nearly full"),$E38*'LT '!C$41,AND($C38="Diesel passenger train",$D38="Almost empty"),$E38*'LT '!C$47,AND($C38="Diesel passenger train",$D38="Average"),$E38*'LT '!C$48,AND($C38="Diesel passenger train",$D38="Nearly full"),$E38*'LT '!C$49,AND($C38="Walking"),$E38*0,AND($C38="Bike"),$E38*0,AND($C38="Plane - domestic flight"),$E38*'LT '!$C62,AND($C38="Plane - international - intra EU"),$E38*'LT '!$C64,AND($C38="Plane - international (extra EU)"),$E38*'LT '!$C66)</f>
        <v>#N/A</v>
      </c>
      <c r="G38" s="31" t="e" cm="1">
        <f t="array" ref="G38">_xlfn.IFS(AND($C38="Fuel car",$D38=1),$E38*'LT '!D$7,AND($C38="Fuel car",$D38=2),$E38*'LT '!D$8,AND($C38="Fuel car",$D38=3),$E38*'LT '!D$9,AND($C38="Fuel car",$D38=4),$E38*'LT '!D$10,AND($C38="Fuel car",$D38=5),$E38*'LT '!D$11,AND($C38="Motorcycle",$D38=1),$E38*'LT '!D$13,AND($C38="Motorcycle",$D38=2),$E38*'LT '!D$14,AND($C38="Electric car",$D38=1),$E38*'LT '!D$16,AND($C38="Electric car",$D38=2),$E38*'LT '!D$17,AND($C38="Electric car",$D38=3),$E38*'LT '!D$18,AND($C38="Electric car",$D38=4),$E38*'LT '!D$19,AND($C38="Electric car",$D38=5),$E38*'LT '!D$20,AND($C38="Hybrid car",$D38=1),$E38*'LT '!D$22,AND($C38="Hybrid car",$D38=2),$E38*'LT '!D$23,AND($C38="Hybrid car",$D38=3),$E38*'LT '!D$24,AND($C38="Hybrid car",$D38=4),$E38*'LT '!D$25,AND($C38="Hybrid car",$D38=5),$E38*'LT '!D$26,AND($C38="Electric motorcycle",$D38=1),$E38*'LT '!D$28,AND($C38="Electric motorcycle",$D38=2),$E38*'LT '!D$29,AND($C38="Electric bike",$D38=1),$E38*'LT '!D$31,AND($C38="Electric scooter",$D38=1),$E38*'LT '!D$33,AND($C38="Bus",$D38="Almost empty"),$E38*'LT '!I$23,AND($C38="Bus",$D38="Average"),$E38*'LT '!I$24,AND($C38="Bus",$D38="Nearly full"),$E38*'LT '!I$25,AND($C38="Electric bus",$D38="Almost empty"),$E38*'LT '!I$7,AND($C38="Electric bus",$D38="Average"),$E38*'LT '!I$8,AND($C38="Electric bus",$D38="Nearly full"),$E38*'LT '!I$9,AND($C38="Diesel bus",$D38="Almost empty"),$E38*'LT '!I$19,AND($C38="Diesel bus",$D38="Average"),$E38*'LT '!I$20,AND($C38="Diesel bus",$D38="Nearly full"),$E38*'LT '!I$21,AND($C38="Hybrid-electric bus",$D38="Almost empty"),$E38*'LT '!I$11,AND($C38="Hybrid-electric bus",$D38="Average"),$E38*'LT '!I$12,AND($C38="Hybrid-electric bus",$D38="Nearly full"),$E38*'LT '!I$13,AND($C38="Alternative fuel bus",$D38="Almost empty"),$E38*'LT '!I$15,AND($C38="Alternative fuel bus",$D38="Average"),$E38*'LT '!I$16,AND($C38="Alternative fuel bus",$D38="Nearly full"),$E38*'LT '!I$17,AND($C38="Metro, tram, urban light train",$D38="Almost empty"),$E38*'LT '!D$35,AND($C38="Metro, tram, urban light train",$D38="Average"),$E38*'LT '!D$36,AND($C38="Metro, tram, urban light train",$D38="Nearly full"),$E38*'LT '!D$37,AND($C38="Electric passenger train",$D38="Almost empty"),$E38*'LT '!D$39,AND($C38="Electric passenger train",$D38="Average"),$E38*'LT '!D$40,AND($C38="Electric passenger train",$D38="Nearly full"),$E38*'LT '!D$41,AND($C38="Diesel passenger train",$D38="Almost empty"),$E38*'LT '!D$47,AND($C38="Diesel passenger train",$D38="Average"),$E38*'LT '!D$48,AND($C38="Diesel passenger train",$D38="Nearly full"),$E38*'LT '!D$49,AND($C38="Walking"),$E38*0,AND($C38="Bike"),$E38*0,AND($C38="Plane - domestic flight"),$E38*'LT '!$C62,AND($C38="Plane - international - intra EU"),$E38*'LT '!$C64,AND($C38="Plane - international (extra EU)"),$E38*'LT '!$C66)</f>
        <v>#N/A</v>
      </c>
      <c r="H38" s="145"/>
      <c r="I38" s="148">
        <f t="shared" si="6"/>
        <v>0</v>
      </c>
      <c r="J38" s="146" t="e" cm="1">
        <f t="array" ref="J38">_xlfn.IFS(C38="Fuel car",C38*DATA!$C$17,C38="Electric car",C38*DATA!$F$17,C38="Hybrid car",I38*(0.5*DATA!$C$17+0.5*DATA!$F$17))</f>
        <v>#N/A</v>
      </c>
      <c r="L38" s="218"/>
      <c r="M38" s="219"/>
      <c r="N38" s="220"/>
    </row>
    <row r="39" spans="1:14" ht="14.5" customHeight="1" x14ac:dyDescent="0.2">
      <c r="A39" s="222"/>
      <c r="B39" s="30"/>
      <c r="C39" s="15"/>
      <c r="D39" s="15"/>
      <c r="E39" s="125"/>
      <c r="F39" s="128" t="e" cm="1">
        <f t="array" ref="F39">_xlfn.IFS(AND($C39="Fuel car",$D39=1),$E39*'LT '!C$7,AND($C39="Fuel car",$D39=2),$E39*'LT '!C$8,AND($C39="Fuel car",$D39=3),$E39*'LT '!C$9,AND($C39="Fuel car",$D39=4),$E39*'LT '!C$10,AND($C39="Fuel car",$D39=5),$E39*'LT '!C$11,AND($C39="Motorcycle",$D39=1),$E39*'LT '!C$13,AND($C39="Motorcycle",$D39=2),$E39*'LT '!C$14,AND($C39="Electric car",$D39=1),$E39*'LT '!C$16,AND($C39="Electric car",$D39=2),$E39*'LT '!C$17,AND($C39="Electric car",$D39=3),$E39*'LT '!C$18,AND($C39="Electric car",$D39=4),$E39*'LT '!C$19,AND($C39="Electric car",$D39=5),$E39*'LT '!C$20,AND($C39="Hybrid car",$D39=1),$E39*'LT '!C$22,AND($C39="Hybrid car",$D39=2),$E39*'LT '!C$23,AND($C39="Hybrid car",$D39=3),$E39*'LT '!C$24,AND($C39="Hybrid car",$D39=4),$E39*'LT '!C$25,AND($C39="Hybrid car",$D39=5),$E39*'LT '!C$26,AND($C39="Electric motorcycle",$D39=1),$E39*'LT '!C$28,AND($C39="Electric motorcycle",$D39=2),$E39*'LT '!C$29,AND($C39="Electric bike",$D39=1),$E39*'LT '!C$31,AND($C39="Electric scooter",$D39=1),$E39*'LT '!C$33,AND($C39="Bus",$D39="Almost empty"),$E39*'LT '!H$23,AND($C39="Bus",$D39="Average"),$E39*'LT '!H$24,AND($C39="Bus",$D39="Nearly full"),$E39*'LT '!H$25,AND($C39="Electric bus",$D39="Almost empty"),$E39*'LT '!H$7,AND($C39="Electric bus",$D39="Average"),$E39*'LT '!H$8,AND($C39="Electric bus",$D39="Nearly full"),$E39*'LT '!H$9,AND($C39="Diesel bus",$D39="Almost empty"),$E39*'LT '!H$19,AND($C39="Diesel bus",$D39="Average"),$E39*'LT '!H$20,AND($C39="Diesel bus",$D39="Nearly full"),$E39*'LT '!H$21,AND($C39="Hybrid-electric bus",$D39="Almost empty"),$E39*'LT '!H$11,AND($C39="Hybrid-electric bus",$D39="Average"),$E39*'LT '!H$12,AND($C39="Hybrid-electric bus",$D39="Nearly full"),$E39*'LT '!H$13,AND($C39="Alternative fuel bus",$D39="Almost empty"),$E39*'LT '!H$15,AND($C39="Alternative fuel bus",$D39="Average"),$E39*'LT '!H$16,AND($C39="Alternative fuel bus",$D39="Nearly full"),$E39*'LT '!H$17,AND($C39="Metro, tram, urban light train",$D39="Almost empty"),$E39*'LT '!C$35,AND($C39="Metro, tram, urban light train",$D39="Average"),$E39*'LT '!C$36,AND($C39="Metro, tram, urban light train",$D39="Nearly full"),$E39*'LT '!C$37,AND($C39="Electric passenger train",$D39="Almost empty"),$E39*'LT '!C$39,AND($C39="Electric passenger train",$D39="Average"),$E39*'LT '!C$40,AND($C39="Electric passenger train",$D39="Nearly full"),$E39*'LT '!C$41,AND($C39="Diesel passenger train",$D39="Almost empty"),$E39*'LT '!C$47,AND($C39="Diesel passenger train",$D39="Average"),$E39*'LT '!C$48,AND($C39="Diesel passenger train",$D39="Nearly full"),$E39*'LT '!C$49,AND($C39="Walking"),$E39*0,AND($C39="Bike"),$E39*0,AND($C39="Plane - domestic flight"),$E39*'LT '!$C63,AND($C39="Plane - international - intra EU"),$E39*'LT '!$C65,AND($C39="Plane - international (extra EU)"),$E39*'LT '!$C67)</f>
        <v>#N/A</v>
      </c>
      <c r="G39" s="31" t="e" cm="1">
        <f t="array" ref="G39">_xlfn.IFS(AND($C39="Fuel car",$D39=1),$E39*'LT '!D$7,AND($C39="Fuel car",$D39=2),$E39*'LT '!D$8,AND($C39="Fuel car",$D39=3),$E39*'LT '!D$9,AND($C39="Fuel car",$D39=4),$E39*'LT '!D$10,AND($C39="Fuel car",$D39=5),$E39*'LT '!D$11,AND($C39="Motorcycle",$D39=1),$E39*'LT '!D$13,AND($C39="Motorcycle",$D39=2),$E39*'LT '!D$14,AND($C39="Electric car",$D39=1),$E39*'LT '!D$16,AND($C39="Electric car",$D39=2),$E39*'LT '!D$17,AND($C39="Electric car",$D39=3),$E39*'LT '!D$18,AND($C39="Electric car",$D39=4),$E39*'LT '!D$19,AND($C39="Electric car",$D39=5),$E39*'LT '!D$20,AND($C39="Hybrid car",$D39=1),$E39*'LT '!D$22,AND($C39="Hybrid car",$D39=2),$E39*'LT '!D$23,AND($C39="Hybrid car",$D39=3),$E39*'LT '!D$24,AND($C39="Hybrid car",$D39=4),$E39*'LT '!D$25,AND($C39="Hybrid car",$D39=5),$E39*'LT '!D$26,AND($C39="Electric motorcycle",$D39=1),$E39*'LT '!D$28,AND($C39="Electric motorcycle",$D39=2),$E39*'LT '!D$29,AND($C39="Electric bike",$D39=1),$E39*'LT '!D$31,AND($C39="Electric scooter",$D39=1),$E39*'LT '!D$33,AND($C39="Bus",$D39="Almost empty"),$E39*'LT '!I$23,AND($C39="Bus",$D39="Average"),$E39*'LT '!I$24,AND($C39="Bus",$D39="Nearly full"),$E39*'LT '!I$25,AND($C39="Electric bus",$D39="Almost empty"),$E39*'LT '!I$7,AND($C39="Electric bus",$D39="Average"),$E39*'LT '!I$8,AND($C39="Electric bus",$D39="Nearly full"),$E39*'LT '!I$9,AND($C39="Diesel bus",$D39="Almost empty"),$E39*'LT '!I$19,AND($C39="Diesel bus",$D39="Average"),$E39*'LT '!I$20,AND($C39="Diesel bus",$D39="Nearly full"),$E39*'LT '!I$21,AND($C39="Hybrid-electric bus",$D39="Almost empty"),$E39*'LT '!I$11,AND($C39="Hybrid-electric bus",$D39="Average"),$E39*'LT '!I$12,AND($C39="Hybrid-electric bus",$D39="Nearly full"),$E39*'LT '!I$13,AND($C39="Alternative fuel bus",$D39="Almost empty"),$E39*'LT '!I$15,AND($C39="Alternative fuel bus",$D39="Average"),$E39*'LT '!I$16,AND($C39="Alternative fuel bus",$D39="Nearly full"),$E39*'LT '!I$17,AND($C39="Metro, tram, urban light train",$D39="Almost empty"),$E39*'LT '!D$35,AND($C39="Metro, tram, urban light train",$D39="Average"),$E39*'LT '!D$36,AND($C39="Metro, tram, urban light train",$D39="Nearly full"),$E39*'LT '!D$37,AND($C39="Electric passenger train",$D39="Almost empty"),$E39*'LT '!D$39,AND($C39="Electric passenger train",$D39="Average"),$E39*'LT '!D$40,AND($C39="Electric passenger train",$D39="Nearly full"),$E39*'LT '!D$41,AND($C39="Diesel passenger train",$D39="Almost empty"),$E39*'LT '!D$47,AND($C39="Diesel passenger train",$D39="Average"),$E39*'LT '!D$48,AND($C39="Diesel passenger train",$D39="Nearly full"),$E39*'LT '!D$49,AND($C39="Walking"),$E39*0,AND($C39="Bike"),$E39*0,AND($C39="Plane - domestic flight"),$E39*'LT '!$C63,AND($C39="Plane - international - intra EU"),$E39*'LT '!$C65,AND($C39="Plane - international (extra EU)"),$E39*'LT '!$C67)</f>
        <v>#N/A</v>
      </c>
      <c r="H39" s="145"/>
      <c r="I39" s="148">
        <f t="shared" si="6"/>
        <v>0</v>
      </c>
      <c r="J39" s="146" t="e" cm="1">
        <f t="array" ref="J39">_xlfn.IFS(C39="Fuel car",C39*DATA!$C$17,C39="Electric car",C39*DATA!$F$17,C39="Hybrid car",I39*(0.5*DATA!$C$17+0.5*DATA!$F$17))</f>
        <v>#N/A</v>
      </c>
      <c r="L39" s="226" t="s">
        <v>80</v>
      </c>
      <c r="M39" s="227"/>
      <c r="N39" s="228"/>
    </row>
    <row r="40" spans="1:14" x14ac:dyDescent="0.2">
      <c r="A40" s="222"/>
      <c r="B40" s="30"/>
      <c r="C40" s="15"/>
      <c r="D40" s="15"/>
      <c r="E40" s="125"/>
      <c r="F40" s="128" t="e" cm="1">
        <f t="array" ref="F40">_xlfn.IFS(AND($C40="Fuel car",$D40=1),$E40*'LT '!C$7,AND($C40="Fuel car",$D40=2),$E40*'LT '!C$8,AND($C40="Fuel car",$D40=3),$E40*'LT '!C$9,AND($C40="Fuel car",$D40=4),$E40*'LT '!C$10,AND($C40="Fuel car",$D40=5),$E40*'LT '!C$11,AND($C40="Motorcycle",$D40=1),$E40*'LT '!C$13,AND($C40="Motorcycle",$D40=2),$E40*'LT '!C$14,AND($C40="Electric car",$D40=1),$E40*'LT '!C$16,AND($C40="Electric car",$D40=2),$E40*'LT '!C$17,AND($C40="Electric car",$D40=3),$E40*'LT '!C$18,AND($C40="Electric car",$D40=4),$E40*'LT '!C$19,AND($C40="Electric car",$D40=5),$E40*'LT '!C$20,AND($C40="Hybrid car",$D40=1),$E40*'LT '!C$22,AND($C40="Hybrid car",$D40=2),$E40*'LT '!C$23,AND($C40="Hybrid car",$D40=3),$E40*'LT '!C$24,AND($C40="Hybrid car",$D40=4),$E40*'LT '!C$25,AND($C40="Hybrid car",$D40=5),$E40*'LT '!C$26,AND($C40="Electric motorcycle",$D40=1),$E40*'LT '!C$28,AND($C40="Electric motorcycle",$D40=2),$E40*'LT '!C$29,AND($C40="Electric bike",$D40=1),$E40*'LT '!C$31,AND($C40="Electric scooter",$D40=1),$E40*'LT '!C$33,AND($C40="Bus",$D40="Almost empty"),$E40*'LT '!H$23,AND($C40="Bus",$D40="Average"),$E40*'LT '!H$24,AND($C40="Bus",$D40="Nearly full"),$E40*'LT '!H$25,AND($C40="Electric bus",$D40="Almost empty"),$E40*'LT '!H$7,AND($C40="Electric bus",$D40="Average"),$E40*'LT '!H$8,AND($C40="Electric bus",$D40="Nearly full"),$E40*'LT '!H$9,AND($C40="Diesel bus",$D40="Almost empty"),$E40*'LT '!H$19,AND($C40="Diesel bus",$D40="Average"),$E40*'LT '!H$20,AND($C40="Diesel bus",$D40="Nearly full"),$E40*'LT '!H$21,AND($C40="Hybrid-electric bus",$D40="Almost empty"),$E40*'LT '!H$11,AND($C40="Hybrid-electric bus",$D40="Average"),$E40*'LT '!H$12,AND($C40="Hybrid-electric bus",$D40="Nearly full"),$E40*'LT '!H$13,AND($C40="Alternative fuel bus",$D40="Almost empty"),$E40*'LT '!H$15,AND($C40="Alternative fuel bus",$D40="Average"),$E40*'LT '!H$16,AND($C40="Alternative fuel bus",$D40="Nearly full"),$E40*'LT '!H$17,AND($C40="Metro, tram, urban light train",$D40="Almost empty"),$E40*'LT '!C$35,AND($C40="Metro, tram, urban light train",$D40="Average"),$E40*'LT '!C$36,AND($C40="Metro, tram, urban light train",$D40="Nearly full"),$E40*'LT '!C$37,AND($C40="Electric passenger train",$D40="Almost empty"),$E40*'LT '!C$39,AND($C40="Electric passenger train",$D40="Average"),$E40*'LT '!C$40,AND($C40="Electric passenger train",$D40="Nearly full"),$E40*'LT '!C$41,AND($C40="Diesel passenger train",$D40="Almost empty"),$E40*'LT '!C$47,AND($C40="Diesel passenger train",$D40="Average"),$E40*'LT '!C$48,AND($C40="Diesel passenger train",$D40="Nearly full"),$E40*'LT '!C$49,AND($C40="Walking"),$E40*0,AND($C40="Bike"),$E40*0,AND($C40="Plane - domestic flight"),$E40*'LT '!$C64,AND($C40="Plane - international - intra EU"),$E40*'LT '!$C66,AND($C40="Plane - international (extra EU)"),$E40*'LT '!$C68)</f>
        <v>#N/A</v>
      </c>
      <c r="G40" s="31" t="e" cm="1">
        <f t="array" ref="G40">_xlfn.IFS(AND($C40="Fuel car",$D40=1),$E40*'LT '!D$7,AND($C40="Fuel car",$D40=2),$E40*'LT '!D$8,AND($C40="Fuel car",$D40=3),$E40*'LT '!D$9,AND($C40="Fuel car",$D40=4),$E40*'LT '!D$10,AND($C40="Fuel car",$D40=5),$E40*'LT '!D$11,AND($C40="Motorcycle",$D40=1),$E40*'LT '!D$13,AND($C40="Motorcycle",$D40=2),$E40*'LT '!D$14,AND($C40="Electric car",$D40=1),$E40*'LT '!D$16,AND($C40="Electric car",$D40=2),$E40*'LT '!D$17,AND($C40="Electric car",$D40=3),$E40*'LT '!D$18,AND($C40="Electric car",$D40=4),$E40*'LT '!D$19,AND($C40="Electric car",$D40=5),$E40*'LT '!D$20,AND($C40="Hybrid car",$D40=1),$E40*'LT '!D$22,AND($C40="Hybrid car",$D40=2),$E40*'LT '!D$23,AND($C40="Hybrid car",$D40=3),$E40*'LT '!D$24,AND($C40="Hybrid car",$D40=4),$E40*'LT '!D$25,AND($C40="Hybrid car",$D40=5),$E40*'LT '!D$26,AND($C40="Electric motorcycle",$D40=1),$E40*'LT '!D$28,AND($C40="Electric motorcycle",$D40=2),$E40*'LT '!D$29,AND($C40="Electric bike",$D40=1),$E40*'LT '!D$31,AND($C40="Electric scooter",$D40=1),$E40*'LT '!D$33,AND($C40="Bus",$D40="Almost empty"),$E40*'LT '!I$23,AND($C40="Bus",$D40="Average"),$E40*'LT '!I$24,AND($C40="Bus",$D40="Nearly full"),$E40*'LT '!I$25,AND($C40="Electric bus",$D40="Almost empty"),$E40*'LT '!I$7,AND($C40="Electric bus",$D40="Average"),$E40*'LT '!I$8,AND($C40="Electric bus",$D40="Nearly full"),$E40*'LT '!I$9,AND($C40="Diesel bus",$D40="Almost empty"),$E40*'LT '!I$19,AND($C40="Diesel bus",$D40="Average"),$E40*'LT '!I$20,AND($C40="Diesel bus",$D40="Nearly full"),$E40*'LT '!I$21,AND($C40="Hybrid-electric bus",$D40="Almost empty"),$E40*'LT '!I$11,AND($C40="Hybrid-electric bus",$D40="Average"),$E40*'LT '!I$12,AND($C40="Hybrid-electric bus",$D40="Nearly full"),$E40*'LT '!I$13,AND($C40="Alternative fuel bus",$D40="Almost empty"),$E40*'LT '!I$15,AND($C40="Alternative fuel bus",$D40="Average"),$E40*'LT '!I$16,AND($C40="Alternative fuel bus",$D40="Nearly full"),$E40*'LT '!I$17,AND($C40="Metro, tram, urban light train",$D40="Almost empty"),$E40*'LT '!D$35,AND($C40="Metro, tram, urban light train",$D40="Average"),$E40*'LT '!D$36,AND($C40="Metro, tram, urban light train",$D40="Nearly full"),$E40*'LT '!D$37,AND($C40="Electric passenger train",$D40="Almost empty"),$E40*'LT '!D$39,AND($C40="Electric passenger train",$D40="Average"),$E40*'LT '!D$40,AND($C40="Electric passenger train",$D40="Nearly full"),$E40*'LT '!D$41,AND($C40="Diesel passenger train",$D40="Almost empty"),$E40*'LT '!D$47,AND($C40="Diesel passenger train",$D40="Average"),$E40*'LT '!D$48,AND($C40="Diesel passenger train",$D40="Nearly full"),$E40*'LT '!D$49,AND($C40="Walking"),$E40*0,AND($C40="Bike"),$E40*0,AND($C40="Plane - domestic flight"),$E40*'LT '!$C64,AND($C40="Plane - international - intra EU"),$E40*'LT '!$C66,AND($C40="Plane - international (extra EU)"),$E40*'LT '!$C68)</f>
        <v>#N/A</v>
      </c>
      <c r="H40" s="145"/>
      <c r="I40" s="148">
        <f t="shared" si="6"/>
        <v>0</v>
      </c>
      <c r="J40" s="146" t="e" cm="1">
        <f t="array" ref="J40">_xlfn.IFS(C40="Fuel car",C40*DATA!$C$17,C40="Electric car",C40*DATA!$F$17,C40="Hybrid car",I40*(0.5*DATA!$C$17+0.5*DATA!$F$17))</f>
        <v>#N/A</v>
      </c>
      <c r="L40" s="229"/>
      <c r="M40" s="230"/>
      <c r="N40" s="231"/>
    </row>
    <row r="41" spans="1:14" ht="14.5" customHeight="1" x14ac:dyDescent="0.2">
      <c r="A41" s="222"/>
      <c r="B41" s="30"/>
      <c r="C41" s="15"/>
      <c r="D41" s="15"/>
      <c r="E41" s="125"/>
      <c r="F41" s="128" t="e" cm="1">
        <f t="array" ref="F41">_xlfn.IFS(AND($C41="Fuel car",$D41=1),$E41*'LT '!C$7,AND($C41="Fuel car",$D41=2),$E41*'LT '!C$8,AND($C41="Fuel car",$D41=3),$E41*'LT '!C$9,AND($C41="Fuel car",$D41=4),$E41*'LT '!C$10,AND($C41="Fuel car",$D41=5),$E41*'LT '!C$11,AND($C41="Motorcycle",$D41=1),$E41*'LT '!C$13,AND($C41="Motorcycle",$D41=2),$E41*'LT '!C$14,AND($C41="Electric car",$D41=1),$E41*'LT '!C$16,AND($C41="Electric car",$D41=2),$E41*'LT '!C$17,AND($C41="Electric car",$D41=3),$E41*'LT '!C$18,AND($C41="Electric car",$D41=4),$E41*'LT '!C$19,AND($C41="Electric car",$D41=5),$E41*'LT '!C$20,AND($C41="Hybrid car",$D41=1),$E41*'LT '!C$22,AND($C41="Hybrid car",$D41=2),$E41*'LT '!C$23,AND($C41="Hybrid car",$D41=3),$E41*'LT '!C$24,AND($C41="Hybrid car",$D41=4),$E41*'LT '!C$25,AND($C41="Hybrid car",$D41=5),$E41*'LT '!C$26,AND($C41="Electric motorcycle",$D41=1),$E41*'LT '!C$28,AND($C41="Electric motorcycle",$D41=2),$E41*'LT '!C$29,AND($C41="Electric bike",$D41=1),$E41*'LT '!C$31,AND($C41="Electric scooter",$D41=1),$E41*'LT '!C$33,AND($C41="Bus",$D41="Almost empty"),$E41*'LT '!H$23,AND($C41="Bus",$D41="Average"),$E41*'LT '!H$24,AND($C41="Bus",$D41="Nearly full"),$E41*'LT '!H$25,AND($C41="Electric bus",$D41="Almost empty"),$E41*'LT '!H$7,AND($C41="Electric bus",$D41="Average"),$E41*'LT '!H$8,AND($C41="Electric bus",$D41="Nearly full"),$E41*'LT '!H$9,AND($C41="Diesel bus",$D41="Almost empty"),$E41*'LT '!H$19,AND($C41="Diesel bus",$D41="Average"),$E41*'LT '!H$20,AND($C41="Diesel bus",$D41="Nearly full"),$E41*'LT '!H$21,AND($C41="Hybrid-electric bus",$D41="Almost empty"),$E41*'LT '!H$11,AND($C41="Hybrid-electric bus",$D41="Average"),$E41*'LT '!H$12,AND($C41="Hybrid-electric bus",$D41="Nearly full"),$E41*'LT '!H$13,AND($C41="Alternative fuel bus",$D41="Almost empty"),$E41*'LT '!H$15,AND($C41="Alternative fuel bus",$D41="Average"),$E41*'LT '!H$16,AND($C41="Alternative fuel bus",$D41="Nearly full"),$E41*'LT '!H$17,AND($C41="Metro, tram, urban light train",$D41="Almost empty"),$E41*'LT '!C$35,AND($C41="Metro, tram, urban light train",$D41="Average"),$E41*'LT '!C$36,AND($C41="Metro, tram, urban light train",$D41="Nearly full"),$E41*'LT '!C$37,AND($C41="Electric passenger train",$D41="Almost empty"),$E41*'LT '!C$39,AND($C41="Electric passenger train",$D41="Average"),$E41*'LT '!C$40,AND($C41="Electric passenger train",$D41="Nearly full"),$E41*'LT '!C$41,AND($C41="Diesel passenger train",$D41="Almost empty"),$E41*'LT '!C$47,AND($C41="Diesel passenger train",$D41="Average"),$E41*'LT '!C$48,AND($C41="Diesel passenger train",$D41="Nearly full"),$E41*'LT '!C$49,AND($C41="Walking"),$E41*0,AND($C41="Bike"),$E41*0,AND($C41="Plane - domestic flight"),$E41*'LT '!$C65,AND($C41="Plane - international - intra EU"),$E41*'LT '!$C67,AND($C41="Plane - international (extra EU)"),$E41*'LT '!$C69)</f>
        <v>#N/A</v>
      </c>
      <c r="G41" s="31" t="e" cm="1">
        <f t="array" ref="G41">_xlfn.IFS(AND($C41="Fuel car",$D41=1),$E41*'LT '!D$7,AND($C41="Fuel car",$D41=2),$E41*'LT '!D$8,AND($C41="Fuel car",$D41=3),$E41*'LT '!D$9,AND($C41="Fuel car",$D41=4),$E41*'LT '!D$10,AND($C41="Fuel car",$D41=5),$E41*'LT '!D$11,AND($C41="Motorcycle",$D41=1),$E41*'LT '!D$13,AND($C41="Motorcycle",$D41=2),$E41*'LT '!D$14,AND($C41="Electric car",$D41=1),$E41*'LT '!D$16,AND($C41="Electric car",$D41=2),$E41*'LT '!D$17,AND($C41="Electric car",$D41=3),$E41*'LT '!D$18,AND($C41="Electric car",$D41=4),$E41*'LT '!D$19,AND($C41="Electric car",$D41=5),$E41*'LT '!D$20,AND($C41="Hybrid car",$D41=1),$E41*'LT '!D$22,AND($C41="Hybrid car",$D41=2),$E41*'LT '!D$23,AND($C41="Hybrid car",$D41=3),$E41*'LT '!D$24,AND($C41="Hybrid car",$D41=4),$E41*'LT '!D$25,AND($C41="Hybrid car",$D41=5),$E41*'LT '!D$26,AND($C41="Electric motorcycle",$D41=1),$E41*'LT '!D$28,AND($C41="Electric motorcycle",$D41=2),$E41*'LT '!D$29,AND($C41="Electric bike",$D41=1),$E41*'LT '!D$31,AND($C41="Electric scooter",$D41=1),$E41*'LT '!D$33,AND($C41="Bus",$D41="Almost empty"),$E41*'LT '!I$23,AND($C41="Bus",$D41="Average"),$E41*'LT '!I$24,AND($C41="Bus",$D41="Nearly full"),$E41*'LT '!I$25,AND($C41="Electric bus",$D41="Almost empty"),$E41*'LT '!I$7,AND($C41="Electric bus",$D41="Average"),$E41*'LT '!I$8,AND($C41="Electric bus",$D41="Nearly full"),$E41*'LT '!I$9,AND($C41="Diesel bus",$D41="Almost empty"),$E41*'LT '!I$19,AND($C41="Diesel bus",$D41="Average"),$E41*'LT '!I$20,AND($C41="Diesel bus",$D41="Nearly full"),$E41*'LT '!I$21,AND($C41="Hybrid-electric bus",$D41="Almost empty"),$E41*'LT '!I$11,AND($C41="Hybrid-electric bus",$D41="Average"),$E41*'LT '!I$12,AND($C41="Hybrid-electric bus",$D41="Nearly full"),$E41*'LT '!I$13,AND($C41="Alternative fuel bus",$D41="Almost empty"),$E41*'LT '!I$15,AND($C41="Alternative fuel bus",$D41="Average"),$E41*'LT '!I$16,AND($C41="Alternative fuel bus",$D41="Nearly full"),$E41*'LT '!I$17,AND($C41="Metro, tram, urban light train",$D41="Almost empty"),$E41*'LT '!D$35,AND($C41="Metro, tram, urban light train",$D41="Average"),$E41*'LT '!D$36,AND($C41="Metro, tram, urban light train",$D41="Nearly full"),$E41*'LT '!D$37,AND($C41="Electric passenger train",$D41="Almost empty"),$E41*'LT '!D$39,AND($C41="Electric passenger train",$D41="Average"),$E41*'LT '!D$40,AND($C41="Electric passenger train",$D41="Nearly full"),$E41*'LT '!D$41,AND($C41="Diesel passenger train",$D41="Almost empty"),$E41*'LT '!D$47,AND($C41="Diesel passenger train",$D41="Average"),$E41*'LT '!D$48,AND($C41="Diesel passenger train",$D41="Nearly full"),$E41*'LT '!D$49,AND($C41="Walking"),$E41*0,AND($C41="Bike"),$E41*0,AND($C41="Plane - domestic flight"),$E41*'LT '!$C65,AND($C41="Plane - international - intra EU"),$E41*'LT '!$C67,AND($C41="Plane - international (extra EU)"),$E41*'LT '!$C69)</f>
        <v>#N/A</v>
      </c>
      <c r="H41" s="145"/>
      <c r="I41" s="148">
        <f t="shared" si="6"/>
        <v>0</v>
      </c>
      <c r="J41" s="146" t="e" cm="1">
        <f t="array" ref="J41">_xlfn.IFS(C41="Fuel car",C41*DATA!$C$17,C41="Electric car",C41*DATA!$F$17,C41="Hybrid car",I41*(0.5*DATA!$C$17+0.5*DATA!$F$17))</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car",$D42=1),$E42*'LT '!C$7,AND($C42="Fuel car",$D42=2),$E42*'LT '!C$8,AND($C42="Fuel car",$D42=3),$E42*'LT '!C$9,AND($C42="Fuel car",$D42=4),$E42*'LT '!C$10,AND($C42="Fuel car",$D42=5),$E42*'LT '!C$11,AND($C42="Motorcycle",$D42=1),$E42*'LT '!C$13,AND($C42="Motorcycle",$D42=2),$E42*'LT '!C$14,AND($C42="Electric car",$D42=1),$E42*'LT '!C$16,AND($C42="Electric car",$D42=2),$E42*'LT '!C$17,AND($C42="Electric car",$D42=3),$E42*'LT '!C$18,AND($C42="Electric car",$D42=4),$E42*'LT '!C$19,AND($C42="Electric car",$D42=5),$E42*'LT '!C$20,AND($C42="Hybrid car",$D42=1),$E42*'LT '!C$22,AND($C42="Hybrid car",$D42=2),$E42*'LT '!C$23,AND($C42="Hybrid car",$D42=3),$E42*'LT '!C$24,AND($C42="Hybrid car",$D42=4),$E42*'LT '!C$25,AND($C42="Hybrid car",$D42=5),$E42*'LT '!C$26,AND($C42="Electric motorcycle",$D42=1),$E42*'LT '!C$28,AND($C42="Electric motorcycle",$D42=2),$E42*'LT '!C$29,AND($C42="Electric bike",$D42=1),$E42*'LT '!C$31,AND($C42="Electric scooter",$D42=1),$E42*'LT '!C$33,AND($C42="Bus",$D42="Almost empty"),$E42*'LT '!H$23,AND($C42="Bus",$D42="Average"),$E42*'LT '!H$24,AND($C42="Bus",$D42="Nearly full"),$E42*'LT '!H$25,AND($C42="Electric bus",$D42="Almost empty"),$E42*'LT '!H$7,AND($C42="Electric bus",$D42="Average"),$E42*'LT '!H$8,AND($C42="Electric bus",$D42="Nearly full"),$E42*'LT '!H$9,AND($C42="Diesel bus",$D42="Almost empty"),$E42*'LT '!H$19,AND($C42="Diesel bus",$D42="Average"),$E42*'LT '!H$20,AND($C42="Diesel bus",$D42="Nearly full"),$E42*'LT '!H$21,AND($C42="Hybrid-electric bus",$D42="Almost empty"),$E42*'LT '!H$11,AND($C42="Hybrid-electric bus",$D42="Average"),$E42*'LT '!H$12,AND($C42="Hybrid-electric bus",$D42="Nearly full"),$E42*'LT '!H$13,AND($C42="Alternative fuel bus",$D42="Almost empty"),$E42*'LT '!H$15,AND($C42="Alternative fuel bus",$D42="Average"),$E42*'LT '!H$16,AND($C42="Alternative fuel bus",$D42="Nearly full"),$E42*'LT '!H$17,AND($C42="Metro, tram, urban light train",$D42="Almost empty"),$E42*'LT '!C$35,AND($C42="Metro, tram, urban light train",$D42="Average"),$E42*'LT '!C$36,AND($C42="Metro, tram, urban light train",$D42="Nearly full"),$E42*'LT '!C$37,AND($C42="Electric passenger train",$D42="Almost empty"),$E42*'LT '!C$39,AND($C42="Electric passenger train",$D42="Average"),$E42*'LT '!C$40,AND($C42="Electric passenger train",$D42="Nearly full"),$E42*'LT '!C$41,AND($C42="Diesel passenger train",$D42="Almost empty"),$E42*'LT '!C$47,AND($C42="Diesel passenger train",$D42="Average"),$E42*'LT '!C$48,AND($C42="Diesel passenger train",$D42="Nearly full"),$E42*'LT '!C$49,AND($C42="Walking"),$E42*0,AND($C42="Bike"),$E42*0,AND($C42="Plane - domestic flight"),$E42*'LT '!$C66,AND($C42="Plane - international - intra EU"),$E42*'LT '!$C68,AND($C42="Plane - international (extra EU)"),$E42*'LT '!$C70)</f>
        <v>#N/A</v>
      </c>
      <c r="G42" s="31" t="e" cm="1">
        <f t="array" ref="G42">_xlfn.IFS(AND($C42="Fuel car",$D42=1),$E42*'LT '!D$7,AND($C42="Fuel car",$D42=2),$E42*'LT '!D$8,AND($C42="Fuel car",$D42=3),$E42*'LT '!D$9,AND($C42="Fuel car",$D42=4),$E42*'LT '!D$10,AND($C42="Fuel car",$D42=5),$E42*'LT '!D$11,AND($C42="Motorcycle",$D42=1),$E42*'LT '!D$13,AND($C42="Motorcycle",$D42=2),$E42*'LT '!D$14,AND($C42="Electric car",$D42=1),$E42*'LT '!D$16,AND($C42="Electric car",$D42=2),$E42*'LT '!D$17,AND($C42="Electric car",$D42=3),$E42*'LT '!D$18,AND($C42="Electric car",$D42=4),$E42*'LT '!D$19,AND($C42="Electric car",$D42=5),$E42*'LT '!D$20,AND($C42="Hybrid car",$D42=1),$E42*'LT '!D$22,AND($C42="Hybrid car",$D42=2),$E42*'LT '!D$23,AND($C42="Hybrid car",$D42=3),$E42*'LT '!D$24,AND($C42="Hybrid car",$D42=4),$E42*'LT '!D$25,AND($C42="Hybrid car",$D42=5),$E42*'LT '!D$26,AND($C42="Electric motorcycle",$D42=1),$E42*'LT '!D$28,AND($C42="Electric motorcycle",$D42=2),$E42*'LT '!D$29,AND($C42="Electric bike",$D42=1),$E42*'LT '!D$31,AND($C42="Electric scooter",$D42=1),$E42*'LT '!D$33,AND($C42="Bus",$D42="Almost empty"),$E42*'LT '!I$23,AND($C42="Bus",$D42="Average"),$E42*'LT '!I$24,AND($C42="Bus",$D42="Nearly full"),$E42*'LT '!I$25,AND($C42="Electric bus",$D42="Almost empty"),$E42*'LT '!I$7,AND($C42="Electric bus",$D42="Average"),$E42*'LT '!I$8,AND($C42="Electric bus",$D42="Nearly full"),$E42*'LT '!I$9,AND($C42="Diesel bus",$D42="Almost empty"),$E42*'LT '!I$19,AND($C42="Diesel bus",$D42="Average"),$E42*'LT '!I$20,AND($C42="Diesel bus",$D42="Nearly full"),$E42*'LT '!I$21,AND($C42="Hybrid-electric bus",$D42="Almost empty"),$E42*'LT '!I$11,AND($C42="Hybrid-electric bus",$D42="Average"),$E42*'LT '!I$12,AND($C42="Hybrid-electric bus",$D42="Nearly full"),$E42*'LT '!I$13,AND($C42="Alternative fuel bus",$D42="Almost empty"),$E42*'LT '!I$15,AND($C42="Alternative fuel bus",$D42="Average"),$E42*'LT '!I$16,AND($C42="Alternative fuel bus",$D42="Nearly full"),$E42*'LT '!I$17,AND($C42="Metro, tram, urban light train",$D42="Almost empty"),$E42*'LT '!D$35,AND($C42="Metro, tram, urban light train",$D42="Average"),$E42*'LT '!D$36,AND($C42="Metro, tram, urban light train",$D42="Nearly full"),$E42*'LT '!D$37,AND($C42="Electric passenger train",$D42="Almost empty"),$E42*'LT '!D$39,AND($C42="Electric passenger train",$D42="Average"),$E42*'LT '!D$40,AND($C42="Electric passenger train",$D42="Nearly full"),$E42*'LT '!D$41,AND($C42="Diesel passenger train",$D42="Almost empty"),$E42*'LT '!D$47,AND($C42="Diesel passenger train",$D42="Average"),$E42*'LT '!D$48,AND($C42="Diesel passenger train",$D42="Nearly full"),$E42*'LT '!D$49,AND($C42="Walking"),$E42*0,AND($C42="Bike"),$E42*0,AND($C42="Plane - domestic flight"),$E42*'LT '!$C66,AND($C42="Plane - international - intra EU"),$E42*'LT '!$C68,AND($C42="Plane - international (extra EU)"),$E42*'LT '!$C70)</f>
        <v>#N/A</v>
      </c>
      <c r="H42" s="145"/>
      <c r="I42" s="148">
        <f t="shared" si="6"/>
        <v>0</v>
      </c>
      <c r="J42" s="146" t="e" cm="1">
        <f t="array" ref="J42">_xlfn.IFS(C42="Fuel car",C42*DATA!$C$17,C42="Electric car",C42*DATA!$F$17,C42="Hybrid car",I42*(0.5*DATA!$C$17+0.5*DATA!$F$17))</f>
        <v>#N/A</v>
      </c>
      <c r="L42" s="235"/>
      <c r="M42" s="236"/>
      <c r="N42" s="237"/>
    </row>
    <row r="43" spans="1:14" ht="14.5" customHeight="1" thickBot="1" x14ac:dyDescent="0.25">
      <c r="A43" s="222"/>
      <c r="B43" s="30"/>
      <c r="C43" s="15"/>
      <c r="D43" s="15"/>
      <c r="E43" s="125"/>
      <c r="F43" s="128" t="e" cm="1">
        <f t="array" ref="F43">_xlfn.IFS(AND($C43="Fuel car",$D43=1),$E43*'LT '!C$7,AND($C43="Fuel car",$D43=2),$E43*'LT '!C$8,AND($C43="Fuel car",$D43=3),$E43*'LT '!C$9,AND($C43="Fuel car",$D43=4),$E43*'LT '!C$10,AND($C43="Fuel car",$D43=5),$E43*'LT '!C$11,AND($C43="Motorcycle",$D43=1),$E43*'LT '!C$13,AND($C43="Motorcycle",$D43=2),$E43*'LT '!C$14,AND($C43="Electric car",$D43=1),$E43*'LT '!C$16,AND($C43="Electric car",$D43=2),$E43*'LT '!C$17,AND($C43="Electric car",$D43=3),$E43*'LT '!C$18,AND($C43="Electric car",$D43=4),$E43*'LT '!C$19,AND($C43="Electric car",$D43=5),$E43*'LT '!C$20,AND($C43="Hybrid car",$D43=1),$E43*'LT '!C$22,AND($C43="Hybrid car",$D43=2),$E43*'LT '!C$23,AND($C43="Hybrid car",$D43=3),$E43*'LT '!C$24,AND($C43="Hybrid car",$D43=4),$E43*'LT '!C$25,AND($C43="Hybrid car",$D43=5),$E43*'LT '!C$26,AND($C43="Electric motorcycle",$D43=1),$E43*'LT '!C$28,AND($C43="Electric motorcycle",$D43=2),$E43*'LT '!C$29,AND($C43="Electric bike",$D43=1),$E43*'LT '!C$31,AND($C43="Electric scooter",$D43=1),$E43*'LT '!C$33,AND($C43="Bus",$D43="Almost empty"),$E43*'LT '!H$23,AND($C43="Bus",$D43="Average"),$E43*'LT '!H$24,AND($C43="Bus",$D43="Nearly full"),$E43*'LT '!H$25,AND($C43="Electric bus",$D43="Almost empty"),$E43*'LT '!H$7,AND($C43="Electric bus",$D43="Average"),$E43*'LT '!H$8,AND($C43="Electric bus",$D43="Nearly full"),$E43*'LT '!H$9,AND($C43="Diesel bus",$D43="Almost empty"),$E43*'LT '!H$19,AND($C43="Diesel bus",$D43="Average"),$E43*'LT '!H$20,AND($C43="Diesel bus",$D43="Nearly full"),$E43*'LT '!H$21,AND($C43="Hybrid-electric bus",$D43="Almost empty"),$E43*'LT '!H$11,AND($C43="Hybrid-electric bus",$D43="Average"),$E43*'LT '!H$12,AND($C43="Hybrid-electric bus",$D43="Nearly full"),$E43*'LT '!H$13,AND($C43="Alternative fuel bus",$D43="Almost empty"),$E43*'LT '!H$15,AND($C43="Alternative fuel bus",$D43="Average"),$E43*'LT '!H$16,AND($C43="Alternative fuel bus",$D43="Nearly full"),$E43*'LT '!H$17,AND($C43="Metro, tram, urban light train",$D43="Almost empty"),$E43*'LT '!C$35,AND($C43="Metro, tram, urban light train",$D43="Average"),$E43*'LT '!C$36,AND($C43="Metro, tram, urban light train",$D43="Nearly full"),$E43*'LT '!C$37,AND($C43="Electric passenger train",$D43="Almost empty"),$E43*'LT '!C$39,AND($C43="Electric passenger train",$D43="Average"),$E43*'LT '!C$40,AND($C43="Electric passenger train",$D43="Nearly full"),$E43*'LT '!C$41,AND($C43="Diesel passenger train",$D43="Almost empty"),$E43*'LT '!C$47,AND($C43="Diesel passenger train",$D43="Average"),$E43*'LT '!C$48,AND($C43="Diesel passenger train",$D43="Nearly full"),$E43*'LT '!C$49,AND($C43="Walking"),$E43*0,AND($C43="Bike"),$E43*0,AND($C43="Plane - domestic flight"),$E43*'LT '!$C67,AND($C43="Plane - international - intra EU"),$E43*'LT '!$C69,AND($C43="Plane - international (extra EU)"),$E43*'LT '!$C71)</f>
        <v>#N/A</v>
      </c>
      <c r="G43" s="31" t="e" cm="1">
        <f t="array" ref="G43">_xlfn.IFS(AND($C43="Fuel car",$D43=1),$E43*'LT '!D$7,AND($C43="Fuel car",$D43=2),$E43*'LT '!D$8,AND($C43="Fuel car",$D43=3),$E43*'LT '!D$9,AND($C43="Fuel car",$D43=4),$E43*'LT '!D$10,AND($C43="Fuel car",$D43=5),$E43*'LT '!D$11,AND($C43="Motorcycle",$D43=1),$E43*'LT '!D$13,AND($C43="Motorcycle",$D43=2),$E43*'LT '!D$14,AND($C43="Electric car",$D43=1),$E43*'LT '!D$16,AND($C43="Electric car",$D43=2),$E43*'LT '!D$17,AND($C43="Electric car",$D43=3),$E43*'LT '!D$18,AND($C43="Electric car",$D43=4),$E43*'LT '!D$19,AND($C43="Electric car",$D43=5),$E43*'LT '!D$20,AND($C43="Hybrid car",$D43=1),$E43*'LT '!D$22,AND($C43="Hybrid car",$D43=2),$E43*'LT '!D$23,AND($C43="Hybrid car",$D43=3),$E43*'LT '!D$24,AND($C43="Hybrid car",$D43=4),$E43*'LT '!D$25,AND($C43="Hybrid car",$D43=5),$E43*'LT '!D$26,AND($C43="Electric motorcycle",$D43=1),$E43*'LT '!D$28,AND($C43="Electric motorcycle",$D43=2),$E43*'LT '!D$29,AND($C43="Electric bike",$D43=1),$E43*'LT '!D$31,AND($C43="Electric scooter",$D43=1),$E43*'LT '!D$33,AND($C43="Bus",$D43="Almost empty"),$E43*'LT '!I$23,AND($C43="Bus",$D43="Average"),$E43*'LT '!I$24,AND($C43="Bus",$D43="Nearly full"),$E43*'LT '!I$25,AND($C43="Electric bus",$D43="Almost empty"),$E43*'LT '!I$7,AND($C43="Electric bus",$D43="Average"),$E43*'LT '!I$8,AND($C43="Electric bus",$D43="Nearly full"),$E43*'LT '!I$9,AND($C43="Diesel bus",$D43="Almost empty"),$E43*'LT '!I$19,AND($C43="Diesel bus",$D43="Average"),$E43*'LT '!I$20,AND($C43="Diesel bus",$D43="Nearly full"),$E43*'LT '!I$21,AND($C43="Hybrid-electric bus",$D43="Almost empty"),$E43*'LT '!I$11,AND($C43="Hybrid-electric bus",$D43="Average"),$E43*'LT '!I$12,AND($C43="Hybrid-electric bus",$D43="Nearly full"),$E43*'LT '!I$13,AND($C43="Alternative fuel bus",$D43="Almost empty"),$E43*'LT '!I$15,AND($C43="Alternative fuel bus",$D43="Average"),$E43*'LT '!I$16,AND($C43="Alternative fuel bus",$D43="Nearly full"),$E43*'LT '!I$17,AND($C43="Metro, tram, urban light train",$D43="Almost empty"),$E43*'LT '!D$35,AND($C43="Metro, tram, urban light train",$D43="Average"),$E43*'LT '!D$36,AND($C43="Metro, tram, urban light train",$D43="Nearly full"),$E43*'LT '!D$37,AND($C43="Electric passenger train",$D43="Almost empty"),$E43*'LT '!D$39,AND($C43="Electric passenger train",$D43="Average"),$E43*'LT '!D$40,AND($C43="Electric passenger train",$D43="Nearly full"),$E43*'LT '!D$41,AND($C43="Diesel passenger train",$D43="Almost empty"),$E43*'LT '!D$47,AND($C43="Diesel passenger train",$D43="Average"),$E43*'LT '!D$48,AND($C43="Diesel passenger train",$D43="Nearly full"),$E43*'LT '!D$49,AND($C43="Walking"),$E43*0,AND($C43="Bike"),$E43*0,AND($C43="Plane - domestic flight"),$E43*'LT '!$C67,AND($C43="Plane - international - intra EU"),$E43*'LT '!$C69,AND($C43="Plane - international (extra EU)"),$E43*'LT '!$C71)</f>
        <v>#N/A</v>
      </c>
      <c r="H43" s="109"/>
      <c r="I43" s="154">
        <f t="shared" si="6"/>
        <v>0</v>
      </c>
      <c r="J43" s="147" t="e" cm="1">
        <f t="array" ref="J43">_xlfn.IFS(C43="Fuel car",C43*DATA!$C$17,C43="Electric car",C43*DATA!$F$17,C43="Hybrid car",I43*(0.5*DATA!$C$17+0.5*DATA!$F$17))</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car",$D44=1),$E44*'LT '!C$7,AND($C44="Fuel car",$D44=2),$E44*'LT '!C$8,AND($C44="Fuel car",$D44=3),$E44*'LT '!C$9,AND($C44="Fuel car",$D44=4),$E44*'LT '!C$10,AND($C44="Fuel car",$D44=5),$E44*'LT '!C$11,AND($C44="Motorcycle",$D44=1),$E44*'LT '!C$13,AND($C44="Motorcycle",$D44=2),$E44*'LT '!C$14,AND($C44="Electric car",$D44=1),$E44*'LT '!C$16,AND($C44="Electric car",$D44=2),$E44*'LT '!C$17,AND($C44="Electric car",$D44=3),$E44*'LT '!C$18,AND($C44="Electric car",$D44=4),$E44*'LT '!C$19,AND($C44="Electric car",$D44=5),$E44*'LT '!C$20,AND($C44="Hybrid car",$D44=1),$E44*'LT '!C$22,AND($C44="Hybrid car",$D44=2),$E44*'LT '!C$23,AND($C44="Hybrid car",$D44=3),$E44*'LT '!C$24,AND($C44="Hybrid car",$D44=4),$E44*'LT '!C$25,AND($C44="Hybrid car",$D44=5),$E44*'LT '!C$26,AND($C44="Electric motorcycle",$D44=1),$E44*'LT '!C$28,AND($C44="Electric motorcycle",$D44=2),$E44*'LT '!C$29,AND($C44="Electric bike",$D44=1),$E44*'LT '!C$31,AND($C44="Electric scooter",$D44=1),$E44*'LT '!C$33,AND($C44="Bus",$D44="Almost empty"),$E44*'LT '!H$23,AND($C44="Bus",$D44="Average"),$E44*'LT '!H$24,AND($C44="Bus",$D44="Nearly full"),$E44*'LT '!H$25,AND($C44="Electric bus",$D44="Almost empty"),$E44*'LT '!H$7,AND($C44="Electric bus",$D44="Average"),$E44*'LT '!H$8,AND($C44="Electric bus",$D44="Nearly full"),$E44*'LT '!H$9,AND($C44="Diesel bus",$D44="Almost empty"),$E44*'LT '!H$19,AND($C44="Diesel bus",$D44="Average"),$E44*'LT '!H$20,AND($C44="Diesel bus",$D44="Nearly full"),$E44*'LT '!H$21,AND($C44="Hybrid-electric bus",$D44="Almost empty"),$E44*'LT '!H$11,AND($C44="Hybrid-electric bus",$D44="Average"),$E44*'LT '!H$12,AND($C44="Hybrid-electric bus",$D44="Nearly full"),$E44*'LT '!H$13,AND($C44="Alternative fuel bus",$D44="Almost empty"),$E44*'LT '!H$15,AND($C44="Alternative fuel bus",$D44="Average"),$E44*'LT '!H$16,AND($C44="Alternative fuel bus",$D44="Nearly full"),$E44*'LT '!H$17,AND($C44="Metro, tram, urban light train",$D44="Almost empty"),$E44*'LT '!C$35,AND($C44="Metro, tram, urban light train",$D44="Average"),$E44*'LT '!C$36,AND($C44="Metro, tram, urban light train",$D44="Nearly full"),$E44*'LT '!C$37,AND($C44="Electric passenger train",$D44="Almost empty"),$E44*'LT '!C$39,AND($C44="Electric passenger train",$D44="Average"),$E44*'LT '!C$40,AND($C44="Electric passenger train",$D44="Nearly full"),$E44*'LT '!C$41,AND($C44="Diesel passenger train",$D44="Almost empty"),$E44*'LT '!C$47,AND($C44="Diesel passenger train",$D44="Average"),$E44*'LT '!C$48,AND($C44="Diesel passenger train",$D44="Nearly full"),$E44*'LT '!C$49,AND($C44="Walking"),$E44*0,AND($C44="Bike"),$E44*0,AND($C44="Plane - domestic flight"),$E44*'LT '!$C68,AND($C44="Plane - international - intra EU"),$E44*'LT '!$C70,AND($C44="Plane - international (extra EU)"),$E44*'LT '!$C72)</f>
        <v>#N/A</v>
      </c>
      <c r="G44" s="31" t="e" cm="1">
        <f t="array" ref="G44">_xlfn.IFS(AND($C44="Fuel car",$D44=1),$E44*'LT '!D$7,AND($C44="Fuel car",$D44=2),$E44*'LT '!D$8,AND($C44="Fuel car",$D44=3),$E44*'LT '!D$9,AND($C44="Fuel car",$D44=4),$E44*'LT '!D$10,AND($C44="Fuel car",$D44=5),$E44*'LT '!D$11,AND($C44="Motorcycle",$D44=1),$E44*'LT '!D$13,AND($C44="Motorcycle",$D44=2),$E44*'LT '!D$14,AND($C44="Electric car",$D44=1),$E44*'LT '!D$16,AND($C44="Electric car",$D44=2),$E44*'LT '!D$17,AND($C44="Electric car",$D44=3),$E44*'LT '!D$18,AND($C44="Electric car",$D44=4),$E44*'LT '!D$19,AND($C44="Electric car",$D44=5),$E44*'LT '!D$20,AND($C44="Hybrid car",$D44=1),$E44*'LT '!D$22,AND($C44="Hybrid car",$D44=2),$E44*'LT '!D$23,AND($C44="Hybrid car",$D44=3),$E44*'LT '!D$24,AND($C44="Hybrid car",$D44=4),$E44*'LT '!D$25,AND($C44="Hybrid car",$D44=5),$E44*'LT '!D$26,AND($C44="Electric motorcycle",$D44=1),$E44*'LT '!D$28,AND($C44="Electric motorcycle",$D44=2),$E44*'LT '!D$29,AND($C44="Electric bike",$D44=1),$E44*'LT '!D$31,AND($C44="Electric scooter",$D44=1),$E44*'LT '!D$33,AND($C44="Bus",$D44="Almost empty"),$E44*'LT '!I$23,AND($C44="Bus",$D44="Average"),$E44*'LT '!I$24,AND($C44="Bus",$D44="Nearly full"),$E44*'LT '!I$25,AND($C44="Electric bus",$D44="Almost empty"),$E44*'LT '!I$7,AND($C44="Electric bus",$D44="Average"),$E44*'LT '!I$8,AND($C44="Electric bus",$D44="Nearly full"),$E44*'LT '!I$9,AND($C44="Diesel bus",$D44="Almost empty"),$E44*'LT '!I$19,AND($C44="Diesel bus",$D44="Average"),$E44*'LT '!I$20,AND($C44="Diesel bus",$D44="Nearly full"),$E44*'LT '!I$21,AND($C44="Hybrid-electric bus",$D44="Almost empty"),$E44*'LT '!I$11,AND($C44="Hybrid-electric bus",$D44="Average"),$E44*'LT '!I$12,AND($C44="Hybrid-electric bus",$D44="Nearly full"),$E44*'LT '!I$13,AND($C44="Alternative fuel bus",$D44="Almost empty"),$E44*'LT '!I$15,AND($C44="Alternative fuel bus",$D44="Average"),$E44*'LT '!I$16,AND($C44="Alternative fuel bus",$D44="Nearly full"),$E44*'LT '!I$17,AND($C44="Metro, tram, urban light train",$D44="Almost empty"),$E44*'LT '!D$35,AND($C44="Metro, tram, urban light train",$D44="Average"),$E44*'LT '!D$36,AND($C44="Metro, tram, urban light train",$D44="Nearly full"),$E44*'LT '!D$37,AND($C44="Electric passenger train",$D44="Almost empty"),$E44*'LT '!D$39,AND($C44="Electric passenger train",$D44="Average"),$E44*'LT '!D$40,AND($C44="Electric passenger train",$D44="Nearly full"),$E44*'LT '!D$41,AND($C44="Diesel passenger train",$D44="Almost empty"),$E44*'LT '!D$47,AND($C44="Diesel passenger train",$D44="Average"),$E44*'LT '!D$48,AND($C44="Diesel passenger train",$D44="Nearly full"),$E44*'LT '!D$49,AND($C44="Walking"),$E44*0,AND($C44="Bike"),$E44*0,AND($C44="Plane - domestic flight"),$E44*'LT '!$C68,AND($C44="Plane - international - intra EU"),$E44*'LT '!$C70,AND($C44="Plane - international (extra EU)"),$E44*'LT '!$C72)</f>
        <v>#N/A</v>
      </c>
      <c r="L44" s="218"/>
      <c r="M44" s="219"/>
      <c r="N44" s="220"/>
    </row>
    <row r="45" spans="1:14" ht="14.5" customHeight="1" x14ac:dyDescent="0.2">
      <c r="A45" s="222"/>
      <c r="B45" s="30"/>
      <c r="C45" s="15"/>
      <c r="D45" s="15"/>
      <c r="E45" s="125"/>
      <c r="F45" s="128" t="e" cm="1">
        <f t="array" ref="F45">_xlfn.IFS(AND($C45="Fuel car",$D45=1),$E45*'LT '!C$7,AND($C45="Fuel car",$D45=2),$E45*'LT '!C$8,AND($C45="Fuel car",$D45=3),$E45*'LT '!C$9,AND($C45="Fuel car",$D45=4),$E45*'LT '!C$10,AND($C45="Fuel car",$D45=5),$E45*'LT '!C$11,AND($C45="Motorcycle",$D45=1),$E45*'LT '!C$13,AND($C45="Motorcycle",$D45=2),$E45*'LT '!C$14,AND($C45="Electric car",$D45=1),$E45*'LT '!C$16,AND($C45="Electric car",$D45=2),$E45*'LT '!C$17,AND($C45="Electric car",$D45=3),$E45*'LT '!C$18,AND($C45="Electric car",$D45=4),$E45*'LT '!C$19,AND($C45="Electric car",$D45=5),$E45*'LT '!C$20,AND($C45="Hybrid car",$D45=1),$E45*'LT '!C$22,AND($C45="Hybrid car",$D45=2),$E45*'LT '!C$23,AND($C45="Hybrid car",$D45=3),$E45*'LT '!C$24,AND($C45="Hybrid car",$D45=4),$E45*'LT '!C$25,AND($C45="Hybrid car",$D45=5),$E45*'LT '!C$26,AND($C45="Electric motorcycle",$D45=1),$E45*'LT '!C$28,AND($C45="Electric motorcycle",$D45=2),$E45*'LT '!C$29,AND($C45="Electric bike",$D45=1),$E45*'LT '!C$31,AND($C45="Electric scooter",$D45=1),$E45*'LT '!C$33,AND($C45="Bus",$D45="Almost empty"),$E45*'LT '!H$23,AND($C45="Bus",$D45="Average"),$E45*'LT '!H$24,AND($C45="Bus",$D45="Nearly full"),$E45*'LT '!H$25,AND($C45="Electric bus",$D45="Almost empty"),$E45*'LT '!H$7,AND($C45="Electric bus",$D45="Average"),$E45*'LT '!H$8,AND($C45="Electric bus",$D45="Nearly full"),$E45*'LT '!H$9,AND($C45="Diesel bus",$D45="Almost empty"),$E45*'LT '!H$19,AND($C45="Diesel bus",$D45="Average"),$E45*'LT '!H$20,AND($C45="Diesel bus",$D45="Nearly full"),$E45*'LT '!H$21,AND($C45="Hybrid-electric bus",$D45="Almost empty"),$E45*'LT '!H$11,AND($C45="Hybrid-electric bus",$D45="Average"),$E45*'LT '!H$12,AND($C45="Hybrid-electric bus",$D45="Nearly full"),$E45*'LT '!H$13,AND($C45="Alternative fuel bus",$D45="Almost empty"),$E45*'LT '!H$15,AND($C45="Alternative fuel bus",$D45="Average"),$E45*'LT '!H$16,AND($C45="Alternative fuel bus",$D45="Nearly full"),$E45*'LT '!H$17,AND($C45="Metro, tram, urban light train",$D45="Almost empty"),$E45*'LT '!C$35,AND($C45="Metro, tram, urban light train",$D45="Average"),$E45*'LT '!C$36,AND($C45="Metro, tram, urban light train",$D45="Nearly full"),$E45*'LT '!C$37,AND($C45="Electric passenger train",$D45="Almost empty"),$E45*'LT '!C$39,AND($C45="Electric passenger train",$D45="Average"),$E45*'LT '!C$40,AND($C45="Electric passenger train",$D45="Nearly full"),$E45*'LT '!C$41,AND($C45="Diesel passenger train",$D45="Almost empty"),$E45*'LT '!C$47,AND($C45="Diesel passenger train",$D45="Average"),$E45*'LT '!C$48,AND($C45="Diesel passenger train",$D45="Nearly full"),$E45*'LT '!C$49,AND($C45="Walking"),$E45*0,AND($C45="Bike"),$E45*0,AND($C45="Plane - domestic flight"),$E45*'LT '!$C69,AND($C45="Plane - international - intra EU"),$E45*'LT '!$C71,AND($C45="Plane - international (extra EU)"),$E45*'LT '!$C73)</f>
        <v>#N/A</v>
      </c>
      <c r="G45" s="31" t="e" cm="1">
        <f t="array" ref="G45">_xlfn.IFS(AND($C45="Fuel car",$D45=1),$E45*'LT '!D$7,AND($C45="Fuel car",$D45=2),$E45*'LT '!D$8,AND($C45="Fuel car",$D45=3),$E45*'LT '!D$9,AND($C45="Fuel car",$D45=4),$E45*'LT '!D$10,AND($C45="Fuel car",$D45=5),$E45*'LT '!D$11,AND($C45="Motorcycle",$D45=1),$E45*'LT '!D$13,AND($C45="Motorcycle",$D45=2),$E45*'LT '!D$14,AND($C45="Electric car",$D45=1),$E45*'LT '!D$16,AND($C45="Electric car",$D45=2),$E45*'LT '!D$17,AND($C45="Electric car",$D45=3),$E45*'LT '!D$18,AND($C45="Electric car",$D45=4),$E45*'LT '!D$19,AND($C45="Electric car",$D45=5),$E45*'LT '!D$20,AND($C45="Hybrid car",$D45=1),$E45*'LT '!D$22,AND($C45="Hybrid car",$D45=2),$E45*'LT '!D$23,AND($C45="Hybrid car",$D45=3),$E45*'LT '!D$24,AND($C45="Hybrid car",$D45=4),$E45*'LT '!D$25,AND($C45="Hybrid car",$D45=5),$E45*'LT '!D$26,AND($C45="Electric motorcycle",$D45=1),$E45*'LT '!D$28,AND($C45="Electric motorcycle",$D45=2),$E45*'LT '!D$29,AND($C45="Electric bike",$D45=1),$E45*'LT '!D$31,AND($C45="Electric scooter",$D45=1),$E45*'LT '!D$33,AND($C45="Bus",$D45="Almost empty"),$E45*'LT '!I$23,AND($C45="Bus",$D45="Average"),$E45*'LT '!I$24,AND($C45="Bus",$D45="Nearly full"),$E45*'LT '!I$25,AND($C45="Electric bus",$D45="Almost empty"),$E45*'LT '!I$7,AND($C45="Electric bus",$D45="Average"),$E45*'LT '!I$8,AND($C45="Electric bus",$D45="Nearly full"),$E45*'LT '!I$9,AND($C45="Diesel bus",$D45="Almost empty"),$E45*'LT '!I$19,AND($C45="Diesel bus",$D45="Average"),$E45*'LT '!I$20,AND($C45="Diesel bus",$D45="Nearly full"),$E45*'LT '!I$21,AND($C45="Hybrid-electric bus",$D45="Almost empty"),$E45*'LT '!I$11,AND($C45="Hybrid-electric bus",$D45="Average"),$E45*'LT '!I$12,AND($C45="Hybrid-electric bus",$D45="Nearly full"),$E45*'LT '!I$13,AND($C45="Alternative fuel bus",$D45="Almost empty"),$E45*'LT '!I$15,AND($C45="Alternative fuel bus",$D45="Average"),$E45*'LT '!I$16,AND($C45="Alternative fuel bus",$D45="Nearly full"),$E45*'LT '!I$17,AND($C45="Metro, tram, urban light train",$D45="Almost empty"),$E45*'LT '!D$35,AND($C45="Metro, tram, urban light train",$D45="Average"),$E45*'LT '!D$36,AND($C45="Metro, tram, urban light train",$D45="Nearly full"),$E45*'LT '!D$37,AND($C45="Electric passenger train",$D45="Almost empty"),$E45*'LT '!D$39,AND($C45="Electric passenger train",$D45="Average"),$E45*'LT '!D$40,AND($C45="Electric passenger train",$D45="Nearly full"),$E45*'LT '!D$41,AND($C45="Diesel passenger train",$D45="Almost empty"),$E45*'LT '!D$47,AND($C45="Diesel passenger train",$D45="Average"),$E45*'LT '!D$48,AND($C45="Diesel passenger train",$D45="Nearly full"),$E45*'LT '!D$49,AND($C45="Walking"),$E45*0,AND($C45="Bike"),$E45*0,AND($C45="Plane - domestic flight"),$E45*'LT '!$C69,AND($C45="Plane - international - intra EU"),$E45*'LT '!$C71,AND($C45="Plane - international (extra EU)"),$E45*'LT '!$C73)</f>
        <v>#N/A</v>
      </c>
      <c r="L45" s="198" t="s">
        <v>256</v>
      </c>
      <c r="M45" s="199"/>
      <c r="N45" s="200"/>
    </row>
    <row r="46" spans="1:14" ht="16" thickBot="1" x14ac:dyDescent="0.25">
      <c r="A46" s="222"/>
      <c r="B46" s="30"/>
      <c r="C46" s="15"/>
      <c r="D46" s="15"/>
      <c r="E46" s="125"/>
      <c r="F46" s="128" t="e" cm="1">
        <f t="array" ref="F46">_xlfn.IFS(AND($C46="Fuel car",$D46=1),$E46*'LT '!C$7,AND($C46="Fuel car",$D46=2),$E46*'LT '!C$8,AND($C46="Fuel car",$D46=3),$E46*'LT '!C$9,AND($C46="Fuel car",$D46=4),$E46*'LT '!C$10,AND($C46="Fuel car",$D46=5),$E46*'LT '!C$11,AND($C46="Motorcycle",$D46=1),$E46*'LT '!C$13,AND($C46="Motorcycle",$D46=2),$E46*'LT '!C$14,AND($C46="Electric car",$D46=1),$E46*'LT '!C$16,AND($C46="Electric car",$D46=2),$E46*'LT '!C$17,AND($C46="Electric car",$D46=3),$E46*'LT '!C$18,AND($C46="Electric car",$D46=4),$E46*'LT '!C$19,AND($C46="Electric car",$D46=5),$E46*'LT '!C$20,AND($C46="Hybrid car",$D46=1),$E46*'LT '!C$22,AND($C46="Hybrid car",$D46=2),$E46*'LT '!C$23,AND($C46="Hybrid car",$D46=3),$E46*'LT '!C$24,AND($C46="Hybrid car",$D46=4),$E46*'LT '!C$25,AND($C46="Hybrid car",$D46=5),$E46*'LT '!C$26,AND($C46="Electric motorcycle",$D46=1),$E46*'LT '!C$28,AND($C46="Electric motorcycle",$D46=2),$E46*'LT '!C$29,AND($C46="Electric bike",$D46=1),$E46*'LT '!C$31,AND($C46="Electric scooter",$D46=1),$E46*'LT '!C$33,AND($C46="Bus",$D46="Almost empty"),$E46*'LT '!H$23,AND($C46="Bus",$D46="Average"),$E46*'LT '!H$24,AND($C46="Bus",$D46="Nearly full"),$E46*'LT '!H$25,AND($C46="Electric bus",$D46="Almost empty"),$E46*'LT '!H$7,AND($C46="Electric bus",$D46="Average"),$E46*'LT '!H$8,AND($C46="Electric bus",$D46="Nearly full"),$E46*'LT '!H$9,AND($C46="Diesel bus",$D46="Almost empty"),$E46*'LT '!H$19,AND($C46="Diesel bus",$D46="Average"),$E46*'LT '!H$20,AND($C46="Diesel bus",$D46="Nearly full"),$E46*'LT '!H$21,AND($C46="Hybrid-electric bus",$D46="Almost empty"),$E46*'LT '!H$11,AND($C46="Hybrid-electric bus",$D46="Average"),$E46*'LT '!H$12,AND($C46="Hybrid-electric bus",$D46="Nearly full"),$E46*'LT '!H$13,AND($C46="Alternative fuel bus",$D46="Almost empty"),$E46*'LT '!H$15,AND($C46="Alternative fuel bus",$D46="Average"),$E46*'LT '!H$16,AND($C46="Alternative fuel bus",$D46="Nearly full"),$E46*'LT '!H$17,AND($C46="Metro, tram, urban light train",$D46="Almost empty"),$E46*'LT '!C$35,AND($C46="Metro, tram, urban light train",$D46="Average"),$E46*'LT '!C$36,AND($C46="Metro, tram, urban light train",$D46="Nearly full"),$E46*'LT '!C$37,AND($C46="Electric passenger train",$D46="Almost empty"),$E46*'LT '!C$39,AND($C46="Electric passenger train",$D46="Average"),$E46*'LT '!C$40,AND($C46="Electric passenger train",$D46="Nearly full"),$E46*'LT '!C$41,AND($C46="Diesel passenger train",$D46="Almost empty"),$E46*'LT '!C$47,AND($C46="Diesel passenger train",$D46="Average"),$E46*'LT '!C$48,AND($C46="Diesel passenger train",$D46="Nearly full"),$E46*'LT '!C$49,AND($C46="Walking"),$E46*0,AND($C46="Bike"),$E46*0,AND($C46="Plane - domestic flight"),$E46*'LT '!$C70,AND($C46="Plane - international - intra EU"),$E46*'LT '!$C72,AND($C46="Plane - international (extra EU)"),$E46*'LT '!$C74)</f>
        <v>#N/A</v>
      </c>
      <c r="G46" s="31" t="e" cm="1">
        <f t="array" ref="G46">_xlfn.IFS(AND($C46="Fuel car",$D46=1),$E46*'LT '!D$7,AND($C46="Fuel car",$D46=2),$E46*'LT '!D$8,AND($C46="Fuel car",$D46=3),$E46*'LT '!D$9,AND($C46="Fuel car",$D46=4),$E46*'LT '!D$10,AND($C46="Fuel car",$D46=5),$E46*'LT '!D$11,AND($C46="Motorcycle",$D46=1),$E46*'LT '!D$13,AND($C46="Motorcycle",$D46=2),$E46*'LT '!D$14,AND($C46="Electric car",$D46=1),$E46*'LT '!D$16,AND($C46="Electric car",$D46=2),$E46*'LT '!D$17,AND($C46="Electric car",$D46=3),$E46*'LT '!D$18,AND($C46="Electric car",$D46=4),$E46*'LT '!D$19,AND($C46="Electric car",$D46=5),$E46*'LT '!D$20,AND($C46="Hybrid car",$D46=1),$E46*'LT '!D$22,AND($C46="Hybrid car",$D46=2),$E46*'LT '!D$23,AND($C46="Hybrid car",$D46=3),$E46*'LT '!D$24,AND($C46="Hybrid car",$D46=4),$E46*'LT '!D$25,AND($C46="Hybrid car",$D46=5),$E46*'LT '!D$26,AND($C46="Electric motorcycle",$D46=1),$E46*'LT '!D$28,AND($C46="Electric motorcycle",$D46=2),$E46*'LT '!D$29,AND($C46="Electric bike",$D46=1),$E46*'LT '!D$31,AND($C46="Electric scooter",$D46=1),$E46*'LT '!D$33,AND($C46="Bus",$D46="Almost empty"),$E46*'LT '!I$23,AND($C46="Bus",$D46="Average"),$E46*'LT '!I$24,AND($C46="Bus",$D46="Nearly full"),$E46*'LT '!I$25,AND($C46="Electric bus",$D46="Almost empty"),$E46*'LT '!I$7,AND($C46="Electric bus",$D46="Average"),$E46*'LT '!I$8,AND($C46="Electric bus",$D46="Nearly full"),$E46*'LT '!I$9,AND($C46="Diesel bus",$D46="Almost empty"),$E46*'LT '!I$19,AND($C46="Diesel bus",$D46="Average"),$E46*'LT '!I$20,AND($C46="Diesel bus",$D46="Nearly full"),$E46*'LT '!I$21,AND($C46="Hybrid-electric bus",$D46="Almost empty"),$E46*'LT '!I$11,AND($C46="Hybrid-electric bus",$D46="Average"),$E46*'LT '!I$12,AND($C46="Hybrid-electric bus",$D46="Nearly full"),$E46*'LT '!I$13,AND($C46="Alternative fuel bus",$D46="Almost empty"),$E46*'LT '!I$15,AND($C46="Alternative fuel bus",$D46="Average"),$E46*'LT '!I$16,AND($C46="Alternative fuel bus",$D46="Nearly full"),$E46*'LT '!I$17,AND($C46="Metro, tram, urban light train",$D46="Almost empty"),$E46*'LT '!D$35,AND($C46="Metro, tram, urban light train",$D46="Average"),$E46*'LT '!D$36,AND($C46="Metro, tram, urban light train",$D46="Nearly full"),$E46*'LT '!D$37,AND($C46="Electric passenger train",$D46="Almost empty"),$E46*'LT '!D$39,AND($C46="Electric passenger train",$D46="Average"),$E46*'LT '!D$40,AND($C46="Electric passenger train",$D46="Nearly full"),$E46*'LT '!D$41,AND($C46="Diesel passenger train",$D46="Almost empty"),$E46*'LT '!D$47,AND($C46="Diesel passenger train",$D46="Average"),$E46*'LT '!D$48,AND($C46="Diesel passenger train",$D46="Nearly full"),$E46*'LT '!D$49,AND($C46="Walking"),$E46*0,AND($C46="Bike"),$E46*0,AND($C46="Plane - domestic flight"),$E46*'LT '!$C70,AND($C46="Plane - international - intra EU"),$E46*'LT '!$C72,AND($C46="Plane - international (extra EU)"),$E46*'LT '!$C74)</f>
        <v>#N/A</v>
      </c>
      <c r="L46" s="246"/>
      <c r="M46" s="247"/>
      <c r="N46" s="248"/>
    </row>
    <row r="47" spans="1:14" ht="20" thickBot="1" x14ac:dyDescent="0.25">
      <c r="A47" s="222"/>
      <c r="B47" s="30"/>
      <c r="C47" s="15"/>
      <c r="D47" s="15"/>
      <c r="E47" s="125"/>
      <c r="F47" s="128" t="e" cm="1">
        <f t="array" ref="F47">_xlfn.IFS(AND($C47="Fuel car",$D47=1),$E47*'LT '!C$7,AND($C47="Fuel car",$D47=2),$E47*'LT '!C$8,AND($C47="Fuel car",$D47=3),$E47*'LT '!C$9,AND($C47="Fuel car",$D47=4),$E47*'LT '!C$10,AND($C47="Fuel car",$D47=5),$E47*'LT '!C$11,AND($C47="Motorcycle",$D47=1),$E47*'LT '!C$13,AND($C47="Motorcycle",$D47=2),$E47*'LT '!C$14,AND($C47="Electric car",$D47=1),$E47*'LT '!C$16,AND($C47="Electric car",$D47=2),$E47*'LT '!C$17,AND($C47="Electric car",$D47=3),$E47*'LT '!C$18,AND($C47="Electric car",$D47=4),$E47*'LT '!C$19,AND($C47="Electric car",$D47=5),$E47*'LT '!C$20,AND($C47="Hybrid car",$D47=1),$E47*'LT '!C$22,AND($C47="Hybrid car",$D47=2),$E47*'LT '!C$23,AND($C47="Hybrid car",$D47=3),$E47*'LT '!C$24,AND($C47="Hybrid car",$D47=4),$E47*'LT '!C$25,AND($C47="Hybrid car",$D47=5),$E47*'LT '!C$26,AND($C47="Electric motorcycle",$D47=1),$E47*'LT '!C$28,AND($C47="Electric motorcycle",$D47=2),$E47*'LT '!C$29,AND($C47="Electric bike",$D47=1),$E47*'LT '!C$31,AND($C47="Electric scooter",$D47=1),$E47*'LT '!C$33,AND($C47="Bus",$D47="Almost empty"),$E47*'LT '!H$23,AND($C47="Bus",$D47="Average"),$E47*'LT '!H$24,AND($C47="Bus",$D47="Nearly full"),$E47*'LT '!H$25,AND($C47="Electric bus",$D47="Almost empty"),$E47*'LT '!H$7,AND($C47="Electric bus",$D47="Average"),$E47*'LT '!H$8,AND($C47="Electric bus",$D47="Nearly full"),$E47*'LT '!H$9,AND($C47="Diesel bus",$D47="Almost empty"),$E47*'LT '!H$19,AND($C47="Diesel bus",$D47="Average"),$E47*'LT '!H$20,AND($C47="Diesel bus",$D47="Nearly full"),$E47*'LT '!H$21,AND($C47="Hybrid-electric bus",$D47="Almost empty"),$E47*'LT '!H$11,AND($C47="Hybrid-electric bus",$D47="Average"),$E47*'LT '!H$12,AND($C47="Hybrid-electric bus",$D47="Nearly full"),$E47*'LT '!H$13,AND($C47="Alternative fuel bus",$D47="Almost empty"),$E47*'LT '!H$15,AND($C47="Alternative fuel bus",$D47="Average"),$E47*'LT '!H$16,AND($C47="Alternative fuel bus",$D47="Nearly full"),$E47*'LT '!H$17,AND($C47="Metro, tram, urban light train",$D47="Almost empty"),$E47*'LT '!C$35,AND($C47="Metro, tram, urban light train",$D47="Average"),$E47*'LT '!C$36,AND($C47="Metro, tram, urban light train",$D47="Nearly full"),$E47*'LT '!C$37,AND($C47="Electric passenger train",$D47="Almost empty"),$E47*'LT '!C$39,AND($C47="Electric passenger train",$D47="Average"),$E47*'LT '!C$40,AND($C47="Electric passenger train",$D47="Nearly full"),$E47*'LT '!C$41,AND($C47="Diesel passenger train",$D47="Almost empty"),$E47*'LT '!C$47,AND($C47="Diesel passenger train",$D47="Average"),$E47*'LT '!C$48,AND($C47="Diesel passenger train",$D47="Nearly full"),$E47*'LT '!C$49,AND($C47="Walking"),$E47*0,AND($C47="Bike"),$E47*0,AND($C47="Plane - domestic flight"),$E47*'LT '!$C71,AND($C47="Plane - international - intra EU"),$E47*'LT '!$C73,AND($C47="Plane - international (extra EU)"),$E47*'LT '!$C75)</f>
        <v>#N/A</v>
      </c>
      <c r="G47" s="31" t="e" cm="1">
        <f t="array" ref="G47">_xlfn.IFS(AND($C47="Fuel car",$D47=1),$E47*'LT '!D$7,AND($C47="Fuel car",$D47=2),$E47*'LT '!D$8,AND($C47="Fuel car",$D47=3),$E47*'LT '!D$9,AND($C47="Fuel car",$D47=4),$E47*'LT '!D$10,AND($C47="Fuel car",$D47=5),$E47*'LT '!D$11,AND($C47="Motorcycle",$D47=1),$E47*'LT '!D$13,AND($C47="Motorcycle",$D47=2),$E47*'LT '!D$14,AND($C47="Electric car",$D47=1),$E47*'LT '!D$16,AND($C47="Electric car",$D47=2),$E47*'LT '!D$17,AND($C47="Electric car",$D47=3),$E47*'LT '!D$18,AND($C47="Electric car",$D47=4),$E47*'LT '!D$19,AND($C47="Electric car",$D47=5),$E47*'LT '!D$20,AND($C47="Hybrid car",$D47=1),$E47*'LT '!D$22,AND($C47="Hybrid car",$D47=2),$E47*'LT '!D$23,AND($C47="Hybrid car",$D47=3),$E47*'LT '!D$24,AND($C47="Hybrid car",$D47=4),$E47*'LT '!D$25,AND($C47="Hybrid car",$D47=5),$E47*'LT '!D$26,AND($C47="Electric motorcycle",$D47=1),$E47*'LT '!D$28,AND($C47="Electric motorcycle",$D47=2),$E47*'LT '!D$29,AND($C47="Electric bike",$D47=1),$E47*'LT '!D$31,AND($C47="Electric scooter",$D47=1),$E47*'LT '!D$33,AND($C47="Bus",$D47="Almost empty"),$E47*'LT '!I$23,AND($C47="Bus",$D47="Average"),$E47*'LT '!I$24,AND($C47="Bus",$D47="Nearly full"),$E47*'LT '!I$25,AND($C47="Electric bus",$D47="Almost empty"),$E47*'LT '!I$7,AND($C47="Electric bus",$D47="Average"),$E47*'LT '!I$8,AND($C47="Electric bus",$D47="Nearly full"),$E47*'LT '!I$9,AND($C47="Diesel bus",$D47="Almost empty"),$E47*'LT '!I$19,AND($C47="Diesel bus",$D47="Average"),$E47*'LT '!I$20,AND($C47="Diesel bus",$D47="Nearly full"),$E47*'LT '!I$21,AND($C47="Hybrid-electric bus",$D47="Almost empty"),$E47*'LT '!I$11,AND($C47="Hybrid-electric bus",$D47="Average"),$E47*'LT '!I$12,AND($C47="Hybrid-electric bus",$D47="Nearly full"),$E47*'LT '!I$13,AND($C47="Alternative fuel bus",$D47="Almost empty"),$E47*'LT '!I$15,AND($C47="Alternative fuel bus",$D47="Average"),$E47*'LT '!I$16,AND($C47="Alternative fuel bus",$D47="Nearly full"),$E47*'LT '!I$17,AND($C47="Metro, tram, urban light train",$D47="Almost empty"),$E47*'LT '!D$35,AND($C47="Metro, tram, urban light train",$D47="Average"),$E47*'LT '!D$36,AND($C47="Metro, tram, urban light train",$D47="Nearly full"),$E47*'LT '!D$37,AND($C47="Electric passenger train",$D47="Almost empty"),$E47*'LT '!D$39,AND($C47="Electric passenger train",$D47="Average"),$E47*'LT '!D$40,AND($C47="Electric passenger train",$D47="Nearly full"),$E47*'LT '!D$41,AND($C47="Diesel passenger train",$D47="Almost empty"),$E47*'LT '!D$47,AND($C47="Diesel passenger train",$D47="Average"),$E47*'LT '!D$48,AND($C47="Diesel passenger train",$D47="Nearly full"),$E47*'LT '!D$49,AND($C47="Walking"),$E47*0,AND($C47="Bike"),$E47*0,AND($C47="Plane - domestic flight"),$E47*'LT '!$C71,AND($C47="Plane - international - intra EU"),$E47*'LT '!$C73,AND($C47="Plane - international (extra EU)"),$E47*'LT '!$C75)</f>
        <v>#N/A</v>
      </c>
      <c r="L47" s="238" t="s">
        <v>56</v>
      </c>
      <c r="M47" s="239"/>
      <c r="N47" s="240"/>
    </row>
    <row r="48" spans="1:14" ht="16" thickBot="1" x14ac:dyDescent="0.25">
      <c r="A48" s="222"/>
      <c r="B48" s="30"/>
      <c r="C48" s="15"/>
      <c r="D48" s="15"/>
      <c r="E48" s="125"/>
      <c r="F48" s="128" t="e" cm="1">
        <f t="array" ref="F48">_xlfn.IFS(AND($C48="Fuel car",$D48=1),$E48*'LT '!C$7,AND($C48="Fuel car",$D48=2),$E48*'LT '!C$8,AND($C48="Fuel car",$D48=3),$E48*'LT '!C$9,AND($C48="Fuel car",$D48=4),$E48*'LT '!C$10,AND($C48="Fuel car",$D48=5),$E48*'LT '!C$11,AND($C48="Motorcycle",$D48=1),$E48*'LT '!C$13,AND($C48="Motorcycle",$D48=2),$E48*'LT '!C$14,AND($C48="Electric car",$D48=1),$E48*'LT '!C$16,AND($C48="Electric car",$D48=2),$E48*'LT '!C$17,AND($C48="Electric car",$D48=3),$E48*'LT '!C$18,AND($C48="Electric car",$D48=4),$E48*'LT '!C$19,AND($C48="Electric car",$D48=5),$E48*'LT '!C$20,AND($C48="Hybrid car",$D48=1),$E48*'LT '!C$22,AND($C48="Hybrid car",$D48=2),$E48*'LT '!C$23,AND($C48="Hybrid car",$D48=3),$E48*'LT '!C$24,AND($C48="Hybrid car",$D48=4),$E48*'LT '!C$25,AND($C48="Hybrid car",$D48=5),$E48*'LT '!C$26,AND($C48="Electric motorcycle",$D48=1),$E48*'LT '!C$28,AND($C48="Electric motorcycle",$D48=2),$E48*'LT '!C$29,AND($C48="Electric bike",$D48=1),$E48*'LT '!C$31,AND($C48="Electric scooter",$D48=1),$E48*'LT '!C$33,AND($C48="Bus",$D48="Almost empty"),$E48*'LT '!H$23,AND($C48="Bus",$D48="Average"),$E48*'LT '!H$24,AND($C48="Bus",$D48="Nearly full"),$E48*'LT '!H$25,AND($C48="Electric bus",$D48="Almost empty"),$E48*'LT '!H$7,AND($C48="Electric bus",$D48="Average"),$E48*'LT '!H$8,AND($C48="Electric bus",$D48="Nearly full"),$E48*'LT '!H$9,AND($C48="Diesel bus",$D48="Almost empty"),$E48*'LT '!H$19,AND($C48="Diesel bus",$D48="Average"),$E48*'LT '!H$20,AND($C48="Diesel bus",$D48="Nearly full"),$E48*'LT '!H$21,AND($C48="Hybrid-electric bus",$D48="Almost empty"),$E48*'LT '!H$11,AND($C48="Hybrid-electric bus",$D48="Average"),$E48*'LT '!H$12,AND($C48="Hybrid-electric bus",$D48="Nearly full"),$E48*'LT '!H$13,AND($C48="Alternative fuel bus",$D48="Almost empty"),$E48*'LT '!H$15,AND($C48="Alternative fuel bus",$D48="Average"),$E48*'LT '!H$16,AND($C48="Alternative fuel bus",$D48="Nearly full"),$E48*'LT '!H$17,AND($C48="Metro, tram, urban light train",$D48="Almost empty"),$E48*'LT '!C$35,AND($C48="Metro, tram, urban light train",$D48="Average"),$E48*'LT '!C$36,AND($C48="Metro, tram, urban light train",$D48="Nearly full"),$E48*'LT '!C$37,AND($C48="Electric passenger train",$D48="Almost empty"),$E48*'LT '!C$39,AND($C48="Electric passenger train",$D48="Average"),$E48*'LT '!C$40,AND($C48="Electric passenger train",$D48="Nearly full"),$E48*'LT '!C$41,AND($C48="Diesel passenger train",$D48="Almost empty"),$E48*'LT '!C$47,AND($C48="Diesel passenger train",$D48="Average"),$E48*'LT '!C$48,AND($C48="Diesel passenger train",$D48="Nearly full"),$E48*'LT '!C$49,AND($C48="Walking"),$E48*0,AND($C48="Bike"),$E48*0,AND($C48="Plane - domestic flight"),$E48*'LT '!$C72,AND($C48="Plane - international - intra EU"),$E48*'LT '!$C74,AND($C48="Plane - international (extra EU)"),$E48*'LT '!$C76)</f>
        <v>#N/A</v>
      </c>
      <c r="G48" s="31" t="e" cm="1">
        <f t="array" ref="G48">_xlfn.IFS(AND($C48="Fuel car",$D48=1),$E48*'LT '!D$7,AND($C48="Fuel car",$D48=2),$E48*'LT '!D$8,AND($C48="Fuel car",$D48=3),$E48*'LT '!D$9,AND($C48="Fuel car",$D48=4),$E48*'LT '!D$10,AND($C48="Fuel car",$D48=5),$E48*'LT '!D$11,AND($C48="Motorcycle",$D48=1),$E48*'LT '!D$13,AND($C48="Motorcycle",$D48=2),$E48*'LT '!D$14,AND($C48="Electric car",$D48=1),$E48*'LT '!D$16,AND($C48="Electric car",$D48=2),$E48*'LT '!D$17,AND($C48="Electric car",$D48=3),$E48*'LT '!D$18,AND($C48="Electric car",$D48=4),$E48*'LT '!D$19,AND($C48="Electric car",$D48=5),$E48*'LT '!D$20,AND($C48="Hybrid car",$D48=1),$E48*'LT '!D$22,AND($C48="Hybrid car",$D48=2),$E48*'LT '!D$23,AND($C48="Hybrid car",$D48=3),$E48*'LT '!D$24,AND($C48="Hybrid car",$D48=4),$E48*'LT '!D$25,AND($C48="Hybrid car",$D48=5),$E48*'LT '!D$26,AND($C48="Electric motorcycle",$D48=1),$E48*'LT '!D$28,AND($C48="Electric motorcycle",$D48=2),$E48*'LT '!D$29,AND($C48="Electric bike",$D48=1),$E48*'LT '!D$31,AND($C48="Electric scooter",$D48=1),$E48*'LT '!D$33,AND($C48="Bus",$D48="Almost empty"),$E48*'LT '!I$23,AND($C48="Bus",$D48="Average"),$E48*'LT '!I$24,AND($C48="Bus",$D48="Nearly full"),$E48*'LT '!I$25,AND($C48="Electric bus",$D48="Almost empty"),$E48*'LT '!I$7,AND($C48="Electric bus",$D48="Average"),$E48*'LT '!I$8,AND($C48="Electric bus",$D48="Nearly full"),$E48*'LT '!I$9,AND($C48="Diesel bus",$D48="Almost empty"),$E48*'LT '!I$19,AND($C48="Diesel bus",$D48="Average"),$E48*'LT '!I$20,AND($C48="Diesel bus",$D48="Nearly full"),$E48*'LT '!I$21,AND($C48="Hybrid-electric bus",$D48="Almost empty"),$E48*'LT '!I$11,AND($C48="Hybrid-electric bus",$D48="Average"),$E48*'LT '!I$12,AND($C48="Hybrid-electric bus",$D48="Nearly full"),$E48*'LT '!I$13,AND($C48="Alternative fuel bus",$D48="Almost empty"),$E48*'LT '!I$15,AND($C48="Alternative fuel bus",$D48="Average"),$E48*'LT '!I$16,AND($C48="Alternative fuel bus",$D48="Nearly full"),$E48*'LT '!I$17,AND($C48="Metro, tram, urban light train",$D48="Almost empty"),$E48*'LT '!D$35,AND($C48="Metro, tram, urban light train",$D48="Average"),$E48*'LT '!D$36,AND($C48="Metro, tram, urban light train",$D48="Nearly full"),$E48*'LT '!D$37,AND($C48="Electric passenger train",$D48="Almost empty"),$E48*'LT '!D$39,AND($C48="Electric passenger train",$D48="Average"),$E48*'LT '!D$40,AND($C48="Electric passenger train",$D48="Nearly full"),$E48*'LT '!D$41,AND($C48="Diesel passenger train",$D48="Almost empty"),$E48*'LT '!D$47,AND($C48="Diesel passenger train",$D48="Average"),$E48*'LT '!D$48,AND($C48="Diesel passenger train",$D48="Nearly full"),$E48*'LT '!D$49,AND($C48="Walking"),$E48*0,AND($C48="Bike"),$E48*0,AND($C48="Plane - domestic flight"),$E48*'LT '!$C72,AND($C48="Plane - international - intra EU"),$E48*'LT '!$C74,AND($C48="Plane - international (extra EU)"),$E48*'LT '!$C76)</f>
        <v>#N/A</v>
      </c>
      <c r="H48" s="196" t="s">
        <v>67</v>
      </c>
      <c r="I48" s="197"/>
      <c r="L48" s="249"/>
      <c r="M48" s="250"/>
      <c r="N48" s="251"/>
    </row>
    <row r="49" spans="1:14" x14ac:dyDescent="0.2">
      <c r="A49" s="222"/>
      <c r="B49" s="30"/>
      <c r="C49" s="15"/>
      <c r="D49" s="15"/>
      <c r="E49" s="125"/>
      <c r="F49" s="128" t="e" cm="1">
        <f t="array" ref="F49">_xlfn.IFS(AND($C49="Fuel car",$D49=1),$E49*'LT '!C$7,AND($C49="Fuel car",$D49=2),$E49*'LT '!C$8,AND($C49="Fuel car",$D49=3),$E49*'LT '!C$9,AND($C49="Fuel car",$D49=4),$E49*'LT '!C$10,AND($C49="Fuel car",$D49=5),$E49*'LT '!C$11,AND($C49="Motorcycle",$D49=1),$E49*'LT '!C$13,AND($C49="Motorcycle",$D49=2),$E49*'LT '!C$14,AND($C49="Electric car",$D49=1),$E49*'LT '!C$16,AND($C49="Electric car",$D49=2),$E49*'LT '!C$17,AND($C49="Electric car",$D49=3),$E49*'LT '!C$18,AND($C49="Electric car",$D49=4),$E49*'LT '!C$19,AND($C49="Electric car",$D49=5),$E49*'LT '!C$20,AND($C49="Hybrid car",$D49=1),$E49*'LT '!C$22,AND($C49="Hybrid car",$D49=2),$E49*'LT '!C$23,AND($C49="Hybrid car",$D49=3),$E49*'LT '!C$24,AND($C49="Hybrid car",$D49=4),$E49*'LT '!C$25,AND($C49="Hybrid car",$D49=5),$E49*'LT '!C$26,AND($C49="Electric motorcycle",$D49=1),$E49*'LT '!C$28,AND($C49="Electric motorcycle",$D49=2),$E49*'LT '!C$29,AND($C49="Electric bike",$D49=1),$E49*'LT '!C$31,AND($C49="Electric scooter",$D49=1),$E49*'LT '!C$33,AND($C49="Bus",$D49="Almost empty"),$E49*'LT '!H$23,AND($C49="Bus",$D49="Average"),$E49*'LT '!H$24,AND($C49="Bus",$D49="Nearly full"),$E49*'LT '!H$25,AND($C49="Electric bus",$D49="Almost empty"),$E49*'LT '!H$7,AND($C49="Electric bus",$D49="Average"),$E49*'LT '!H$8,AND($C49="Electric bus",$D49="Nearly full"),$E49*'LT '!H$9,AND($C49="Diesel bus",$D49="Almost empty"),$E49*'LT '!H$19,AND($C49="Diesel bus",$D49="Average"),$E49*'LT '!H$20,AND($C49="Diesel bus",$D49="Nearly full"),$E49*'LT '!H$21,AND($C49="Hybrid-electric bus",$D49="Almost empty"),$E49*'LT '!H$11,AND($C49="Hybrid-electric bus",$D49="Average"),$E49*'LT '!H$12,AND($C49="Hybrid-electric bus",$D49="Nearly full"),$E49*'LT '!H$13,AND($C49="Alternative fuel bus",$D49="Almost empty"),$E49*'LT '!H$15,AND($C49="Alternative fuel bus",$D49="Average"),$E49*'LT '!H$16,AND($C49="Alternative fuel bus",$D49="Nearly full"),$E49*'LT '!H$17,AND($C49="Metro, tram, urban light train",$D49="Almost empty"),$E49*'LT '!C$35,AND($C49="Metro, tram, urban light train",$D49="Average"),$E49*'LT '!C$36,AND($C49="Metro, tram, urban light train",$D49="Nearly full"),$E49*'LT '!C$37,AND($C49="Electric passenger train",$D49="Almost empty"),$E49*'LT '!C$39,AND($C49="Electric passenger train",$D49="Average"),$E49*'LT '!C$40,AND($C49="Electric passenger train",$D49="Nearly full"),$E49*'LT '!C$41,AND($C49="Diesel passenger train",$D49="Almost empty"),$E49*'LT '!C$47,AND($C49="Diesel passenger train",$D49="Average"),$E49*'LT '!C$48,AND($C49="Diesel passenger train",$D49="Nearly full"),$E49*'LT '!C$49,AND($C49="Walking"),$E49*0,AND($C49="Bike"),$E49*0,AND($C49="Plane - domestic flight"),$E49*'LT '!$C73,AND($C49="Plane - international - intra EU"),$E49*'LT '!$C75,AND($C49="Plane - international (extra EU)"),$E49*'LT '!$C77)</f>
        <v>#N/A</v>
      </c>
      <c r="G49" s="31" t="e" cm="1">
        <f t="array" ref="G49">_xlfn.IFS(AND($C49="Fuel car",$D49=1),$E49*'LT '!D$7,AND($C49="Fuel car",$D49=2),$E49*'LT '!D$8,AND($C49="Fuel car",$D49=3),$E49*'LT '!D$9,AND($C49="Fuel car",$D49=4),$E49*'LT '!D$10,AND($C49="Fuel car",$D49=5),$E49*'LT '!D$11,AND($C49="Motorcycle",$D49=1),$E49*'LT '!D$13,AND($C49="Motorcycle",$D49=2),$E49*'LT '!D$14,AND($C49="Electric car",$D49=1),$E49*'LT '!D$16,AND($C49="Electric car",$D49=2),$E49*'LT '!D$17,AND($C49="Electric car",$D49=3),$E49*'LT '!D$18,AND($C49="Electric car",$D49=4),$E49*'LT '!D$19,AND($C49="Electric car",$D49=5),$E49*'LT '!D$20,AND($C49="Hybrid car",$D49=1),$E49*'LT '!D$22,AND($C49="Hybrid car",$D49=2),$E49*'LT '!D$23,AND($C49="Hybrid car",$D49=3),$E49*'LT '!D$24,AND($C49="Hybrid car",$D49=4),$E49*'LT '!D$25,AND($C49="Hybrid car",$D49=5),$E49*'LT '!D$26,AND($C49="Electric motorcycle",$D49=1),$E49*'LT '!D$28,AND($C49="Electric motorcycle",$D49=2),$E49*'LT '!D$29,AND($C49="Electric bike",$D49=1),$E49*'LT '!D$31,AND($C49="Electric scooter",$D49=1),$E49*'LT '!D$33,AND($C49="Bus",$D49="Almost empty"),$E49*'LT '!I$23,AND($C49="Bus",$D49="Average"),$E49*'LT '!I$24,AND($C49="Bus",$D49="Nearly full"),$E49*'LT '!I$25,AND($C49="Electric bus",$D49="Almost empty"),$E49*'LT '!I$7,AND($C49="Electric bus",$D49="Average"),$E49*'LT '!I$8,AND($C49="Electric bus",$D49="Nearly full"),$E49*'LT '!I$9,AND($C49="Diesel bus",$D49="Almost empty"),$E49*'LT '!I$19,AND($C49="Diesel bus",$D49="Average"),$E49*'LT '!I$20,AND($C49="Diesel bus",$D49="Nearly full"),$E49*'LT '!I$21,AND($C49="Hybrid-electric bus",$D49="Almost empty"),$E49*'LT '!I$11,AND($C49="Hybrid-electric bus",$D49="Average"),$E49*'LT '!I$12,AND($C49="Hybrid-electric bus",$D49="Nearly full"),$E49*'LT '!I$13,AND($C49="Alternative fuel bus",$D49="Almost empty"),$E49*'LT '!I$15,AND($C49="Alternative fuel bus",$D49="Average"),$E49*'LT '!I$16,AND($C49="Alternative fuel bus",$D49="Nearly full"),$E49*'LT '!I$17,AND($C49="Metro, tram, urban light train",$D49="Almost empty"),$E49*'LT '!D$35,AND($C49="Metro, tram, urban light train",$D49="Average"),$E49*'LT '!D$36,AND($C49="Metro, tram, urban light train",$D49="Nearly full"),$E49*'LT '!D$37,AND($C49="Electric passenger train",$D49="Almost empty"),$E49*'LT '!D$39,AND($C49="Electric passenger train",$D49="Average"),$E49*'LT '!D$40,AND($C49="Electric passenger train",$D49="Nearly full"),$E49*'LT '!D$41,AND($C49="Diesel passenger train",$D49="Almost empty"),$E49*'LT '!D$47,AND($C49="Diesel passenger train",$D49="Average"),$E49*'LT '!D$48,AND($C49="Diesel passenger train",$D49="Nearly full"),$E49*'LT '!D$49,AND($C49="Walking"),$E49*0,AND($C49="Bike"),$E49*0,AND($C49="Plane - domestic flight"),$E49*'LT '!$C73,AND($C49="Plane - international - intra EU"),$E49*'LT '!$C75,AND($C49="Plane - international (extra EU)"),$E49*'LT '!$C77)</f>
        <v>#N/A</v>
      </c>
      <c r="H49" s="244" t="s">
        <v>74</v>
      </c>
      <c r="I49" s="141"/>
      <c r="L49" s="252"/>
      <c r="M49" s="253"/>
      <c r="N49" s="254"/>
    </row>
    <row r="50" spans="1:14" ht="16" thickBot="1" x14ac:dyDescent="0.25">
      <c r="A50" s="222"/>
      <c r="B50" s="51"/>
      <c r="C50" s="15"/>
      <c r="D50" s="15"/>
      <c r="E50" s="126"/>
      <c r="F50" s="128" t="e" cm="1">
        <f t="array" ref="F50">_xlfn.IFS(AND($C50="Fuel car",$D50=1),$E50*'LT '!C$7,AND($C50="Fuel car",$D50=2),$E50*'LT '!C$8,AND($C50="Fuel car",$D50=3),$E50*'LT '!C$9,AND($C50="Fuel car",$D50=4),$E50*'LT '!C$10,AND($C50="Fuel car",$D50=5),$E50*'LT '!C$11,AND($C50="Motorcycle",$D50=1),$E50*'LT '!C$13,AND($C50="Motorcycle",$D50=2),$E50*'LT '!C$14,AND($C50="Electric car",$D50=1),$E50*'LT '!C$16,AND($C50="Electric car",$D50=2),$E50*'LT '!C$17,AND($C50="Electric car",$D50=3),$E50*'LT '!C$18,AND($C50="Electric car",$D50=4),$E50*'LT '!C$19,AND($C50="Electric car",$D50=5),$E50*'LT '!C$20,AND($C50="Hybrid car",$D50=1),$E50*'LT '!C$22,AND($C50="Hybrid car",$D50=2),$E50*'LT '!C$23,AND($C50="Hybrid car",$D50=3),$E50*'LT '!C$24,AND($C50="Hybrid car",$D50=4),$E50*'LT '!C$25,AND($C50="Hybrid car",$D50=5),$E50*'LT '!C$26,AND($C50="Electric motorcycle",$D50=1),$E50*'LT '!C$28,AND($C50="Electric motorcycle",$D50=2),$E50*'LT '!C$29,AND($C50="Electric bike",$D50=1),$E50*'LT '!C$31,AND($C50="Electric scooter",$D50=1),$E50*'LT '!C$33,AND($C50="Bus",$D50="Almost empty"),$E50*'LT '!H$23,AND($C50="Bus",$D50="Average"),$E50*'LT '!H$24,AND($C50="Bus",$D50="Nearly full"),$E50*'LT '!H$25,AND($C50="Electric bus",$D50="Almost empty"),$E50*'LT '!H$7,AND($C50="Electric bus",$D50="Average"),$E50*'LT '!H$8,AND($C50="Electric bus",$D50="Nearly full"),$E50*'LT '!H$9,AND($C50="Diesel bus",$D50="Almost empty"),$E50*'LT '!H$19,AND($C50="Diesel bus",$D50="Average"),$E50*'LT '!H$20,AND($C50="Diesel bus",$D50="Nearly full"),$E50*'LT '!H$21,AND($C50="Hybrid-electric bus",$D50="Almost empty"),$E50*'LT '!H$11,AND($C50="Hybrid-electric bus",$D50="Average"),$E50*'LT '!H$12,AND($C50="Hybrid-electric bus",$D50="Nearly full"),$E50*'LT '!H$13,AND($C50="Alternative fuel bus",$D50="Almost empty"),$E50*'LT '!H$15,AND($C50="Alternative fuel bus",$D50="Average"),$E50*'LT '!H$16,AND($C50="Alternative fuel bus",$D50="Nearly full"),$E50*'LT '!H$17,AND($C50="Metro, tram, urban light train",$D50="Almost empty"),$E50*'LT '!C$35,AND($C50="Metro, tram, urban light train",$D50="Average"),$E50*'LT '!C$36,AND($C50="Metro, tram, urban light train",$D50="Nearly full"),$E50*'LT '!C$37,AND($C50="Electric passenger train",$D50="Almost empty"),$E50*'LT '!C$39,AND($C50="Electric passenger train",$D50="Average"),$E50*'LT '!C$40,AND($C50="Electric passenger train",$D50="Nearly full"),$E50*'LT '!C$41,AND($C50="Diesel passenger train",$D50="Almost empty"),$E50*'LT '!C$47,AND($C50="Diesel passenger train",$D50="Average"),$E50*'LT '!C$48,AND($C50="Diesel passenger train",$D50="Nearly full"),$E50*'LT '!C$49,AND($C50="Walking"),$E50*0,AND($C50="Bike"),$E50*0,AND($C50="Plane - domestic flight"),$E50*'LT '!$C74,AND($C50="Plane - international - intra EU"),$E50*'LT '!$C76,AND($C50="Plane - international (extra EU)"),$E50*'LT '!$C78)</f>
        <v>#N/A</v>
      </c>
      <c r="G50" s="31" t="e" cm="1">
        <f t="array" ref="G50">_xlfn.IFS(AND($C50="Fuel car",$D50=1),$E50*'LT '!D$7,AND($C50="Fuel car",$D50=2),$E50*'LT '!D$8,AND($C50="Fuel car",$D50=3),$E50*'LT '!D$9,AND($C50="Fuel car",$D50=4),$E50*'LT '!D$10,AND($C50="Fuel car",$D50=5),$E50*'LT '!D$11,AND($C50="Motorcycle",$D50=1),$E50*'LT '!D$13,AND($C50="Motorcycle",$D50=2),$E50*'LT '!D$14,AND($C50="Electric car",$D50=1),$E50*'LT '!D$16,AND($C50="Electric car",$D50=2),$E50*'LT '!D$17,AND($C50="Electric car",$D50=3),$E50*'LT '!D$18,AND($C50="Electric car",$D50=4),$E50*'LT '!D$19,AND($C50="Electric car",$D50=5),$E50*'LT '!D$20,AND($C50="Hybrid car",$D50=1),$E50*'LT '!D$22,AND($C50="Hybrid car",$D50=2),$E50*'LT '!D$23,AND($C50="Hybrid car",$D50=3),$E50*'LT '!D$24,AND($C50="Hybrid car",$D50=4),$E50*'LT '!D$25,AND($C50="Hybrid car",$D50=5),$E50*'LT '!D$26,AND($C50="Electric motorcycle",$D50=1),$E50*'LT '!D$28,AND($C50="Electric motorcycle",$D50=2),$E50*'LT '!D$29,AND($C50="Electric bike",$D50=1),$E50*'LT '!D$31,AND($C50="Electric scooter",$D50=1),$E50*'LT '!D$33,AND($C50="Bus",$D50="Almost empty"),$E50*'LT '!I$23,AND($C50="Bus",$D50="Average"),$E50*'LT '!I$24,AND($C50="Bus",$D50="Nearly full"),$E50*'LT '!I$25,AND($C50="Electric bus",$D50="Almost empty"),$E50*'LT '!I$7,AND($C50="Electric bus",$D50="Average"),$E50*'LT '!I$8,AND($C50="Electric bus",$D50="Nearly full"),$E50*'LT '!I$9,AND($C50="Diesel bus",$D50="Almost empty"),$E50*'LT '!I$19,AND($C50="Diesel bus",$D50="Average"),$E50*'LT '!I$20,AND($C50="Diesel bus",$D50="Nearly full"),$E50*'LT '!I$21,AND($C50="Hybrid-electric bus",$D50="Almost empty"),$E50*'LT '!I$11,AND($C50="Hybrid-electric bus",$D50="Average"),$E50*'LT '!I$12,AND($C50="Hybrid-electric bus",$D50="Nearly full"),$E50*'LT '!I$13,AND($C50="Alternative fuel bus",$D50="Almost empty"),$E50*'LT '!I$15,AND($C50="Alternative fuel bus",$D50="Average"),$E50*'LT '!I$16,AND($C50="Alternative fuel bus",$D50="Nearly full"),$E50*'LT '!I$17,AND($C50="Metro, tram, urban light train",$D50="Almost empty"),$E50*'LT '!D$35,AND($C50="Metro, tram, urban light train",$D50="Average"),$E50*'LT '!D$36,AND($C50="Metro, tram, urban light train",$D50="Nearly full"),$E50*'LT '!D$37,AND($C50="Electric passenger train",$D50="Almost empty"),$E50*'LT '!D$39,AND($C50="Electric passenger train",$D50="Average"),$E50*'LT '!D$40,AND($C50="Electric passenger train",$D50="Nearly full"),$E50*'LT '!D$41,AND($C50="Diesel passenger train",$D50="Almost empty"),$E50*'LT '!D$47,AND($C50="Diesel passenger train",$D50="Average"),$E50*'LT '!D$48,AND($C50="Diesel passenger train",$D50="Nearly full"),$E50*'LT '!D$49,AND($C50="Walking"),$E50*0,AND($C50="Bike"),$E50*0,AND($C50="Plane - domestic flight"),$E50*'LT '!$C74,AND($C50="Plane - international - intra EU"),$E50*'LT '!$C76,AND($C50="Plane - international (extra EU)"),$E50*'LT '!$C78)</f>
        <v>#N/A</v>
      </c>
      <c r="H50" s="245"/>
      <c r="I50" s="142"/>
      <c r="L50" s="252"/>
      <c r="M50" s="253"/>
      <c r="N50" s="254"/>
    </row>
    <row r="51" spans="1:14" ht="33" thickBot="1" x14ac:dyDescent="0.25">
      <c r="A51" s="222"/>
      <c r="B51" s="53"/>
      <c r="C51" s="32"/>
      <c r="D51" s="34"/>
      <c r="E51" s="113"/>
      <c r="F51" s="129" t="e" cm="1">
        <f t="array" ref="F51">_xlfn.IFS(AND($C51="Fuel car",$D51=1),$E51*'LT '!C$7,AND($C51="Fuel car",$D51=2),$E51*'LT '!C$8,AND($C51="Fuel car",$D51=3),$E51*'LT '!C$9,AND($C51="Fuel car",$D51=4),$E51*'LT '!C$10,AND($C51="Fuel car",$D51=5),$E51*'LT '!C$11,AND($C51="Motorcycle",$D51=1),$E51*'LT '!C$13,AND($C51="Motorcycle",$D51=2),$E51*'LT '!C$14,AND($C51="Electric car",$D51=1),$E51*'LT '!C$16,AND($C51="Electric car",$D51=2),$E51*'LT '!C$17,AND($C51="Electric car",$D51=3),$E51*'LT '!C$18,AND($C51="Electric car",$D51=4),$E51*'LT '!C$19,AND($C51="Electric car",$D51=5),$E51*'LT '!C$20,AND($C51="Hybrid car",$D51=1),$E51*'LT '!C$22,AND($C51="Hybrid car",$D51=2),$E51*'LT '!C$23,AND($C51="Hybrid car",$D51=3),$E51*'LT '!C$24,AND($C51="Hybrid car",$D51=4),$E51*'LT '!C$25,AND($C51="Hybrid car",$D51=5),$E51*'LT '!C$26,AND($C51="Electric motorcycle",$D51=1),$E51*'LT '!C$28,AND($C51="Electric motorcycle",$D51=2),$E51*'LT '!C$29,AND($C51="Electric bike",$D51=1),$E51*'LT '!C$31,AND($C51="Electric scooter",$D51=1),$E51*'LT '!C$33,AND($C51="Bus",$D51="Almost empty"),$E51*'LT '!H$23,AND($C51="Bus",$D51="Average"),$E51*'LT '!H$24,AND($C51="Bus",$D51="Nearly full"),$E51*'LT '!H$25,AND($C51="Electric bus",$D51="Almost empty"),$E51*'LT '!H$7,AND($C51="Electric bus",$D51="Average"),$E51*'LT '!H$8,AND($C51="Electric bus",$D51="Nearly full"),$E51*'LT '!H$9,AND($C51="Diesel bus",$D51="Almost empty"),$E51*'LT '!H$19,AND($C51="Diesel bus",$D51="Average"),$E51*'LT '!H$20,AND($C51="Diesel bus",$D51="Nearly full"),$E51*'LT '!H$21,AND($C51="Hybrid-electric bus",$D51="Almost empty"),$E51*'LT '!H$11,AND($C51="Hybrid-electric bus",$D51="Average"),$E51*'LT '!H$12,AND($C51="Hybrid-electric bus",$D51="Nearly full"),$E51*'LT '!H$13,AND($C51="Alternative fuel bus",$D51="Almost empty"),$E51*'LT '!H$15,AND($C51="Alternative fuel bus",$D51="Average"),$E51*'LT '!H$16,AND($C51="Alternative fuel bus",$D51="Nearly full"),$E51*'LT '!H$17,AND($C51="Metro, tram, urban light train",$D51="Almost empty"),$E51*'LT '!C$35,AND($C51="Metro, tram, urban light train",$D51="Average"),$E51*'LT '!C$36,AND($C51="Metro, tram, urban light train",$D51="Nearly full"),$E51*'LT '!C$37,AND($C51="Electric passenger train",$D51="Almost empty"),$E51*'LT '!C$39,AND($C51="Electric passenger train",$D51="Average"),$E51*'LT '!C$40,AND($C51="Electric passenger train",$D51="Nearly full"),$E51*'LT '!C$41,AND($C51="Diesel passenger train",$D51="Almost empty"),$E51*'LT '!C$47,AND($C51="Diesel passenger train",$D51="Average"),$E51*'LT '!C$48,AND($C51="Diesel passenger train",$D51="Nearly full"),$E51*'LT '!C$49,AND($C51="Walking"),$E51*0,AND($C51="Bike"),$E51*0,AND($C51="Plane - domestic flight"),$E51*'LT '!$C75,AND($C51="Plane - international - intra EU"),$E51*'LT '!$C77,AND($C51="Plane - international (extra EU)"),$E51*'LT '!$C79)</f>
        <v>#N/A</v>
      </c>
      <c r="G51" s="35" t="e" cm="1">
        <f t="array" ref="G51">_xlfn.IFS(AND($C51="Fuel car",$D51=1),$E51*'LT '!D$7,AND($C51="Fuel car",$D51=2),$E51*'LT '!D$8,AND($C51="Fuel car",$D51=3),$E51*'LT '!D$9,AND($C51="Fuel car",$D51=4),$E51*'LT '!D$10,AND($C51="Fuel car",$D51=5),$E51*'LT '!D$11,AND($C51="Motorcycle",$D51=1),$E51*'LT '!D$13,AND($C51="Motorcycle",$D51=2),$E51*'LT '!D$14,AND($C51="Electric car",$D51=1),$E51*'LT '!D$16,AND($C51="Electric car",$D51=2),$E51*'LT '!D$17,AND($C51="Electric car",$D51=3),$E51*'LT '!D$18,AND($C51="Electric car",$D51=4),$E51*'LT '!D$19,AND($C51="Electric car",$D51=5),$E51*'LT '!D$20,AND($C51="Hybrid car",$D51=1),$E51*'LT '!D$22,AND($C51="Hybrid car",$D51=2),$E51*'LT '!D$23,AND($C51="Hybrid car",$D51=3),$E51*'LT '!D$24,AND($C51="Hybrid car",$D51=4),$E51*'LT '!D$25,AND($C51="Hybrid car",$D51=5),$E51*'LT '!D$26,AND($C51="Electric motorcycle",$D51=1),$E51*'LT '!D$28,AND($C51="Electric motorcycle",$D51=2),$E51*'LT '!D$29,AND($C51="Electric bike",$D51=1),$E51*'LT '!D$31,AND($C51="Electric scooter",$D51=1),$E51*'LT '!D$33,AND($C51="Bus",$D51="Almost empty"),$E51*'LT '!I$23,AND($C51="Bus",$D51="Average"),$E51*'LT '!I$24,AND($C51="Bus",$D51="Nearly full"),$E51*'LT '!I$25,AND($C51="Electric bus",$D51="Almost empty"),$E51*'LT '!I$7,AND($C51="Electric bus",$D51="Average"),$E51*'LT '!I$8,AND($C51="Electric bus",$D51="Nearly full"),$E51*'LT '!I$9,AND($C51="Diesel bus",$D51="Almost empty"),$E51*'LT '!I$19,AND($C51="Diesel bus",$D51="Average"),$E51*'LT '!I$20,AND($C51="Diesel bus",$D51="Nearly full"),$E51*'LT '!I$21,AND($C51="Hybrid-electric bus",$D51="Almost empty"),$E51*'LT '!I$11,AND($C51="Hybrid-electric bus",$D51="Average"),$E51*'LT '!I$12,AND($C51="Hybrid-electric bus",$D51="Nearly full"),$E51*'LT '!I$13,AND($C51="Alternative fuel bus",$D51="Almost empty"),$E51*'LT '!I$15,AND($C51="Alternative fuel bus",$D51="Average"),$E51*'LT '!I$16,AND($C51="Alternative fuel bus",$D51="Nearly full"),$E51*'LT '!I$17,AND($C51="Metro, tram, urban light train",$D51="Almost empty"),$E51*'LT '!D$35,AND($C51="Metro, tram, urban light train",$D51="Average"),$E51*'LT '!D$36,AND($C51="Metro, tram, urban light train",$D51="Nearly full"),$E51*'LT '!D$37,AND($C51="Electric passenger train",$D51="Almost empty"),$E51*'LT '!D$39,AND($C51="Electric passenger train",$D51="Average"),$E51*'LT '!D$40,AND($C51="Electric passenger train",$D51="Nearly full"),$E51*'LT '!D$41,AND($C51="Diesel passenger train",$D51="Almost empty"),$E51*'LT '!D$47,AND($C51="Diesel passenger train",$D51="Average"),$E51*'LT '!D$48,AND($C51="Diesel passenger train",$D51="Nearly full"),$E51*'LT '!D$49,AND($C51="Walking"),$E51*0,AND($C51="Bike"),$E51*0,AND($C51="Plane - domestic flight"),$E51*'LT '!$C75,AND($C51="Plane - international - intra EU"),$E51*'LT '!$C77,AND($C51="Plane - international (extra EU)"),$E51*'LT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_xlfn.IFS(AND(D57&lt;='LT '!L4),"A+",AND(D57&lt;='LT '!M4,D57&gt;'LT '!L4),"A",AND(D57&lt;='LT '!N4,D57&gt;'LT '!M4),"B",AND(D57&lt;='LT '!O4,D57&gt;'LT '!N4),"C",AND(D57&lt;='LT '!P4,D57&gt;'LT '!O4),"D",AND(D57&lt;='LT '!Q4,D57&gt;'LT '!P4),"E",AND(D57&lt;='LT '!R4,D57&gt;'LT '!Q4),"F",AND(D57&gt;'LT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_xlfn.IFS(D58="#","#",AND(D58&lt;='LT '!L5),"A+",AND(D58&lt;='LT '!M5,D58&gt;'LT '!L5),"A",AND(D58&lt;='LT '!N5,D58&gt;'LT '!M5),"B",AND(D58&lt;='LT '!O5,D58&gt;'LT '!N5),"C",AND(D58&lt;='LT '!P5,D58&gt;'LT '!O5),"D",AND(D58&lt;='LT '!Q5,D58&gt;'LT '!P5),"E",AND(D58&lt;='LT '!R5,D58&gt;'LT '!Q5),"F",AND(D58&gt;'LT '!R5),"G")</f>
        <v>#</v>
      </c>
    </row>
    <row r="59" spans="1:14" ht="32" x14ac:dyDescent="0.2">
      <c r="A59" s="262"/>
      <c r="B59" s="264"/>
      <c r="C59" s="21" t="s">
        <v>88</v>
      </c>
      <c r="D59" s="47" t="e">
        <f>IF(ISNUMBER(D58), D57 + D58, D57)</f>
        <v>#DIV/0!</v>
      </c>
      <c r="E59" s="277"/>
      <c r="G59" s="264"/>
      <c r="H59" t="s">
        <v>88</v>
      </c>
      <c r="I59" s="56" t="e" cm="1">
        <f t="array" ref="I59">_xlfn.IFS(AND(D59&lt;='LT '!L6),"A+",AND(D59&lt;='LT '!M6,D59&gt;'LT '!L6),"A",AND(D59&lt;='LT '!N6,D59&gt;'LT '!M6),"B",AND(D59&lt;='LT '!O6,D59&gt;'LT '!N6),"C",AND(D59&lt;='LT '!P6,D59&gt;'LT '!O6),"D",AND(D59&lt;='LT '!Q6,D59&gt;'LT '!P6),"E",AND(D59&lt;='LT '!R6,D59&gt;'LT '!Q6),"F",AND(D59&gt;'LT '!R6),"G")</f>
        <v>#DIV/0!</v>
      </c>
    </row>
    <row r="60" spans="1:14" ht="16" x14ac:dyDescent="0.2">
      <c r="A60" s="262"/>
      <c r="B60" s="264"/>
      <c r="C60" s="21" t="s">
        <v>89</v>
      </c>
      <c r="D60" s="99">
        <f>I30</f>
        <v>0</v>
      </c>
      <c r="E60" s="277"/>
      <c r="G60" s="264"/>
      <c r="H60" t="s">
        <v>89</v>
      </c>
      <c r="I60" s="56" t="str" cm="1">
        <f t="array" ref="I60">_xlfn.IFS(AND(D60&lt;='LT '!L7),"A+",AND(D60&lt;='LT '!M7,D60&gt;'LT '!L7),"A",AND(D60&lt;='LT '!N7,D60&gt;'LT '!M7),"B",AND(D60&lt;='LT '!O7,D60&gt;'LT '!N7),"C",AND(D60&lt;='LT '!P7,D60&gt;'LT '!O7),"D",AND(D60&lt;='LT '!Q7,D60&gt;'LT '!P7),"E",AND(D60&lt;='LT '!R7,D60&gt;'LT '!Q7),"F",AND(D60&gt;'LT '!R7),"G")</f>
        <v>A+</v>
      </c>
    </row>
    <row r="61" spans="1:14" ht="16" thickBot="1" x14ac:dyDescent="0.25">
      <c r="A61" s="262"/>
      <c r="B61" s="265"/>
      <c r="C61" s="16" t="s">
        <v>57</v>
      </c>
      <c r="D61" s="58" t="e">
        <f>SUM(D59:D60)</f>
        <v>#DIV/0!</v>
      </c>
      <c r="E61" s="261"/>
      <c r="G61" s="265"/>
      <c r="H61" s="16" t="s">
        <v>57</v>
      </c>
      <c r="I61" s="1" t="e" cm="1">
        <f t="array" ref="I61">_xlfn.IFS(AND(D61&lt;='LT '!L8),"A+",AND(D61&lt;='LT '!M8,D61&gt;'LT '!L8),"A",AND(D61&lt;='LT '!N8,D61&gt;'LT '!M8),"B",AND(D61&lt;='LT '!O8,D61&gt;'LT '!N8),"C",AND(D61&lt;='LT '!P8,D61&gt;'LT '!O8),"D",AND(D61&lt;='LT '!Q8,D61&gt;'LT '!P8),"E",AND(D61&lt;='LT '!R8,D61&gt;'LT '!Q8),"F",AND(D61&gt;'LT '!R8),"G")</f>
        <v>#DIV/0!</v>
      </c>
    </row>
    <row r="62" spans="1:14" ht="32" x14ac:dyDescent="0.2">
      <c r="A62" s="262"/>
      <c r="B62" s="263" t="s">
        <v>90</v>
      </c>
      <c r="C62" s="57" t="s">
        <v>85</v>
      </c>
      <c r="D62" s="100" t="e">
        <f>I16</f>
        <v>#DIV/0!</v>
      </c>
      <c r="E62" s="266" t="s">
        <v>91</v>
      </c>
      <c r="G62" s="263" t="s">
        <v>90</v>
      </c>
      <c r="H62" s="46" t="s">
        <v>85</v>
      </c>
      <c r="I62" s="55" t="e" cm="1">
        <f t="array" ref="I62">_xlfn.IFS(AND(D62&lt;='LT '!L9),"A+",AND(D62&lt;='LT '!M9,D62&gt;'LT '!L9),"A",AND(D62&lt;='LT '!N9,D62&gt;'LT '!M9),"B",AND(D62&lt;='LT '!O9,D62&gt;'LT '!N9),"C",AND(D62&lt;='LT '!P9,D62&gt;'LT '!O9),"D",AND(D62&lt;='LT '!Q9,D62&gt;'LT '!P9),"E",AND(D62&lt;='LT '!R9,D62&gt;'LT '!Q9),"F",AND(D62&gt;'LT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_xlfn.IFS(D63="#","#",AND(D63&lt;='LT '!L10),"A+",AND(D63&lt;='LT '!M10,D63&gt;'LT '!L10),"A",AND(D63&lt;='LT '!N10,D63&gt;'LT '!M10),"B",AND(D63&lt;='LT '!O10,D63&gt;'LT '!N10),"C",AND(D63&lt;='LT '!P10,D63&gt;'LT '!O10),"D",AND(D63&lt;='LT '!Q10,D63&gt;'LT '!P10),"E",AND(D63&lt;='LT '!R10,D63&gt;'LT '!Q10),"F",AND(D63&gt;'LT '!R10),"G")</f>
        <v>#</v>
      </c>
    </row>
    <row r="64" spans="1:14" ht="32" x14ac:dyDescent="0.2">
      <c r="A64" s="262"/>
      <c r="B64" s="264"/>
      <c r="C64" s="21" t="s">
        <v>92</v>
      </c>
      <c r="D64" s="47" t="e">
        <f>IF(ISNUMBER(D63), D62 + D63, D62)</f>
        <v>#DIV/0!</v>
      </c>
      <c r="E64" s="202"/>
      <c r="G64" s="264"/>
      <c r="H64" t="s">
        <v>92</v>
      </c>
      <c r="I64" s="56" t="e" cm="1">
        <f t="array" ref="I64">_xlfn.IFS(AND(D64&lt;='LT '!L11),"A+",AND(D64&lt;='LT '!M11,D64&gt;'LT '!L11),"A",AND(D64&lt;='LT '!N11,D64&gt;'LT '!M11),"B",AND(D64&lt;='LT '!O11,D64&gt;'LT '!N11),"C",AND(D64&lt;='LT '!P11,D64&gt;'LT '!O11),"D",AND(D64&lt;='LT '!Q11,D64&gt;'LT '!P11),"E",AND(D64&lt;='LT '!R11,D64&gt;'LT '!Q11),"F",AND(D64&gt;'LT '!R11),"G")</f>
        <v>#DIV/0!</v>
      </c>
    </row>
    <row r="65" spans="1:9" x14ac:dyDescent="0.2">
      <c r="A65" s="262"/>
      <c r="B65" s="264"/>
      <c r="C65" t="s">
        <v>89</v>
      </c>
      <c r="D65" s="99">
        <f>I31</f>
        <v>0</v>
      </c>
      <c r="E65" s="202"/>
      <c r="G65" s="264"/>
      <c r="H65" t="s">
        <v>89</v>
      </c>
      <c r="I65" s="56" t="str" cm="1">
        <f t="array" ref="I65">_xlfn.IFS(AND(D65&lt;='LT '!L12),"A+",AND(D65&lt;='LT '!M12,D65&gt;'LT '!L12),"A",AND(D65&lt;='LT '!N12,D65&gt;'LT '!M12),"B",AND(D65&lt;='LT '!O12,D65&gt;'LT '!N12),"C",AND(D65&lt;='LT '!P12,D65&gt;'LT '!O12),"D",AND(D65&lt;='LT '!Q12,D65&gt;'LT '!P12),"E",AND(D65&lt;='LT '!R12,D65&gt;'LT '!Q12),"F",AND(D65&gt;'LT '!R12),"G")</f>
        <v>A+</v>
      </c>
    </row>
    <row r="66" spans="1:9" ht="16" thickBot="1" x14ac:dyDescent="0.25">
      <c r="A66" s="262"/>
      <c r="B66" s="265"/>
      <c r="C66" s="16" t="s">
        <v>57</v>
      </c>
      <c r="D66" s="16" t="e">
        <f>SUM(D64:D65)</f>
        <v>#DIV/0!</v>
      </c>
      <c r="E66" s="267"/>
      <c r="G66" s="265"/>
      <c r="H66" s="16" t="s">
        <v>57</v>
      </c>
      <c r="I66" s="1" t="e" cm="1">
        <f t="array" ref="I66">_xlfn.IFS(AND(D66&lt;='LT '!L13),"A+",AND(D66&lt;='LT '!M13,D66&gt;'LT '!L13),"A",AND(D66&lt;='LT '!N13,D66&gt;'LT '!M13),"B",AND(D66&lt;='LT '!O13,D66&gt;'LT '!N13),"C",AND(D66&lt;='LT '!P13,D66&gt;'LT '!O13),"D",AND(D66&lt;='LT '!Q13,D66&gt;'LT '!P13),"E",AND(D66&lt;='LT '!R13,D66&gt;'LT '!Q13),"F",AND(D66&gt;'LT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73" priority="7" operator="equal">
      <formula>"A+"</formula>
    </cfRule>
    <cfRule type="containsText" dxfId="272" priority="8" operator="containsText" text="A">
      <formula>NOT(ISERROR(SEARCH("A",I57)))</formula>
    </cfRule>
    <cfRule type="containsText" dxfId="271" priority="9" operator="containsText" text="B">
      <formula>NOT(ISERROR(SEARCH("B",I57)))</formula>
    </cfRule>
    <cfRule type="containsText" dxfId="270" priority="10" operator="containsText" text="C">
      <formula>NOT(ISERROR(SEARCH("C",I57)))</formula>
    </cfRule>
    <cfRule type="containsText" dxfId="269" priority="11" operator="containsText" text="D">
      <formula>NOT(ISERROR(SEARCH("D",I57)))</formula>
    </cfRule>
    <cfRule type="containsText" dxfId="268" priority="12" operator="containsText" text="E">
      <formula>NOT(ISERROR(SEARCH("E",I57)))</formula>
    </cfRule>
    <cfRule type="containsText" dxfId="267" priority="13" operator="containsText" text="F">
      <formula>NOT(ISERROR(SEARCH("F",I57)))</formula>
    </cfRule>
    <cfRule type="containsText" dxfId="266" priority="14" operator="containsText" text="G">
      <formula>NOT(ISERROR(SEARCH("G",I57)))</formula>
    </cfRule>
  </conditionalFormatting>
  <conditionalFormatting sqref="K5:K15">
    <cfRule type="expression" dxfId="29" priority="2" stopIfTrue="1">
      <formula>$O$19="No"</formula>
    </cfRule>
  </conditionalFormatting>
  <conditionalFormatting sqref="L5:L15">
    <cfRule type="expression" dxfId="28"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FAAD80AA-7BDD-0943-84FE-82134C1819B0}">
      <formula1>AND(Q19="Yes", ISNUMBER(L5))</formula1>
    </dataValidation>
    <dataValidation type="custom" operator="lessThan" allowBlank="1" showErrorMessage="1" errorTitle="Error" error="You can only enter values if you have selected HOME PV. The value must be a number." sqref="K5:K15" xr:uid="{CAF0A1BC-B3EA-F94C-987F-8B3F33F84231}">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B882D680-EE9D-4460-809E-585868A07A01}">
          <x14:formula1>
            <xm:f>DATA!$J$3:$J$10</xm:f>
          </x14:formula1>
          <xm:sqref>D29:D51</xm:sqref>
        </x14:dataValidation>
        <x14:dataValidation type="list" allowBlank="1" showInputMessage="1" showErrorMessage="1" xr:uid="{5D10A390-1246-864C-AF10-C28CD4D45A51}">
          <x14:formula1>
            <xm:f>DATA!$B$15:$B$23</xm:f>
          </x14:formula1>
          <xm:sqref>J2</xm:sqref>
        </x14:dataValidation>
        <x14:dataValidation type="list" allowBlank="1" showInputMessage="1" showErrorMessage="1" xr:uid="{5AE5F81A-8E42-4D5E-ADC4-6F355BB3B724}">
          <x14:formula1>
            <xm:f>DATA!$H$3:$H$23</xm:f>
          </x14:formula1>
          <xm:sqref>C29:C51</xm:sqref>
        </x14:dataValidation>
        <x14:dataValidation type="list" allowBlank="1" showInputMessage="1" showErrorMessage="1" xr:uid="{2990D9C3-CEE3-A947-9A11-993E1FF0EB61}">
          <x14:formula1>
            <xm:f>DATA!$B$3:$B$13</xm:f>
          </x14:formula1>
          <xm:sqref>H2</xm:sqref>
        </x14:dataValidation>
        <x14:dataValidation type="list" allowBlank="1" showInputMessage="1" showErrorMessage="1" xr:uid="{7A7A2FCF-3790-8540-B3D9-0D6AE497C7B1}">
          <x14:formula1>
            <xm:f>DATA!$L$4:$L$5</xm:f>
          </x14:formula1>
          <xm:sqref>O18:O19 Q19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343F-FEC1-48E4-82B4-336437DEFA31}">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 customWidth="1"/>
    <col min="5" max="5" width="17.6640625" customWidth="1"/>
    <col min="6"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106</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IF($O$18="Yes",(E5/$F$2)*DATA!$C$9,(E5/$F$2)*DATA!F17)+IF(ISBLANK(K5),0,K5/$F$2)*DATA!$C$9-IF(ISBLANK(L5),0,L5/$F$2)*DATA!F$17</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IF($O$18="Yes",(E6/$F$2)*DATA!$C$9,(E6/$F$2)*DATA!F18)+IF(ISBLANK(K6),0,K6/$F$2)*DATA!$C$9-IF(ISBLANK(L6),0,L6/$F$2)*DATA!F$17</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IF($O$18="Yes",(E7/$F$2)*DATA!$C$9,(E7/$F$2)*DATA!F19)+IF(ISBLANK(K7),0,K7/$F$2)*DATA!$C$9-IF(ISBLANK(L7),0,L7/$F$2)*DATA!F$17</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IF($O$18="Yes",(E8/$F$2)*DATA!$C$9,(E8/$F$2)*DATA!F20)+IF(ISBLANK(K8),0,K8/$F$2)*DATA!$C$9-IF(ISBLANK(L8),0,L8/$F$2)*DATA!F$17</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8.5" customHeight="1" thickBot="1" x14ac:dyDescent="0.25">
      <c r="A9" s="221"/>
      <c r="B9" s="24"/>
      <c r="C9" s="13"/>
      <c r="D9" s="14">
        <f t="shared" si="0"/>
        <v>0</v>
      </c>
      <c r="E9" s="15"/>
      <c r="F9" s="15"/>
      <c r="G9" s="25" t="e">
        <f t="shared" si="1"/>
        <v>#DIV/0!</v>
      </c>
      <c r="H9" s="25" t="e">
        <f t="shared" si="2"/>
        <v>#DIV/0!</v>
      </c>
      <c r="I9" s="25" t="e">
        <f>IF($O$18="Yes",(E9/$F$2)*DATA!$C$9,(E9/$F$2)*DATA!F21)+IF(ISBLANK(K9),0,K9/$F$2)*DATA!$C$9-IF(ISBLANK(L9),0,L9/$F$2)*DATA!F$17</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IF($O$18="Yes",(E10/$F$2)*DATA!$C$9,(E10/$F$2)*DATA!F22)+IF(ISBLANK(K10),0,K10/$F$2)*DATA!$C$9-IF(ISBLANK(L10),0,L10/$F$2)*DATA!F$17</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IF($O$18="Yes",(E11/$F$2)*DATA!$C$9,(E11/$F$2)*DATA!F23)+IF(ISBLANK(K11),0,K11/$F$2)*DATA!$C$9-IF(ISBLANK(L11),0,L11/$F$2)*DATA!F$17</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IF($O$18="Yes",(E12/$F$2)*DATA!$C$9,(E12/$F$2)*DATA!F24)+IF(ISBLANK(K12),0,K12/$F$2)*DATA!$C$9-IF(ISBLANK(L12),0,L12/$F$2)*DATA!F$17</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IF($O$18="Yes",(E13/$F$2)*DATA!$C$9,(E13/$F$2)*DATA!F25)+IF(ISBLANK(K13),0,K13/$F$2)*DATA!$C$9-IF(ISBLANK(L13),0,L13/$F$2)*DATA!F$17</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IF($O$18="Yes",(E14/$F$2)*DATA!$C$9,(E14/$F$2)*DATA!F26)+IF(ISBLANK(K14),0,K14/$F$2)*DATA!$C$9-IF(ISBLANK(L14),0,L14/$F$2)*DATA!F$17</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IF($O$18="Yes",(E15/$F$2)*DATA!$C$9,(E15/$F$2)*DATA!F27)+IF(ISBLANK(K15),0,K15/$F$2)*DATA!$C$9-IF(ISBLANK(L15),0,L15/$F$2)*DATA!F$17</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car",$D29=1),$E29*'IE '!C$7,AND($C29="Fuel car",$D29=2),$E29*'IE '!C$8,AND($C29="Fuel car",$D29=3),$E29*'IE '!C$9,AND($C29="Fuel car",$D29=4),$E29*'IE '!C$10,AND($C29="Fuel car",$D29=5),$E29*'IE '!C$11,AND($C29="Motorcycle",$D29=1),$E29*'IE '!C$13,AND($C29="Motorcycle",$D29=2),$E29*'IE '!C$14,AND($C29="Electric car",$D29=1),$E29*'IE '!C$16,AND($C29="Electric car",$D29=2),$E29*'IE '!C$17,AND($C29="Electric car",$D29=3),$E29*'IE '!C$18,AND($C29="Electric car",$D29=4),$E29*'IE '!C$19,AND($C29="Electric car",$D29=5),$E29*'IE '!C$20,AND($C29="Hybrid car",$D29=1),$E29*'IE '!C$22,AND($C29="Hybrid car",$D29=2),$E29*'IE '!C$23,AND($C29="Hybrid car",$D29=3),$E29*'IE '!C$24,AND($C29="Hybrid car",$D29=4),$E29*'IE '!C$25,AND($C29="Hybrid car",$D29=5),$E29*'IE '!C$26,AND($C29="Electric motorcycle",$D29=1),$E29*'IE '!C$28,AND($C29="Electric motorcycle",$D29=2),$E29*'IE '!C$29,AND($C29="Electric bike",$D29=1),$E29*'IE '!C$31,AND($C29="Electric scooter",$D29=1),$E29*'IE '!C$33,AND($C29="Bus",$D29="Almost empty"),$E29*'IE '!H$23,AND($C29="Bus",$D29="Average"),$E29*'IE '!H$24,AND($C29="Bus",$D29="Nearly full"),$E29*'IE '!H$25,AND($C29="Electric bus",$D29="Almost empty"),$E29*'IE '!H$7,AND($C29="Electric bus",$D29="Average"),$E29*'IE '!H$8,AND($C29="Electric bus",$D29="Nearly full"),$E29*'IE '!H$9,AND($C29="Diesel bus",$D29="Almost empty"),$E29*'IE '!H$19,AND($C29="Diesel bus",$D29="Average"),$E29*'IE '!H$20,AND($C29="Diesel bus",$D29="Nearly full"),$E29*'IE '!H$21,AND($C29="Hybrid-electric bus",$D29="Almost empty"),$E29*'IE '!H$11,AND($C29="Hybrid-electric bus",$D29="Average"),$E29*'IE '!H$12,AND($C29="Hybrid-electric bus",$D29="Nearly full"),$E29*'IE '!H$13,AND($C29="Alternative fuel bus",$D29="Almost empty"),$E29*'IE '!H$15,AND($C29="Alternative fuel bus",$D29="Average"),$E29*'IE '!H$16,AND($C29="Alternative fuel bus",$D29="Nearly full"),$E29*'IE '!H$17,AND($C29="Metro, tram, urban light train",$D29="Almost empty"),$E29*'IE '!C$35,AND($C29="Metro, tram, urban light train",$D29="Average"),$E29*'IE '!C$36,AND($C29="Metro, tram, urban light train",$D29="Nearly full"),$E29*'IE '!C$37,AND($C29="Electric passenger train",$D29="Almost empty"),$E29*'IE '!C$39,AND($C29="Electric passenger train",$D29="Average"),$E29*'IE '!C$40,AND($C29="Electric passenger train",$D29="Nearly full"),$E29*'IE '!C$41,AND($C29="Diesel passenger train",$D29="Almost empty"),$E29*'IE '!C$47,AND($C29="Diesel passenger train",$D29="Average"),$E29*'IE '!C$48,AND($C29="Diesel passenger train",$D29="Nearly full"),$E29*'IE '!C$49,AND($C29="Walking"),$E29*0,AND($C29="Bike"),$E29*0,AND($C29="Plane - domestic flight"),$E29*'IE '!$C53,AND($C29="Plane - international - intra EU"),$E29*'IE '!$C55,AND($C29="Plane - international (extra EU)"),$E29*'IE '!$C57)</f>
        <v>#N/A</v>
      </c>
      <c r="G29" s="104" t="e" cm="1">
        <f t="array" ref="G29">_xlfn.IFS(AND($C29="Fuel car",$D29=1),$E29*'IE '!D$7,AND($C29="Fuel car",$D29=2),$E29*'IE '!D$8,AND($C29="Fuel car",$D29=3),$E29*'IE '!D$9,AND($C29="Fuel car",$D29=4),$E29*'IE '!D$10,AND($C29="Fuel car",$D29=5),$E29*'IE '!D$11,AND($C29="Motorcycle",$D29=1),$E29*'IE '!D$13,AND($C29="Motorcycle",$D29=2),$E29*'IE '!D$14,AND($C29="Electric car",$D29=1),$E29*'IE '!D$16,AND($C29="Electric car",$D29=2),$E29*'IE '!D$17,AND($C29="Electric car",$D29=3),$E29*'IE '!D$18,AND($C29="Electric car",$D29=4),$E29*'IE '!D$19,AND($C29="Electric car",$D29=5),$E29*'IE '!D$20,AND($C29="Hybrid car",$D29=1),$E29*'IE '!D$22,AND($C29="Hybrid car",$D29=2),$E29*'IE '!D$23,AND($C29="Hybrid car",$D29=3),$E29*'IE '!D$24,AND($C29="Hybrid car",$D29=4),$E29*'IE '!D$25,AND($C29="Hybrid car",$D29=5),$E29*'IE '!D$26,AND($C29="Electric motorcycle",$D29=1),$E29*'IE '!D$28,AND($C29="Electric motorcycle",$D29=2),$E29*'IE '!D$29,AND($C29="Electric bike",$D29=1),$E29*'IE '!D$31,AND($C29="Electric scooter",$D29=1),$E29*'IE '!D$33,AND($C29="Bus",$D29="Almost empty"),$E29*'IE '!I$23,AND($C29="Bus",$D29="Average"),$E29*'IE '!I$24,AND($C29="Bus",$D29="Nearly full"),$E29*'IE '!I$25,AND($C29="Electric bus",$D29="Almost empty"),$E29*'IE '!I$7,AND($C29="Electric bus",$D29="Average"),$E29*'IE '!I$8,AND($C29="Electric bus",$D29="Nearly full"),$E29*'IE '!I$9,AND($C29="Diesel bus",$D29="Almost empty"),$E29*'IE '!I$19,AND($C29="Diesel bus",$D29="Average"),$E29*'IE '!I$20,AND($C29="Diesel bus",$D29="Nearly full"),$E29*'IE '!I$21,AND($C29="Hybrid-electric bus",$D29="Almost empty"),$E29*'IE '!I$11,AND($C29="Hybrid-electric bus",$D29="Average"),$E29*'IE '!I$12,AND($C29="Hybrid-electric bus",$D29="Nearly full"),$E29*'IE '!I$13,AND($C29="Alternative fuel bus",$D29="Almost empty"),$E29*'IE '!I$15,AND($C29="Alternative fuel bus",$D29="Average"),$E29*'IE '!I$16,AND($C29="Alternative fuel bus",$D29="Nearly full"),$E29*'IE '!I$17,AND($C29="Metro, tram, urban light train",$D29="Almost empty"),$E29*'IE '!D$35,AND($C29="Metro, tram, urban light train",$D29="Average"),$E29*'IE '!D$36,AND($C29="Metro, tram, urban light train",$D29="Nearly full"),$E29*'IE '!D$37,AND($C29="Electric passenger train",$D29="Almost empty"),$E29*'IE '!D$39,AND($C29="Electric passenger train",$D29="Average"),$E29*'IE '!D$40,AND($C29="Electric passenger train",$D29="Nearly full"),$E29*'IE '!D$41,AND($C29="Diesel passenger train",$D29="Almost empty"),$E29*'IE '!D$47,AND($C29="Diesel passenger train",$D29="Average"),$E29*'IE '!D$48,AND($C29="Diesel passenger train",$D29="Nearly full"),$E29*'IE '!D$49,AND($C29="Walking"),$E29*0,AND($C29="Bike"),$E29*0,AND($C29="Plane - domestic flight"),$E29*'IE '!$C53,AND($C29="Plane - international - intra EU"),$E29*'IE '!$C55,AND($C29="Plane - international (extra EU)"),$E29*'IE '!$C57)</f>
        <v>#N/A</v>
      </c>
      <c r="H29" s="151"/>
      <c r="I29" s="152">
        <f>H29/10*E29</f>
        <v>0</v>
      </c>
      <c r="J29" s="146" t="e" cm="1">
        <f t="array" ref="J29">_xlfn.IFS(C29="Fuel car",C29*DATA!$C$17,C29="Electric car",C29*DATA!$F$18,C29="Hybrid car",I29*(0.5*DATA!$C$17+0.5*DATA!$F$18))</f>
        <v>#N/A</v>
      </c>
      <c r="L29" s="218"/>
      <c r="M29" s="219"/>
      <c r="N29" s="220"/>
    </row>
    <row r="30" spans="1:17" ht="32" customHeight="1" x14ac:dyDescent="0.2">
      <c r="A30" s="222"/>
      <c r="B30" s="30"/>
      <c r="C30" s="15"/>
      <c r="D30" s="15"/>
      <c r="E30" s="125"/>
      <c r="F30" s="128" t="e" cm="1">
        <f t="array" ref="F30">_xlfn.IFS(AND($C30="Fuel car",$D30=1),$E30*'IE '!C$7,AND($C30="Fuel car",$D30=2),$E30*'IE '!C$8,AND($C30="Fuel car",$D30=3),$E30*'IE '!C$9,AND($C30="Fuel car",$D30=4),$E30*'IE '!C$10,AND($C30="Fuel car",$D30=5),$E30*'IE '!C$11,AND($C30="Motorcycle",$D30=1),$E30*'IE '!C$13,AND($C30="Motorcycle",$D30=2),$E30*'IE '!C$14,AND($C30="Electric car",$D30=1),$E30*'IE '!C$16,AND($C30="Electric car",$D30=2),$E30*'IE '!C$17,AND($C30="Electric car",$D30=3),$E30*'IE '!C$18,AND($C30="Electric car",$D30=4),$E30*'IE '!C$19,AND($C30="Electric car",$D30=5),$E30*'IE '!C$20,AND($C30="Hybrid car",$D30=1),$E30*'IE '!C$22,AND($C30="Hybrid car",$D30=2),$E30*'IE '!C$23,AND($C30="Hybrid car",$D30=3),$E30*'IE '!C$24,AND($C30="Hybrid car",$D30=4),$E30*'IE '!C$25,AND($C30="Hybrid car",$D30=5),$E30*'IE '!C$26,AND($C30="Electric motorcycle",$D30=1),$E30*'IE '!C$28,AND($C30="Electric motorcycle",$D30=2),$E30*'IE '!C$29,AND($C30="Electric bike",$D30=1),$E30*'IE '!C$31,AND($C30="Electric scooter",$D30=1),$E30*'IE '!C$33,AND($C30="Bus",$D30="Almost empty"),$E30*'IE '!H$23,AND($C30="Bus",$D30="Average"),$E30*'IE '!H$24,AND($C30="Bus",$D30="Nearly full"),$E30*'IE '!H$25,AND($C30="Electric bus",$D30="Almost empty"),$E30*'IE '!H$7,AND($C30="Electric bus",$D30="Average"),$E30*'IE '!H$8,AND($C30="Electric bus",$D30="Nearly full"),$E30*'IE '!H$9,AND($C30="Diesel bus",$D30="Almost empty"),$E30*'IE '!H$19,AND($C30="Diesel bus",$D30="Average"),$E30*'IE '!H$20,AND($C30="Diesel bus",$D30="Nearly full"),$E30*'IE '!H$21,AND($C30="Hybrid-electric bus",$D30="Almost empty"),$E30*'IE '!H$11,AND($C30="Hybrid-electric bus",$D30="Average"),$E30*'IE '!H$12,AND($C30="Hybrid-electric bus",$D30="Nearly full"),$E30*'IE '!H$13,AND($C30="Alternative fuel bus",$D30="Almost empty"),$E30*'IE '!H$15,AND($C30="Alternative fuel bus",$D30="Average"),$E30*'IE '!H$16,AND($C30="Alternative fuel bus",$D30="Nearly full"),$E30*'IE '!H$17,AND($C30="Metro, tram, urban light train",$D30="Almost empty"),$E30*'IE '!C$35,AND($C30="Metro, tram, urban light train",$D30="Average"),$E30*'IE '!C$36,AND($C30="Metro, tram, urban light train",$D30="Nearly full"),$E30*'IE '!C$37,AND($C30="Electric passenger train",$D30="Almost empty"),$E30*'IE '!C$39,AND($C30="Electric passenger train",$D30="Average"),$E30*'IE '!C$40,AND($C30="Electric passenger train",$D30="Nearly full"),$E30*'IE '!C$41,AND($C30="Diesel passenger train",$D30="Almost empty"),$E30*'IE '!C$47,AND($C30="Diesel passenger train",$D30="Average"),$E30*'IE '!C$48,AND($C30="Diesel passenger train",$D30="Nearly full"),$E30*'IE '!C$49,AND($C30="Walking"),$E30*0,AND($C30="Bike"),$E30*0,AND($C30="Plane - domestic flight"),$E30*'IE '!$C54,AND($C30="Plane - international - intra EU"),$E30*'IE '!$C56,AND($C30="Plane - international (extra EU)"),$E30*'IE '!$C58)</f>
        <v>#N/A</v>
      </c>
      <c r="G30" s="31" t="e" cm="1">
        <f t="array" ref="G30">_xlfn.IFS(AND($C30="Fuel car",$D30=1),$E30*'IE '!D$7,AND($C30="Fuel car",$D30=2),$E30*'IE '!D$8,AND($C30="Fuel car",$D30=3),$E30*'IE '!D$9,AND($C30="Fuel car",$D30=4),$E30*'IE '!D$10,AND($C30="Fuel car",$D30=5),$E30*'IE '!D$11,AND($C30="Motorcycle",$D30=1),$E30*'IE '!D$13,AND($C30="Motorcycle",$D30=2),$E30*'IE '!D$14,AND($C30="Electric car",$D30=1),$E30*'IE '!D$16,AND($C30="Electric car",$D30=2),$E30*'IE '!D$17,AND($C30="Electric car",$D30=3),$E30*'IE '!D$18,AND($C30="Electric car",$D30=4),$E30*'IE '!D$19,AND($C30="Electric car",$D30=5),$E30*'IE '!D$20,AND($C30="Hybrid car",$D30=1),$E30*'IE '!D$22,AND($C30="Hybrid car",$D30=2),$E30*'IE '!D$23,AND($C30="Hybrid car",$D30=3),$E30*'IE '!D$24,AND($C30="Hybrid car",$D30=4),$E30*'IE '!D$25,AND($C30="Hybrid car",$D30=5),$E30*'IE '!D$26,AND($C30="Electric motorcycle",$D30=1),$E30*'IE '!D$28,AND($C30="Electric motorcycle",$D30=2),$E30*'IE '!D$29,AND($C30="Electric bike",$D30=1),$E30*'IE '!D$31,AND($C30="Electric scooter",$D30=1),$E30*'IE '!D$33,AND($C30="Bus",$D30="Almost empty"),$E30*'IE '!I$23,AND($C30="Bus",$D30="Average"),$E30*'IE '!I$24,AND($C30="Bus",$D30="Nearly full"),$E30*'IE '!I$25,AND($C30="Electric bus",$D30="Almost empty"),$E30*'IE '!I$7,AND($C30="Electric bus",$D30="Average"),$E30*'IE '!I$8,AND($C30="Electric bus",$D30="Nearly full"),$E30*'IE '!I$9,AND($C30="Diesel bus",$D30="Almost empty"),$E30*'IE '!I$19,AND($C30="Diesel bus",$D30="Average"),$E30*'IE '!I$20,AND($C30="Diesel bus",$D30="Nearly full"),$E30*'IE '!I$21,AND($C30="Hybrid-electric bus",$D30="Almost empty"),$E30*'IE '!I$11,AND($C30="Hybrid-electric bus",$D30="Average"),$E30*'IE '!I$12,AND($C30="Hybrid-electric bus",$D30="Nearly full"),$E30*'IE '!I$13,AND($C30="Alternative fuel bus",$D30="Almost empty"),$E30*'IE '!I$15,AND($C30="Alternative fuel bus",$D30="Average"),$E30*'IE '!I$16,AND($C30="Alternative fuel bus",$D30="Nearly full"),$E30*'IE '!I$17,AND($C30="Metro, tram, urban light train",$D30="Almost empty"),$E30*'IE '!D$35,AND($C30="Metro, tram, urban light train",$D30="Average"),$E30*'IE '!D$36,AND($C30="Metro, tram, urban light train",$D30="Nearly full"),$E30*'IE '!D$37,AND($C30="Electric passenger train",$D30="Almost empty"),$E30*'IE '!D$39,AND($C30="Electric passenger train",$D30="Average"),$E30*'IE '!D$40,AND($C30="Electric passenger train",$D30="Nearly full"),$E30*'IE '!D$41,AND($C30="Diesel passenger train",$D30="Almost empty"),$E30*'IE '!D$47,AND($C30="Diesel passenger train",$D30="Average"),$E30*'IE '!D$48,AND($C30="Diesel passenger train",$D30="Nearly full"),$E30*'IE '!D$49,AND($C30="Walking"),$E30*0,AND($C30="Bike"),$E30*0,AND($C30="Plane - domestic flight"),$E30*'IE '!$C54,AND($C30="Plane - international - intra EU"),$E30*'IE '!$C56,AND($C30="Plane - international (extra EU)"),$E30*'IE '!$C58)</f>
        <v>#N/A</v>
      </c>
      <c r="H30" s="145"/>
      <c r="I30" s="148">
        <f t="shared" ref="I30:I43" si="6">H30/10*E30</f>
        <v>0</v>
      </c>
      <c r="J30" s="146" t="e" cm="1">
        <f t="array" ref="J30">_xlfn.IFS(C30="Fuel car",C30*DATA!$C$17,C30="Electric car",C30*DATA!$F$18,C30="Hybrid car",I30*(0.5*DATA!$C$17+0.5*DATA!$F$18))</f>
        <v>#N/A</v>
      </c>
      <c r="L30" s="215" t="s">
        <v>76</v>
      </c>
      <c r="M30" s="216"/>
      <c r="N30" s="217"/>
    </row>
    <row r="31" spans="1:17" x14ac:dyDescent="0.2">
      <c r="A31" s="222"/>
      <c r="B31" s="30"/>
      <c r="C31" s="15"/>
      <c r="D31" s="15"/>
      <c r="E31" s="125"/>
      <c r="F31" s="128" t="e" cm="1">
        <f t="array" ref="F31">_xlfn.IFS(AND($C31="Fuel car",$D31=1),$E31*'IE '!C$7,AND($C31="Fuel car",$D31=2),$E31*'IE '!C$8,AND($C31="Fuel car",$D31=3),$E31*'IE '!C$9,AND($C31="Fuel car",$D31=4),$E31*'IE '!C$10,AND($C31="Fuel car",$D31=5),$E31*'IE '!C$11,AND($C31="Motorcycle",$D31=1),$E31*'IE '!C$13,AND($C31="Motorcycle",$D31=2),$E31*'IE '!C$14,AND($C31="Electric car",$D31=1),$E31*'IE '!C$16,AND($C31="Electric car",$D31=2),$E31*'IE '!C$17,AND($C31="Electric car",$D31=3),$E31*'IE '!C$18,AND($C31="Electric car",$D31=4),$E31*'IE '!C$19,AND($C31="Electric car",$D31=5),$E31*'IE '!C$20,AND($C31="Hybrid car",$D31=1),$E31*'IE '!C$22,AND($C31="Hybrid car",$D31=2),$E31*'IE '!C$23,AND($C31="Hybrid car",$D31=3),$E31*'IE '!C$24,AND($C31="Hybrid car",$D31=4),$E31*'IE '!C$25,AND($C31="Hybrid car",$D31=5),$E31*'IE '!C$26,AND($C31="Electric motorcycle",$D31=1),$E31*'IE '!C$28,AND($C31="Electric motorcycle",$D31=2),$E31*'IE '!C$29,AND($C31="Electric bike",$D31=1),$E31*'IE '!C$31,AND($C31="Electric scooter",$D31=1),$E31*'IE '!C$33,AND($C31="Bus",$D31="Almost empty"),$E31*'IE '!H$23,AND($C31="Bus",$D31="Average"),$E31*'IE '!H$24,AND($C31="Bus",$D31="Nearly full"),$E31*'IE '!H$25,AND($C31="Electric bus",$D31="Almost empty"),$E31*'IE '!H$7,AND($C31="Electric bus",$D31="Average"),$E31*'IE '!H$8,AND($C31="Electric bus",$D31="Nearly full"),$E31*'IE '!H$9,AND($C31="Diesel bus",$D31="Almost empty"),$E31*'IE '!H$19,AND($C31="Diesel bus",$D31="Average"),$E31*'IE '!H$20,AND($C31="Diesel bus",$D31="Nearly full"),$E31*'IE '!H$21,AND($C31="Hybrid-electric bus",$D31="Almost empty"),$E31*'IE '!H$11,AND($C31="Hybrid-electric bus",$D31="Average"),$E31*'IE '!H$12,AND($C31="Hybrid-electric bus",$D31="Nearly full"),$E31*'IE '!H$13,AND($C31="Alternative fuel bus",$D31="Almost empty"),$E31*'IE '!H$15,AND($C31="Alternative fuel bus",$D31="Average"),$E31*'IE '!H$16,AND($C31="Alternative fuel bus",$D31="Nearly full"),$E31*'IE '!H$17,AND($C31="Metro, tram, urban light train",$D31="Almost empty"),$E31*'IE '!C$35,AND($C31="Metro, tram, urban light train",$D31="Average"),$E31*'IE '!C$36,AND($C31="Metro, tram, urban light train",$D31="Nearly full"),$E31*'IE '!C$37,AND($C31="Electric passenger train",$D31="Almost empty"),$E31*'IE '!C$39,AND($C31="Electric passenger train",$D31="Average"),$E31*'IE '!C$40,AND($C31="Electric passenger train",$D31="Nearly full"),$E31*'IE '!C$41,AND($C31="Diesel passenger train",$D31="Almost empty"),$E31*'IE '!C$47,AND($C31="Diesel passenger train",$D31="Average"),$E31*'IE '!C$48,AND($C31="Diesel passenger train",$D31="Nearly full"),$E31*'IE '!C$49,AND($C31="Walking"),$E31*0,AND($C31="Bike"),$E31*0,AND($C31="Plane - domestic flight"),$E31*'IE '!$C55,AND($C31="Plane - international - intra EU"),$E31*'IE '!$C57,AND($C31="Plane - international (extra EU)"),$E31*'IE '!$C59)</f>
        <v>#N/A</v>
      </c>
      <c r="G31" s="31" t="e" cm="1">
        <f t="array" ref="G31">_xlfn.IFS(AND($C31="Fuel car",$D31=1),$E31*'IE '!D$7,AND($C31="Fuel car",$D31=2),$E31*'IE '!D$8,AND($C31="Fuel car",$D31=3),$E31*'IE '!D$9,AND($C31="Fuel car",$D31=4),$E31*'IE '!D$10,AND($C31="Fuel car",$D31=5),$E31*'IE '!D$11,AND($C31="Motorcycle",$D31=1),$E31*'IE '!D$13,AND($C31="Motorcycle",$D31=2),$E31*'IE '!D$14,AND($C31="Electric car",$D31=1),$E31*'IE '!D$16,AND($C31="Electric car",$D31=2),$E31*'IE '!D$17,AND($C31="Electric car",$D31=3),$E31*'IE '!D$18,AND($C31="Electric car",$D31=4),$E31*'IE '!D$19,AND($C31="Electric car",$D31=5),$E31*'IE '!D$20,AND($C31="Hybrid car",$D31=1),$E31*'IE '!D$22,AND($C31="Hybrid car",$D31=2),$E31*'IE '!D$23,AND($C31="Hybrid car",$D31=3),$E31*'IE '!D$24,AND($C31="Hybrid car",$D31=4),$E31*'IE '!D$25,AND($C31="Hybrid car",$D31=5),$E31*'IE '!D$26,AND($C31="Electric motorcycle",$D31=1),$E31*'IE '!D$28,AND($C31="Electric motorcycle",$D31=2),$E31*'IE '!D$29,AND($C31="Electric bike",$D31=1),$E31*'IE '!D$31,AND($C31="Electric scooter",$D31=1),$E31*'IE '!D$33,AND($C31="Bus",$D31="Almost empty"),$E31*'IE '!I$23,AND($C31="Bus",$D31="Average"),$E31*'IE '!I$24,AND($C31="Bus",$D31="Nearly full"),$E31*'IE '!I$25,AND($C31="Electric bus",$D31="Almost empty"),$E31*'IE '!I$7,AND($C31="Electric bus",$D31="Average"),$E31*'IE '!I$8,AND($C31="Electric bus",$D31="Nearly full"),$E31*'IE '!I$9,AND($C31="Diesel bus",$D31="Almost empty"),$E31*'IE '!I$19,AND($C31="Diesel bus",$D31="Average"),$E31*'IE '!I$20,AND($C31="Diesel bus",$D31="Nearly full"),$E31*'IE '!I$21,AND($C31="Hybrid-electric bus",$D31="Almost empty"),$E31*'IE '!I$11,AND($C31="Hybrid-electric bus",$D31="Average"),$E31*'IE '!I$12,AND($C31="Hybrid-electric bus",$D31="Nearly full"),$E31*'IE '!I$13,AND($C31="Alternative fuel bus",$D31="Almost empty"),$E31*'IE '!I$15,AND($C31="Alternative fuel bus",$D31="Average"),$E31*'IE '!I$16,AND($C31="Alternative fuel bus",$D31="Nearly full"),$E31*'IE '!I$17,AND($C31="Metro, tram, urban light train",$D31="Almost empty"),$E31*'IE '!D$35,AND($C31="Metro, tram, urban light train",$D31="Average"),$E31*'IE '!D$36,AND($C31="Metro, tram, urban light train",$D31="Nearly full"),$E31*'IE '!D$37,AND($C31="Electric passenger train",$D31="Almost empty"),$E31*'IE '!D$39,AND($C31="Electric passenger train",$D31="Average"),$E31*'IE '!D$40,AND($C31="Electric passenger train",$D31="Nearly full"),$E31*'IE '!D$41,AND($C31="Diesel passenger train",$D31="Almost empty"),$E31*'IE '!D$47,AND($C31="Diesel passenger train",$D31="Average"),$E31*'IE '!D$48,AND($C31="Diesel passenger train",$D31="Nearly full"),$E31*'IE '!D$49,AND($C31="Walking"),$E31*0,AND($C31="Bike"),$E31*0,AND($C31="Plane - domestic flight"),$E31*'IE '!$C55,AND($C31="Plane - international - intra EU"),$E31*'IE '!$C57,AND($C31="Plane - international (extra EU)"),$E31*'IE '!$C59)</f>
        <v>#N/A</v>
      </c>
      <c r="H31" s="145"/>
      <c r="I31" s="148">
        <f t="shared" si="6"/>
        <v>0</v>
      </c>
      <c r="J31" s="146" t="e" cm="1">
        <f t="array" ref="J31">_xlfn.IFS(C31="Fuel car",C31*DATA!$C$17,C31="Electric car",C31*DATA!$F$18,C31="Hybrid car",I31*(0.5*DATA!$C$17+0.5*DATA!$F$18))</f>
        <v>#N/A</v>
      </c>
      <c r="L31" s="223"/>
      <c r="M31" s="224"/>
      <c r="N31" s="225"/>
    </row>
    <row r="32" spans="1:17" ht="16" thickBot="1" x14ac:dyDescent="0.25">
      <c r="A32" s="222"/>
      <c r="B32" s="30"/>
      <c r="C32" s="15"/>
      <c r="D32" s="15"/>
      <c r="E32" s="125"/>
      <c r="F32" s="128" t="e" cm="1">
        <f t="array" ref="F32">_xlfn.IFS(AND($C32="Fuel car",$D32=1),$E32*'IE '!C$7,AND($C32="Fuel car",$D32=2),$E32*'IE '!C$8,AND($C32="Fuel car",$D32=3),$E32*'IE '!C$9,AND($C32="Fuel car",$D32=4),$E32*'IE '!C$10,AND($C32="Fuel car",$D32=5),$E32*'IE '!C$11,AND($C32="Motorcycle",$D32=1),$E32*'IE '!C$13,AND($C32="Motorcycle",$D32=2),$E32*'IE '!C$14,AND($C32="Electric car",$D32=1),$E32*'IE '!C$16,AND($C32="Electric car",$D32=2),$E32*'IE '!C$17,AND($C32="Electric car",$D32=3),$E32*'IE '!C$18,AND($C32="Electric car",$D32=4),$E32*'IE '!C$19,AND($C32="Electric car",$D32=5),$E32*'IE '!C$20,AND($C32="Hybrid car",$D32=1),$E32*'IE '!C$22,AND($C32="Hybrid car",$D32=2),$E32*'IE '!C$23,AND($C32="Hybrid car",$D32=3),$E32*'IE '!C$24,AND($C32="Hybrid car",$D32=4),$E32*'IE '!C$25,AND($C32="Hybrid car",$D32=5),$E32*'IE '!C$26,AND($C32="Electric motorcycle",$D32=1),$E32*'IE '!C$28,AND($C32="Electric motorcycle",$D32=2),$E32*'IE '!C$29,AND($C32="Electric bike",$D32=1),$E32*'IE '!C$31,AND($C32="Electric scooter",$D32=1),$E32*'IE '!C$33,AND($C32="Bus",$D32="Almost empty"),$E32*'IE '!H$23,AND($C32="Bus",$D32="Average"),$E32*'IE '!H$24,AND($C32="Bus",$D32="Nearly full"),$E32*'IE '!H$25,AND($C32="Electric bus",$D32="Almost empty"),$E32*'IE '!H$7,AND($C32="Electric bus",$D32="Average"),$E32*'IE '!H$8,AND($C32="Electric bus",$D32="Nearly full"),$E32*'IE '!H$9,AND($C32="Diesel bus",$D32="Almost empty"),$E32*'IE '!H$19,AND($C32="Diesel bus",$D32="Average"),$E32*'IE '!H$20,AND($C32="Diesel bus",$D32="Nearly full"),$E32*'IE '!H$21,AND($C32="Hybrid-electric bus",$D32="Almost empty"),$E32*'IE '!H$11,AND($C32="Hybrid-electric bus",$D32="Average"),$E32*'IE '!H$12,AND($C32="Hybrid-electric bus",$D32="Nearly full"),$E32*'IE '!H$13,AND($C32="Alternative fuel bus",$D32="Almost empty"),$E32*'IE '!H$15,AND($C32="Alternative fuel bus",$D32="Average"),$E32*'IE '!H$16,AND($C32="Alternative fuel bus",$D32="Nearly full"),$E32*'IE '!H$17,AND($C32="Metro, tram, urban light train",$D32="Almost empty"),$E32*'IE '!C$35,AND($C32="Metro, tram, urban light train",$D32="Average"),$E32*'IE '!C$36,AND($C32="Metro, tram, urban light train",$D32="Nearly full"),$E32*'IE '!C$37,AND($C32="Electric passenger train",$D32="Almost empty"),$E32*'IE '!C$39,AND($C32="Electric passenger train",$D32="Average"),$E32*'IE '!C$40,AND($C32="Electric passenger train",$D32="Nearly full"),$E32*'IE '!C$41,AND($C32="Diesel passenger train",$D32="Almost empty"),$E32*'IE '!C$47,AND($C32="Diesel passenger train",$D32="Average"),$E32*'IE '!C$48,AND($C32="Diesel passenger train",$D32="Nearly full"),$E32*'IE '!C$49,AND($C32="Walking"),$E32*0,AND($C32="Bike"),$E32*0,AND($C32="Plane - domestic flight"),$E32*'IE '!$C56,AND($C32="Plane - international - intra EU"),$E32*'IE '!$C58,AND($C32="Plane - international (extra EU)"),$E32*'IE '!$C60)</f>
        <v>#N/A</v>
      </c>
      <c r="G32" s="31" t="e" cm="1">
        <f t="array" ref="G32">_xlfn.IFS(AND($C32="Fuel car",$D32=1),$E32*'IE '!D$7,AND($C32="Fuel car",$D32=2),$E32*'IE '!D$8,AND($C32="Fuel car",$D32=3),$E32*'IE '!D$9,AND($C32="Fuel car",$D32=4),$E32*'IE '!D$10,AND($C32="Fuel car",$D32=5),$E32*'IE '!D$11,AND($C32="Motorcycle",$D32=1),$E32*'IE '!D$13,AND($C32="Motorcycle",$D32=2),$E32*'IE '!D$14,AND($C32="Electric car",$D32=1),$E32*'IE '!D$16,AND($C32="Electric car",$D32=2),$E32*'IE '!D$17,AND($C32="Electric car",$D32=3),$E32*'IE '!D$18,AND($C32="Electric car",$D32=4),$E32*'IE '!D$19,AND($C32="Electric car",$D32=5),$E32*'IE '!D$20,AND($C32="Hybrid car",$D32=1),$E32*'IE '!D$22,AND($C32="Hybrid car",$D32=2),$E32*'IE '!D$23,AND($C32="Hybrid car",$D32=3),$E32*'IE '!D$24,AND($C32="Hybrid car",$D32=4),$E32*'IE '!D$25,AND($C32="Hybrid car",$D32=5),$E32*'IE '!D$26,AND($C32="Electric motorcycle",$D32=1),$E32*'IE '!D$28,AND($C32="Electric motorcycle",$D32=2),$E32*'IE '!D$29,AND($C32="Electric bike",$D32=1),$E32*'IE '!D$31,AND($C32="Electric scooter",$D32=1),$E32*'IE '!D$33,AND($C32="Bus",$D32="Almost empty"),$E32*'IE '!I$23,AND($C32="Bus",$D32="Average"),$E32*'IE '!I$24,AND($C32="Bus",$D32="Nearly full"),$E32*'IE '!I$25,AND($C32="Electric bus",$D32="Almost empty"),$E32*'IE '!I$7,AND($C32="Electric bus",$D32="Average"),$E32*'IE '!I$8,AND($C32="Electric bus",$D32="Nearly full"),$E32*'IE '!I$9,AND($C32="Diesel bus",$D32="Almost empty"),$E32*'IE '!I$19,AND($C32="Diesel bus",$D32="Average"),$E32*'IE '!I$20,AND($C32="Diesel bus",$D32="Nearly full"),$E32*'IE '!I$21,AND($C32="Hybrid-electric bus",$D32="Almost empty"),$E32*'IE '!I$11,AND($C32="Hybrid-electric bus",$D32="Average"),$E32*'IE '!I$12,AND($C32="Hybrid-electric bus",$D32="Nearly full"),$E32*'IE '!I$13,AND($C32="Alternative fuel bus",$D32="Almost empty"),$E32*'IE '!I$15,AND($C32="Alternative fuel bus",$D32="Average"),$E32*'IE '!I$16,AND($C32="Alternative fuel bus",$D32="Nearly full"),$E32*'IE '!I$17,AND($C32="Metro, tram, urban light train",$D32="Almost empty"),$E32*'IE '!D$35,AND($C32="Metro, tram, urban light train",$D32="Average"),$E32*'IE '!D$36,AND($C32="Metro, tram, urban light train",$D32="Nearly full"),$E32*'IE '!D$37,AND($C32="Electric passenger train",$D32="Almost empty"),$E32*'IE '!D$39,AND($C32="Electric passenger train",$D32="Average"),$E32*'IE '!D$40,AND($C32="Electric passenger train",$D32="Nearly full"),$E32*'IE '!D$41,AND($C32="Diesel passenger train",$D32="Almost empty"),$E32*'IE '!D$47,AND($C32="Diesel passenger train",$D32="Average"),$E32*'IE '!D$48,AND($C32="Diesel passenger train",$D32="Nearly full"),$E32*'IE '!D$49,AND($C32="Walking"),$E32*0,AND($C32="Bike"),$E32*0,AND($C32="Plane - domestic flight"),$E32*'IE '!$C56,AND($C32="Plane - international - intra EU"),$E32*'IE '!$C58,AND($C32="Plane - international (extra EU)"),$E32*'IE '!$C60)</f>
        <v>#N/A</v>
      </c>
      <c r="H32" s="145"/>
      <c r="I32" s="148">
        <f t="shared" si="6"/>
        <v>0</v>
      </c>
      <c r="J32" s="146" t="e" cm="1">
        <f t="array" ref="J32">_xlfn.IFS(C32="Fuel car",C32*DATA!$C$17,C32="Electric car",C32*DATA!$F$18,C32="Hybrid car",I32*(0.5*DATA!$C$17+0.5*DATA!$F$18))</f>
        <v>#N/A</v>
      </c>
      <c r="L32" s="218"/>
      <c r="M32" s="219"/>
      <c r="N32" s="220"/>
    </row>
    <row r="33" spans="1:14" ht="14.5" customHeight="1" x14ac:dyDescent="0.2">
      <c r="A33" s="222"/>
      <c r="B33" s="30"/>
      <c r="C33" s="15"/>
      <c r="D33" s="15"/>
      <c r="E33" s="125"/>
      <c r="F33" s="128" t="e" cm="1">
        <f t="array" ref="F33">_xlfn.IFS(AND($C33="Fuel car",$D33=1),$E33*'IE '!C$7,AND($C33="Fuel car",$D33=2),$E33*'IE '!C$8,AND($C33="Fuel car",$D33=3),$E33*'IE '!C$9,AND($C33="Fuel car",$D33=4),$E33*'IE '!C$10,AND($C33="Fuel car",$D33=5),$E33*'IE '!C$11,AND($C33="Motorcycle",$D33=1),$E33*'IE '!C$13,AND($C33="Motorcycle",$D33=2),$E33*'IE '!C$14,AND($C33="Electric car",$D33=1),$E33*'IE '!C$16,AND($C33="Electric car",$D33=2),$E33*'IE '!C$17,AND($C33="Electric car",$D33=3),$E33*'IE '!C$18,AND($C33="Electric car",$D33=4),$E33*'IE '!C$19,AND($C33="Electric car",$D33=5),$E33*'IE '!C$20,AND($C33="Hybrid car",$D33=1),$E33*'IE '!C$22,AND($C33="Hybrid car",$D33=2),$E33*'IE '!C$23,AND($C33="Hybrid car",$D33=3),$E33*'IE '!C$24,AND($C33="Hybrid car",$D33=4),$E33*'IE '!C$25,AND($C33="Hybrid car",$D33=5),$E33*'IE '!C$26,AND($C33="Electric motorcycle",$D33=1),$E33*'IE '!C$28,AND($C33="Electric motorcycle",$D33=2),$E33*'IE '!C$29,AND($C33="Electric bike",$D33=1),$E33*'IE '!C$31,AND($C33="Electric scooter",$D33=1),$E33*'IE '!C$33,AND($C33="Bus",$D33="Almost empty"),$E33*'IE '!H$23,AND($C33="Bus",$D33="Average"),$E33*'IE '!H$24,AND($C33="Bus",$D33="Nearly full"),$E33*'IE '!H$25,AND($C33="Electric bus",$D33="Almost empty"),$E33*'IE '!H$7,AND($C33="Electric bus",$D33="Average"),$E33*'IE '!H$8,AND($C33="Electric bus",$D33="Nearly full"),$E33*'IE '!H$9,AND($C33="Diesel bus",$D33="Almost empty"),$E33*'IE '!H$19,AND($C33="Diesel bus",$D33="Average"),$E33*'IE '!H$20,AND($C33="Diesel bus",$D33="Nearly full"),$E33*'IE '!H$21,AND($C33="Hybrid-electric bus",$D33="Almost empty"),$E33*'IE '!H$11,AND($C33="Hybrid-electric bus",$D33="Average"),$E33*'IE '!H$12,AND($C33="Hybrid-electric bus",$D33="Nearly full"),$E33*'IE '!H$13,AND($C33="Alternative fuel bus",$D33="Almost empty"),$E33*'IE '!H$15,AND($C33="Alternative fuel bus",$D33="Average"),$E33*'IE '!H$16,AND($C33="Alternative fuel bus",$D33="Nearly full"),$E33*'IE '!H$17,AND($C33="Metro, tram, urban light train",$D33="Almost empty"),$E33*'IE '!C$35,AND($C33="Metro, tram, urban light train",$D33="Average"),$E33*'IE '!C$36,AND($C33="Metro, tram, urban light train",$D33="Nearly full"),$E33*'IE '!C$37,AND($C33="Electric passenger train",$D33="Almost empty"),$E33*'IE '!C$39,AND($C33="Electric passenger train",$D33="Average"),$E33*'IE '!C$40,AND($C33="Electric passenger train",$D33="Nearly full"),$E33*'IE '!C$41,AND($C33="Diesel passenger train",$D33="Almost empty"),$E33*'IE '!C$47,AND($C33="Diesel passenger train",$D33="Average"),$E33*'IE '!C$48,AND($C33="Diesel passenger train",$D33="Nearly full"),$E33*'IE '!C$49,AND($C33="Walking"),$E33*0,AND($C33="Bike"),$E33*0,AND($C33="Plane - domestic flight"),$E33*'IE '!$C57,AND($C33="Plane - international - intra EU"),$E33*'IE '!$C59,AND($C33="Plane - international (extra EU)"),$E33*'IE '!$C61)</f>
        <v>#N/A</v>
      </c>
      <c r="G33" s="31" t="e" cm="1">
        <f t="array" ref="G33">_xlfn.IFS(AND($C33="Fuel car",$D33=1),$E33*'IE '!D$7,AND($C33="Fuel car",$D33=2),$E33*'IE '!D$8,AND($C33="Fuel car",$D33=3),$E33*'IE '!D$9,AND($C33="Fuel car",$D33=4),$E33*'IE '!D$10,AND($C33="Fuel car",$D33=5),$E33*'IE '!D$11,AND($C33="Motorcycle",$D33=1),$E33*'IE '!D$13,AND($C33="Motorcycle",$D33=2),$E33*'IE '!D$14,AND($C33="Electric car",$D33=1),$E33*'IE '!D$16,AND($C33="Electric car",$D33=2),$E33*'IE '!D$17,AND($C33="Electric car",$D33=3),$E33*'IE '!D$18,AND($C33="Electric car",$D33=4),$E33*'IE '!D$19,AND($C33="Electric car",$D33=5),$E33*'IE '!D$20,AND($C33="Hybrid car",$D33=1),$E33*'IE '!D$22,AND($C33="Hybrid car",$D33=2),$E33*'IE '!D$23,AND($C33="Hybrid car",$D33=3),$E33*'IE '!D$24,AND($C33="Hybrid car",$D33=4),$E33*'IE '!D$25,AND($C33="Hybrid car",$D33=5),$E33*'IE '!D$26,AND($C33="Electric motorcycle",$D33=1),$E33*'IE '!D$28,AND($C33="Electric motorcycle",$D33=2),$E33*'IE '!D$29,AND($C33="Electric bike",$D33=1),$E33*'IE '!D$31,AND($C33="Electric scooter",$D33=1),$E33*'IE '!D$33,AND($C33="Bus",$D33="Almost empty"),$E33*'IE '!I$23,AND($C33="Bus",$D33="Average"),$E33*'IE '!I$24,AND($C33="Bus",$D33="Nearly full"),$E33*'IE '!I$25,AND($C33="Electric bus",$D33="Almost empty"),$E33*'IE '!I$7,AND($C33="Electric bus",$D33="Average"),$E33*'IE '!I$8,AND($C33="Electric bus",$D33="Nearly full"),$E33*'IE '!I$9,AND($C33="Diesel bus",$D33="Almost empty"),$E33*'IE '!I$19,AND($C33="Diesel bus",$D33="Average"),$E33*'IE '!I$20,AND($C33="Diesel bus",$D33="Nearly full"),$E33*'IE '!I$21,AND($C33="Hybrid-electric bus",$D33="Almost empty"),$E33*'IE '!I$11,AND($C33="Hybrid-electric bus",$D33="Average"),$E33*'IE '!I$12,AND($C33="Hybrid-electric bus",$D33="Nearly full"),$E33*'IE '!I$13,AND($C33="Alternative fuel bus",$D33="Almost empty"),$E33*'IE '!I$15,AND($C33="Alternative fuel bus",$D33="Average"),$E33*'IE '!I$16,AND($C33="Alternative fuel bus",$D33="Nearly full"),$E33*'IE '!I$17,AND($C33="Metro, tram, urban light train",$D33="Almost empty"),$E33*'IE '!D$35,AND($C33="Metro, tram, urban light train",$D33="Average"),$E33*'IE '!D$36,AND($C33="Metro, tram, urban light train",$D33="Nearly full"),$E33*'IE '!D$37,AND($C33="Electric passenger train",$D33="Almost empty"),$E33*'IE '!D$39,AND($C33="Electric passenger train",$D33="Average"),$E33*'IE '!D$40,AND($C33="Electric passenger train",$D33="Nearly full"),$E33*'IE '!D$41,AND($C33="Diesel passenger train",$D33="Almost empty"),$E33*'IE '!D$47,AND($C33="Diesel passenger train",$D33="Average"),$E33*'IE '!D$48,AND($C33="Diesel passenger train",$D33="Nearly full"),$E33*'IE '!D$49,AND($C33="Walking"),$E33*0,AND($C33="Bike"),$E33*0,AND($C33="Plane - domestic flight"),$E33*'IE '!$C57,AND($C33="Plane - international - intra EU"),$E33*'IE '!$C59,AND($C33="Plane - international (extra EU)"),$E33*'IE '!$C61)</f>
        <v>#N/A</v>
      </c>
      <c r="H33" s="145"/>
      <c r="I33" s="148">
        <f t="shared" si="6"/>
        <v>0</v>
      </c>
      <c r="J33" s="146" t="e" cm="1">
        <f t="array" ref="J33">_xlfn.IFS(C33="Fuel car",C33*DATA!$C$17,C33="Electric car",C33*DATA!$F$18,C33="Hybrid car",I33*(0.5*DATA!$C$17+0.5*DATA!$F$18))</f>
        <v>#N/A</v>
      </c>
      <c r="L33" s="223" t="s">
        <v>78</v>
      </c>
      <c r="M33" s="224"/>
      <c r="N33" s="225"/>
    </row>
    <row r="34" spans="1:14" x14ac:dyDescent="0.2">
      <c r="A34" s="222"/>
      <c r="B34" s="30"/>
      <c r="C34" s="15"/>
      <c r="D34" s="15"/>
      <c r="E34" s="125"/>
      <c r="F34" s="128" t="e" cm="1">
        <f t="array" ref="F34">_xlfn.IFS(AND($C34="Fuel car",$D34=1),$E34*'IE '!C$7,AND($C34="Fuel car",$D34=2),$E34*'IE '!C$8,AND($C34="Fuel car",$D34=3),$E34*'IE '!C$9,AND($C34="Fuel car",$D34=4),$E34*'IE '!C$10,AND($C34="Fuel car",$D34=5),$E34*'IE '!C$11,AND($C34="Motorcycle",$D34=1),$E34*'IE '!C$13,AND($C34="Motorcycle",$D34=2),$E34*'IE '!C$14,AND($C34="Electric car",$D34=1),$E34*'IE '!C$16,AND($C34="Electric car",$D34=2),$E34*'IE '!C$17,AND($C34="Electric car",$D34=3),$E34*'IE '!C$18,AND($C34="Electric car",$D34=4),$E34*'IE '!C$19,AND($C34="Electric car",$D34=5),$E34*'IE '!C$20,AND($C34="Hybrid car",$D34=1),$E34*'IE '!C$22,AND($C34="Hybrid car",$D34=2),$E34*'IE '!C$23,AND($C34="Hybrid car",$D34=3),$E34*'IE '!C$24,AND($C34="Hybrid car",$D34=4),$E34*'IE '!C$25,AND($C34="Hybrid car",$D34=5),$E34*'IE '!C$26,AND($C34="Electric motorcycle",$D34=1),$E34*'IE '!C$28,AND($C34="Electric motorcycle",$D34=2),$E34*'IE '!C$29,AND($C34="Electric bike",$D34=1),$E34*'IE '!C$31,AND($C34="Electric scooter",$D34=1),$E34*'IE '!C$33,AND($C34="Bus",$D34="Almost empty"),$E34*'IE '!H$23,AND($C34="Bus",$D34="Average"),$E34*'IE '!H$24,AND($C34="Bus",$D34="Nearly full"),$E34*'IE '!H$25,AND($C34="Electric bus",$D34="Almost empty"),$E34*'IE '!H$7,AND($C34="Electric bus",$D34="Average"),$E34*'IE '!H$8,AND($C34="Electric bus",$D34="Nearly full"),$E34*'IE '!H$9,AND($C34="Diesel bus",$D34="Almost empty"),$E34*'IE '!H$19,AND($C34="Diesel bus",$D34="Average"),$E34*'IE '!H$20,AND($C34="Diesel bus",$D34="Nearly full"),$E34*'IE '!H$21,AND($C34="Hybrid-electric bus",$D34="Almost empty"),$E34*'IE '!H$11,AND($C34="Hybrid-electric bus",$D34="Average"),$E34*'IE '!H$12,AND($C34="Hybrid-electric bus",$D34="Nearly full"),$E34*'IE '!H$13,AND($C34="Alternative fuel bus",$D34="Almost empty"),$E34*'IE '!H$15,AND($C34="Alternative fuel bus",$D34="Average"),$E34*'IE '!H$16,AND($C34="Alternative fuel bus",$D34="Nearly full"),$E34*'IE '!H$17,AND($C34="Metro, tram, urban light train",$D34="Almost empty"),$E34*'IE '!C$35,AND($C34="Metro, tram, urban light train",$D34="Average"),$E34*'IE '!C$36,AND($C34="Metro, tram, urban light train",$D34="Nearly full"),$E34*'IE '!C$37,AND($C34="Electric passenger train",$D34="Almost empty"),$E34*'IE '!C$39,AND($C34="Electric passenger train",$D34="Average"),$E34*'IE '!C$40,AND($C34="Electric passenger train",$D34="Nearly full"),$E34*'IE '!C$41,AND($C34="Diesel passenger train",$D34="Almost empty"),$E34*'IE '!C$47,AND($C34="Diesel passenger train",$D34="Average"),$E34*'IE '!C$48,AND($C34="Diesel passenger train",$D34="Nearly full"),$E34*'IE '!C$49,AND($C34="Walking"),$E34*0,AND($C34="Bike"),$E34*0,AND($C34="Plane - domestic flight"),$E34*'IE '!$C58,AND($C34="Plane - international - intra EU"),$E34*'IE '!$C60,AND($C34="Plane - international (extra EU)"),$E34*'IE '!$C62)</f>
        <v>#N/A</v>
      </c>
      <c r="G34" s="31" t="e" cm="1">
        <f t="array" ref="G34">_xlfn.IFS(AND($C34="Fuel car",$D34=1),$E34*'IE '!D$7,AND($C34="Fuel car",$D34=2),$E34*'IE '!D$8,AND($C34="Fuel car",$D34=3),$E34*'IE '!D$9,AND($C34="Fuel car",$D34=4),$E34*'IE '!D$10,AND($C34="Fuel car",$D34=5),$E34*'IE '!D$11,AND($C34="Motorcycle",$D34=1),$E34*'IE '!D$13,AND($C34="Motorcycle",$D34=2),$E34*'IE '!D$14,AND($C34="Electric car",$D34=1),$E34*'IE '!D$16,AND($C34="Electric car",$D34=2),$E34*'IE '!D$17,AND($C34="Electric car",$D34=3),$E34*'IE '!D$18,AND($C34="Electric car",$D34=4),$E34*'IE '!D$19,AND($C34="Electric car",$D34=5),$E34*'IE '!D$20,AND($C34="Hybrid car",$D34=1),$E34*'IE '!D$22,AND($C34="Hybrid car",$D34=2),$E34*'IE '!D$23,AND($C34="Hybrid car",$D34=3),$E34*'IE '!D$24,AND($C34="Hybrid car",$D34=4),$E34*'IE '!D$25,AND($C34="Hybrid car",$D34=5),$E34*'IE '!D$26,AND($C34="Electric motorcycle",$D34=1),$E34*'IE '!D$28,AND($C34="Electric motorcycle",$D34=2),$E34*'IE '!D$29,AND($C34="Electric bike",$D34=1),$E34*'IE '!D$31,AND($C34="Electric scooter",$D34=1),$E34*'IE '!D$33,AND($C34="Bus",$D34="Almost empty"),$E34*'IE '!I$23,AND($C34="Bus",$D34="Average"),$E34*'IE '!I$24,AND($C34="Bus",$D34="Nearly full"),$E34*'IE '!I$25,AND($C34="Electric bus",$D34="Almost empty"),$E34*'IE '!I$7,AND($C34="Electric bus",$D34="Average"),$E34*'IE '!I$8,AND($C34="Electric bus",$D34="Nearly full"),$E34*'IE '!I$9,AND($C34="Diesel bus",$D34="Almost empty"),$E34*'IE '!I$19,AND($C34="Diesel bus",$D34="Average"),$E34*'IE '!I$20,AND($C34="Diesel bus",$D34="Nearly full"),$E34*'IE '!I$21,AND($C34="Hybrid-electric bus",$D34="Almost empty"),$E34*'IE '!I$11,AND($C34="Hybrid-electric bus",$D34="Average"),$E34*'IE '!I$12,AND($C34="Hybrid-electric bus",$D34="Nearly full"),$E34*'IE '!I$13,AND($C34="Alternative fuel bus",$D34="Almost empty"),$E34*'IE '!I$15,AND($C34="Alternative fuel bus",$D34="Average"),$E34*'IE '!I$16,AND($C34="Alternative fuel bus",$D34="Nearly full"),$E34*'IE '!I$17,AND($C34="Metro, tram, urban light train",$D34="Almost empty"),$E34*'IE '!D$35,AND($C34="Metro, tram, urban light train",$D34="Average"),$E34*'IE '!D$36,AND($C34="Metro, tram, urban light train",$D34="Nearly full"),$E34*'IE '!D$37,AND($C34="Electric passenger train",$D34="Almost empty"),$E34*'IE '!D$39,AND($C34="Electric passenger train",$D34="Average"),$E34*'IE '!D$40,AND($C34="Electric passenger train",$D34="Nearly full"),$E34*'IE '!D$41,AND($C34="Diesel passenger train",$D34="Almost empty"),$E34*'IE '!D$47,AND($C34="Diesel passenger train",$D34="Average"),$E34*'IE '!D$48,AND($C34="Diesel passenger train",$D34="Nearly full"),$E34*'IE '!D$49,AND($C34="Walking"),$E34*0,AND($C34="Bike"),$E34*0,AND($C34="Plane - domestic flight"),$E34*'IE '!$C58,AND($C34="Plane - international - intra EU"),$E34*'IE '!$C60,AND($C34="Plane - international (extra EU)"),$E34*'IE '!$C62)</f>
        <v>#N/A</v>
      </c>
      <c r="H34" s="145"/>
      <c r="I34" s="148">
        <f t="shared" si="6"/>
        <v>0</v>
      </c>
      <c r="J34" s="146" t="e" cm="1">
        <f t="array" ref="J34">_xlfn.IFS(C34="Fuel car",C34*DATA!$C$17,C34="Electric car",C34*DATA!$F$18,C34="Hybrid car",I34*(0.5*DATA!$C$17+0.5*DATA!$F$18))</f>
        <v>#N/A</v>
      </c>
      <c r="L34" s="223"/>
      <c r="M34" s="224"/>
      <c r="N34" s="225"/>
    </row>
    <row r="35" spans="1:14" ht="14.5" customHeight="1" x14ac:dyDescent="0.2">
      <c r="A35" s="222"/>
      <c r="B35" s="30"/>
      <c r="C35" s="15"/>
      <c r="D35" s="15"/>
      <c r="E35" s="125"/>
      <c r="F35" s="128" t="e" cm="1">
        <f t="array" ref="F35">_xlfn.IFS(AND($C35="Fuel car",$D35=1),$E35*'IE '!C$7,AND($C35="Fuel car",$D35=2),$E35*'IE '!C$8,AND($C35="Fuel car",$D35=3),$E35*'IE '!C$9,AND($C35="Fuel car",$D35=4),$E35*'IE '!C$10,AND($C35="Fuel car",$D35=5),$E35*'IE '!C$11,AND($C35="Motorcycle",$D35=1),$E35*'IE '!C$13,AND($C35="Motorcycle",$D35=2),$E35*'IE '!C$14,AND($C35="Electric car",$D35=1),$E35*'IE '!C$16,AND($C35="Electric car",$D35=2),$E35*'IE '!C$17,AND($C35="Electric car",$D35=3),$E35*'IE '!C$18,AND($C35="Electric car",$D35=4),$E35*'IE '!C$19,AND($C35="Electric car",$D35=5),$E35*'IE '!C$20,AND($C35="Hybrid car",$D35=1),$E35*'IE '!C$22,AND($C35="Hybrid car",$D35=2),$E35*'IE '!C$23,AND($C35="Hybrid car",$D35=3),$E35*'IE '!C$24,AND($C35="Hybrid car",$D35=4),$E35*'IE '!C$25,AND($C35="Hybrid car",$D35=5),$E35*'IE '!C$26,AND($C35="Electric motorcycle",$D35=1),$E35*'IE '!C$28,AND($C35="Electric motorcycle",$D35=2),$E35*'IE '!C$29,AND($C35="Electric bike",$D35=1),$E35*'IE '!C$31,AND($C35="Electric scooter",$D35=1),$E35*'IE '!C$33,AND($C35="Bus",$D35="Almost empty"),$E35*'IE '!H$23,AND($C35="Bus",$D35="Average"),$E35*'IE '!H$24,AND($C35="Bus",$D35="Nearly full"),$E35*'IE '!H$25,AND($C35="Electric bus",$D35="Almost empty"),$E35*'IE '!H$7,AND($C35="Electric bus",$D35="Average"),$E35*'IE '!H$8,AND($C35="Electric bus",$D35="Nearly full"),$E35*'IE '!H$9,AND($C35="Diesel bus",$D35="Almost empty"),$E35*'IE '!H$19,AND($C35="Diesel bus",$D35="Average"),$E35*'IE '!H$20,AND($C35="Diesel bus",$D35="Nearly full"),$E35*'IE '!H$21,AND($C35="Hybrid-electric bus",$D35="Almost empty"),$E35*'IE '!H$11,AND($C35="Hybrid-electric bus",$D35="Average"),$E35*'IE '!H$12,AND($C35="Hybrid-electric bus",$D35="Nearly full"),$E35*'IE '!H$13,AND($C35="Alternative fuel bus",$D35="Almost empty"),$E35*'IE '!H$15,AND($C35="Alternative fuel bus",$D35="Average"),$E35*'IE '!H$16,AND($C35="Alternative fuel bus",$D35="Nearly full"),$E35*'IE '!H$17,AND($C35="Metro, tram, urban light train",$D35="Almost empty"),$E35*'IE '!C$35,AND($C35="Metro, tram, urban light train",$D35="Average"),$E35*'IE '!C$36,AND($C35="Metro, tram, urban light train",$D35="Nearly full"),$E35*'IE '!C$37,AND($C35="Electric passenger train",$D35="Almost empty"),$E35*'IE '!C$39,AND($C35="Electric passenger train",$D35="Average"),$E35*'IE '!C$40,AND($C35="Electric passenger train",$D35="Nearly full"),$E35*'IE '!C$41,AND($C35="Diesel passenger train",$D35="Almost empty"),$E35*'IE '!C$47,AND($C35="Diesel passenger train",$D35="Average"),$E35*'IE '!C$48,AND($C35="Diesel passenger train",$D35="Nearly full"),$E35*'IE '!C$49,AND($C35="Walking"),$E35*0,AND($C35="Bike"),$E35*0,AND($C35="Plane - domestic flight"),$E35*'IE '!$C59,AND($C35="Plane - international - intra EU"),$E35*'IE '!$C61,AND($C35="Plane - international (extra EU)"),$E35*'IE '!$C63)</f>
        <v>#N/A</v>
      </c>
      <c r="G35" s="31" t="e" cm="1">
        <f t="array" ref="G35">_xlfn.IFS(AND($C35="Fuel car",$D35=1),$E35*'IE '!D$7,AND($C35="Fuel car",$D35=2),$E35*'IE '!D$8,AND($C35="Fuel car",$D35=3),$E35*'IE '!D$9,AND($C35="Fuel car",$D35=4),$E35*'IE '!D$10,AND($C35="Fuel car",$D35=5),$E35*'IE '!D$11,AND($C35="Motorcycle",$D35=1),$E35*'IE '!D$13,AND($C35="Motorcycle",$D35=2),$E35*'IE '!D$14,AND($C35="Electric car",$D35=1),$E35*'IE '!D$16,AND($C35="Electric car",$D35=2),$E35*'IE '!D$17,AND($C35="Electric car",$D35=3),$E35*'IE '!D$18,AND($C35="Electric car",$D35=4),$E35*'IE '!D$19,AND($C35="Electric car",$D35=5),$E35*'IE '!D$20,AND($C35="Hybrid car",$D35=1),$E35*'IE '!D$22,AND($C35="Hybrid car",$D35=2),$E35*'IE '!D$23,AND($C35="Hybrid car",$D35=3),$E35*'IE '!D$24,AND($C35="Hybrid car",$D35=4),$E35*'IE '!D$25,AND($C35="Hybrid car",$D35=5),$E35*'IE '!D$26,AND($C35="Electric motorcycle",$D35=1),$E35*'IE '!D$28,AND($C35="Electric motorcycle",$D35=2),$E35*'IE '!D$29,AND($C35="Electric bike",$D35=1),$E35*'IE '!D$31,AND($C35="Electric scooter",$D35=1),$E35*'IE '!D$33,AND($C35="Bus",$D35="Almost empty"),$E35*'IE '!I$23,AND($C35="Bus",$D35="Average"),$E35*'IE '!I$24,AND($C35="Bus",$D35="Nearly full"),$E35*'IE '!I$25,AND($C35="Electric bus",$D35="Almost empty"),$E35*'IE '!I$7,AND($C35="Electric bus",$D35="Average"),$E35*'IE '!I$8,AND($C35="Electric bus",$D35="Nearly full"),$E35*'IE '!I$9,AND($C35="Diesel bus",$D35="Almost empty"),$E35*'IE '!I$19,AND($C35="Diesel bus",$D35="Average"),$E35*'IE '!I$20,AND($C35="Diesel bus",$D35="Nearly full"),$E35*'IE '!I$21,AND($C35="Hybrid-electric bus",$D35="Almost empty"),$E35*'IE '!I$11,AND($C35="Hybrid-electric bus",$D35="Average"),$E35*'IE '!I$12,AND($C35="Hybrid-electric bus",$D35="Nearly full"),$E35*'IE '!I$13,AND($C35="Alternative fuel bus",$D35="Almost empty"),$E35*'IE '!I$15,AND($C35="Alternative fuel bus",$D35="Average"),$E35*'IE '!I$16,AND($C35="Alternative fuel bus",$D35="Nearly full"),$E35*'IE '!I$17,AND($C35="Metro, tram, urban light train",$D35="Almost empty"),$E35*'IE '!D$35,AND($C35="Metro, tram, urban light train",$D35="Average"),$E35*'IE '!D$36,AND($C35="Metro, tram, urban light train",$D35="Nearly full"),$E35*'IE '!D$37,AND($C35="Electric passenger train",$D35="Almost empty"),$E35*'IE '!D$39,AND($C35="Electric passenger train",$D35="Average"),$E35*'IE '!D$40,AND($C35="Electric passenger train",$D35="Nearly full"),$E35*'IE '!D$41,AND($C35="Diesel passenger train",$D35="Almost empty"),$E35*'IE '!D$47,AND($C35="Diesel passenger train",$D35="Average"),$E35*'IE '!D$48,AND($C35="Diesel passenger train",$D35="Nearly full"),$E35*'IE '!D$49,AND($C35="Walking"),$E35*0,AND($C35="Bike"),$E35*0,AND($C35="Plane - domestic flight"),$E35*'IE '!$C59,AND($C35="Plane - international - intra EU"),$E35*'IE '!$C61,AND($C35="Plane - international (extra EU)"),$E35*'IE '!$C63)</f>
        <v>#N/A</v>
      </c>
      <c r="H35" s="145"/>
      <c r="I35" s="148">
        <f t="shared" si="6"/>
        <v>0</v>
      </c>
      <c r="J35" s="146" t="e" cm="1">
        <f t="array" ref="J35">_xlfn.IFS(C35="Fuel car",C35*DATA!$C$17,C35="Electric car",C35*DATA!$F$18,C35="Hybrid car",I35*(0.5*DATA!$C$17+0.5*DATA!$F$18))</f>
        <v>#N/A</v>
      </c>
      <c r="L35" s="223"/>
      <c r="M35" s="224"/>
      <c r="N35" s="225"/>
    </row>
    <row r="36" spans="1:14" ht="16" thickBot="1" x14ac:dyDescent="0.25">
      <c r="A36" s="222"/>
      <c r="B36" s="30"/>
      <c r="C36" s="15"/>
      <c r="D36" s="15"/>
      <c r="E36" s="125"/>
      <c r="F36" s="128" t="e" cm="1">
        <f t="array" ref="F36">_xlfn.IFS(AND($C36="Fuel car",$D36=1),$E36*'IE '!C$7,AND($C36="Fuel car",$D36=2),$E36*'IE '!C$8,AND($C36="Fuel car",$D36=3),$E36*'IE '!C$9,AND($C36="Fuel car",$D36=4),$E36*'IE '!C$10,AND($C36="Fuel car",$D36=5),$E36*'IE '!C$11,AND($C36="Motorcycle",$D36=1),$E36*'IE '!C$13,AND($C36="Motorcycle",$D36=2),$E36*'IE '!C$14,AND($C36="Electric car",$D36=1),$E36*'IE '!C$16,AND($C36="Electric car",$D36=2),$E36*'IE '!C$17,AND($C36="Electric car",$D36=3),$E36*'IE '!C$18,AND($C36="Electric car",$D36=4),$E36*'IE '!C$19,AND($C36="Electric car",$D36=5),$E36*'IE '!C$20,AND($C36="Hybrid car",$D36=1),$E36*'IE '!C$22,AND($C36="Hybrid car",$D36=2),$E36*'IE '!C$23,AND($C36="Hybrid car",$D36=3),$E36*'IE '!C$24,AND($C36="Hybrid car",$D36=4),$E36*'IE '!C$25,AND($C36="Hybrid car",$D36=5),$E36*'IE '!C$26,AND($C36="Electric motorcycle",$D36=1),$E36*'IE '!C$28,AND($C36="Electric motorcycle",$D36=2),$E36*'IE '!C$29,AND($C36="Electric bike",$D36=1),$E36*'IE '!C$31,AND($C36="Electric scooter",$D36=1),$E36*'IE '!C$33,AND($C36="Bus",$D36="Almost empty"),$E36*'IE '!H$23,AND($C36="Bus",$D36="Average"),$E36*'IE '!H$24,AND($C36="Bus",$D36="Nearly full"),$E36*'IE '!H$25,AND($C36="Electric bus",$D36="Almost empty"),$E36*'IE '!H$7,AND($C36="Electric bus",$D36="Average"),$E36*'IE '!H$8,AND($C36="Electric bus",$D36="Nearly full"),$E36*'IE '!H$9,AND($C36="Diesel bus",$D36="Almost empty"),$E36*'IE '!H$19,AND($C36="Diesel bus",$D36="Average"),$E36*'IE '!H$20,AND($C36="Diesel bus",$D36="Nearly full"),$E36*'IE '!H$21,AND($C36="Hybrid-electric bus",$D36="Almost empty"),$E36*'IE '!H$11,AND($C36="Hybrid-electric bus",$D36="Average"),$E36*'IE '!H$12,AND($C36="Hybrid-electric bus",$D36="Nearly full"),$E36*'IE '!H$13,AND($C36="Alternative fuel bus",$D36="Almost empty"),$E36*'IE '!H$15,AND($C36="Alternative fuel bus",$D36="Average"),$E36*'IE '!H$16,AND($C36="Alternative fuel bus",$D36="Nearly full"),$E36*'IE '!H$17,AND($C36="Metro, tram, urban light train",$D36="Almost empty"),$E36*'IE '!C$35,AND($C36="Metro, tram, urban light train",$D36="Average"),$E36*'IE '!C$36,AND($C36="Metro, tram, urban light train",$D36="Nearly full"),$E36*'IE '!C$37,AND($C36="Electric passenger train",$D36="Almost empty"),$E36*'IE '!C$39,AND($C36="Electric passenger train",$D36="Average"),$E36*'IE '!C$40,AND($C36="Electric passenger train",$D36="Nearly full"),$E36*'IE '!C$41,AND($C36="Diesel passenger train",$D36="Almost empty"),$E36*'IE '!C$47,AND($C36="Diesel passenger train",$D36="Average"),$E36*'IE '!C$48,AND($C36="Diesel passenger train",$D36="Nearly full"),$E36*'IE '!C$49,AND($C36="Walking"),$E36*0,AND($C36="Bike"),$E36*0,AND($C36="Plane - domestic flight"),$E36*'IE '!$C60,AND($C36="Plane - international - intra EU"),$E36*'IE '!$C62,AND($C36="Plane - international (extra EU)"),$E36*'IE '!$C64)</f>
        <v>#N/A</v>
      </c>
      <c r="G36" s="31" t="e" cm="1">
        <f t="array" ref="G36">_xlfn.IFS(AND($C36="Fuel car",$D36=1),$E36*'IE '!D$7,AND($C36="Fuel car",$D36=2),$E36*'IE '!D$8,AND($C36="Fuel car",$D36=3),$E36*'IE '!D$9,AND($C36="Fuel car",$D36=4),$E36*'IE '!D$10,AND($C36="Fuel car",$D36=5),$E36*'IE '!D$11,AND($C36="Motorcycle",$D36=1),$E36*'IE '!D$13,AND($C36="Motorcycle",$D36=2),$E36*'IE '!D$14,AND($C36="Electric car",$D36=1),$E36*'IE '!D$16,AND($C36="Electric car",$D36=2),$E36*'IE '!D$17,AND($C36="Electric car",$D36=3),$E36*'IE '!D$18,AND($C36="Electric car",$D36=4),$E36*'IE '!D$19,AND($C36="Electric car",$D36=5),$E36*'IE '!D$20,AND($C36="Hybrid car",$D36=1),$E36*'IE '!D$22,AND($C36="Hybrid car",$D36=2),$E36*'IE '!D$23,AND($C36="Hybrid car",$D36=3),$E36*'IE '!D$24,AND($C36="Hybrid car",$D36=4),$E36*'IE '!D$25,AND($C36="Hybrid car",$D36=5),$E36*'IE '!D$26,AND($C36="Electric motorcycle",$D36=1),$E36*'IE '!D$28,AND($C36="Electric motorcycle",$D36=2),$E36*'IE '!D$29,AND($C36="Electric bike",$D36=1),$E36*'IE '!D$31,AND($C36="Electric scooter",$D36=1),$E36*'IE '!D$33,AND($C36="Bus",$D36="Almost empty"),$E36*'IE '!I$23,AND($C36="Bus",$D36="Average"),$E36*'IE '!I$24,AND($C36="Bus",$D36="Nearly full"),$E36*'IE '!I$25,AND($C36="Electric bus",$D36="Almost empty"),$E36*'IE '!I$7,AND($C36="Electric bus",$D36="Average"),$E36*'IE '!I$8,AND($C36="Electric bus",$D36="Nearly full"),$E36*'IE '!I$9,AND($C36="Diesel bus",$D36="Almost empty"),$E36*'IE '!I$19,AND($C36="Diesel bus",$D36="Average"),$E36*'IE '!I$20,AND($C36="Diesel bus",$D36="Nearly full"),$E36*'IE '!I$21,AND($C36="Hybrid-electric bus",$D36="Almost empty"),$E36*'IE '!I$11,AND($C36="Hybrid-electric bus",$D36="Average"),$E36*'IE '!I$12,AND($C36="Hybrid-electric bus",$D36="Nearly full"),$E36*'IE '!I$13,AND($C36="Alternative fuel bus",$D36="Almost empty"),$E36*'IE '!I$15,AND($C36="Alternative fuel bus",$D36="Average"),$E36*'IE '!I$16,AND($C36="Alternative fuel bus",$D36="Nearly full"),$E36*'IE '!I$17,AND($C36="Metro, tram, urban light train",$D36="Almost empty"),$E36*'IE '!D$35,AND($C36="Metro, tram, urban light train",$D36="Average"),$E36*'IE '!D$36,AND($C36="Metro, tram, urban light train",$D36="Nearly full"),$E36*'IE '!D$37,AND($C36="Electric passenger train",$D36="Almost empty"),$E36*'IE '!D$39,AND($C36="Electric passenger train",$D36="Average"),$E36*'IE '!D$40,AND($C36="Electric passenger train",$D36="Nearly full"),$E36*'IE '!D$41,AND($C36="Diesel passenger train",$D36="Almost empty"),$E36*'IE '!D$47,AND($C36="Diesel passenger train",$D36="Average"),$E36*'IE '!D$48,AND($C36="Diesel passenger train",$D36="Nearly full"),$E36*'IE '!D$49,AND($C36="Walking"),$E36*0,AND($C36="Bike"),$E36*0,AND($C36="Plane - domestic flight"),$E36*'IE '!$C60,AND($C36="Plane - international - intra EU"),$E36*'IE '!$C62,AND($C36="Plane - international (extra EU)"),$E36*'IE '!$C64)</f>
        <v>#N/A</v>
      </c>
      <c r="H36" s="145"/>
      <c r="I36" s="148">
        <f t="shared" si="6"/>
        <v>0</v>
      </c>
      <c r="J36" s="146" t="e" cm="1">
        <f t="array" ref="J36">_xlfn.IFS(C36="Fuel car",C36*DATA!$C$17,C36="Electric car",C36*DATA!$F$18,C36="Hybrid car",I36*(0.5*DATA!$C$17+0.5*DATA!$F$18))</f>
        <v>#N/A</v>
      </c>
      <c r="L36" s="218"/>
      <c r="M36" s="219"/>
      <c r="N36" s="220"/>
    </row>
    <row r="37" spans="1:14" ht="14.5" customHeight="1" x14ac:dyDescent="0.2">
      <c r="A37" s="222"/>
      <c r="B37" s="30"/>
      <c r="C37" s="15"/>
      <c r="D37" s="15"/>
      <c r="E37" s="125"/>
      <c r="F37" s="128" t="e" cm="1">
        <f t="array" ref="F37">_xlfn.IFS(AND($C37="Fuel car",$D37=1),$E37*'IE '!C$7,AND($C37="Fuel car",$D37=2),$E37*'IE '!C$8,AND($C37="Fuel car",$D37=3),$E37*'IE '!C$9,AND($C37="Fuel car",$D37=4),$E37*'IE '!C$10,AND($C37="Fuel car",$D37=5),$E37*'IE '!C$11,AND($C37="Motorcycle",$D37=1),$E37*'IE '!C$13,AND($C37="Motorcycle",$D37=2),$E37*'IE '!C$14,AND($C37="Electric car",$D37=1),$E37*'IE '!C$16,AND($C37="Electric car",$D37=2),$E37*'IE '!C$17,AND($C37="Electric car",$D37=3),$E37*'IE '!C$18,AND($C37="Electric car",$D37=4),$E37*'IE '!C$19,AND($C37="Electric car",$D37=5),$E37*'IE '!C$20,AND($C37="Hybrid car",$D37=1),$E37*'IE '!C$22,AND($C37="Hybrid car",$D37=2),$E37*'IE '!C$23,AND($C37="Hybrid car",$D37=3),$E37*'IE '!C$24,AND($C37="Hybrid car",$D37=4),$E37*'IE '!C$25,AND($C37="Hybrid car",$D37=5),$E37*'IE '!C$26,AND($C37="Electric motorcycle",$D37=1),$E37*'IE '!C$28,AND($C37="Electric motorcycle",$D37=2),$E37*'IE '!C$29,AND($C37="Electric bike",$D37=1),$E37*'IE '!C$31,AND($C37="Electric scooter",$D37=1),$E37*'IE '!C$33,AND($C37="Bus",$D37="Almost empty"),$E37*'IE '!H$23,AND($C37="Bus",$D37="Average"),$E37*'IE '!H$24,AND($C37="Bus",$D37="Nearly full"),$E37*'IE '!H$25,AND($C37="Electric bus",$D37="Almost empty"),$E37*'IE '!H$7,AND($C37="Electric bus",$D37="Average"),$E37*'IE '!H$8,AND($C37="Electric bus",$D37="Nearly full"),$E37*'IE '!H$9,AND($C37="Diesel bus",$D37="Almost empty"),$E37*'IE '!H$19,AND($C37="Diesel bus",$D37="Average"),$E37*'IE '!H$20,AND($C37="Diesel bus",$D37="Nearly full"),$E37*'IE '!H$21,AND($C37="Hybrid-electric bus",$D37="Almost empty"),$E37*'IE '!H$11,AND($C37="Hybrid-electric bus",$D37="Average"),$E37*'IE '!H$12,AND($C37="Hybrid-electric bus",$D37="Nearly full"),$E37*'IE '!H$13,AND($C37="Alternative fuel bus",$D37="Almost empty"),$E37*'IE '!H$15,AND($C37="Alternative fuel bus",$D37="Average"),$E37*'IE '!H$16,AND($C37="Alternative fuel bus",$D37="Nearly full"),$E37*'IE '!H$17,AND($C37="Metro, tram, urban light train",$D37="Almost empty"),$E37*'IE '!C$35,AND($C37="Metro, tram, urban light train",$D37="Average"),$E37*'IE '!C$36,AND($C37="Metro, tram, urban light train",$D37="Nearly full"),$E37*'IE '!C$37,AND($C37="Electric passenger train",$D37="Almost empty"),$E37*'IE '!C$39,AND($C37="Electric passenger train",$D37="Average"),$E37*'IE '!C$40,AND($C37="Electric passenger train",$D37="Nearly full"),$E37*'IE '!C$41,AND($C37="Diesel passenger train",$D37="Almost empty"),$E37*'IE '!C$47,AND($C37="Diesel passenger train",$D37="Average"),$E37*'IE '!C$48,AND($C37="Diesel passenger train",$D37="Nearly full"),$E37*'IE '!C$49,AND($C37="Walking"),$E37*0,AND($C37="Bike"),$E37*0,AND($C37="Plane - domestic flight"),$E37*'IE '!$C61,AND($C37="Plane - international - intra EU"),$E37*'IE '!$C63,AND($C37="Plane - international (extra EU)"),$E37*'IE '!$C65)</f>
        <v>#N/A</v>
      </c>
      <c r="G37" s="31" t="e" cm="1">
        <f t="array" ref="G37">_xlfn.IFS(AND($C37="Fuel car",$D37=1),$E37*'IE '!D$7,AND($C37="Fuel car",$D37=2),$E37*'IE '!D$8,AND($C37="Fuel car",$D37=3),$E37*'IE '!D$9,AND($C37="Fuel car",$D37=4),$E37*'IE '!D$10,AND($C37="Fuel car",$D37=5),$E37*'IE '!D$11,AND($C37="Motorcycle",$D37=1),$E37*'IE '!D$13,AND($C37="Motorcycle",$D37=2),$E37*'IE '!D$14,AND($C37="Electric car",$D37=1),$E37*'IE '!D$16,AND($C37="Electric car",$D37=2),$E37*'IE '!D$17,AND($C37="Electric car",$D37=3),$E37*'IE '!D$18,AND($C37="Electric car",$D37=4),$E37*'IE '!D$19,AND($C37="Electric car",$D37=5),$E37*'IE '!D$20,AND($C37="Hybrid car",$D37=1),$E37*'IE '!D$22,AND($C37="Hybrid car",$D37=2),$E37*'IE '!D$23,AND($C37="Hybrid car",$D37=3),$E37*'IE '!D$24,AND($C37="Hybrid car",$D37=4),$E37*'IE '!D$25,AND($C37="Hybrid car",$D37=5),$E37*'IE '!D$26,AND($C37="Electric motorcycle",$D37=1),$E37*'IE '!D$28,AND($C37="Electric motorcycle",$D37=2),$E37*'IE '!D$29,AND($C37="Electric bike",$D37=1),$E37*'IE '!D$31,AND($C37="Electric scooter",$D37=1),$E37*'IE '!D$33,AND($C37="Bus",$D37="Almost empty"),$E37*'IE '!I$23,AND($C37="Bus",$D37="Average"),$E37*'IE '!I$24,AND($C37="Bus",$D37="Nearly full"),$E37*'IE '!I$25,AND($C37="Electric bus",$D37="Almost empty"),$E37*'IE '!I$7,AND($C37="Electric bus",$D37="Average"),$E37*'IE '!I$8,AND($C37="Electric bus",$D37="Nearly full"),$E37*'IE '!I$9,AND($C37="Diesel bus",$D37="Almost empty"),$E37*'IE '!I$19,AND($C37="Diesel bus",$D37="Average"),$E37*'IE '!I$20,AND($C37="Diesel bus",$D37="Nearly full"),$E37*'IE '!I$21,AND($C37="Hybrid-electric bus",$D37="Almost empty"),$E37*'IE '!I$11,AND($C37="Hybrid-electric bus",$D37="Average"),$E37*'IE '!I$12,AND($C37="Hybrid-electric bus",$D37="Nearly full"),$E37*'IE '!I$13,AND($C37="Alternative fuel bus",$D37="Almost empty"),$E37*'IE '!I$15,AND($C37="Alternative fuel bus",$D37="Average"),$E37*'IE '!I$16,AND($C37="Alternative fuel bus",$D37="Nearly full"),$E37*'IE '!I$17,AND($C37="Metro, tram, urban light train",$D37="Almost empty"),$E37*'IE '!D$35,AND($C37="Metro, tram, urban light train",$D37="Average"),$E37*'IE '!D$36,AND($C37="Metro, tram, urban light train",$D37="Nearly full"),$E37*'IE '!D$37,AND($C37="Electric passenger train",$D37="Almost empty"),$E37*'IE '!D$39,AND($C37="Electric passenger train",$D37="Average"),$E37*'IE '!D$40,AND($C37="Electric passenger train",$D37="Nearly full"),$E37*'IE '!D$41,AND($C37="Diesel passenger train",$D37="Almost empty"),$E37*'IE '!D$47,AND($C37="Diesel passenger train",$D37="Average"),$E37*'IE '!D$48,AND($C37="Diesel passenger train",$D37="Nearly full"),$E37*'IE '!D$49,AND($C37="Walking"),$E37*0,AND($C37="Bike"),$E37*0,AND($C37="Plane - domestic flight"),$E37*'IE '!$C61,AND($C37="Plane - international - intra EU"),$E37*'IE '!$C63,AND($C37="Plane - international (extra EU)"),$E37*'IE '!$C65)</f>
        <v>#N/A</v>
      </c>
      <c r="H37" s="145"/>
      <c r="I37" s="148">
        <f t="shared" si="6"/>
        <v>0</v>
      </c>
      <c r="J37" s="146" t="e" cm="1">
        <f t="array" ref="J37">_xlfn.IFS(C37="Fuel car",C37*DATA!$C$17,C37="Electric car",C37*DATA!$F$18,C37="Hybrid car",I37*(0.5*DATA!$C$17+0.5*DATA!$F$18))</f>
        <v>#N/A</v>
      </c>
      <c r="L37" s="215" t="s">
        <v>79</v>
      </c>
      <c r="M37" s="216"/>
      <c r="N37" s="217"/>
    </row>
    <row r="38" spans="1:14" ht="16" thickBot="1" x14ac:dyDescent="0.25">
      <c r="A38" s="222"/>
      <c r="B38" s="30"/>
      <c r="C38" s="15"/>
      <c r="D38" s="15"/>
      <c r="E38" s="125"/>
      <c r="F38" s="128" t="e" cm="1">
        <f t="array" ref="F38">_xlfn.IFS(AND($C38="Fuel car",$D38=1),$E38*'IE '!C$7,AND($C38="Fuel car",$D38=2),$E38*'IE '!C$8,AND($C38="Fuel car",$D38=3),$E38*'IE '!C$9,AND($C38="Fuel car",$D38=4),$E38*'IE '!C$10,AND($C38="Fuel car",$D38=5),$E38*'IE '!C$11,AND($C38="Motorcycle",$D38=1),$E38*'IE '!C$13,AND($C38="Motorcycle",$D38=2),$E38*'IE '!C$14,AND($C38="Electric car",$D38=1),$E38*'IE '!C$16,AND($C38="Electric car",$D38=2),$E38*'IE '!C$17,AND($C38="Electric car",$D38=3),$E38*'IE '!C$18,AND($C38="Electric car",$D38=4),$E38*'IE '!C$19,AND($C38="Electric car",$D38=5),$E38*'IE '!C$20,AND($C38="Hybrid car",$D38=1),$E38*'IE '!C$22,AND($C38="Hybrid car",$D38=2),$E38*'IE '!C$23,AND($C38="Hybrid car",$D38=3),$E38*'IE '!C$24,AND($C38="Hybrid car",$D38=4),$E38*'IE '!C$25,AND($C38="Hybrid car",$D38=5),$E38*'IE '!C$26,AND($C38="Electric motorcycle",$D38=1),$E38*'IE '!C$28,AND($C38="Electric motorcycle",$D38=2),$E38*'IE '!C$29,AND($C38="Electric bike",$D38=1),$E38*'IE '!C$31,AND($C38="Electric scooter",$D38=1),$E38*'IE '!C$33,AND($C38="Bus",$D38="Almost empty"),$E38*'IE '!H$23,AND($C38="Bus",$D38="Average"),$E38*'IE '!H$24,AND($C38="Bus",$D38="Nearly full"),$E38*'IE '!H$25,AND($C38="Electric bus",$D38="Almost empty"),$E38*'IE '!H$7,AND($C38="Electric bus",$D38="Average"),$E38*'IE '!H$8,AND($C38="Electric bus",$D38="Nearly full"),$E38*'IE '!H$9,AND($C38="Diesel bus",$D38="Almost empty"),$E38*'IE '!H$19,AND($C38="Diesel bus",$D38="Average"),$E38*'IE '!H$20,AND($C38="Diesel bus",$D38="Nearly full"),$E38*'IE '!H$21,AND($C38="Hybrid-electric bus",$D38="Almost empty"),$E38*'IE '!H$11,AND($C38="Hybrid-electric bus",$D38="Average"),$E38*'IE '!H$12,AND($C38="Hybrid-electric bus",$D38="Nearly full"),$E38*'IE '!H$13,AND($C38="Alternative fuel bus",$D38="Almost empty"),$E38*'IE '!H$15,AND($C38="Alternative fuel bus",$D38="Average"),$E38*'IE '!H$16,AND($C38="Alternative fuel bus",$D38="Nearly full"),$E38*'IE '!H$17,AND($C38="Metro, tram, urban light train",$D38="Almost empty"),$E38*'IE '!C$35,AND($C38="Metro, tram, urban light train",$D38="Average"),$E38*'IE '!C$36,AND($C38="Metro, tram, urban light train",$D38="Nearly full"),$E38*'IE '!C$37,AND($C38="Electric passenger train",$D38="Almost empty"),$E38*'IE '!C$39,AND($C38="Electric passenger train",$D38="Average"),$E38*'IE '!C$40,AND($C38="Electric passenger train",$D38="Nearly full"),$E38*'IE '!C$41,AND($C38="Diesel passenger train",$D38="Almost empty"),$E38*'IE '!C$47,AND($C38="Diesel passenger train",$D38="Average"),$E38*'IE '!C$48,AND($C38="Diesel passenger train",$D38="Nearly full"),$E38*'IE '!C$49,AND($C38="Walking"),$E38*0,AND($C38="Bike"),$E38*0,AND($C38="Plane - domestic flight"),$E38*'IE '!$C62,AND($C38="Plane - international - intra EU"),$E38*'IE '!$C64,AND($C38="Plane - international (extra EU)"),$E38*'IE '!$C66)</f>
        <v>#N/A</v>
      </c>
      <c r="G38" s="31" t="e" cm="1">
        <f t="array" ref="G38">_xlfn.IFS(AND($C38="Fuel car",$D38=1),$E38*'IE '!D$7,AND($C38="Fuel car",$D38=2),$E38*'IE '!D$8,AND($C38="Fuel car",$D38=3),$E38*'IE '!D$9,AND($C38="Fuel car",$D38=4),$E38*'IE '!D$10,AND($C38="Fuel car",$D38=5),$E38*'IE '!D$11,AND($C38="Motorcycle",$D38=1),$E38*'IE '!D$13,AND($C38="Motorcycle",$D38=2),$E38*'IE '!D$14,AND($C38="Electric car",$D38=1),$E38*'IE '!D$16,AND($C38="Electric car",$D38=2),$E38*'IE '!D$17,AND($C38="Electric car",$D38=3),$E38*'IE '!D$18,AND($C38="Electric car",$D38=4),$E38*'IE '!D$19,AND($C38="Electric car",$D38=5),$E38*'IE '!D$20,AND($C38="Hybrid car",$D38=1),$E38*'IE '!D$22,AND($C38="Hybrid car",$D38=2),$E38*'IE '!D$23,AND($C38="Hybrid car",$D38=3),$E38*'IE '!D$24,AND($C38="Hybrid car",$D38=4),$E38*'IE '!D$25,AND($C38="Hybrid car",$D38=5),$E38*'IE '!D$26,AND($C38="Electric motorcycle",$D38=1),$E38*'IE '!D$28,AND($C38="Electric motorcycle",$D38=2),$E38*'IE '!D$29,AND($C38="Electric bike",$D38=1),$E38*'IE '!D$31,AND($C38="Electric scooter",$D38=1),$E38*'IE '!D$33,AND($C38="Bus",$D38="Almost empty"),$E38*'IE '!I$23,AND($C38="Bus",$D38="Average"),$E38*'IE '!I$24,AND($C38="Bus",$D38="Nearly full"),$E38*'IE '!I$25,AND($C38="Electric bus",$D38="Almost empty"),$E38*'IE '!I$7,AND($C38="Electric bus",$D38="Average"),$E38*'IE '!I$8,AND($C38="Electric bus",$D38="Nearly full"),$E38*'IE '!I$9,AND($C38="Diesel bus",$D38="Almost empty"),$E38*'IE '!I$19,AND($C38="Diesel bus",$D38="Average"),$E38*'IE '!I$20,AND($C38="Diesel bus",$D38="Nearly full"),$E38*'IE '!I$21,AND($C38="Hybrid-electric bus",$D38="Almost empty"),$E38*'IE '!I$11,AND($C38="Hybrid-electric bus",$D38="Average"),$E38*'IE '!I$12,AND($C38="Hybrid-electric bus",$D38="Nearly full"),$E38*'IE '!I$13,AND($C38="Alternative fuel bus",$D38="Almost empty"),$E38*'IE '!I$15,AND($C38="Alternative fuel bus",$D38="Average"),$E38*'IE '!I$16,AND($C38="Alternative fuel bus",$D38="Nearly full"),$E38*'IE '!I$17,AND($C38="Metro, tram, urban light train",$D38="Almost empty"),$E38*'IE '!D$35,AND($C38="Metro, tram, urban light train",$D38="Average"),$E38*'IE '!D$36,AND($C38="Metro, tram, urban light train",$D38="Nearly full"),$E38*'IE '!D$37,AND($C38="Electric passenger train",$D38="Almost empty"),$E38*'IE '!D$39,AND($C38="Electric passenger train",$D38="Average"),$E38*'IE '!D$40,AND($C38="Electric passenger train",$D38="Nearly full"),$E38*'IE '!D$41,AND($C38="Diesel passenger train",$D38="Almost empty"),$E38*'IE '!D$47,AND($C38="Diesel passenger train",$D38="Average"),$E38*'IE '!D$48,AND($C38="Diesel passenger train",$D38="Nearly full"),$E38*'IE '!D$49,AND($C38="Walking"),$E38*0,AND($C38="Bike"),$E38*0,AND($C38="Plane - domestic flight"),$E38*'IE '!$C62,AND($C38="Plane - international - intra EU"),$E38*'IE '!$C64,AND($C38="Plane - international (extra EU)"),$E38*'IE '!$C66)</f>
        <v>#N/A</v>
      </c>
      <c r="H38" s="145"/>
      <c r="I38" s="148">
        <f t="shared" si="6"/>
        <v>0</v>
      </c>
      <c r="J38" s="146" t="e" cm="1">
        <f t="array" ref="J38">_xlfn.IFS(C38="Fuel car",C38*DATA!$C$17,C38="Electric car",C38*DATA!$F$18,C38="Hybrid car",I38*(0.5*DATA!$C$17+0.5*DATA!$F$18))</f>
        <v>#N/A</v>
      </c>
      <c r="L38" s="218"/>
      <c r="M38" s="219"/>
      <c r="N38" s="220"/>
    </row>
    <row r="39" spans="1:14" ht="14.5" customHeight="1" x14ac:dyDescent="0.2">
      <c r="A39" s="222"/>
      <c r="B39" s="30"/>
      <c r="C39" s="15"/>
      <c r="D39" s="15"/>
      <c r="E39" s="125"/>
      <c r="F39" s="128" t="e" cm="1">
        <f t="array" ref="F39">_xlfn.IFS(AND($C39="Fuel car",$D39=1),$E39*'IE '!C$7,AND($C39="Fuel car",$D39=2),$E39*'IE '!C$8,AND($C39="Fuel car",$D39=3),$E39*'IE '!C$9,AND($C39="Fuel car",$D39=4),$E39*'IE '!C$10,AND($C39="Fuel car",$D39=5),$E39*'IE '!C$11,AND($C39="Motorcycle",$D39=1),$E39*'IE '!C$13,AND($C39="Motorcycle",$D39=2),$E39*'IE '!C$14,AND($C39="Electric car",$D39=1),$E39*'IE '!C$16,AND($C39="Electric car",$D39=2),$E39*'IE '!C$17,AND($C39="Electric car",$D39=3),$E39*'IE '!C$18,AND($C39="Electric car",$D39=4),$E39*'IE '!C$19,AND($C39="Electric car",$D39=5),$E39*'IE '!C$20,AND($C39="Hybrid car",$D39=1),$E39*'IE '!C$22,AND($C39="Hybrid car",$D39=2),$E39*'IE '!C$23,AND($C39="Hybrid car",$D39=3),$E39*'IE '!C$24,AND($C39="Hybrid car",$D39=4),$E39*'IE '!C$25,AND($C39="Hybrid car",$D39=5),$E39*'IE '!C$26,AND($C39="Electric motorcycle",$D39=1),$E39*'IE '!C$28,AND($C39="Electric motorcycle",$D39=2),$E39*'IE '!C$29,AND($C39="Electric bike",$D39=1),$E39*'IE '!C$31,AND($C39="Electric scooter",$D39=1),$E39*'IE '!C$33,AND($C39="Bus",$D39="Almost empty"),$E39*'IE '!H$23,AND($C39="Bus",$D39="Average"),$E39*'IE '!H$24,AND($C39="Bus",$D39="Nearly full"),$E39*'IE '!H$25,AND($C39="Electric bus",$D39="Almost empty"),$E39*'IE '!H$7,AND($C39="Electric bus",$D39="Average"),$E39*'IE '!H$8,AND($C39="Electric bus",$D39="Nearly full"),$E39*'IE '!H$9,AND($C39="Diesel bus",$D39="Almost empty"),$E39*'IE '!H$19,AND($C39="Diesel bus",$D39="Average"),$E39*'IE '!H$20,AND($C39="Diesel bus",$D39="Nearly full"),$E39*'IE '!H$21,AND($C39="Hybrid-electric bus",$D39="Almost empty"),$E39*'IE '!H$11,AND($C39="Hybrid-electric bus",$D39="Average"),$E39*'IE '!H$12,AND($C39="Hybrid-electric bus",$D39="Nearly full"),$E39*'IE '!H$13,AND($C39="Alternative fuel bus",$D39="Almost empty"),$E39*'IE '!H$15,AND($C39="Alternative fuel bus",$D39="Average"),$E39*'IE '!H$16,AND($C39="Alternative fuel bus",$D39="Nearly full"),$E39*'IE '!H$17,AND($C39="Metro, tram, urban light train",$D39="Almost empty"),$E39*'IE '!C$35,AND($C39="Metro, tram, urban light train",$D39="Average"),$E39*'IE '!C$36,AND($C39="Metro, tram, urban light train",$D39="Nearly full"),$E39*'IE '!C$37,AND($C39="Electric passenger train",$D39="Almost empty"),$E39*'IE '!C$39,AND($C39="Electric passenger train",$D39="Average"),$E39*'IE '!C$40,AND($C39="Electric passenger train",$D39="Nearly full"),$E39*'IE '!C$41,AND($C39="Diesel passenger train",$D39="Almost empty"),$E39*'IE '!C$47,AND($C39="Diesel passenger train",$D39="Average"),$E39*'IE '!C$48,AND($C39="Diesel passenger train",$D39="Nearly full"),$E39*'IE '!C$49,AND($C39="Walking"),$E39*0,AND($C39="Bike"),$E39*0,AND($C39="Plane - domestic flight"),$E39*'IE '!$C63,AND($C39="Plane - international - intra EU"),$E39*'IE '!$C65,AND($C39="Plane - international (extra EU)"),$E39*'IE '!$C67)</f>
        <v>#N/A</v>
      </c>
      <c r="G39" s="31" t="e" cm="1">
        <f t="array" ref="G39">_xlfn.IFS(AND($C39="Fuel car",$D39=1),$E39*'IE '!D$7,AND($C39="Fuel car",$D39=2),$E39*'IE '!D$8,AND($C39="Fuel car",$D39=3),$E39*'IE '!D$9,AND($C39="Fuel car",$D39=4),$E39*'IE '!D$10,AND($C39="Fuel car",$D39=5),$E39*'IE '!D$11,AND($C39="Motorcycle",$D39=1),$E39*'IE '!D$13,AND($C39="Motorcycle",$D39=2),$E39*'IE '!D$14,AND($C39="Electric car",$D39=1),$E39*'IE '!D$16,AND($C39="Electric car",$D39=2),$E39*'IE '!D$17,AND($C39="Electric car",$D39=3),$E39*'IE '!D$18,AND($C39="Electric car",$D39=4),$E39*'IE '!D$19,AND($C39="Electric car",$D39=5),$E39*'IE '!D$20,AND($C39="Hybrid car",$D39=1),$E39*'IE '!D$22,AND($C39="Hybrid car",$D39=2),$E39*'IE '!D$23,AND($C39="Hybrid car",$D39=3),$E39*'IE '!D$24,AND($C39="Hybrid car",$D39=4),$E39*'IE '!D$25,AND($C39="Hybrid car",$D39=5),$E39*'IE '!D$26,AND($C39="Electric motorcycle",$D39=1),$E39*'IE '!D$28,AND($C39="Electric motorcycle",$D39=2),$E39*'IE '!D$29,AND($C39="Electric bike",$D39=1),$E39*'IE '!D$31,AND($C39="Electric scooter",$D39=1),$E39*'IE '!D$33,AND($C39="Bus",$D39="Almost empty"),$E39*'IE '!I$23,AND($C39="Bus",$D39="Average"),$E39*'IE '!I$24,AND($C39="Bus",$D39="Nearly full"),$E39*'IE '!I$25,AND($C39="Electric bus",$D39="Almost empty"),$E39*'IE '!I$7,AND($C39="Electric bus",$D39="Average"),$E39*'IE '!I$8,AND($C39="Electric bus",$D39="Nearly full"),$E39*'IE '!I$9,AND($C39="Diesel bus",$D39="Almost empty"),$E39*'IE '!I$19,AND($C39="Diesel bus",$D39="Average"),$E39*'IE '!I$20,AND($C39="Diesel bus",$D39="Nearly full"),$E39*'IE '!I$21,AND($C39="Hybrid-electric bus",$D39="Almost empty"),$E39*'IE '!I$11,AND($C39="Hybrid-electric bus",$D39="Average"),$E39*'IE '!I$12,AND($C39="Hybrid-electric bus",$D39="Nearly full"),$E39*'IE '!I$13,AND($C39="Alternative fuel bus",$D39="Almost empty"),$E39*'IE '!I$15,AND($C39="Alternative fuel bus",$D39="Average"),$E39*'IE '!I$16,AND($C39="Alternative fuel bus",$D39="Nearly full"),$E39*'IE '!I$17,AND($C39="Metro, tram, urban light train",$D39="Almost empty"),$E39*'IE '!D$35,AND($C39="Metro, tram, urban light train",$D39="Average"),$E39*'IE '!D$36,AND($C39="Metro, tram, urban light train",$D39="Nearly full"),$E39*'IE '!D$37,AND($C39="Electric passenger train",$D39="Almost empty"),$E39*'IE '!D$39,AND($C39="Electric passenger train",$D39="Average"),$E39*'IE '!D$40,AND($C39="Electric passenger train",$D39="Nearly full"),$E39*'IE '!D$41,AND($C39="Diesel passenger train",$D39="Almost empty"),$E39*'IE '!D$47,AND($C39="Diesel passenger train",$D39="Average"),$E39*'IE '!D$48,AND($C39="Diesel passenger train",$D39="Nearly full"),$E39*'IE '!D$49,AND($C39="Walking"),$E39*0,AND($C39="Bike"),$E39*0,AND($C39="Plane - domestic flight"),$E39*'IE '!$C63,AND($C39="Plane - international - intra EU"),$E39*'IE '!$C65,AND($C39="Plane - international (extra EU)"),$E39*'IE '!$C67)</f>
        <v>#N/A</v>
      </c>
      <c r="H39" s="145"/>
      <c r="I39" s="148">
        <f t="shared" si="6"/>
        <v>0</v>
      </c>
      <c r="J39" s="146" t="e" cm="1">
        <f t="array" ref="J39">_xlfn.IFS(C39="Fuel car",C39*DATA!$C$17,C39="Electric car",C39*DATA!$F$18,C39="Hybrid car",I39*(0.5*DATA!$C$17+0.5*DATA!$F$18))</f>
        <v>#N/A</v>
      </c>
      <c r="L39" s="226" t="s">
        <v>80</v>
      </c>
      <c r="M39" s="227"/>
      <c r="N39" s="228"/>
    </row>
    <row r="40" spans="1:14" x14ac:dyDescent="0.2">
      <c r="A40" s="222"/>
      <c r="B40" s="30"/>
      <c r="C40" s="15"/>
      <c r="D40" s="15"/>
      <c r="E40" s="125"/>
      <c r="F40" s="128" t="e" cm="1">
        <f t="array" ref="F40">_xlfn.IFS(AND($C40="Fuel car",$D40=1),$E40*'IE '!C$7,AND($C40="Fuel car",$D40=2),$E40*'IE '!C$8,AND($C40="Fuel car",$D40=3),$E40*'IE '!C$9,AND($C40="Fuel car",$D40=4),$E40*'IE '!C$10,AND($C40="Fuel car",$D40=5),$E40*'IE '!C$11,AND($C40="Motorcycle",$D40=1),$E40*'IE '!C$13,AND($C40="Motorcycle",$D40=2),$E40*'IE '!C$14,AND($C40="Electric car",$D40=1),$E40*'IE '!C$16,AND($C40="Electric car",$D40=2),$E40*'IE '!C$17,AND($C40="Electric car",$D40=3),$E40*'IE '!C$18,AND($C40="Electric car",$D40=4),$E40*'IE '!C$19,AND($C40="Electric car",$D40=5),$E40*'IE '!C$20,AND($C40="Hybrid car",$D40=1),$E40*'IE '!C$22,AND($C40="Hybrid car",$D40=2),$E40*'IE '!C$23,AND($C40="Hybrid car",$D40=3),$E40*'IE '!C$24,AND($C40="Hybrid car",$D40=4),$E40*'IE '!C$25,AND($C40="Hybrid car",$D40=5),$E40*'IE '!C$26,AND($C40="Electric motorcycle",$D40=1),$E40*'IE '!C$28,AND($C40="Electric motorcycle",$D40=2),$E40*'IE '!C$29,AND($C40="Electric bike",$D40=1),$E40*'IE '!C$31,AND($C40="Electric scooter",$D40=1),$E40*'IE '!C$33,AND($C40="Bus",$D40="Almost empty"),$E40*'IE '!H$23,AND($C40="Bus",$D40="Average"),$E40*'IE '!H$24,AND($C40="Bus",$D40="Nearly full"),$E40*'IE '!H$25,AND($C40="Electric bus",$D40="Almost empty"),$E40*'IE '!H$7,AND($C40="Electric bus",$D40="Average"),$E40*'IE '!H$8,AND($C40="Electric bus",$D40="Nearly full"),$E40*'IE '!H$9,AND($C40="Diesel bus",$D40="Almost empty"),$E40*'IE '!H$19,AND($C40="Diesel bus",$D40="Average"),$E40*'IE '!H$20,AND($C40="Diesel bus",$D40="Nearly full"),$E40*'IE '!H$21,AND($C40="Hybrid-electric bus",$D40="Almost empty"),$E40*'IE '!H$11,AND($C40="Hybrid-electric bus",$D40="Average"),$E40*'IE '!H$12,AND($C40="Hybrid-electric bus",$D40="Nearly full"),$E40*'IE '!H$13,AND($C40="Alternative fuel bus",$D40="Almost empty"),$E40*'IE '!H$15,AND($C40="Alternative fuel bus",$D40="Average"),$E40*'IE '!H$16,AND($C40="Alternative fuel bus",$D40="Nearly full"),$E40*'IE '!H$17,AND($C40="Metro, tram, urban light train",$D40="Almost empty"),$E40*'IE '!C$35,AND($C40="Metro, tram, urban light train",$D40="Average"),$E40*'IE '!C$36,AND($C40="Metro, tram, urban light train",$D40="Nearly full"),$E40*'IE '!C$37,AND($C40="Electric passenger train",$D40="Almost empty"),$E40*'IE '!C$39,AND($C40="Electric passenger train",$D40="Average"),$E40*'IE '!C$40,AND($C40="Electric passenger train",$D40="Nearly full"),$E40*'IE '!C$41,AND($C40="Diesel passenger train",$D40="Almost empty"),$E40*'IE '!C$47,AND($C40="Diesel passenger train",$D40="Average"),$E40*'IE '!C$48,AND($C40="Diesel passenger train",$D40="Nearly full"),$E40*'IE '!C$49,AND($C40="Walking"),$E40*0,AND($C40="Bike"),$E40*0,AND($C40="Plane - domestic flight"),$E40*'IE '!$C64,AND($C40="Plane - international - intra EU"),$E40*'IE '!$C66,AND($C40="Plane - international (extra EU)"),$E40*'IE '!$C68)</f>
        <v>#N/A</v>
      </c>
      <c r="G40" s="31" t="e" cm="1">
        <f t="array" ref="G40">_xlfn.IFS(AND($C40="Fuel car",$D40=1),$E40*'IE '!D$7,AND($C40="Fuel car",$D40=2),$E40*'IE '!D$8,AND($C40="Fuel car",$D40=3),$E40*'IE '!D$9,AND($C40="Fuel car",$D40=4),$E40*'IE '!D$10,AND($C40="Fuel car",$D40=5),$E40*'IE '!D$11,AND($C40="Motorcycle",$D40=1),$E40*'IE '!D$13,AND($C40="Motorcycle",$D40=2),$E40*'IE '!D$14,AND($C40="Electric car",$D40=1),$E40*'IE '!D$16,AND($C40="Electric car",$D40=2),$E40*'IE '!D$17,AND($C40="Electric car",$D40=3),$E40*'IE '!D$18,AND($C40="Electric car",$D40=4),$E40*'IE '!D$19,AND($C40="Electric car",$D40=5),$E40*'IE '!D$20,AND($C40="Hybrid car",$D40=1),$E40*'IE '!D$22,AND($C40="Hybrid car",$D40=2),$E40*'IE '!D$23,AND($C40="Hybrid car",$D40=3),$E40*'IE '!D$24,AND($C40="Hybrid car",$D40=4),$E40*'IE '!D$25,AND($C40="Hybrid car",$D40=5),$E40*'IE '!D$26,AND($C40="Electric motorcycle",$D40=1),$E40*'IE '!D$28,AND($C40="Electric motorcycle",$D40=2),$E40*'IE '!D$29,AND($C40="Electric bike",$D40=1),$E40*'IE '!D$31,AND($C40="Electric scooter",$D40=1),$E40*'IE '!D$33,AND($C40="Bus",$D40="Almost empty"),$E40*'IE '!I$23,AND($C40="Bus",$D40="Average"),$E40*'IE '!I$24,AND($C40="Bus",$D40="Nearly full"),$E40*'IE '!I$25,AND($C40="Electric bus",$D40="Almost empty"),$E40*'IE '!I$7,AND($C40="Electric bus",$D40="Average"),$E40*'IE '!I$8,AND($C40="Electric bus",$D40="Nearly full"),$E40*'IE '!I$9,AND($C40="Diesel bus",$D40="Almost empty"),$E40*'IE '!I$19,AND($C40="Diesel bus",$D40="Average"),$E40*'IE '!I$20,AND($C40="Diesel bus",$D40="Nearly full"),$E40*'IE '!I$21,AND($C40="Hybrid-electric bus",$D40="Almost empty"),$E40*'IE '!I$11,AND($C40="Hybrid-electric bus",$D40="Average"),$E40*'IE '!I$12,AND($C40="Hybrid-electric bus",$D40="Nearly full"),$E40*'IE '!I$13,AND($C40="Alternative fuel bus",$D40="Almost empty"),$E40*'IE '!I$15,AND($C40="Alternative fuel bus",$D40="Average"),$E40*'IE '!I$16,AND($C40="Alternative fuel bus",$D40="Nearly full"),$E40*'IE '!I$17,AND($C40="Metro, tram, urban light train",$D40="Almost empty"),$E40*'IE '!D$35,AND($C40="Metro, tram, urban light train",$D40="Average"),$E40*'IE '!D$36,AND($C40="Metro, tram, urban light train",$D40="Nearly full"),$E40*'IE '!D$37,AND($C40="Electric passenger train",$D40="Almost empty"),$E40*'IE '!D$39,AND($C40="Electric passenger train",$D40="Average"),$E40*'IE '!D$40,AND($C40="Electric passenger train",$D40="Nearly full"),$E40*'IE '!D$41,AND($C40="Diesel passenger train",$D40="Almost empty"),$E40*'IE '!D$47,AND($C40="Diesel passenger train",$D40="Average"),$E40*'IE '!D$48,AND($C40="Diesel passenger train",$D40="Nearly full"),$E40*'IE '!D$49,AND($C40="Walking"),$E40*0,AND($C40="Bike"),$E40*0,AND($C40="Plane - domestic flight"),$E40*'IE '!$C64,AND($C40="Plane - international - intra EU"),$E40*'IE '!$C66,AND($C40="Plane - international (extra EU)"),$E40*'IE '!$C68)</f>
        <v>#N/A</v>
      </c>
      <c r="H40" s="145"/>
      <c r="I40" s="148">
        <f t="shared" si="6"/>
        <v>0</v>
      </c>
      <c r="J40" s="146" t="e" cm="1">
        <f t="array" ref="J40">_xlfn.IFS(C40="Fuel car",C40*DATA!$C$17,C40="Electric car",C40*DATA!$F$18,C40="Hybrid car",I40*(0.5*DATA!$C$17+0.5*DATA!$F$18))</f>
        <v>#N/A</v>
      </c>
      <c r="L40" s="229"/>
      <c r="M40" s="230"/>
      <c r="N40" s="231"/>
    </row>
    <row r="41" spans="1:14" ht="14.5" customHeight="1" x14ac:dyDescent="0.2">
      <c r="A41" s="222"/>
      <c r="B41" s="30"/>
      <c r="C41" s="15"/>
      <c r="D41" s="15"/>
      <c r="E41" s="125"/>
      <c r="F41" s="128" t="e" cm="1">
        <f t="array" ref="F41">_xlfn.IFS(AND($C41="Fuel car",$D41=1),$E41*'IE '!C$7,AND($C41="Fuel car",$D41=2),$E41*'IE '!C$8,AND($C41="Fuel car",$D41=3),$E41*'IE '!C$9,AND($C41="Fuel car",$D41=4),$E41*'IE '!C$10,AND($C41="Fuel car",$D41=5),$E41*'IE '!C$11,AND($C41="Motorcycle",$D41=1),$E41*'IE '!C$13,AND($C41="Motorcycle",$D41=2),$E41*'IE '!C$14,AND($C41="Electric car",$D41=1),$E41*'IE '!C$16,AND($C41="Electric car",$D41=2),$E41*'IE '!C$17,AND($C41="Electric car",$D41=3),$E41*'IE '!C$18,AND($C41="Electric car",$D41=4),$E41*'IE '!C$19,AND($C41="Electric car",$D41=5),$E41*'IE '!C$20,AND($C41="Hybrid car",$D41=1),$E41*'IE '!C$22,AND($C41="Hybrid car",$D41=2),$E41*'IE '!C$23,AND($C41="Hybrid car",$D41=3),$E41*'IE '!C$24,AND($C41="Hybrid car",$D41=4),$E41*'IE '!C$25,AND($C41="Hybrid car",$D41=5),$E41*'IE '!C$26,AND($C41="Electric motorcycle",$D41=1),$E41*'IE '!C$28,AND($C41="Electric motorcycle",$D41=2),$E41*'IE '!C$29,AND($C41="Electric bike",$D41=1),$E41*'IE '!C$31,AND($C41="Electric scooter",$D41=1),$E41*'IE '!C$33,AND($C41="Bus",$D41="Almost empty"),$E41*'IE '!H$23,AND($C41="Bus",$D41="Average"),$E41*'IE '!H$24,AND($C41="Bus",$D41="Nearly full"),$E41*'IE '!H$25,AND($C41="Electric bus",$D41="Almost empty"),$E41*'IE '!H$7,AND($C41="Electric bus",$D41="Average"),$E41*'IE '!H$8,AND($C41="Electric bus",$D41="Nearly full"),$E41*'IE '!H$9,AND($C41="Diesel bus",$D41="Almost empty"),$E41*'IE '!H$19,AND($C41="Diesel bus",$D41="Average"),$E41*'IE '!H$20,AND($C41="Diesel bus",$D41="Nearly full"),$E41*'IE '!H$21,AND($C41="Hybrid-electric bus",$D41="Almost empty"),$E41*'IE '!H$11,AND($C41="Hybrid-electric bus",$D41="Average"),$E41*'IE '!H$12,AND($C41="Hybrid-electric bus",$D41="Nearly full"),$E41*'IE '!H$13,AND($C41="Alternative fuel bus",$D41="Almost empty"),$E41*'IE '!H$15,AND($C41="Alternative fuel bus",$D41="Average"),$E41*'IE '!H$16,AND($C41="Alternative fuel bus",$D41="Nearly full"),$E41*'IE '!H$17,AND($C41="Metro, tram, urban light train",$D41="Almost empty"),$E41*'IE '!C$35,AND($C41="Metro, tram, urban light train",$D41="Average"),$E41*'IE '!C$36,AND($C41="Metro, tram, urban light train",$D41="Nearly full"),$E41*'IE '!C$37,AND($C41="Electric passenger train",$D41="Almost empty"),$E41*'IE '!C$39,AND($C41="Electric passenger train",$D41="Average"),$E41*'IE '!C$40,AND($C41="Electric passenger train",$D41="Nearly full"),$E41*'IE '!C$41,AND($C41="Diesel passenger train",$D41="Almost empty"),$E41*'IE '!C$47,AND($C41="Diesel passenger train",$D41="Average"),$E41*'IE '!C$48,AND($C41="Diesel passenger train",$D41="Nearly full"),$E41*'IE '!C$49,AND($C41="Walking"),$E41*0,AND($C41="Bike"),$E41*0,AND($C41="Plane - domestic flight"),$E41*'IE '!$C65,AND($C41="Plane - international - intra EU"),$E41*'IE '!$C67,AND($C41="Plane - international (extra EU)"),$E41*'IE '!$C69)</f>
        <v>#N/A</v>
      </c>
      <c r="G41" s="31" t="e" cm="1">
        <f t="array" ref="G41">_xlfn.IFS(AND($C41="Fuel car",$D41=1),$E41*'IE '!D$7,AND($C41="Fuel car",$D41=2),$E41*'IE '!D$8,AND($C41="Fuel car",$D41=3),$E41*'IE '!D$9,AND($C41="Fuel car",$D41=4),$E41*'IE '!D$10,AND($C41="Fuel car",$D41=5),$E41*'IE '!D$11,AND($C41="Motorcycle",$D41=1),$E41*'IE '!D$13,AND($C41="Motorcycle",$D41=2),$E41*'IE '!D$14,AND($C41="Electric car",$D41=1),$E41*'IE '!D$16,AND($C41="Electric car",$D41=2),$E41*'IE '!D$17,AND($C41="Electric car",$D41=3),$E41*'IE '!D$18,AND($C41="Electric car",$D41=4),$E41*'IE '!D$19,AND($C41="Electric car",$D41=5),$E41*'IE '!D$20,AND($C41="Hybrid car",$D41=1),$E41*'IE '!D$22,AND($C41="Hybrid car",$D41=2),$E41*'IE '!D$23,AND($C41="Hybrid car",$D41=3),$E41*'IE '!D$24,AND($C41="Hybrid car",$D41=4),$E41*'IE '!D$25,AND($C41="Hybrid car",$D41=5),$E41*'IE '!D$26,AND($C41="Electric motorcycle",$D41=1),$E41*'IE '!D$28,AND($C41="Electric motorcycle",$D41=2),$E41*'IE '!D$29,AND($C41="Electric bike",$D41=1),$E41*'IE '!D$31,AND($C41="Electric scooter",$D41=1),$E41*'IE '!D$33,AND($C41="Bus",$D41="Almost empty"),$E41*'IE '!I$23,AND($C41="Bus",$D41="Average"),$E41*'IE '!I$24,AND($C41="Bus",$D41="Nearly full"),$E41*'IE '!I$25,AND($C41="Electric bus",$D41="Almost empty"),$E41*'IE '!I$7,AND($C41="Electric bus",$D41="Average"),$E41*'IE '!I$8,AND($C41="Electric bus",$D41="Nearly full"),$E41*'IE '!I$9,AND($C41="Diesel bus",$D41="Almost empty"),$E41*'IE '!I$19,AND($C41="Diesel bus",$D41="Average"),$E41*'IE '!I$20,AND($C41="Diesel bus",$D41="Nearly full"),$E41*'IE '!I$21,AND($C41="Hybrid-electric bus",$D41="Almost empty"),$E41*'IE '!I$11,AND($C41="Hybrid-electric bus",$D41="Average"),$E41*'IE '!I$12,AND($C41="Hybrid-electric bus",$D41="Nearly full"),$E41*'IE '!I$13,AND($C41="Alternative fuel bus",$D41="Almost empty"),$E41*'IE '!I$15,AND($C41="Alternative fuel bus",$D41="Average"),$E41*'IE '!I$16,AND($C41="Alternative fuel bus",$D41="Nearly full"),$E41*'IE '!I$17,AND($C41="Metro, tram, urban light train",$D41="Almost empty"),$E41*'IE '!D$35,AND($C41="Metro, tram, urban light train",$D41="Average"),$E41*'IE '!D$36,AND($C41="Metro, tram, urban light train",$D41="Nearly full"),$E41*'IE '!D$37,AND($C41="Electric passenger train",$D41="Almost empty"),$E41*'IE '!D$39,AND($C41="Electric passenger train",$D41="Average"),$E41*'IE '!D$40,AND($C41="Electric passenger train",$D41="Nearly full"),$E41*'IE '!D$41,AND($C41="Diesel passenger train",$D41="Almost empty"),$E41*'IE '!D$47,AND($C41="Diesel passenger train",$D41="Average"),$E41*'IE '!D$48,AND($C41="Diesel passenger train",$D41="Nearly full"),$E41*'IE '!D$49,AND($C41="Walking"),$E41*0,AND($C41="Bike"),$E41*0,AND($C41="Plane - domestic flight"),$E41*'IE '!$C65,AND($C41="Plane - international - intra EU"),$E41*'IE '!$C67,AND($C41="Plane - international (extra EU)"),$E41*'IE '!$C69)</f>
        <v>#N/A</v>
      </c>
      <c r="H41" s="145"/>
      <c r="I41" s="148">
        <f t="shared" si="6"/>
        <v>0</v>
      </c>
      <c r="J41" s="146" t="e" cm="1">
        <f t="array" ref="J41">_xlfn.IFS(C41="Fuel car",C41*DATA!$C$17,C41="Electric car",C41*DATA!$F$18,C41="Hybrid car",I41*(0.5*DATA!$C$17+0.5*DATA!$F$18))</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car",$D42=1),$E42*'IE '!C$7,AND($C42="Fuel car",$D42=2),$E42*'IE '!C$8,AND($C42="Fuel car",$D42=3),$E42*'IE '!C$9,AND($C42="Fuel car",$D42=4),$E42*'IE '!C$10,AND($C42="Fuel car",$D42=5),$E42*'IE '!C$11,AND($C42="Motorcycle",$D42=1),$E42*'IE '!C$13,AND($C42="Motorcycle",$D42=2),$E42*'IE '!C$14,AND($C42="Electric car",$D42=1),$E42*'IE '!C$16,AND($C42="Electric car",$D42=2),$E42*'IE '!C$17,AND($C42="Electric car",$D42=3),$E42*'IE '!C$18,AND($C42="Electric car",$D42=4),$E42*'IE '!C$19,AND($C42="Electric car",$D42=5),$E42*'IE '!C$20,AND($C42="Hybrid car",$D42=1),$E42*'IE '!C$22,AND($C42="Hybrid car",$D42=2),$E42*'IE '!C$23,AND($C42="Hybrid car",$D42=3),$E42*'IE '!C$24,AND($C42="Hybrid car",$D42=4),$E42*'IE '!C$25,AND($C42="Hybrid car",$D42=5),$E42*'IE '!C$26,AND($C42="Electric motorcycle",$D42=1),$E42*'IE '!C$28,AND($C42="Electric motorcycle",$D42=2),$E42*'IE '!C$29,AND($C42="Electric bike",$D42=1),$E42*'IE '!C$31,AND($C42="Electric scooter",$D42=1),$E42*'IE '!C$33,AND($C42="Bus",$D42="Almost empty"),$E42*'IE '!H$23,AND($C42="Bus",$D42="Average"),$E42*'IE '!H$24,AND($C42="Bus",$D42="Nearly full"),$E42*'IE '!H$25,AND($C42="Electric bus",$D42="Almost empty"),$E42*'IE '!H$7,AND($C42="Electric bus",$D42="Average"),$E42*'IE '!H$8,AND($C42="Electric bus",$D42="Nearly full"),$E42*'IE '!H$9,AND($C42="Diesel bus",$D42="Almost empty"),$E42*'IE '!H$19,AND($C42="Diesel bus",$D42="Average"),$E42*'IE '!H$20,AND($C42="Diesel bus",$D42="Nearly full"),$E42*'IE '!H$21,AND($C42="Hybrid-electric bus",$D42="Almost empty"),$E42*'IE '!H$11,AND($C42="Hybrid-electric bus",$D42="Average"),$E42*'IE '!H$12,AND($C42="Hybrid-electric bus",$D42="Nearly full"),$E42*'IE '!H$13,AND($C42="Alternative fuel bus",$D42="Almost empty"),$E42*'IE '!H$15,AND($C42="Alternative fuel bus",$D42="Average"),$E42*'IE '!H$16,AND($C42="Alternative fuel bus",$D42="Nearly full"),$E42*'IE '!H$17,AND($C42="Metro, tram, urban light train",$D42="Almost empty"),$E42*'IE '!C$35,AND($C42="Metro, tram, urban light train",$D42="Average"),$E42*'IE '!C$36,AND($C42="Metro, tram, urban light train",$D42="Nearly full"),$E42*'IE '!C$37,AND($C42="Electric passenger train",$D42="Almost empty"),$E42*'IE '!C$39,AND($C42="Electric passenger train",$D42="Average"),$E42*'IE '!C$40,AND($C42="Electric passenger train",$D42="Nearly full"),$E42*'IE '!C$41,AND($C42="Diesel passenger train",$D42="Almost empty"),$E42*'IE '!C$47,AND($C42="Diesel passenger train",$D42="Average"),$E42*'IE '!C$48,AND($C42="Diesel passenger train",$D42="Nearly full"),$E42*'IE '!C$49,AND($C42="Walking"),$E42*0,AND($C42="Bike"),$E42*0,AND($C42="Plane - domestic flight"),$E42*'IE '!$C66,AND($C42="Plane - international - intra EU"),$E42*'IE '!$C68,AND($C42="Plane - international (extra EU)"),$E42*'IE '!$C70)</f>
        <v>#N/A</v>
      </c>
      <c r="G42" s="31" t="e" cm="1">
        <f t="array" ref="G42">_xlfn.IFS(AND($C42="Fuel car",$D42=1),$E42*'IE '!D$7,AND($C42="Fuel car",$D42=2),$E42*'IE '!D$8,AND($C42="Fuel car",$D42=3),$E42*'IE '!D$9,AND($C42="Fuel car",$D42=4),$E42*'IE '!D$10,AND($C42="Fuel car",$D42=5),$E42*'IE '!D$11,AND($C42="Motorcycle",$D42=1),$E42*'IE '!D$13,AND($C42="Motorcycle",$D42=2),$E42*'IE '!D$14,AND($C42="Electric car",$D42=1),$E42*'IE '!D$16,AND($C42="Electric car",$D42=2),$E42*'IE '!D$17,AND($C42="Electric car",$D42=3),$E42*'IE '!D$18,AND($C42="Electric car",$D42=4),$E42*'IE '!D$19,AND($C42="Electric car",$D42=5),$E42*'IE '!D$20,AND($C42="Hybrid car",$D42=1),$E42*'IE '!D$22,AND($C42="Hybrid car",$D42=2),$E42*'IE '!D$23,AND($C42="Hybrid car",$D42=3),$E42*'IE '!D$24,AND($C42="Hybrid car",$D42=4),$E42*'IE '!D$25,AND($C42="Hybrid car",$D42=5),$E42*'IE '!D$26,AND($C42="Electric motorcycle",$D42=1),$E42*'IE '!D$28,AND($C42="Electric motorcycle",$D42=2),$E42*'IE '!D$29,AND($C42="Electric bike",$D42=1),$E42*'IE '!D$31,AND($C42="Electric scooter",$D42=1),$E42*'IE '!D$33,AND($C42="Bus",$D42="Almost empty"),$E42*'IE '!I$23,AND($C42="Bus",$D42="Average"),$E42*'IE '!I$24,AND($C42="Bus",$D42="Nearly full"),$E42*'IE '!I$25,AND($C42="Electric bus",$D42="Almost empty"),$E42*'IE '!I$7,AND($C42="Electric bus",$D42="Average"),$E42*'IE '!I$8,AND($C42="Electric bus",$D42="Nearly full"),$E42*'IE '!I$9,AND($C42="Diesel bus",$D42="Almost empty"),$E42*'IE '!I$19,AND($C42="Diesel bus",$D42="Average"),$E42*'IE '!I$20,AND($C42="Diesel bus",$D42="Nearly full"),$E42*'IE '!I$21,AND($C42="Hybrid-electric bus",$D42="Almost empty"),$E42*'IE '!I$11,AND($C42="Hybrid-electric bus",$D42="Average"),$E42*'IE '!I$12,AND($C42="Hybrid-electric bus",$D42="Nearly full"),$E42*'IE '!I$13,AND($C42="Alternative fuel bus",$D42="Almost empty"),$E42*'IE '!I$15,AND($C42="Alternative fuel bus",$D42="Average"),$E42*'IE '!I$16,AND($C42="Alternative fuel bus",$D42="Nearly full"),$E42*'IE '!I$17,AND($C42="Metro, tram, urban light train",$D42="Almost empty"),$E42*'IE '!D$35,AND($C42="Metro, tram, urban light train",$D42="Average"),$E42*'IE '!D$36,AND($C42="Metro, tram, urban light train",$D42="Nearly full"),$E42*'IE '!D$37,AND($C42="Electric passenger train",$D42="Almost empty"),$E42*'IE '!D$39,AND($C42="Electric passenger train",$D42="Average"),$E42*'IE '!D$40,AND($C42="Electric passenger train",$D42="Nearly full"),$E42*'IE '!D$41,AND($C42="Diesel passenger train",$D42="Almost empty"),$E42*'IE '!D$47,AND($C42="Diesel passenger train",$D42="Average"),$E42*'IE '!D$48,AND($C42="Diesel passenger train",$D42="Nearly full"),$E42*'IE '!D$49,AND($C42="Walking"),$E42*0,AND($C42="Bike"),$E42*0,AND($C42="Plane - domestic flight"),$E42*'IE '!$C66,AND($C42="Plane - international - intra EU"),$E42*'IE '!$C68,AND($C42="Plane - international (extra EU)"),$E42*'IE '!$C70)</f>
        <v>#N/A</v>
      </c>
      <c r="H42" s="145"/>
      <c r="I42" s="148">
        <f t="shared" si="6"/>
        <v>0</v>
      </c>
      <c r="J42" s="146" t="e" cm="1">
        <f t="array" ref="J42">_xlfn.IFS(C42="Fuel car",C42*DATA!$C$17,C42="Electric car",C42*DATA!$F$18,C42="Hybrid car",I42*(0.5*DATA!$C$17+0.5*DATA!$F$18))</f>
        <v>#N/A</v>
      </c>
      <c r="L42" s="235"/>
      <c r="M42" s="236"/>
      <c r="N42" s="237"/>
    </row>
    <row r="43" spans="1:14" ht="14.5" customHeight="1" thickBot="1" x14ac:dyDescent="0.25">
      <c r="A43" s="222"/>
      <c r="B43" s="30"/>
      <c r="C43" s="15"/>
      <c r="D43" s="15"/>
      <c r="E43" s="125"/>
      <c r="F43" s="128" t="e" cm="1">
        <f t="array" ref="F43">_xlfn.IFS(AND($C43="Fuel car",$D43=1),$E43*'IE '!C$7,AND($C43="Fuel car",$D43=2),$E43*'IE '!C$8,AND($C43="Fuel car",$D43=3),$E43*'IE '!C$9,AND($C43="Fuel car",$D43=4),$E43*'IE '!C$10,AND($C43="Fuel car",$D43=5),$E43*'IE '!C$11,AND($C43="Motorcycle",$D43=1),$E43*'IE '!C$13,AND($C43="Motorcycle",$D43=2),$E43*'IE '!C$14,AND($C43="Electric car",$D43=1),$E43*'IE '!C$16,AND($C43="Electric car",$D43=2),$E43*'IE '!C$17,AND($C43="Electric car",$D43=3),$E43*'IE '!C$18,AND($C43="Electric car",$D43=4),$E43*'IE '!C$19,AND($C43="Electric car",$D43=5),$E43*'IE '!C$20,AND($C43="Hybrid car",$D43=1),$E43*'IE '!C$22,AND($C43="Hybrid car",$D43=2),$E43*'IE '!C$23,AND($C43="Hybrid car",$D43=3),$E43*'IE '!C$24,AND($C43="Hybrid car",$D43=4),$E43*'IE '!C$25,AND($C43="Hybrid car",$D43=5),$E43*'IE '!C$26,AND($C43="Electric motorcycle",$D43=1),$E43*'IE '!C$28,AND($C43="Electric motorcycle",$D43=2),$E43*'IE '!C$29,AND($C43="Electric bike",$D43=1),$E43*'IE '!C$31,AND($C43="Electric scooter",$D43=1),$E43*'IE '!C$33,AND($C43="Bus",$D43="Almost empty"),$E43*'IE '!H$23,AND($C43="Bus",$D43="Average"),$E43*'IE '!H$24,AND($C43="Bus",$D43="Nearly full"),$E43*'IE '!H$25,AND($C43="Electric bus",$D43="Almost empty"),$E43*'IE '!H$7,AND($C43="Electric bus",$D43="Average"),$E43*'IE '!H$8,AND($C43="Electric bus",$D43="Nearly full"),$E43*'IE '!H$9,AND($C43="Diesel bus",$D43="Almost empty"),$E43*'IE '!H$19,AND($C43="Diesel bus",$D43="Average"),$E43*'IE '!H$20,AND($C43="Diesel bus",$D43="Nearly full"),$E43*'IE '!H$21,AND($C43="Hybrid-electric bus",$D43="Almost empty"),$E43*'IE '!H$11,AND($C43="Hybrid-electric bus",$D43="Average"),$E43*'IE '!H$12,AND($C43="Hybrid-electric bus",$D43="Nearly full"),$E43*'IE '!H$13,AND($C43="Alternative fuel bus",$D43="Almost empty"),$E43*'IE '!H$15,AND($C43="Alternative fuel bus",$D43="Average"),$E43*'IE '!H$16,AND($C43="Alternative fuel bus",$D43="Nearly full"),$E43*'IE '!H$17,AND($C43="Metro, tram, urban light train",$D43="Almost empty"),$E43*'IE '!C$35,AND($C43="Metro, tram, urban light train",$D43="Average"),$E43*'IE '!C$36,AND($C43="Metro, tram, urban light train",$D43="Nearly full"),$E43*'IE '!C$37,AND($C43="Electric passenger train",$D43="Almost empty"),$E43*'IE '!C$39,AND($C43="Electric passenger train",$D43="Average"),$E43*'IE '!C$40,AND($C43="Electric passenger train",$D43="Nearly full"),$E43*'IE '!C$41,AND($C43="Diesel passenger train",$D43="Almost empty"),$E43*'IE '!C$47,AND($C43="Diesel passenger train",$D43="Average"),$E43*'IE '!C$48,AND($C43="Diesel passenger train",$D43="Nearly full"),$E43*'IE '!C$49,AND($C43="Walking"),$E43*0,AND($C43="Bike"),$E43*0,AND($C43="Plane - domestic flight"),$E43*'IE '!$C67,AND($C43="Plane - international - intra EU"),$E43*'IE '!$C69,AND($C43="Plane - international (extra EU)"),$E43*'IE '!$C71)</f>
        <v>#N/A</v>
      </c>
      <c r="G43" s="31" t="e" cm="1">
        <f t="array" ref="G43">_xlfn.IFS(AND($C43="Fuel car",$D43=1),$E43*'IE '!D$7,AND($C43="Fuel car",$D43=2),$E43*'IE '!D$8,AND($C43="Fuel car",$D43=3),$E43*'IE '!D$9,AND($C43="Fuel car",$D43=4),$E43*'IE '!D$10,AND($C43="Fuel car",$D43=5),$E43*'IE '!D$11,AND($C43="Motorcycle",$D43=1),$E43*'IE '!D$13,AND($C43="Motorcycle",$D43=2),$E43*'IE '!D$14,AND($C43="Electric car",$D43=1),$E43*'IE '!D$16,AND($C43="Electric car",$D43=2),$E43*'IE '!D$17,AND($C43="Electric car",$D43=3),$E43*'IE '!D$18,AND($C43="Electric car",$D43=4),$E43*'IE '!D$19,AND($C43="Electric car",$D43=5),$E43*'IE '!D$20,AND($C43="Hybrid car",$D43=1),$E43*'IE '!D$22,AND($C43="Hybrid car",$D43=2),$E43*'IE '!D$23,AND($C43="Hybrid car",$D43=3),$E43*'IE '!D$24,AND($C43="Hybrid car",$D43=4),$E43*'IE '!D$25,AND($C43="Hybrid car",$D43=5),$E43*'IE '!D$26,AND($C43="Electric motorcycle",$D43=1),$E43*'IE '!D$28,AND($C43="Electric motorcycle",$D43=2),$E43*'IE '!D$29,AND($C43="Electric bike",$D43=1),$E43*'IE '!D$31,AND($C43="Electric scooter",$D43=1),$E43*'IE '!D$33,AND($C43="Bus",$D43="Almost empty"),$E43*'IE '!I$23,AND($C43="Bus",$D43="Average"),$E43*'IE '!I$24,AND($C43="Bus",$D43="Nearly full"),$E43*'IE '!I$25,AND($C43="Electric bus",$D43="Almost empty"),$E43*'IE '!I$7,AND($C43="Electric bus",$D43="Average"),$E43*'IE '!I$8,AND($C43="Electric bus",$D43="Nearly full"),$E43*'IE '!I$9,AND($C43="Diesel bus",$D43="Almost empty"),$E43*'IE '!I$19,AND($C43="Diesel bus",$D43="Average"),$E43*'IE '!I$20,AND($C43="Diesel bus",$D43="Nearly full"),$E43*'IE '!I$21,AND($C43="Hybrid-electric bus",$D43="Almost empty"),$E43*'IE '!I$11,AND($C43="Hybrid-electric bus",$D43="Average"),$E43*'IE '!I$12,AND($C43="Hybrid-electric bus",$D43="Nearly full"),$E43*'IE '!I$13,AND($C43="Alternative fuel bus",$D43="Almost empty"),$E43*'IE '!I$15,AND($C43="Alternative fuel bus",$D43="Average"),$E43*'IE '!I$16,AND($C43="Alternative fuel bus",$D43="Nearly full"),$E43*'IE '!I$17,AND($C43="Metro, tram, urban light train",$D43="Almost empty"),$E43*'IE '!D$35,AND($C43="Metro, tram, urban light train",$D43="Average"),$E43*'IE '!D$36,AND($C43="Metro, tram, urban light train",$D43="Nearly full"),$E43*'IE '!D$37,AND($C43="Electric passenger train",$D43="Almost empty"),$E43*'IE '!D$39,AND($C43="Electric passenger train",$D43="Average"),$E43*'IE '!D$40,AND($C43="Electric passenger train",$D43="Nearly full"),$E43*'IE '!D$41,AND($C43="Diesel passenger train",$D43="Almost empty"),$E43*'IE '!D$47,AND($C43="Diesel passenger train",$D43="Average"),$E43*'IE '!D$48,AND($C43="Diesel passenger train",$D43="Nearly full"),$E43*'IE '!D$49,AND($C43="Walking"),$E43*0,AND($C43="Bike"),$E43*0,AND($C43="Plane - domestic flight"),$E43*'IE '!$C67,AND($C43="Plane - international - intra EU"),$E43*'IE '!$C69,AND($C43="Plane - international (extra EU)"),$E43*'IE '!$C71)</f>
        <v>#N/A</v>
      </c>
      <c r="H43" s="109"/>
      <c r="I43" s="154">
        <f t="shared" si="6"/>
        <v>0</v>
      </c>
      <c r="J43" s="147" t="e" cm="1">
        <f t="array" ref="J43">_xlfn.IFS(C43="Fuel car",C43*DATA!$C$17,C43="Electric car",C43*DATA!$F$18,C43="Hybrid car",I43*(0.5*DATA!$C$17+0.5*DATA!$F$18))</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car",$D44=1),$E44*'IE '!C$7,AND($C44="Fuel car",$D44=2),$E44*'IE '!C$8,AND($C44="Fuel car",$D44=3),$E44*'IE '!C$9,AND($C44="Fuel car",$D44=4),$E44*'IE '!C$10,AND($C44="Fuel car",$D44=5),$E44*'IE '!C$11,AND($C44="Motorcycle",$D44=1),$E44*'IE '!C$13,AND($C44="Motorcycle",$D44=2),$E44*'IE '!C$14,AND($C44="Electric car",$D44=1),$E44*'IE '!C$16,AND($C44="Electric car",$D44=2),$E44*'IE '!C$17,AND($C44="Electric car",$D44=3),$E44*'IE '!C$18,AND($C44="Electric car",$D44=4),$E44*'IE '!C$19,AND($C44="Electric car",$D44=5),$E44*'IE '!C$20,AND($C44="Hybrid car",$D44=1),$E44*'IE '!C$22,AND($C44="Hybrid car",$D44=2),$E44*'IE '!C$23,AND($C44="Hybrid car",$D44=3),$E44*'IE '!C$24,AND($C44="Hybrid car",$D44=4),$E44*'IE '!C$25,AND($C44="Hybrid car",$D44=5),$E44*'IE '!C$26,AND($C44="Electric motorcycle",$D44=1),$E44*'IE '!C$28,AND($C44="Electric motorcycle",$D44=2),$E44*'IE '!C$29,AND($C44="Electric bike",$D44=1),$E44*'IE '!C$31,AND($C44="Electric scooter",$D44=1),$E44*'IE '!C$33,AND($C44="Bus",$D44="Almost empty"),$E44*'IE '!H$23,AND($C44="Bus",$D44="Average"),$E44*'IE '!H$24,AND($C44="Bus",$D44="Nearly full"),$E44*'IE '!H$25,AND($C44="Electric bus",$D44="Almost empty"),$E44*'IE '!H$7,AND($C44="Electric bus",$D44="Average"),$E44*'IE '!H$8,AND($C44="Electric bus",$D44="Nearly full"),$E44*'IE '!H$9,AND($C44="Diesel bus",$D44="Almost empty"),$E44*'IE '!H$19,AND($C44="Diesel bus",$D44="Average"),$E44*'IE '!H$20,AND($C44="Diesel bus",$D44="Nearly full"),$E44*'IE '!H$21,AND($C44="Hybrid-electric bus",$D44="Almost empty"),$E44*'IE '!H$11,AND($C44="Hybrid-electric bus",$D44="Average"),$E44*'IE '!H$12,AND($C44="Hybrid-electric bus",$D44="Nearly full"),$E44*'IE '!H$13,AND($C44="Alternative fuel bus",$D44="Almost empty"),$E44*'IE '!H$15,AND($C44="Alternative fuel bus",$D44="Average"),$E44*'IE '!H$16,AND($C44="Alternative fuel bus",$D44="Nearly full"),$E44*'IE '!H$17,AND($C44="Metro, tram, urban light train",$D44="Almost empty"),$E44*'IE '!C$35,AND($C44="Metro, tram, urban light train",$D44="Average"),$E44*'IE '!C$36,AND($C44="Metro, tram, urban light train",$D44="Nearly full"),$E44*'IE '!C$37,AND($C44="Electric passenger train",$D44="Almost empty"),$E44*'IE '!C$39,AND($C44="Electric passenger train",$D44="Average"),$E44*'IE '!C$40,AND($C44="Electric passenger train",$D44="Nearly full"),$E44*'IE '!C$41,AND($C44="Diesel passenger train",$D44="Almost empty"),$E44*'IE '!C$47,AND($C44="Diesel passenger train",$D44="Average"),$E44*'IE '!C$48,AND($C44="Diesel passenger train",$D44="Nearly full"),$E44*'IE '!C$49,AND($C44="Walking"),$E44*0,AND($C44="Bike"),$E44*0,AND($C44="Plane - domestic flight"),$E44*'IE '!$C68,AND($C44="Plane - international - intra EU"),$E44*'IE '!$C70,AND($C44="Plane - international (extra EU)"),$E44*'IE '!$C72)</f>
        <v>#N/A</v>
      </c>
      <c r="G44" s="31" t="e" cm="1">
        <f t="array" ref="G44">_xlfn.IFS(AND($C44="Fuel car",$D44=1),$E44*'IE '!D$7,AND($C44="Fuel car",$D44=2),$E44*'IE '!D$8,AND($C44="Fuel car",$D44=3),$E44*'IE '!D$9,AND($C44="Fuel car",$D44=4),$E44*'IE '!D$10,AND($C44="Fuel car",$D44=5),$E44*'IE '!D$11,AND($C44="Motorcycle",$D44=1),$E44*'IE '!D$13,AND($C44="Motorcycle",$D44=2),$E44*'IE '!D$14,AND($C44="Electric car",$D44=1),$E44*'IE '!D$16,AND($C44="Electric car",$D44=2),$E44*'IE '!D$17,AND($C44="Electric car",$D44=3),$E44*'IE '!D$18,AND($C44="Electric car",$D44=4),$E44*'IE '!D$19,AND($C44="Electric car",$D44=5),$E44*'IE '!D$20,AND($C44="Hybrid car",$D44=1),$E44*'IE '!D$22,AND($C44="Hybrid car",$D44=2),$E44*'IE '!D$23,AND($C44="Hybrid car",$D44=3),$E44*'IE '!D$24,AND($C44="Hybrid car",$D44=4),$E44*'IE '!D$25,AND($C44="Hybrid car",$D44=5),$E44*'IE '!D$26,AND($C44="Electric motorcycle",$D44=1),$E44*'IE '!D$28,AND($C44="Electric motorcycle",$D44=2),$E44*'IE '!D$29,AND($C44="Electric bike",$D44=1),$E44*'IE '!D$31,AND($C44="Electric scooter",$D44=1),$E44*'IE '!D$33,AND($C44="Bus",$D44="Almost empty"),$E44*'IE '!I$23,AND($C44="Bus",$D44="Average"),$E44*'IE '!I$24,AND($C44="Bus",$D44="Nearly full"),$E44*'IE '!I$25,AND($C44="Electric bus",$D44="Almost empty"),$E44*'IE '!I$7,AND($C44="Electric bus",$D44="Average"),$E44*'IE '!I$8,AND($C44="Electric bus",$D44="Nearly full"),$E44*'IE '!I$9,AND($C44="Diesel bus",$D44="Almost empty"),$E44*'IE '!I$19,AND($C44="Diesel bus",$D44="Average"),$E44*'IE '!I$20,AND($C44="Diesel bus",$D44="Nearly full"),$E44*'IE '!I$21,AND($C44="Hybrid-electric bus",$D44="Almost empty"),$E44*'IE '!I$11,AND($C44="Hybrid-electric bus",$D44="Average"),$E44*'IE '!I$12,AND($C44="Hybrid-electric bus",$D44="Nearly full"),$E44*'IE '!I$13,AND($C44="Alternative fuel bus",$D44="Almost empty"),$E44*'IE '!I$15,AND($C44="Alternative fuel bus",$D44="Average"),$E44*'IE '!I$16,AND($C44="Alternative fuel bus",$D44="Nearly full"),$E44*'IE '!I$17,AND($C44="Metro, tram, urban light train",$D44="Almost empty"),$E44*'IE '!D$35,AND($C44="Metro, tram, urban light train",$D44="Average"),$E44*'IE '!D$36,AND($C44="Metro, tram, urban light train",$D44="Nearly full"),$E44*'IE '!D$37,AND($C44="Electric passenger train",$D44="Almost empty"),$E44*'IE '!D$39,AND($C44="Electric passenger train",$D44="Average"),$E44*'IE '!D$40,AND($C44="Electric passenger train",$D44="Nearly full"),$E44*'IE '!D$41,AND($C44="Diesel passenger train",$D44="Almost empty"),$E44*'IE '!D$47,AND($C44="Diesel passenger train",$D44="Average"),$E44*'IE '!D$48,AND($C44="Diesel passenger train",$D44="Nearly full"),$E44*'IE '!D$49,AND($C44="Walking"),$E44*0,AND($C44="Bike"),$E44*0,AND($C44="Plane - domestic flight"),$E44*'IE '!$C68,AND($C44="Plane - international - intra EU"),$E44*'IE '!$C70,AND($C44="Plane - international (extra EU)"),$E44*'IE '!$C72)</f>
        <v>#N/A</v>
      </c>
      <c r="L44" s="218"/>
      <c r="M44" s="219"/>
      <c r="N44" s="220"/>
    </row>
    <row r="45" spans="1:14" ht="18.5" customHeight="1" x14ac:dyDescent="0.2">
      <c r="A45" s="222"/>
      <c r="B45" s="30"/>
      <c r="C45" s="15"/>
      <c r="D45" s="15"/>
      <c r="E45" s="125"/>
      <c r="F45" s="128" t="e" cm="1">
        <f t="array" ref="F45">_xlfn.IFS(AND($C45="Fuel car",$D45=1),$E45*'IE '!C$7,AND($C45="Fuel car",$D45=2),$E45*'IE '!C$8,AND($C45="Fuel car",$D45=3),$E45*'IE '!C$9,AND($C45="Fuel car",$D45=4),$E45*'IE '!C$10,AND($C45="Fuel car",$D45=5),$E45*'IE '!C$11,AND($C45="Motorcycle",$D45=1),$E45*'IE '!C$13,AND($C45="Motorcycle",$D45=2),$E45*'IE '!C$14,AND($C45="Electric car",$D45=1),$E45*'IE '!C$16,AND($C45="Electric car",$D45=2),$E45*'IE '!C$17,AND($C45="Electric car",$D45=3),$E45*'IE '!C$18,AND($C45="Electric car",$D45=4),$E45*'IE '!C$19,AND($C45="Electric car",$D45=5),$E45*'IE '!C$20,AND($C45="Hybrid car",$D45=1),$E45*'IE '!C$22,AND($C45="Hybrid car",$D45=2),$E45*'IE '!C$23,AND($C45="Hybrid car",$D45=3),$E45*'IE '!C$24,AND($C45="Hybrid car",$D45=4),$E45*'IE '!C$25,AND($C45="Hybrid car",$D45=5),$E45*'IE '!C$26,AND($C45="Electric motorcycle",$D45=1),$E45*'IE '!C$28,AND($C45="Electric motorcycle",$D45=2),$E45*'IE '!C$29,AND($C45="Electric bike",$D45=1),$E45*'IE '!C$31,AND($C45="Electric scooter",$D45=1),$E45*'IE '!C$33,AND($C45="Bus",$D45="Almost empty"),$E45*'IE '!H$23,AND($C45="Bus",$D45="Average"),$E45*'IE '!H$24,AND($C45="Bus",$D45="Nearly full"),$E45*'IE '!H$25,AND($C45="Electric bus",$D45="Almost empty"),$E45*'IE '!H$7,AND($C45="Electric bus",$D45="Average"),$E45*'IE '!H$8,AND($C45="Electric bus",$D45="Nearly full"),$E45*'IE '!H$9,AND($C45="Diesel bus",$D45="Almost empty"),$E45*'IE '!H$19,AND($C45="Diesel bus",$D45="Average"),$E45*'IE '!H$20,AND($C45="Diesel bus",$D45="Nearly full"),$E45*'IE '!H$21,AND($C45="Hybrid-electric bus",$D45="Almost empty"),$E45*'IE '!H$11,AND($C45="Hybrid-electric bus",$D45="Average"),$E45*'IE '!H$12,AND($C45="Hybrid-electric bus",$D45="Nearly full"),$E45*'IE '!H$13,AND($C45="Alternative fuel bus",$D45="Almost empty"),$E45*'IE '!H$15,AND($C45="Alternative fuel bus",$D45="Average"),$E45*'IE '!H$16,AND($C45="Alternative fuel bus",$D45="Nearly full"),$E45*'IE '!H$17,AND($C45="Metro, tram, urban light train",$D45="Almost empty"),$E45*'IE '!C$35,AND($C45="Metro, tram, urban light train",$D45="Average"),$E45*'IE '!C$36,AND($C45="Metro, tram, urban light train",$D45="Nearly full"),$E45*'IE '!C$37,AND($C45="Electric passenger train",$D45="Almost empty"),$E45*'IE '!C$39,AND($C45="Electric passenger train",$D45="Average"),$E45*'IE '!C$40,AND($C45="Electric passenger train",$D45="Nearly full"),$E45*'IE '!C$41,AND($C45="Diesel passenger train",$D45="Almost empty"),$E45*'IE '!C$47,AND($C45="Diesel passenger train",$D45="Average"),$E45*'IE '!C$48,AND($C45="Diesel passenger train",$D45="Nearly full"),$E45*'IE '!C$49,AND($C45="Walking"),$E45*0,AND($C45="Bike"),$E45*0,AND($C45="Plane - domestic flight"),$E45*'IE '!$C69,AND($C45="Plane - international - intra EU"),$E45*'IE '!$C71,AND($C45="Plane - international (extra EU)"),$E45*'IE '!$C73)</f>
        <v>#N/A</v>
      </c>
      <c r="G45" s="31" t="e" cm="1">
        <f t="array" ref="G45">_xlfn.IFS(AND($C45="Fuel car",$D45=1),$E45*'IE '!D$7,AND($C45="Fuel car",$D45=2),$E45*'IE '!D$8,AND($C45="Fuel car",$D45=3),$E45*'IE '!D$9,AND($C45="Fuel car",$D45=4),$E45*'IE '!D$10,AND($C45="Fuel car",$D45=5),$E45*'IE '!D$11,AND($C45="Motorcycle",$D45=1),$E45*'IE '!D$13,AND($C45="Motorcycle",$D45=2),$E45*'IE '!D$14,AND($C45="Electric car",$D45=1),$E45*'IE '!D$16,AND($C45="Electric car",$D45=2),$E45*'IE '!D$17,AND($C45="Electric car",$D45=3),$E45*'IE '!D$18,AND($C45="Electric car",$D45=4),$E45*'IE '!D$19,AND($C45="Electric car",$D45=5),$E45*'IE '!D$20,AND($C45="Hybrid car",$D45=1),$E45*'IE '!D$22,AND($C45="Hybrid car",$D45=2),$E45*'IE '!D$23,AND($C45="Hybrid car",$D45=3),$E45*'IE '!D$24,AND($C45="Hybrid car",$D45=4),$E45*'IE '!D$25,AND($C45="Hybrid car",$D45=5),$E45*'IE '!D$26,AND($C45="Electric motorcycle",$D45=1),$E45*'IE '!D$28,AND($C45="Electric motorcycle",$D45=2),$E45*'IE '!D$29,AND($C45="Electric bike",$D45=1),$E45*'IE '!D$31,AND($C45="Electric scooter",$D45=1),$E45*'IE '!D$33,AND($C45="Bus",$D45="Almost empty"),$E45*'IE '!I$23,AND($C45="Bus",$D45="Average"),$E45*'IE '!I$24,AND($C45="Bus",$D45="Nearly full"),$E45*'IE '!I$25,AND($C45="Electric bus",$D45="Almost empty"),$E45*'IE '!I$7,AND($C45="Electric bus",$D45="Average"),$E45*'IE '!I$8,AND($C45="Electric bus",$D45="Nearly full"),$E45*'IE '!I$9,AND($C45="Diesel bus",$D45="Almost empty"),$E45*'IE '!I$19,AND($C45="Diesel bus",$D45="Average"),$E45*'IE '!I$20,AND($C45="Diesel bus",$D45="Nearly full"),$E45*'IE '!I$21,AND($C45="Hybrid-electric bus",$D45="Almost empty"),$E45*'IE '!I$11,AND($C45="Hybrid-electric bus",$D45="Average"),$E45*'IE '!I$12,AND($C45="Hybrid-electric bus",$D45="Nearly full"),$E45*'IE '!I$13,AND($C45="Alternative fuel bus",$D45="Almost empty"),$E45*'IE '!I$15,AND($C45="Alternative fuel bus",$D45="Average"),$E45*'IE '!I$16,AND($C45="Alternative fuel bus",$D45="Nearly full"),$E45*'IE '!I$17,AND($C45="Metro, tram, urban light train",$D45="Almost empty"),$E45*'IE '!D$35,AND($C45="Metro, tram, urban light train",$D45="Average"),$E45*'IE '!D$36,AND($C45="Metro, tram, urban light train",$D45="Nearly full"),$E45*'IE '!D$37,AND($C45="Electric passenger train",$D45="Almost empty"),$E45*'IE '!D$39,AND($C45="Electric passenger train",$D45="Average"),$E45*'IE '!D$40,AND($C45="Electric passenger train",$D45="Nearly full"),$E45*'IE '!D$41,AND($C45="Diesel passenger train",$D45="Almost empty"),$E45*'IE '!D$47,AND($C45="Diesel passenger train",$D45="Average"),$E45*'IE '!D$48,AND($C45="Diesel passenger train",$D45="Nearly full"),$E45*'IE '!D$49,AND($C45="Walking"),$E45*0,AND($C45="Bike"),$E45*0,AND($C45="Plane - domestic flight"),$E45*'IE '!$C69,AND($C45="Plane - international - intra EU"),$E45*'IE '!$C71,AND($C45="Plane - international (extra EU)"),$E45*'IE '!$C73)</f>
        <v>#N/A</v>
      </c>
      <c r="L45" s="198" t="s">
        <v>256</v>
      </c>
      <c r="M45" s="199"/>
      <c r="N45" s="200"/>
    </row>
    <row r="46" spans="1:14" ht="16" thickBot="1" x14ac:dyDescent="0.25">
      <c r="A46" s="222"/>
      <c r="B46" s="30"/>
      <c r="C46" s="15"/>
      <c r="D46" s="15"/>
      <c r="E46" s="125"/>
      <c r="F46" s="128" t="e" cm="1">
        <f t="array" ref="F46">_xlfn.IFS(AND($C46="Fuel car",$D46=1),$E46*'IE '!C$7,AND($C46="Fuel car",$D46=2),$E46*'IE '!C$8,AND($C46="Fuel car",$D46=3),$E46*'IE '!C$9,AND($C46="Fuel car",$D46=4),$E46*'IE '!C$10,AND($C46="Fuel car",$D46=5),$E46*'IE '!C$11,AND($C46="Motorcycle",$D46=1),$E46*'IE '!C$13,AND($C46="Motorcycle",$D46=2),$E46*'IE '!C$14,AND($C46="Electric car",$D46=1),$E46*'IE '!C$16,AND($C46="Electric car",$D46=2),$E46*'IE '!C$17,AND($C46="Electric car",$D46=3),$E46*'IE '!C$18,AND($C46="Electric car",$D46=4),$E46*'IE '!C$19,AND($C46="Electric car",$D46=5),$E46*'IE '!C$20,AND($C46="Hybrid car",$D46=1),$E46*'IE '!C$22,AND($C46="Hybrid car",$D46=2),$E46*'IE '!C$23,AND($C46="Hybrid car",$D46=3),$E46*'IE '!C$24,AND($C46="Hybrid car",$D46=4),$E46*'IE '!C$25,AND($C46="Hybrid car",$D46=5),$E46*'IE '!C$26,AND($C46="Electric motorcycle",$D46=1),$E46*'IE '!C$28,AND($C46="Electric motorcycle",$D46=2),$E46*'IE '!C$29,AND($C46="Electric bike",$D46=1),$E46*'IE '!C$31,AND($C46="Electric scooter",$D46=1),$E46*'IE '!C$33,AND($C46="Bus",$D46="Almost empty"),$E46*'IE '!H$23,AND($C46="Bus",$D46="Average"),$E46*'IE '!H$24,AND($C46="Bus",$D46="Nearly full"),$E46*'IE '!H$25,AND($C46="Electric bus",$D46="Almost empty"),$E46*'IE '!H$7,AND($C46="Electric bus",$D46="Average"),$E46*'IE '!H$8,AND($C46="Electric bus",$D46="Nearly full"),$E46*'IE '!H$9,AND($C46="Diesel bus",$D46="Almost empty"),$E46*'IE '!H$19,AND($C46="Diesel bus",$D46="Average"),$E46*'IE '!H$20,AND($C46="Diesel bus",$D46="Nearly full"),$E46*'IE '!H$21,AND($C46="Hybrid-electric bus",$D46="Almost empty"),$E46*'IE '!H$11,AND($C46="Hybrid-electric bus",$D46="Average"),$E46*'IE '!H$12,AND($C46="Hybrid-electric bus",$D46="Nearly full"),$E46*'IE '!H$13,AND($C46="Alternative fuel bus",$D46="Almost empty"),$E46*'IE '!H$15,AND($C46="Alternative fuel bus",$D46="Average"),$E46*'IE '!H$16,AND($C46="Alternative fuel bus",$D46="Nearly full"),$E46*'IE '!H$17,AND($C46="Metro, tram, urban light train",$D46="Almost empty"),$E46*'IE '!C$35,AND($C46="Metro, tram, urban light train",$D46="Average"),$E46*'IE '!C$36,AND($C46="Metro, tram, urban light train",$D46="Nearly full"),$E46*'IE '!C$37,AND($C46="Electric passenger train",$D46="Almost empty"),$E46*'IE '!C$39,AND($C46="Electric passenger train",$D46="Average"),$E46*'IE '!C$40,AND($C46="Electric passenger train",$D46="Nearly full"),$E46*'IE '!C$41,AND($C46="Diesel passenger train",$D46="Almost empty"),$E46*'IE '!C$47,AND($C46="Diesel passenger train",$D46="Average"),$E46*'IE '!C$48,AND($C46="Diesel passenger train",$D46="Nearly full"),$E46*'IE '!C$49,AND($C46="Walking"),$E46*0,AND($C46="Bike"),$E46*0,AND($C46="Plane - domestic flight"),$E46*'IE '!$C70,AND($C46="Plane - international - intra EU"),$E46*'IE '!$C72,AND($C46="Plane - international (extra EU)"),$E46*'IE '!$C74)</f>
        <v>#N/A</v>
      </c>
      <c r="G46" s="31" t="e" cm="1">
        <f t="array" ref="G46">_xlfn.IFS(AND($C46="Fuel car",$D46=1),$E46*'IE '!D$7,AND($C46="Fuel car",$D46=2),$E46*'IE '!D$8,AND($C46="Fuel car",$D46=3),$E46*'IE '!D$9,AND($C46="Fuel car",$D46=4),$E46*'IE '!D$10,AND($C46="Fuel car",$D46=5),$E46*'IE '!D$11,AND($C46="Motorcycle",$D46=1),$E46*'IE '!D$13,AND($C46="Motorcycle",$D46=2),$E46*'IE '!D$14,AND($C46="Electric car",$D46=1),$E46*'IE '!D$16,AND($C46="Electric car",$D46=2),$E46*'IE '!D$17,AND($C46="Electric car",$D46=3),$E46*'IE '!D$18,AND($C46="Electric car",$D46=4),$E46*'IE '!D$19,AND($C46="Electric car",$D46=5),$E46*'IE '!D$20,AND($C46="Hybrid car",$D46=1),$E46*'IE '!D$22,AND($C46="Hybrid car",$D46=2),$E46*'IE '!D$23,AND($C46="Hybrid car",$D46=3),$E46*'IE '!D$24,AND($C46="Hybrid car",$D46=4),$E46*'IE '!D$25,AND($C46="Hybrid car",$D46=5),$E46*'IE '!D$26,AND($C46="Electric motorcycle",$D46=1),$E46*'IE '!D$28,AND($C46="Electric motorcycle",$D46=2),$E46*'IE '!D$29,AND($C46="Electric bike",$D46=1),$E46*'IE '!D$31,AND($C46="Electric scooter",$D46=1),$E46*'IE '!D$33,AND($C46="Bus",$D46="Almost empty"),$E46*'IE '!I$23,AND($C46="Bus",$D46="Average"),$E46*'IE '!I$24,AND($C46="Bus",$D46="Nearly full"),$E46*'IE '!I$25,AND($C46="Electric bus",$D46="Almost empty"),$E46*'IE '!I$7,AND($C46="Electric bus",$D46="Average"),$E46*'IE '!I$8,AND($C46="Electric bus",$D46="Nearly full"),$E46*'IE '!I$9,AND($C46="Diesel bus",$D46="Almost empty"),$E46*'IE '!I$19,AND($C46="Diesel bus",$D46="Average"),$E46*'IE '!I$20,AND($C46="Diesel bus",$D46="Nearly full"),$E46*'IE '!I$21,AND($C46="Hybrid-electric bus",$D46="Almost empty"),$E46*'IE '!I$11,AND($C46="Hybrid-electric bus",$D46="Average"),$E46*'IE '!I$12,AND($C46="Hybrid-electric bus",$D46="Nearly full"),$E46*'IE '!I$13,AND($C46="Alternative fuel bus",$D46="Almost empty"),$E46*'IE '!I$15,AND($C46="Alternative fuel bus",$D46="Average"),$E46*'IE '!I$16,AND($C46="Alternative fuel bus",$D46="Nearly full"),$E46*'IE '!I$17,AND($C46="Metro, tram, urban light train",$D46="Almost empty"),$E46*'IE '!D$35,AND($C46="Metro, tram, urban light train",$D46="Average"),$E46*'IE '!D$36,AND($C46="Metro, tram, urban light train",$D46="Nearly full"),$E46*'IE '!D$37,AND($C46="Electric passenger train",$D46="Almost empty"),$E46*'IE '!D$39,AND($C46="Electric passenger train",$D46="Average"),$E46*'IE '!D$40,AND($C46="Electric passenger train",$D46="Nearly full"),$E46*'IE '!D$41,AND($C46="Diesel passenger train",$D46="Almost empty"),$E46*'IE '!D$47,AND($C46="Diesel passenger train",$D46="Average"),$E46*'IE '!D$48,AND($C46="Diesel passenger train",$D46="Nearly full"),$E46*'IE '!D$49,AND($C46="Walking"),$E46*0,AND($C46="Bike"),$E46*0,AND($C46="Plane - domestic flight"),$E46*'IE '!$C70,AND($C46="Plane - international - intra EU"),$E46*'IE '!$C72,AND($C46="Plane - international (extra EU)"),$E46*'IE '!$C74)</f>
        <v>#N/A</v>
      </c>
      <c r="L46" s="246"/>
      <c r="M46" s="247"/>
      <c r="N46" s="248"/>
    </row>
    <row r="47" spans="1:14" ht="20" thickBot="1" x14ac:dyDescent="0.25">
      <c r="A47" s="222"/>
      <c r="B47" s="30"/>
      <c r="C47" s="15"/>
      <c r="D47" s="15"/>
      <c r="E47" s="125"/>
      <c r="F47" s="128" t="e" cm="1">
        <f t="array" ref="F47">_xlfn.IFS(AND($C47="Fuel car",$D47=1),$E47*'IE '!C$7,AND($C47="Fuel car",$D47=2),$E47*'IE '!C$8,AND($C47="Fuel car",$D47=3),$E47*'IE '!C$9,AND($C47="Fuel car",$D47=4),$E47*'IE '!C$10,AND($C47="Fuel car",$D47=5),$E47*'IE '!C$11,AND($C47="Motorcycle",$D47=1),$E47*'IE '!C$13,AND($C47="Motorcycle",$D47=2),$E47*'IE '!C$14,AND($C47="Electric car",$D47=1),$E47*'IE '!C$16,AND($C47="Electric car",$D47=2),$E47*'IE '!C$17,AND($C47="Electric car",$D47=3),$E47*'IE '!C$18,AND($C47="Electric car",$D47=4),$E47*'IE '!C$19,AND($C47="Electric car",$D47=5),$E47*'IE '!C$20,AND($C47="Hybrid car",$D47=1),$E47*'IE '!C$22,AND($C47="Hybrid car",$D47=2),$E47*'IE '!C$23,AND($C47="Hybrid car",$D47=3),$E47*'IE '!C$24,AND($C47="Hybrid car",$D47=4),$E47*'IE '!C$25,AND($C47="Hybrid car",$D47=5),$E47*'IE '!C$26,AND($C47="Electric motorcycle",$D47=1),$E47*'IE '!C$28,AND($C47="Electric motorcycle",$D47=2),$E47*'IE '!C$29,AND($C47="Electric bike",$D47=1),$E47*'IE '!C$31,AND($C47="Electric scooter",$D47=1),$E47*'IE '!C$33,AND($C47="Bus",$D47="Almost empty"),$E47*'IE '!H$23,AND($C47="Bus",$D47="Average"),$E47*'IE '!H$24,AND($C47="Bus",$D47="Nearly full"),$E47*'IE '!H$25,AND($C47="Electric bus",$D47="Almost empty"),$E47*'IE '!H$7,AND($C47="Electric bus",$D47="Average"),$E47*'IE '!H$8,AND($C47="Electric bus",$D47="Nearly full"),$E47*'IE '!H$9,AND($C47="Diesel bus",$D47="Almost empty"),$E47*'IE '!H$19,AND($C47="Diesel bus",$D47="Average"),$E47*'IE '!H$20,AND($C47="Diesel bus",$D47="Nearly full"),$E47*'IE '!H$21,AND($C47="Hybrid-electric bus",$D47="Almost empty"),$E47*'IE '!H$11,AND($C47="Hybrid-electric bus",$D47="Average"),$E47*'IE '!H$12,AND($C47="Hybrid-electric bus",$D47="Nearly full"),$E47*'IE '!H$13,AND($C47="Alternative fuel bus",$D47="Almost empty"),$E47*'IE '!H$15,AND($C47="Alternative fuel bus",$D47="Average"),$E47*'IE '!H$16,AND($C47="Alternative fuel bus",$D47="Nearly full"),$E47*'IE '!H$17,AND($C47="Metro, tram, urban light train",$D47="Almost empty"),$E47*'IE '!C$35,AND($C47="Metro, tram, urban light train",$D47="Average"),$E47*'IE '!C$36,AND($C47="Metro, tram, urban light train",$D47="Nearly full"),$E47*'IE '!C$37,AND($C47="Electric passenger train",$D47="Almost empty"),$E47*'IE '!C$39,AND($C47="Electric passenger train",$D47="Average"),$E47*'IE '!C$40,AND($C47="Electric passenger train",$D47="Nearly full"),$E47*'IE '!C$41,AND($C47="Diesel passenger train",$D47="Almost empty"),$E47*'IE '!C$47,AND($C47="Diesel passenger train",$D47="Average"),$E47*'IE '!C$48,AND($C47="Diesel passenger train",$D47="Nearly full"),$E47*'IE '!C$49,AND($C47="Walking"),$E47*0,AND($C47="Bike"),$E47*0,AND($C47="Plane - domestic flight"),$E47*'IE '!$C71,AND($C47="Plane - international - intra EU"),$E47*'IE '!$C73,AND($C47="Plane - international (extra EU)"),$E47*'IE '!$C75)</f>
        <v>#N/A</v>
      </c>
      <c r="G47" s="31" t="e" cm="1">
        <f t="array" ref="G47">_xlfn.IFS(AND($C47="Fuel car",$D47=1),$E47*'IE '!D$7,AND($C47="Fuel car",$D47=2),$E47*'IE '!D$8,AND($C47="Fuel car",$D47=3),$E47*'IE '!D$9,AND($C47="Fuel car",$D47=4),$E47*'IE '!D$10,AND($C47="Fuel car",$D47=5),$E47*'IE '!D$11,AND($C47="Motorcycle",$D47=1),$E47*'IE '!D$13,AND($C47="Motorcycle",$D47=2),$E47*'IE '!D$14,AND($C47="Electric car",$D47=1),$E47*'IE '!D$16,AND($C47="Electric car",$D47=2),$E47*'IE '!D$17,AND($C47="Electric car",$D47=3),$E47*'IE '!D$18,AND($C47="Electric car",$D47=4),$E47*'IE '!D$19,AND($C47="Electric car",$D47=5),$E47*'IE '!D$20,AND($C47="Hybrid car",$D47=1),$E47*'IE '!D$22,AND($C47="Hybrid car",$D47=2),$E47*'IE '!D$23,AND($C47="Hybrid car",$D47=3),$E47*'IE '!D$24,AND($C47="Hybrid car",$D47=4),$E47*'IE '!D$25,AND($C47="Hybrid car",$D47=5),$E47*'IE '!D$26,AND($C47="Electric motorcycle",$D47=1),$E47*'IE '!D$28,AND($C47="Electric motorcycle",$D47=2),$E47*'IE '!D$29,AND($C47="Electric bike",$D47=1),$E47*'IE '!D$31,AND($C47="Electric scooter",$D47=1),$E47*'IE '!D$33,AND($C47="Bus",$D47="Almost empty"),$E47*'IE '!I$23,AND($C47="Bus",$D47="Average"),$E47*'IE '!I$24,AND($C47="Bus",$D47="Nearly full"),$E47*'IE '!I$25,AND($C47="Electric bus",$D47="Almost empty"),$E47*'IE '!I$7,AND($C47="Electric bus",$D47="Average"),$E47*'IE '!I$8,AND($C47="Electric bus",$D47="Nearly full"),$E47*'IE '!I$9,AND($C47="Diesel bus",$D47="Almost empty"),$E47*'IE '!I$19,AND($C47="Diesel bus",$D47="Average"),$E47*'IE '!I$20,AND($C47="Diesel bus",$D47="Nearly full"),$E47*'IE '!I$21,AND($C47="Hybrid-electric bus",$D47="Almost empty"),$E47*'IE '!I$11,AND($C47="Hybrid-electric bus",$D47="Average"),$E47*'IE '!I$12,AND($C47="Hybrid-electric bus",$D47="Nearly full"),$E47*'IE '!I$13,AND($C47="Alternative fuel bus",$D47="Almost empty"),$E47*'IE '!I$15,AND($C47="Alternative fuel bus",$D47="Average"),$E47*'IE '!I$16,AND($C47="Alternative fuel bus",$D47="Nearly full"),$E47*'IE '!I$17,AND($C47="Metro, tram, urban light train",$D47="Almost empty"),$E47*'IE '!D$35,AND($C47="Metro, tram, urban light train",$D47="Average"),$E47*'IE '!D$36,AND($C47="Metro, tram, urban light train",$D47="Nearly full"),$E47*'IE '!D$37,AND($C47="Electric passenger train",$D47="Almost empty"),$E47*'IE '!D$39,AND($C47="Electric passenger train",$D47="Average"),$E47*'IE '!D$40,AND($C47="Electric passenger train",$D47="Nearly full"),$E47*'IE '!D$41,AND($C47="Diesel passenger train",$D47="Almost empty"),$E47*'IE '!D$47,AND($C47="Diesel passenger train",$D47="Average"),$E47*'IE '!D$48,AND($C47="Diesel passenger train",$D47="Nearly full"),$E47*'IE '!D$49,AND($C47="Walking"),$E47*0,AND($C47="Bike"),$E47*0,AND($C47="Plane - domestic flight"),$E47*'IE '!$C71,AND($C47="Plane - international - intra EU"),$E47*'IE '!$C73,AND($C47="Plane - international (extra EU)"),$E47*'IE '!$C75)</f>
        <v>#N/A</v>
      </c>
      <c r="L47" s="238" t="s">
        <v>56</v>
      </c>
      <c r="M47" s="239"/>
      <c r="N47" s="240"/>
    </row>
    <row r="48" spans="1:14" ht="16" thickBot="1" x14ac:dyDescent="0.25">
      <c r="A48" s="222"/>
      <c r="B48" s="30"/>
      <c r="C48" s="15"/>
      <c r="D48" s="15"/>
      <c r="E48" s="125"/>
      <c r="F48" s="128" t="e" cm="1">
        <f t="array" ref="F48">_xlfn.IFS(AND($C48="Fuel car",$D48=1),$E48*'IE '!C$7,AND($C48="Fuel car",$D48=2),$E48*'IE '!C$8,AND($C48="Fuel car",$D48=3),$E48*'IE '!C$9,AND($C48="Fuel car",$D48=4),$E48*'IE '!C$10,AND($C48="Fuel car",$D48=5),$E48*'IE '!C$11,AND($C48="Motorcycle",$D48=1),$E48*'IE '!C$13,AND($C48="Motorcycle",$D48=2),$E48*'IE '!C$14,AND($C48="Electric car",$D48=1),$E48*'IE '!C$16,AND($C48="Electric car",$D48=2),$E48*'IE '!C$17,AND($C48="Electric car",$D48=3),$E48*'IE '!C$18,AND($C48="Electric car",$D48=4),$E48*'IE '!C$19,AND($C48="Electric car",$D48=5),$E48*'IE '!C$20,AND($C48="Hybrid car",$D48=1),$E48*'IE '!C$22,AND($C48="Hybrid car",$D48=2),$E48*'IE '!C$23,AND($C48="Hybrid car",$D48=3),$E48*'IE '!C$24,AND($C48="Hybrid car",$D48=4),$E48*'IE '!C$25,AND($C48="Hybrid car",$D48=5),$E48*'IE '!C$26,AND($C48="Electric motorcycle",$D48=1),$E48*'IE '!C$28,AND($C48="Electric motorcycle",$D48=2),$E48*'IE '!C$29,AND($C48="Electric bike",$D48=1),$E48*'IE '!C$31,AND($C48="Electric scooter",$D48=1),$E48*'IE '!C$33,AND($C48="Bus",$D48="Almost empty"),$E48*'IE '!H$23,AND($C48="Bus",$D48="Average"),$E48*'IE '!H$24,AND($C48="Bus",$D48="Nearly full"),$E48*'IE '!H$25,AND($C48="Electric bus",$D48="Almost empty"),$E48*'IE '!H$7,AND($C48="Electric bus",$D48="Average"),$E48*'IE '!H$8,AND($C48="Electric bus",$D48="Nearly full"),$E48*'IE '!H$9,AND($C48="Diesel bus",$D48="Almost empty"),$E48*'IE '!H$19,AND($C48="Diesel bus",$D48="Average"),$E48*'IE '!H$20,AND($C48="Diesel bus",$D48="Nearly full"),$E48*'IE '!H$21,AND($C48="Hybrid-electric bus",$D48="Almost empty"),$E48*'IE '!H$11,AND($C48="Hybrid-electric bus",$D48="Average"),$E48*'IE '!H$12,AND($C48="Hybrid-electric bus",$D48="Nearly full"),$E48*'IE '!H$13,AND($C48="Alternative fuel bus",$D48="Almost empty"),$E48*'IE '!H$15,AND($C48="Alternative fuel bus",$D48="Average"),$E48*'IE '!H$16,AND($C48="Alternative fuel bus",$D48="Nearly full"),$E48*'IE '!H$17,AND($C48="Metro, tram, urban light train",$D48="Almost empty"),$E48*'IE '!C$35,AND($C48="Metro, tram, urban light train",$D48="Average"),$E48*'IE '!C$36,AND($C48="Metro, tram, urban light train",$D48="Nearly full"),$E48*'IE '!C$37,AND($C48="Electric passenger train",$D48="Almost empty"),$E48*'IE '!C$39,AND($C48="Electric passenger train",$D48="Average"),$E48*'IE '!C$40,AND($C48="Electric passenger train",$D48="Nearly full"),$E48*'IE '!C$41,AND($C48="Diesel passenger train",$D48="Almost empty"),$E48*'IE '!C$47,AND($C48="Diesel passenger train",$D48="Average"),$E48*'IE '!C$48,AND($C48="Diesel passenger train",$D48="Nearly full"),$E48*'IE '!C$49,AND($C48="Walking"),$E48*0,AND($C48="Bike"),$E48*0,AND($C48="Plane - domestic flight"),$E48*'IE '!$C72,AND($C48="Plane - international - intra EU"),$E48*'IE '!$C74,AND($C48="Plane - international (extra EU)"),$E48*'IE '!$C76)</f>
        <v>#N/A</v>
      </c>
      <c r="G48" s="31" t="e" cm="1">
        <f t="array" ref="G48">_xlfn.IFS(AND($C48="Fuel car",$D48=1),$E48*'IE '!D$7,AND($C48="Fuel car",$D48=2),$E48*'IE '!D$8,AND($C48="Fuel car",$D48=3),$E48*'IE '!D$9,AND($C48="Fuel car",$D48=4),$E48*'IE '!D$10,AND($C48="Fuel car",$D48=5),$E48*'IE '!D$11,AND($C48="Motorcycle",$D48=1),$E48*'IE '!D$13,AND($C48="Motorcycle",$D48=2),$E48*'IE '!D$14,AND($C48="Electric car",$D48=1),$E48*'IE '!D$16,AND($C48="Electric car",$D48=2),$E48*'IE '!D$17,AND($C48="Electric car",$D48=3),$E48*'IE '!D$18,AND($C48="Electric car",$D48=4),$E48*'IE '!D$19,AND($C48="Electric car",$D48=5),$E48*'IE '!D$20,AND($C48="Hybrid car",$D48=1),$E48*'IE '!D$22,AND($C48="Hybrid car",$D48=2),$E48*'IE '!D$23,AND($C48="Hybrid car",$D48=3),$E48*'IE '!D$24,AND($C48="Hybrid car",$D48=4),$E48*'IE '!D$25,AND($C48="Hybrid car",$D48=5),$E48*'IE '!D$26,AND($C48="Electric motorcycle",$D48=1),$E48*'IE '!D$28,AND($C48="Electric motorcycle",$D48=2),$E48*'IE '!D$29,AND($C48="Electric bike",$D48=1),$E48*'IE '!D$31,AND($C48="Electric scooter",$D48=1),$E48*'IE '!D$33,AND($C48="Bus",$D48="Almost empty"),$E48*'IE '!I$23,AND($C48="Bus",$D48="Average"),$E48*'IE '!I$24,AND($C48="Bus",$D48="Nearly full"),$E48*'IE '!I$25,AND($C48="Electric bus",$D48="Almost empty"),$E48*'IE '!I$7,AND($C48="Electric bus",$D48="Average"),$E48*'IE '!I$8,AND($C48="Electric bus",$D48="Nearly full"),$E48*'IE '!I$9,AND($C48="Diesel bus",$D48="Almost empty"),$E48*'IE '!I$19,AND($C48="Diesel bus",$D48="Average"),$E48*'IE '!I$20,AND($C48="Diesel bus",$D48="Nearly full"),$E48*'IE '!I$21,AND($C48="Hybrid-electric bus",$D48="Almost empty"),$E48*'IE '!I$11,AND($C48="Hybrid-electric bus",$D48="Average"),$E48*'IE '!I$12,AND($C48="Hybrid-electric bus",$D48="Nearly full"),$E48*'IE '!I$13,AND($C48="Alternative fuel bus",$D48="Almost empty"),$E48*'IE '!I$15,AND($C48="Alternative fuel bus",$D48="Average"),$E48*'IE '!I$16,AND($C48="Alternative fuel bus",$D48="Nearly full"),$E48*'IE '!I$17,AND($C48="Metro, tram, urban light train",$D48="Almost empty"),$E48*'IE '!D$35,AND($C48="Metro, tram, urban light train",$D48="Average"),$E48*'IE '!D$36,AND($C48="Metro, tram, urban light train",$D48="Nearly full"),$E48*'IE '!D$37,AND($C48="Electric passenger train",$D48="Almost empty"),$E48*'IE '!D$39,AND($C48="Electric passenger train",$D48="Average"),$E48*'IE '!D$40,AND($C48="Electric passenger train",$D48="Nearly full"),$E48*'IE '!D$41,AND($C48="Diesel passenger train",$D48="Almost empty"),$E48*'IE '!D$47,AND($C48="Diesel passenger train",$D48="Average"),$E48*'IE '!D$48,AND($C48="Diesel passenger train",$D48="Nearly full"),$E48*'IE '!D$49,AND($C48="Walking"),$E48*0,AND($C48="Bike"),$E48*0,AND($C48="Plane - domestic flight"),$E48*'IE '!$C72,AND($C48="Plane - international - intra EU"),$E48*'IE '!$C74,AND($C48="Plane - international (extra EU)"),$E48*'IE '!$C76)</f>
        <v>#N/A</v>
      </c>
      <c r="H48" s="196" t="s">
        <v>67</v>
      </c>
      <c r="I48" s="197"/>
      <c r="L48" s="249"/>
      <c r="M48" s="250"/>
      <c r="N48" s="251"/>
    </row>
    <row r="49" spans="1:14" x14ac:dyDescent="0.2">
      <c r="A49" s="222"/>
      <c r="B49" s="30"/>
      <c r="C49" s="15"/>
      <c r="D49" s="15"/>
      <c r="E49" s="125"/>
      <c r="F49" s="128" t="e" cm="1">
        <f t="array" ref="F49">_xlfn.IFS(AND($C49="Fuel car",$D49=1),$E49*'IE '!C$7,AND($C49="Fuel car",$D49=2),$E49*'IE '!C$8,AND($C49="Fuel car",$D49=3),$E49*'IE '!C$9,AND($C49="Fuel car",$D49=4),$E49*'IE '!C$10,AND($C49="Fuel car",$D49=5),$E49*'IE '!C$11,AND($C49="Motorcycle",$D49=1),$E49*'IE '!C$13,AND($C49="Motorcycle",$D49=2),$E49*'IE '!C$14,AND($C49="Electric car",$D49=1),$E49*'IE '!C$16,AND($C49="Electric car",$D49=2),$E49*'IE '!C$17,AND($C49="Electric car",$D49=3),$E49*'IE '!C$18,AND($C49="Electric car",$D49=4),$E49*'IE '!C$19,AND($C49="Electric car",$D49=5),$E49*'IE '!C$20,AND($C49="Hybrid car",$D49=1),$E49*'IE '!C$22,AND($C49="Hybrid car",$D49=2),$E49*'IE '!C$23,AND($C49="Hybrid car",$D49=3),$E49*'IE '!C$24,AND($C49="Hybrid car",$D49=4),$E49*'IE '!C$25,AND($C49="Hybrid car",$D49=5),$E49*'IE '!C$26,AND($C49="Electric motorcycle",$D49=1),$E49*'IE '!C$28,AND($C49="Electric motorcycle",$D49=2),$E49*'IE '!C$29,AND($C49="Electric bike",$D49=1),$E49*'IE '!C$31,AND($C49="Electric scooter",$D49=1),$E49*'IE '!C$33,AND($C49="Bus",$D49="Almost empty"),$E49*'IE '!H$23,AND($C49="Bus",$D49="Average"),$E49*'IE '!H$24,AND($C49="Bus",$D49="Nearly full"),$E49*'IE '!H$25,AND($C49="Electric bus",$D49="Almost empty"),$E49*'IE '!H$7,AND($C49="Electric bus",$D49="Average"),$E49*'IE '!H$8,AND($C49="Electric bus",$D49="Nearly full"),$E49*'IE '!H$9,AND($C49="Diesel bus",$D49="Almost empty"),$E49*'IE '!H$19,AND($C49="Diesel bus",$D49="Average"),$E49*'IE '!H$20,AND($C49="Diesel bus",$D49="Nearly full"),$E49*'IE '!H$21,AND($C49="Hybrid-electric bus",$D49="Almost empty"),$E49*'IE '!H$11,AND($C49="Hybrid-electric bus",$D49="Average"),$E49*'IE '!H$12,AND($C49="Hybrid-electric bus",$D49="Nearly full"),$E49*'IE '!H$13,AND($C49="Alternative fuel bus",$D49="Almost empty"),$E49*'IE '!H$15,AND($C49="Alternative fuel bus",$D49="Average"),$E49*'IE '!H$16,AND($C49="Alternative fuel bus",$D49="Nearly full"),$E49*'IE '!H$17,AND($C49="Metro, tram, urban light train",$D49="Almost empty"),$E49*'IE '!C$35,AND($C49="Metro, tram, urban light train",$D49="Average"),$E49*'IE '!C$36,AND($C49="Metro, tram, urban light train",$D49="Nearly full"),$E49*'IE '!C$37,AND($C49="Electric passenger train",$D49="Almost empty"),$E49*'IE '!C$39,AND($C49="Electric passenger train",$D49="Average"),$E49*'IE '!C$40,AND($C49="Electric passenger train",$D49="Nearly full"),$E49*'IE '!C$41,AND($C49="Diesel passenger train",$D49="Almost empty"),$E49*'IE '!C$47,AND($C49="Diesel passenger train",$D49="Average"),$E49*'IE '!C$48,AND($C49="Diesel passenger train",$D49="Nearly full"),$E49*'IE '!C$49,AND($C49="Walking"),$E49*0,AND($C49="Bike"),$E49*0,AND($C49="Plane - domestic flight"),$E49*'IE '!$C73,AND($C49="Plane - international - intra EU"),$E49*'IE '!$C75,AND($C49="Plane - international (extra EU)"),$E49*'IE '!$C77)</f>
        <v>#N/A</v>
      </c>
      <c r="G49" s="31" t="e" cm="1">
        <f t="array" ref="G49">_xlfn.IFS(AND($C49="Fuel car",$D49=1),$E49*'IE '!D$7,AND($C49="Fuel car",$D49=2),$E49*'IE '!D$8,AND($C49="Fuel car",$D49=3),$E49*'IE '!D$9,AND($C49="Fuel car",$D49=4),$E49*'IE '!D$10,AND($C49="Fuel car",$D49=5),$E49*'IE '!D$11,AND($C49="Motorcycle",$D49=1),$E49*'IE '!D$13,AND($C49="Motorcycle",$D49=2),$E49*'IE '!D$14,AND($C49="Electric car",$D49=1),$E49*'IE '!D$16,AND($C49="Electric car",$D49=2),$E49*'IE '!D$17,AND($C49="Electric car",$D49=3),$E49*'IE '!D$18,AND($C49="Electric car",$D49=4),$E49*'IE '!D$19,AND($C49="Electric car",$D49=5),$E49*'IE '!D$20,AND($C49="Hybrid car",$D49=1),$E49*'IE '!D$22,AND($C49="Hybrid car",$D49=2),$E49*'IE '!D$23,AND($C49="Hybrid car",$D49=3),$E49*'IE '!D$24,AND($C49="Hybrid car",$D49=4),$E49*'IE '!D$25,AND($C49="Hybrid car",$D49=5),$E49*'IE '!D$26,AND($C49="Electric motorcycle",$D49=1),$E49*'IE '!D$28,AND($C49="Electric motorcycle",$D49=2),$E49*'IE '!D$29,AND($C49="Electric bike",$D49=1),$E49*'IE '!D$31,AND($C49="Electric scooter",$D49=1),$E49*'IE '!D$33,AND($C49="Bus",$D49="Almost empty"),$E49*'IE '!I$23,AND($C49="Bus",$D49="Average"),$E49*'IE '!I$24,AND($C49="Bus",$D49="Nearly full"),$E49*'IE '!I$25,AND($C49="Electric bus",$D49="Almost empty"),$E49*'IE '!I$7,AND($C49="Electric bus",$D49="Average"),$E49*'IE '!I$8,AND($C49="Electric bus",$D49="Nearly full"),$E49*'IE '!I$9,AND($C49="Diesel bus",$D49="Almost empty"),$E49*'IE '!I$19,AND($C49="Diesel bus",$D49="Average"),$E49*'IE '!I$20,AND($C49="Diesel bus",$D49="Nearly full"),$E49*'IE '!I$21,AND($C49="Hybrid-electric bus",$D49="Almost empty"),$E49*'IE '!I$11,AND($C49="Hybrid-electric bus",$D49="Average"),$E49*'IE '!I$12,AND($C49="Hybrid-electric bus",$D49="Nearly full"),$E49*'IE '!I$13,AND($C49="Alternative fuel bus",$D49="Almost empty"),$E49*'IE '!I$15,AND($C49="Alternative fuel bus",$D49="Average"),$E49*'IE '!I$16,AND($C49="Alternative fuel bus",$D49="Nearly full"),$E49*'IE '!I$17,AND($C49="Metro, tram, urban light train",$D49="Almost empty"),$E49*'IE '!D$35,AND($C49="Metro, tram, urban light train",$D49="Average"),$E49*'IE '!D$36,AND($C49="Metro, tram, urban light train",$D49="Nearly full"),$E49*'IE '!D$37,AND($C49="Electric passenger train",$D49="Almost empty"),$E49*'IE '!D$39,AND($C49="Electric passenger train",$D49="Average"),$E49*'IE '!D$40,AND($C49="Electric passenger train",$D49="Nearly full"),$E49*'IE '!D$41,AND($C49="Diesel passenger train",$D49="Almost empty"),$E49*'IE '!D$47,AND($C49="Diesel passenger train",$D49="Average"),$E49*'IE '!D$48,AND($C49="Diesel passenger train",$D49="Nearly full"),$E49*'IE '!D$49,AND($C49="Walking"),$E49*0,AND($C49="Bike"),$E49*0,AND($C49="Plane - domestic flight"),$E49*'IE '!$C73,AND($C49="Plane - international - intra EU"),$E49*'IE '!$C75,AND($C49="Plane - international (extra EU)"),$E49*'IE '!$C77)</f>
        <v>#N/A</v>
      </c>
      <c r="H49" s="244" t="s">
        <v>74</v>
      </c>
      <c r="I49" s="141"/>
      <c r="L49" s="252"/>
      <c r="M49" s="253"/>
      <c r="N49" s="254"/>
    </row>
    <row r="50" spans="1:14" ht="16" thickBot="1" x14ac:dyDescent="0.25">
      <c r="A50" s="222"/>
      <c r="B50" s="51"/>
      <c r="C50" s="15"/>
      <c r="D50" s="15"/>
      <c r="E50" s="126"/>
      <c r="F50" s="128" t="e" cm="1">
        <f t="array" ref="F50">_xlfn.IFS(AND($C50="Fuel car",$D50=1),$E50*'IE '!C$7,AND($C50="Fuel car",$D50=2),$E50*'IE '!C$8,AND($C50="Fuel car",$D50=3),$E50*'IE '!C$9,AND($C50="Fuel car",$D50=4),$E50*'IE '!C$10,AND($C50="Fuel car",$D50=5),$E50*'IE '!C$11,AND($C50="Motorcycle",$D50=1),$E50*'IE '!C$13,AND($C50="Motorcycle",$D50=2),$E50*'IE '!C$14,AND($C50="Electric car",$D50=1),$E50*'IE '!C$16,AND($C50="Electric car",$D50=2),$E50*'IE '!C$17,AND($C50="Electric car",$D50=3),$E50*'IE '!C$18,AND($C50="Electric car",$D50=4),$E50*'IE '!C$19,AND($C50="Electric car",$D50=5),$E50*'IE '!C$20,AND($C50="Hybrid car",$D50=1),$E50*'IE '!C$22,AND($C50="Hybrid car",$D50=2),$E50*'IE '!C$23,AND($C50="Hybrid car",$D50=3),$E50*'IE '!C$24,AND($C50="Hybrid car",$D50=4),$E50*'IE '!C$25,AND($C50="Hybrid car",$D50=5),$E50*'IE '!C$26,AND($C50="Electric motorcycle",$D50=1),$E50*'IE '!C$28,AND($C50="Electric motorcycle",$D50=2),$E50*'IE '!C$29,AND($C50="Electric bike",$D50=1),$E50*'IE '!C$31,AND($C50="Electric scooter",$D50=1),$E50*'IE '!C$33,AND($C50="Bus",$D50="Almost empty"),$E50*'IE '!H$23,AND($C50="Bus",$D50="Average"),$E50*'IE '!H$24,AND($C50="Bus",$D50="Nearly full"),$E50*'IE '!H$25,AND($C50="Electric bus",$D50="Almost empty"),$E50*'IE '!H$7,AND($C50="Electric bus",$D50="Average"),$E50*'IE '!H$8,AND($C50="Electric bus",$D50="Nearly full"),$E50*'IE '!H$9,AND($C50="Diesel bus",$D50="Almost empty"),$E50*'IE '!H$19,AND($C50="Diesel bus",$D50="Average"),$E50*'IE '!H$20,AND($C50="Diesel bus",$D50="Nearly full"),$E50*'IE '!H$21,AND($C50="Hybrid-electric bus",$D50="Almost empty"),$E50*'IE '!H$11,AND($C50="Hybrid-electric bus",$D50="Average"),$E50*'IE '!H$12,AND($C50="Hybrid-electric bus",$D50="Nearly full"),$E50*'IE '!H$13,AND($C50="Alternative fuel bus",$D50="Almost empty"),$E50*'IE '!H$15,AND($C50="Alternative fuel bus",$D50="Average"),$E50*'IE '!H$16,AND($C50="Alternative fuel bus",$D50="Nearly full"),$E50*'IE '!H$17,AND($C50="Metro, tram, urban light train",$D50="Almost empty"),$E50*'IE '!C$35,AND($C50="Metro, tram, urban light train",$D50="Average"),$E50*'IE '!C$36,AND($C50="Metro, tram, urban light train",$D50="Nearly full"),$E50*'IE '!C$37,AND($C50="Electric passenger train",$D50="Almost empty"),$E50*'IE '!C$39,AND($C50="Electric passenger train",$D50="Average"),$E50*'IE '!C$40,AND($C50="Electric passenger train",$D50="Nearly full"),$E50*'IE '!C$41,AND($C50="Diesel passenger train",$D50="Almost empty"),$E50*'IE '!C$47,AND($C50="Diesel passenger train",$D50="Average"),$E50*'IE '!C$48,AND($C50="Diesel passenger train",$D50="Nearly full"),$E50*'IE '!C$49,AND($C50="Walking"),$E50*0,AND($C50="Bike"),$E50*0,AND($C50="Plane - domestic flight"),$E50*'IE '!$C74,AND($C50="Plane - international - intra EU"),$E50*'IE '!$C76,AND($C50="Plane - international (extra EU)"),$E50*'IE '!$C78)</f>
        <v>#N/A</v>
      </c>
      <c r="G50" s="31" t="e" cm="1">
        <f t="array" ref="G50">_xlfn.IFS(AND($C50="Fuel car",$D50=1),$E50*'IE '!D$7,AND($C50="Fuel car",$D50=2),$E50*'IE '!D$8,AND($C50="Fuel car",$D50=3),$E50*'IE '!D$9,AND($C50="Fuel car",$D50=4),$E50*'IE '!D$10,AND($C50="Fuel car",$D50=5),$E50*'IE '!D$11,AND($C50="Motorcycle",$D50=1),$E50*'IE '!D$13,AND($C50="Motorcycle",$D50=2),$E50*'IE '!D$14,AND($C50="Electric car",$D50=1),$E50*'IE '!D$16,AND($C50="Electric car",$D50=2),$E50*'IE '!D$17,AND($C50="Electric car",$D50=3),$E50*'IE '!D$18,AND($C50="Electric car",$D50=4),$E50*'IE '!D$19,AND($C50="Electric car",$D50=5),$E50*'IE '!D$20,AND($C50="Hybrid car",$D50=1),$E50*'IE '!D$22,AND($C50="Hybrid car",$D50=2),$E50*'IE '!D$23,AND($C50="Hybrid car",$D50=3),$E50*'IE '!D$24,AND($C50="Hybrid car",$D50=4),$E50*'IE '!D$25,AND($C50="Hybrid car",$D50=5),$E50*'IE '!D$26,AND($C50="Electric motorcycle",$D50=1),$E50*'IE '!D$28,AND($C50="Electric motorcycle",$D50=2),$E50*'IE '!D$29,AND($C50="Electric bike",$D50=1),$E50*'IE '!D$31,AND($C50="Electric scooter",$D50=1),$E50*'IE '!D$33,AND($C50="Bus",$D50="Almost empty"),$E50*'IE '!I$23,AND($C50="Bus",$D50="Average"),$E50*'IE '!I$24,AND($C50="Bus",$D50="Nearly full"),$E50*'IE '!I$25,AND($C50="Electric bus",$D50="Almost empty"),$E50*'IE '!I$7,AND($C50="Electric bus",$D50="Average"),$E50*'IE '!I$8,AND($C50="Electric bus",$D50="Nearly full"),$E50*'IE '!I$9,AND($C50="Diesel bus",$D50="Almost empty"),$E50*'IE '!I$19,AND($C50="Diesel bus",$D50="Average"),$E50*'IE '!I$20,AND($C50="Diesel bus",$D50="Nearly full"),$E50*'IE '!I$21,AND($C50="Hybrid-electric bus",$D50="Almost empty"),$E50*'IE '!I$11,AND($C50="Hybrid-electric bus",$D50="Average"),$E50*'IE '!I$12,AND($C50="Hybrid-electric bus",$D50="Nearly full"),$E50*'IE '!I$13,AND($C50="Alternative fuel bus",$D50="Almost empty"),$E50*'IE '!I$15,AND($C50="Alternative fuel bus",$D50="Average"),$E50*'IE '!I$16,AND($C50="Alternative fuel bus",$D50="Nearly full"),$E50*'IE '!I$17,AND($C50="Metro, tram, urban light train",$D50="Almost empty"),$E50*'IE '!D$35,AND($C50="Metro, tram, urban light train",$D50="Average"),$E50*'IE '!D$36,AND($C50="Metro, tram, urban light train",$D50="Nearly full"),$E50*'IE '!D$37,AND($C50="Electric passenger train",$D50="Almost empty"),$E50*'IE '!D$39,AND($C50="Electric passenger train",$D50="Average"),$E50*'IE '!D$40,AND($C50="Electric passenger train",$D50="Nearly full"),$E50*'IE '!D$41,AND($C50="Diesel passenger train",$D50="Almost empty"),$E50*'IE '!D$47,AND($C50="Diesel passenger train",$D50="Average"),$E50*'IE '!D$48,AND($C50="Diesel passenger train",$D50="Nearly full"),$E50*'IE '!D$49,AND($C50="Walking"),$E50*0,AND($C50="Bike"),$E50*0,AND($C50="Plane - domestic flight"),$E50*'IE '!$C74,AND($C50="Plane - international - intra EU"),$E50*'IE '!$C76,AND($C50="Plane - international (extra EU)"),$E50*'IE '!$C78)</f>
        <v>#N/A</v>
      </c>
      <c r="H50" s="245"/>
      <c r="I50" s="142"/>
      <c r="L50" s="252"/>
      <c r="M50" s="253"/>
      <c r="N50" s="254"/>
    </row>
    <row r="51" spans="1:14" ht="33" thickBot="1" x14ac:dyDescent="0.25">
      <c r="A51" s="222"/>
      <c r="B51" s="53"/>
      <c r="C51" s="32"/>
      <c r="D51" s="34"/>
      <c r="E51" s="113"/>
      <c r="F51" s="129" t="e" cm="1">
        <f t="array" ref="F51">_xlfn.IFS(AND($C51="Fuel car",$D51=1),$E51*'IE '!C$7,AND($C51="Fuel car",$D51=2),$E51*'IE '!C$8,AND($C51="Fuel car",$D51=3),$E51*'IE '!C$9,AND($C51="Fuel car",$D51=4),$E51*'IE '!C$10,AND($C51="Fuel car",$D51=5),$E51*'IE '!C$11,AND($C51="Motorcycle",$D51=1),$E51*'IE '!C$13,AND($C51="Motorcycle",$D51=2),$E51*'IE '!C$14,AND($C51="Electric car",$D51=1),$E51*'IE '!C$16,AND($C51="Electric car",$D51=2),$E51*'IE '!C$17,AND($C51="Electric car",$D51=3),$E51*'IE '!C$18,AND($C51="Electric car",$D51=4),$E51*'IE '!C$19,AND($C51="Electric car",$D51=5),$E51*'IE '!C$20,AND($C51="Hybrid car",$D51=1),$E51*'IE '!C$22,AND($C51="Hybrid car",$D51=2),$E51*'IE '!C$23,AND($C51="Hybrid car",$D51=3),$E51*'IE '!C$24,AND($C51="Hybrid car",$D51=4),$E51*'IE '!C$25,AND($C51="Hybrid car",$D51=5),$E51*'IE '!C$26,AND($C51="Electric motorcycle",$D51=1),$E51*'IE '!C$28,AND($C51="Electric motorcycle",$D51=2),$E51*'IE '!C$29,AND($C51="Electric bike",$D51=1),$E51*'IE '!C$31,AND($C51="Electric scooter",$D51=1),$E51*'IE '!C$33,AND($C51="Bus",$D51="Almost empty"),$E51*'IE '!H$23,AND($C51="Bus",$D51="Average"),$E51*'IE '!H$24,AND($C51="Bus",$D51="Nearly full"),$E51*'IE '!H$25,AND($C51="Electric bus",$D51="Almost empty"),$E51*'IE '!H$7,AND($C51="Electric bus",$D51="Average"),$E51*'IE '!H$8,AND($C51="Electric bus",$D51="Nearly full"),$E51*'IE '!H$9,AND($C51="Diesel bus",$D51="Almost empty"),$E51*'IE '!H$19,AND($C51="Diesel bus",$D51="Average"),$E51*'IE '!H$20,AND($C51="Diesel bus",$D51="Nearly full"),$E51*'IE '!H$21,AND($C51="Hybrid-electric bus",$D51="Almost empty"),$E51*'IE '!H$11,AND($C51="Hybrid-electric bus",$D51="Average"),$E51*'IE '!H$12,AND($C51="Hybrid-electric bus",$D51="Nearly full"),$E51*'IE '!H$13,AND($C51="Alternative fuel bus",$D51="Almost empty"),$E51*'IE '!H$15,AND($C51="Alternative fuel bus",$D51="Average"),$E51*'IE '!H$16,AND($C51="Alternative fuel bus",$D51="Nearly full"),$E51*'IE '!H$17,AND($C51="Metro, tram, urban light train",$D51="Almost empty"),$E51*'IE '!C$35,AND($C51="Metro, tram, urban light train",$D51="Average"),$E51*'IE '!C$36,AND($C51="Metro, tram, urban light train",$D51="Nearly full"),$E51*'IE '!C$37,AND($C51="Electric passenger train",$D51="Almost empty"),$E51*'IE '!C$39,AND($C51="Electric passenger train",$D51="Average"),$E51*'IE '!C$40,AND($C51="Electric passenger train",$D51="Nearly full"),$E51*'IE '!C$41,AND($C51="Diesel passenger train",$D51="Almost empty"),$E51*'IE '!C$47,AND($C51="Diesel passenger train",$D51="Average"),$E51*'IE '!C$48,AND($C51="Diesel passenger train",$D51="Nearly full"),$E51*'IE '!C$49,AND($C51="Walking"),$E51*0,AND($C51="Bike"),$E51*0,AND($C51="Plane - domestic flight"),$E51*'IE '!$C75,AND($C51="Plane - international - intra EU"),$E51*'IE '!$C77,AND($C51="Plane - international (extra EU)"),$E51*'IE '!$C79)</f>
        <v>#N/A</v>
      </c>
      <c r="G51" s="35" t="e" cm="1">
        <f t="array" ref="G51">_xlfn.IFS(AND($C51="Fuel car",$D51=1),$E51*'IE '!D$7,AND($C51="Fuel car",$D51=2),$E51*'IE '!D$8,AND($C51="Fuel car",$D51=3),$E51*'IE '!D$9,AND($C51="Fuel car",$D51=4),$E51*'IE '!D$10,AND($C51="Fuel car",$D51=5),$E51*'IE '!D$11,AND($C51="Motorcycle",$D51=1),$E51*'IE '!D$13,AND($C51="Motorcycle",$D51=2),$E51*'IE '!D$14,AND($C51="Electric car",$D51=1),$E51*'IE '!D$16,AND($C51="Electric car",$D51=2),$E51*'IE '!D$17,AND($C51="Electric car",$D51=3),$E51*'IE '!D$18,AND($C51="Electric car",$D51=4),$E51*'IE '!D$19,AND($C51="Electric car",$D51=5),$E51*'IE '!D$20,AND($C51="Hybrid car",$D51=1),$E51*'IE '!D$22,AND($C51="Hybrid car",$D51=2),$E51*'IE '!D$23,AND($C51="Hybrid car",$D51=3),$E51*'IE '!D$24,AND($C51="Hybrid car",$D51=4),$E51*'IE '!D$25,AND($C51="Hybrid car",$D51=5),$E51*'IE '!D$26,AND($C51="Electric motorcycle",$D51=1),$E51*'IE '!D$28,AND($C51="Electric motorcycle",$D51=2),$E51*'IE '!D$29,AND($C51="Electric bike",$D51=1),$E51*'IE '!D$31,AND($C51="Electric scooter",$D51=1),$E51*'IE '!D$33,AND($C51="Bus",$D51="Almost empty"),$E51*'IE '!I$23,AND($C51="Bus",$D51="Average"),$E51*'IE '!I$24,AND($C51="Bus",$D51="Nearly full"),$E51*'IE '!I$25,AND($C51="Electric bus",$D51="Almost empty"),$E51*'IE '!I$7,AND($C51="Electric bus",$D51="Average"),$E51*'IE '!I$8,AND($C51="Electric bus",$D51="Nearly full"),$E51*'IE '!I$9,AND($C51="Diesel bus",$D51="Almost empty"),$E51*'IE '!I$19,AND($C51="Diesel bus",$D51="Average"),$E51*'IE '!I$20,AND($C51="Diesel bus",$D51="Nearly full"),$E51*'IE '!I$21,AND($C51="Hybrid-electric bus",$D51="Almost empty"),$E51*'IE '!I$11,AND($C51="Hybrid-electric bus",$D51="Average"),$E51*'IE '!I$12,AND($C51="Hybrid-electric bus",$D51="Nearly full"),$E51*'IE '!I$13,AND($C51="Alternative fuel bus",$D51="Almost empty"),$E51*'IE '!I$15,AND($C51="Alternative fuel bus",$D51="Average"),$E51*'IE '!I$16,AND($C51="Alternative fuel bus",$D51="Nearly full"),$E51*'IE '!I$17,AND($C51="Metro, tram, urban light train",$D51="Almost empty"),$E51*'IE '!D$35,AND($C51="Metro, tram, urban light train",$D51="Average"),$E51*'IE '!D$36,AND($C51="Metro, tram, urban light train",$D51="Nearly full"),$E51*'IE '!D$37,AND($C51="Electric passenger train",$D51="Almost empty"),$E51*'IE '!D$39,AND($C51="Electric passenger train",$D51="Average"),$E51*'IE '!D$40,AND($C51="Electric passenger train",$D51="Nearly full"),$E51*'IE '!D$41,AND($C51="Diesel passenger train",$D51="Almost empty"),$E51*'IE '!D$47,AND($C51="Diesel passenger train",$D51="Average"),$E51*'IE '!D$48,AND($C51="Diesel passenger train",$D51="Nearly full"),$E51*'IE '!D$49,AND($C51="Walking"),$E51*0,AND($C51="Bike"),$E51*0,AND($C51="Plane - domestic flight"),$E51*'IE '!$C75,AND($C51="Plane - international - intra EU"),$E51*'IE '!$C77,AND($C51="Plane - international (extra EU)"),$E51*'IE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_xlfn.IFS(AND(D57&lt;='IE '!L4),"A+",AND(D57&lt;='IE '!M4,D57&gt;'IE '!L4),"A",AND(D57&lt;='IE '!N4,D57&gt;'IE '!M4),"B",AND(D57&lt;='IE '!O4,D57&gt;'IE '!N4),"C",AND(D57&lt;='IE '!P4,D57&gt;'IE '!O4),"D",AND(D57&lt;='IE '!Q4,D57&gt;'IE '!P4),"E",AND(D57&lt;='IE '!R4,D57&gt;'IE '!Q4),"F",AND(D57&gt;'IE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_xlfn.IFS(D58="#","#",AND(D58&lt;='IE '!L5),"A+",AND(D58&lt;='IE '!M5,D58&gt;'IE '!L5),"A",AND(D58&lt;='IE '!N5,D58&gt;'IE '!M5),"B",AND(D58&lt;='IE '!O5,D58&gt;'IE '!N5),"C",AND(D58&lt;='IE '!P5,D58&gt;'IE '!O5),"D",AND(D58&lt;='IE '!Q5,D58&gt;'IE '!P5),"E",AND(D58&lt;='IE '!R5,D58&gt;'IE '!Q5),"F",AND(D58&gt;'IE '!R5),"G")</f>
        <v>#</v>
      </c>
    </row>
    <row r="59" spans="1:14" ht="32" x14ac:dyDescent="0.2">
      <c r="A59" s="262"/>
      <c r="B59" s="264"/>
      <c r="C59" s="21" t="s">
        <v>88</v>
      </c>
      <c r="D59" s="47" t="e">
        <f>IF(ISNUMBER(D58), D57 + D58, D57)</f>
        <v>#DIV/0!</v>
      </c>
      <c r="E59" s="277"/>
      <c r="G59" s="264"/>
      <c r="H59" t="s">
        <v>88</v>
      </c>
      <c r="I59" s="56" t="e" cm="1">
        <f t="array" ref="I59">_xlfn.IFS(AND(D59&lt;='IE '!L6),"A+",AND(D59&lt;='IE '!M6,D59&gt;'IE '!L6),"A",AND(D59&lt;='IE '!N6,D59&gt;'IE '!M6),"B",AND(D59&lt;='IE '!O6,D59&gt;'IE '!N6),"C",AND(D59&lt;='IE '!P6,D59&gt;'IE '!O6),"D",AND(D59&lt;='IE '!Q6,D59&gt;'IE '!P6),"E",AND(D59&lt;='IE '!R6,D59&gt;'IE '!Q6),"F",AND(D59&gt;'IE '!R6),"G")</f>
        <v>#DIV/0!</v>
      </c>
    </row>
    <row r="60" spans="1:14" ht="16" x14ac:dyDescent="0.2">
      <c r="A60" s="262"/>
      <c r="B60" s="264"/>
      <c r="C60" s="21" t="s">
        <v>89</v>
      </c>
      <c r="D60" s="99">
        <f>I30</f>
        <v>0</v>
      </c>
      <c r="E60" s="277"/>
      <c r="G60" s="264"/>
      <c r="H60" t="s">
        <v>89</v>
      </c>
      <c r="I60" s="56" t="str" cm="1">
        <f t="array" ref="I60">_xlfn.IFS(AND(D60&lt;='IE '!L7),"A+",AND(D60&lt;='IE '!M7,D60&gt;'IE '!L7),"A",AND(D60&lt;='IE '!N7,D60&gt;'IE '!M7),"B",AND(D60&lt;='IE '!O7,D60&gt;'IE '!N7),"C",AND(D60&lt;='IE '!P7,D60&gt;'IE '!O7),"D",AND(D60&lt;='IE '!Q7,D60&gt;'IE '!P7),"E",AND(D60&lt;='IE '!R7,D60&gt;'IE '!Q7),"F",AND(D60&gt;'IE '!R7),"G")</f>
        <v>A+</v>
      </c>
    </row>
    <row r="61" spans="1:14" ht="16" thickBot="1" x14ac:dyDescent="0.25">
      <c r="A61" s="262"/>
      <c r="B61" s="265"/>
      <c r="C61" s="16" t="s">
        <v>57</v>
      </c>
      <c r="D61" s="58" t="e">
        <f>SUM(D59:D60)</f>
        <v>#DIV/0!</v>
      </c>
      <c r="E61" s="261"/>
      <c r="G61" s="264"/>
      <c r="H61" s="5" t="s">
        <v>57</v>
      </c>
      <c r="I61" s="56" t="e" cm="1">
        <f t="array" ref="I61">_xlfn.IFS(AND(D61&lt;='IE '!L8),"A+",AND(D61&lt;='IE '!M8,D61&gt;'IE '!L8),"A",AND(D61&lt;='IE '!N8,D61&gt;'IE '!M8),"B",AND(D61&lt;='IE '!O8,D61&gt;'IE '!N8),"C",AND(D61&lt;='IE '!P8,D61&gt;'IE '!O8),"D",AND(D61&lt;='IE '!Q8,D61&gt;'IE '!P8),"E",AND(D61&lt;='IE '!R8,D61&gt;'IE '!Q8),"F",AND(D61&gt;'IE '!R8),"G")</f>
        <v>#DIV/0!</v>
      </c>
    </row>
    <row r="62" spans="1:14" ht="32" x14ac:dyDescent="0.2">
      <c r="A62" s="262"/>
      <c r="B62" s="263" t="s">
        <v>90</v>
      </c>
      <c r="C62" s="57" t="s">
        <v>85</v>
      </c>
      <c r="D62" s="100" t="e">
        <f>I16</f>
        <v>#DIV/0!</v>
      </c>
      <c r="E62" s="266" t="s">
        <v>91</v>
      </c>
      <c r="G62" s="263" t="s">
        <v>90</v>
      </c>
      <c r="H62" s="46" t="s">
        <v>85</v>
      </c>
      <c r="I62" s="55" t="e" cm="1">
        <f t="array" ref="I62">_xlfn.IFS(AND(D62&lt;='IE '!L9),"A+",AND(D62&lt;='IE '!M9,D62&gt;'IE '!L9),"A",AND(D62&lt;='IE '!N9,D62&gt;'IE '!M9),"B",AND(D62&lt;='IE '!O9,D62&gt;'IE '!N9),"C",AND(D62&lt;='IE '!P9,D62&gt;'IE '!O9),"D",AND(D62&lt;='IE '!Q9,D62&gt;'IE '!P9),"E",AND(D62&lt;='IE '!R9,D62&gt;'IE '!Q9),"F",AND(D62&gt;'IE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_xlfn.IFS(D63="#","#",AND(D63&lt;='IE '!L10),"A+",AND(D63&lt;='IE '!M10,D63&gt;'IE '!L10),"A",AND(D63&lt;='IE '!N10,D63&gt;'IE '!M10),"B",AND(D63&lt;='IE '!O10,D63&gt;'IE '!N10),"C",AND(D63&lt;='IE '!P10,D63&gt;'IE '!O10),"D",AND(D63&lt;='IE '!Q10,D63&gt;'IE '!P10),"E",AND(D63&lt;='IE '!R10,D63&gt;'IE '!Q10),"F",AND(D63&gt;'IE '!R10),"G")</f>
        <v>#</v>
      </c>
    </row>
    <row r="64" spans="1:14" ht="32" x14ac:dyDescent="0.2">
      <c r="A64" s="262"/>
      <c r="B64" s="264"/>
      <c r="C64" s="21" t="s">
        <v>92</v>
      </c>
      <c r="D64" s="47" t="e">
        <f>IF(ISNUMBER(D63), D62 + D63, D62)</f>
        <v>#DIV/0!</v>
      </c>
      <c r="E64" s="202"/>
      <c r="G64" s="264"/>
      <c r="H64" t="s">
        <v>92</v>
      </c>
      <c r="I64" s="56" t="e" cm="1">
        <f t="array" ref="I64">_xlfn.IFS(AND(D64&lt;='IE '!L11),"A+",AND(D64&lt;='IE '!M11,D64&gt;'IE '!L11),"A",AND(D64&lt;='IE '!N11,D64&gt;'IE '!M11),"B",AND(D64&lt;='IE '!O11,D64&gt;'IE '!N11),"C",AND(D64&lt;='IE '!P11,D64&gt;'IE '!O11),"D",AND(D64&lt;='IE '!Q11,D64&gt;'IE '!P11),"E",AND(D64&lt;='IE '!R11,D64&gt;'IE '!Q11),"F",AND(D64&gt;'IE '!R11),"G")</f>
        <v>#DIV/0!</v>
      </c>
    </row>
    <row r="65" spans="1:9" x14ac:dyDescent="0.2">
      <c r="A65" s="262"/>
      <c r="B65" s="264"/>
      <c r="C65" t="s">
        <v>89</v>
      </c>
      <c r="D65" s="99">
        <f>I31</f>
        <v>0</v>
      </c>
      <c r="E65" s="202"/>
      <c r="G65" s="264"/>
      <c r="H65" t="s">
        <v>89</v>
      </c>
      <c r="I65" s="56" t="str" cm="1">
        <f t="array" ref="I65">_xlfn.IFS(AND(D65&lt;='IE '!L12),"A+",AND(D65&lt;='IE '!M12,D65&gt;'IE '!L12),"A",AND(D65&lt;='IE '!N12,D65&gt;'IE '!M12),"B",AND(D65&lt;='IE '!O12,D65&gt;'IE '!N12),"C",AND(D65&lt;='IE '!P12,D65&gt;'IE '!O12),"D",AND(D65&lt;='IE '!Q12,D65&gt;'IE '!P12),"E",AND(D65&lt;='IE '!R12,D65&gt;'IE '!Q12),"F",AND(D65&gt;'IE '!R12),"G")</f>
        <v>A+</v>
      </c>
    </row>
    <row r="66" spans="1:9" ht="16" thickBot="1" x14ac:dyDescent="0.25">
      <c r="A66" s="262"/>
      <c r="B66" s="265"/>
      <c r="C66" s="16" t="s">
        <v>57</v>
      </c>
      <c r="D66" s="16" t="e">
        <f>SUM(D64:D65)</f>
        <v>#DIV/0!</v>
      </c>
      <c r="E66" s="267"/>
      <c r="G66" s="265"/>
      <c r="H66" s="16" t="s">
        <v>57</v>
      </c>
      <c r="I66" s="1" t="e" cm="1">
        <f t="array" ref="I66">_xlfn.IFS(AND(D66&lt;='IE '!L13),"A+",AND(D66&lt;='IE '!M13,D66&gt;'IE '!L13),"A",AND(D66&lt;='IE '!N13,D66&gt;'IE '!M13),"B",AND(D66&lt;='IE '!O13,D66&gt;'IE '!N13),"C",AND(D66&lt;='IE '!P13,D66&gt;'IE '!O13),"D",AND(D66&lt;='IE '!Q13,D66&gt;'IE '!P13),"E",AND(D66&lt;='IE '!R13,D66&gt;'IE '!Q13),"F",AND(D66&gt;'IE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63" priority="7" operator="equal">
      <formula>"A+"</formula>
    </cfRule>
    <cfRule type="containsText" dxfId="262" priority="8" operator="containsText" text="A">
      <formula>NOT(ISERROR(SEARCH("A",I57)))</formula>
    </cfRule>
    <cfRule type="containsText" dxfId="261" priority="9" operator="containsText" text="B">
      <formula>NOT(ISERROR(SEARCH("B",I57)))</formula>
    </cfRule>
    <cfRule type="containsText" dxfId="260" priority="10" operator="containsText" text="C">
      <formula>NOT(ISERROR(SEARCH("C",I57)))</formula>
    </cfRule>
    <cfRule type="containsText" dxfId="259" priority="11" operator="containsText" text="D">
      <formula>NOT(ISERROR(SEARCH("D",I57)))</formula>
    </cfRule>
    <cfRule type="containsText" dxfId="258" priority="12" operator="containsText" text="E">
      <formula>NOT(ISERROR(SEARCH("E",I57)))</formula>
    </cfRule>
    <cfRule type="containsText" dxfId="257" priority="13" operator="containsText" text="F">
      <formula>NOT(ISERROR(SEARCH("F",I57)))</formula>
    </cfRule>
    <cfRule type="containsText" dxfId="256" priority="14" operator="containsText" text="G">
      <formula>NOT(ISERROR(SEARCH("G",I57)))</formula>
    </cfRule>
  </conditionalFormatting>
  <conditionalFormatting sqref="K5:K15">
    <cfRule type="expression" dxfId="31" priority="2" stopIfTrue="1">
      <formula>$O$19="No"</formula>
    </cfRule>
  </conditionalFormatting>
  <conditionalFormatting sqref="L5:L15">
    <cfRule type="expression" dxfId="3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9EE99CAE-D1BF-294B-8EB5-17FF8DD1B907}">
      <formula1>AND(Q19="Yes", ISNUMBER(L5))</formula1>
    </dataValidation>
    <dataValidation type="custom" operator="lessThan" allowBlank="1" showErrorMessage="1" errorTitle="Error" error="You can only enter values if you have selected HOME PV. The value must be a number." sqref="K5:K15" xr:uid="{AAA7D191-E81D-0343-B6BF-47027E9E43AF}">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0BCAE75-EF81-488A-8B31-7A766F65A9F0}">
          <x14:formula1>
            <xm:f>DATA!$J$3:$J$10</xm:f>
          </x14:formula1>
          <xm:sqref>D29:D51</xm:sqref>
        </x14:dataValidation>
        <x14:dataValidation type="list" allowBlank="1" showInputMessage="1" showErrorMessage="1" xr:uid="{B1AAE9B7-9F62-504D-952C-E72151A4C25B}">
          <x14:formula1>
            <xm:f>DATA!$B$15:$B$23</xm:f>
          </x14:formula1>
          <xm:sqref>J2</xm:sqref>
        </x14:dataValidation>
        <x14:dataValidation type="list" allowBlank="1" showInputMessage="1" showErrorMessage="1" xr:uid="{1C9A6E88-3F46-48E7-942E-82B2980977A1}">
          <x14:formula1>
            <xm:f>DATA!$H$3:$H$23</xm:f>
          </x14:formula1>
          <xm:sqref>C29:C51</xm:sqref>
        </x14:dataValidation>
        <x14:dataValidation type="list" allowBlank="1" showInputMessage="1" showErrorMessage="1" xr:uid="{2BDDFE28-BB14-3440-A8E3-EE757C6CB7FD}">
          <x14:formula1>
            <xm:f>DATA!$B$3:$B$13</xm:f>
          </x14:formula1>
          <xm:sqref>H2</xm:sqref>
        </x14:dataValidation>
        <x14:dataValidation type="list" allowBlank="1" showInputMessage="1" showErrorMessage="1" xr:uid="{ABCC37A7-7E50-F447-8DB4-A1658FA3A54E}">
          <x14:formula1>
            <xm:f>DATA!$L$4:$L$5</xm:f>
          </x14:formula1>
          <xm:sqref>O18:O19 Q19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16F1C-FDD0-41CD-8262-C52E5E359B98}">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5" customWidth="1"/>
    <col min="5" max="5" width="18.33203125" customWidth="1"/>
    <col min="6" max="6" width="19.1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107</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IF($O$18="Yes",(E5/$F$2)*DATA!$C$9,(E5/$F$2)*DATA!F18)+IF(ISBLANK(K5),0,K5/$F$2)*DATA!$C$9-IF(ISBLANK(L5),0,L5/$F$2)*DATA!F$18</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IF($O$18="Yes",(E6/$F$2)*DATA!$C$9,(E6/$F$2)*DATA!F19)+IF(ISBLANK(K6),0,K6/$F$2)*DATA!$C$9-IF(ISBLANK(L6),0,L6/$F$2)*DATA!F$18</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IF($O$18="Yes",(E7/$F$2)*DATA!$C$9,(E7/$F$2)*DATA!F20)+IF(ISBLANK(K7),0,K7/$F$2)*DATA!$C$9-IF(ISBLANK(L7),0,L7/$F$2)*DATA!F$18</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IF($O$18="Yes",(E8/$F$2)*DATA!$C$9,(E8/$F$2)*DATA!F21)+IF(ISBLANK(K8),0,K8/$F$2)*DATA!$C$9-IF(ISBLANK(L8),0,L8/$F$2)*DATA!F$18</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IF($O$18="Yes",(E9/$F$2)*DATA!$C$9,(E9/$F$2)*DATA!F22)+IF(ISBLANK(K9),0,K9/$F$2)*DATA!$C$9-IF(ISBLANK(L9),0,L9/$F$2)*DATA!F$18</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IF($O$18="Yes",(E10/$F$2)*DATA!$C$9,(E10/$F$2)*DATA!F23)+IF(ISBLANK(K10),0,K10/$F$2)*DATA!$C$9-IF(ISBLANK(L10),0,L10/$F$2)*DATA!F$18</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IF($O$18="Yes",(E11/$F$2)*DATA!$C$9,(E11/$F$2)*DATA!F24)+IF(ISBLANK(K11),0,K11/$F$2)*DATA!$C$9-IF(ISBLANK(L11),0,L11/$F$2)*DATA!F$18</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IF($O$18="Yes",(E12/$F$2)*DATA!$C$9,(E12/$F$2)*DATA!F25)+IF(ISBLANK(K12),0,K12/$F$2)*DATA!$C$9-IF(ISBLANK(L12),0,L12/$F$2)*DATA!F$18</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IF($O$18="Yes",(E13/$F$2)*DATA!$C$9,(E13/$F$2)*DATA!F26)+IF(ISBLANK(K13),0,K13/$F$2)*DATA!$C$9-IF(ISBLANK(L13),0,L13/$F$2)*DATA!F$18</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IF($O$18="Yes",(E14/$F$2)*DATA!$C$9,(E14/$F$2)*DATA!F27)+IF(ISBLANK(K14),0,K14/$F$2)*DATA!$C$9-IF(ISBLANK(L14),0,L14/$F$2)*DATA!F$18</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IF($O$18="Yes",(E15/$F$2)*DATA!$C$9,(E15/$F$2)*DATA!F28)+IF(ISBLANK(K15),0,K15/$F$2)*DATA!$C$9-IF(ISBLANK(L15),0,L15/$F$2)*DATA!F$18</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car",$D29=1),$E29*'IT '!C$7,AND($C29="Fuel car",$D29=2),$E29*'IT '!C$8,AND($C29="Fuel car",$D29=3),$E29*'IT '!C$9,AND($C29="Fuel car",$D29=4),$E29*'IT '!C$10,AND($C29="Fuel car",$D29=5),$E29*'IT '!C$11,AND($C29="Motorcycle",$D29=1),$E29*'IT '!C$13,AND($C29="Motorcycle",$D29=2),$E29*'IT '!C$14,AND($C29="Electric car",$D29=1),$E29*'IT '!C$16,AND($C29="Electric car",$D29=2),$E29*'IT '!C$17,AND($C29="Electric car",$D29=3),$E29*'IT '!C$18,AND($C29="Electric car",$D29=4),$E29*'IT '!C$19,AND($C29="Electric car",$D29=5),$E29*'IT '!C$20,AND($C29="Hybrid car",$D29=1),$E29*'IT '!C$22,AND($C29="Hybrid car",$D29=2),$E29*'IT '!C$23,AND($C29="Hybrid car",$D29=3),$E29*'IT '!C$24,AND($C29="Hybrid car",$D29=4),$E29*'IT '!C$25,AND($C29="Hybrid car",$D29=5),$E29*'IT '!C$26,AND($C29="Electric motorcycle",$D29=1),$E29*'IT '!C$28,AND($C29="Electric motorcycle",$D29=2),$E29*'IT '!C$29,AND($C29="Electric bike",$D29=1),$E29*'IT '!C$31,AND($C29="Electric scooter",$D29=1),$E29*'IT '!C$33,AND($C29="Bus",$D29="Almost empty"),$E29*'IT '!H$23,AND($C29="Bus",$D29="Average"),$E29*'IT '!H$24,AND($C29="Bus",$D29="Nearly full"),$E29*'IT '!H$25,AND($C29="Electric bus",$D29="Almost empty"),$E29*'IT '!H$7,AND($C29="Electric bus",$D29="Average"),$E29*'IT '!H$8,AND($C29="Electric bus",$D29="Nearly full"),$E29*'IT '!H$9,AND($C29="Diesel bus",$D29="Almost empty"),$E29*'IT '!H$19,AND($C29="Diesel bus",$D29="Average"),$E29*'IT '!H$20,AND($C29="Diesel bus",$D29="Nearly full"),$E29*'IT '!H$21,AND($C29="Hybrid-electric bus",$D29="Almost empty"),$E29*'IT '!H$11,AND($C29="Hybrid-electric bus",$D29="Average"),$E29*'IT '!H$12,AND($C29="Hybrid-electric bus",$D29="Nearly full"),$E29*'IT '!H$13,AND($C29="Alternative fuel bus",$D29="Almost empty"),$E29*'IT '!H$15,AND($C29="Alternative fuel bus",$D29="Average"),$E29*'IT '!H$16,AND($C29="Alternative fuel bus",$D29="Nearly full"),$E29*'IT '!H$17,AND($C29="Metro, tram, urban light train",$D29="Almost empty"),$E29*'IT '!C$35,AND($C29="Metro, tram, urban light train",$D29="Average"),$E29*'IT '!C$36,AND($C29="Metro, tram, urban light train",$D29="Nearly full"),$E29*'IT '!C$37,AND($C29="Electric passenger train",$D29="Almost empty"),$E29*'IT '!C$39,AND($C29="Electric passenger train",$D29="Average"),$E29*'IT '!C$40,AND($C29="Electric passenger train",$D29="Nearly full"),$E29*'IT '!C$41,AND($C29="Diesel passenger train",$D29="Almost empty"),$E29*'IT '!C$47,AND($C29="Diesel passenger train",$D29="Average"),$E29*'IT '!C$48,AND($C29="Diesel passenger train",$D29="Nearly full"),$E29*'IT '!C$49,AND($C29="Walking"),$E29*0,AND($C29="Bike"),$E29*0,AND($C29="Plane - domestic flight"),$E29*'IT '!$C53,AND($C29="Plane - international - intra EU"),$E29*'IT '!$C55,AND($C29="Plane - international (extra EU)"),$E29*'IT '!$C57)</f>
        <v>#N/A</v>
      </c>
      <c r="G29" s="104" t="e" cm="1">
        <f t="array" ref="G29">_xlfn.IFS(AND($C29="Fuel car",$D29=1),$E29*'IT '!D$7,AND($C29="Fuel car",$D29=2),$E29*'IT '!D$8,AND($C29="Fuel car",$D29=3),$E29*'IT '!D$9,AND($C29="Fuel car",$D29=4),$E29*'IT '!D$10,AND($C29="Fuel car",$D29=5),$E29*'IT '!D$11,AND($C29="Motorcycle",$D29=1),$E29*'IT '!D$13,AND($C29="Motorcycle",$D29=2),$E29*'IT '!D$14,AND($C29="Electric car",$D29=1),$E29*'IT '!D$16,AND($C29="Electric car",$D29=2),$E29*'IT '!D$17,AND($C29="Electric car",$D29=3),$E29*'IT '!D$18,AND($C29="Electric car",$D29=4),$E29*'IT '!D$19,AND($C29="Electric car",$D29=5),$E29*'IT '!D$20,AND($C29="Hybrid car",$D29=1),$E29*'IT '!D$22,AND($C29="Hybrid car",$D29=2),$E29*'IT '!D$23,AND($C29="Hybrid car",$D29=3),$E29*'IT '!D$24,AND($C29="Hybrid car",$D29=4),$E29*'IT '!D$25,AND($C29="Hybrid car",$D29=5),$E29*'IT '!D$26,AND($C29="Electric motorcycle",$D29=1),$E29*'IT '!D$28,AND($C29="Electric motorcycle",$D29=2),$E29*'IT '!D$29,AND($C29="Electric bike",$D29=1),$E29*'IT '!D$31,AND($C29="Electric scooter",$D29=1),$E29*'IT '!D$33,AND($C29="Bus",$D29="Almost empty"),$E29*'IT '!I$23,AND($C29="Bus",$D29="Average"),$E29*'IT '!I$24,AND($C29="Bus",$D29="Nearly full"),$E29*'IT '!I$25,AND($C29="Electric bus",$D29="Almost empty"),$E29*'IT '!I$7,AND($C29="Electric bus",$D29="Average"),$E29*'IT '!I$8,AND($C29="Electric bus",$D29="Nearly full"),$E29*'IT '!I$9,AND($C29="Diesel bus",$D29="Almost empty"),$E29*'IT '!I$19,AND($C29="Diesel bus",$D29="Average"),$E29*'IT '!I$20,AND($C29="Diesel bus",$D29="Nearly full"),$E29*'IT '!I$21,AND($C29="Hybrid-electric bus",$D29="Almost empty"),$E29*'IT '!I$11,AND($C29="Hybrid-electric bus",$D29="Average"),$E29*'IT '!I$12,AND($C29="Hybrid-electric bus",$D29="Nearly full"),$E29*'IT '!I$13,AND($C29="Alternative fuel bus",$D29="Almost empty"),$E29*'IT '!I$15,AND($C29="Alternative fuel bus",$D29="Average"),$E29*'IT '!I$16,AND($C29="Alternative fuel bus",$D29="Nearly full"),$E29*'IT '!I$17,AND($C29="Metro, tram, urban light train",$D29="Almost empty"),$E29*'IT '!D$35,AND($C29="Metro, tram, urban light train",$D29="Average"),$E29*'IT '!D$36,AND($C29="Metro, tram, urban light train",$D29="Nearly full"),$E29*'IT '!D$37,AND($C29="Electric passenger train",$D29="Almost empty"),$E29*'IT '!D$39,AND($C29="Electric passenger train",$D29="Average"),$E29*'IT '!D$40,AND($C29="Electric passenger train",$D29="Nearly full"),$E29*'IT '!D$41,AND($C29="Diesel passenger train",$D29="Almost empty"),$E29*'IT '!D$47,AND($C29="Diesel passenger train",$D29="Average"),$E29*'IT '!D$48,AND($C29="Diesel passenger train",$D29="Nearly full"),$E29*'IT '!D$49,AND($C29="Walking"),$E29*0,AND($C29="Bike"),$E29*0,AND($C29="Plane - domestic flight"),$E29*'IT '!$C53,AND($C29="Plane - international - intra EU"),$E29*'IT '!$C55,AND($C29="Plane - international (extra EU)"),$E29*'IT '!$C57)</f>
        <v>#N/A</v>
      </c>
      <c r="H29" s="151"/>
      <c r="I29" s="152">
        <f>H29/10*E29</f>
        <v>0</v>
      </c>
      <c r="J29" s="146" t="e" cm="1">
        <f t="array" ref="J29">_xlfn.IFS(C29="Fuel car",C29*DATA!$C$17,C29="Electric car",C29*DATA!$F$19,C29="Hybrid car",I29*(0.5*DATA!$C$17+0.5*DATA!$F$19))</f>
        <v>#N/A</v>
      </c>
      <c r="L29" s="218"/>
      <c r="M29" s="219"/>
      <c r="N29" s="220"/>
    </row>
    <row r="30" spans="1:17" ht="32" customHeight="1" x14ac:dyDescent="0.2">
      <c r="A30" s="222"/>
      <c r="B30" s="30"/>
      <c r="C30" s="15"/>
      <c r="D30" s="15"/>
      <c r="E30" s="125"/>
      <c r="F30" s="128" t="e" cm="1">
        <f t="array" ref="F30">_xlfn.IFS(AND($C30="Fuel car",$D30=1),$E30*'IT '!C$7,AND($C30="Fuel car",$D30=2),$E30*'IT '!C$8,AND($C30="Fuel car",$D30=3),$E30*'IT '!C$9,AND($C30="Fuel car",$D30=4),$E30*'IT '!C$10,AND($C30="Fuel car",$D30=5),$E30*'IT '!C$11,AND($C30="Motorcycle",$D30=1),$E30*'IT '!C$13,AND($C30="Motorcycle",$D30=2),$E30*'IT '!C$14,AND($C30="Electric car",$D30=1),$E30*'IT '!C$16,AND($C30="Electric car",$D30=2),$E30*'IT '!C$17,AND($C30="Electric car",$D30=3),$E30*'IT '!C$18,AND($C30="Electric car",$D30=4),$E30*'IT '!C$19,AND($C30="Electric car",$D30=5),$E30*'IT '!C$20,AND($C30="Hybrid car",$D30=1),$E30*'IT '!C$22,AND($C30="Hybrid car",$D30=2),$E30*'IT '!C$23,AND($C30="Hybrid car",$D30=3),$E30*'IT '!C$24,AND($C30="Hybrid car",$D30=4),$E30*'IT '!C$25,AND($C30="Hybrid car",$D30=5),$E30*'IT '!C$26,AND($C30="Electric motorcycle",$D30=1),$E30*'IT '!C$28,AND($C30="Electric motorcycle",$D30=2),$E30*'IT '!C$29,AND($C30="Electric bike",$D30=1),$E30*'IT '!C$31,AND($C30="Electric scooter",$D30=1),$E30*'IT '!C$33,AND($C30="Bus",$D30="Almost empty"),$E30*'IT '!H$23,AND($C30="Bus",$D30="Average"),$E30*'IT '!H$24,AND($C30="Bus",$D30="Nearly full"),$E30*'IT '!H$25,AND($C30="Electric bus",$D30="Almost empty"),$E30*'IT '!H$7,AND($C30="Electric bus",$D30="Average"),$E30*'IT '!H$8,AND($C30="Electric bus",$D30="Nearly full"),$E30*'IT '!H$9,AND($C30="Diesel bus",$D30="Almost empty"),$E30*'IT '!H$19,AND($C30="Diesel bus",$D30="Average"),$E30*'IT '!H$20,AND($C30="Diesel bus",$D30="Nearly full"),$E30*'IT '!H$21,AND($C30="Hybrid-electric bus",$D30="Almost empty"),$E30*'IT '!H$11,AND($C30="Hybrid-electric bus",$D30="Average"),$E30*'IT '!H$12,AND($C30="Hybrid-electric bus",$D30="Nearly full"),$E30*'IT '!H$13,AND($C30="Alternative fuel bus",$D30="Almost empty"),$E30*'IT '!H$15,AND($C30="Alternative fuel bus",$D30="Average"),$E30*'IT '!H$16,AND($C30="Alternative fuel bus",$D30="Nearly full"),$E30*'IT '!H$17,AND($C30="Metro, tram, urban light train",$D30="Almost empty"),$E30*'IT '!C$35,AND($C30="Metro, tram, urban light train",$D30="Average"),$E30*'IT '!C$36,AND($C30="Metro, tram, urban light train",$D30="Nearly full"),$E30*'IT '!C$37,AND($C30="Electric passenger train",$D30="Almost empty"),$E30*'IT '!C$39,AND($C30="Electric passenger train",$D30="Average"),$E30*'IT '!C$40,AND($C30="Electric passenger train",$D30="Nearly full"),$E30*'IT '!C$41,AND($C30="Diesel passenger train",$D30="Almost empty"),$E30*'IT '!C$47,AND($C30="Diesel passenger train",$D30="Average"),$E30*'IT '!C$48,AND($C30="Diesel passenger train",$D30="Nearly full"),$E30*'IT '!C$49,AND($C30="Walking"),$E30*0,AND($C30="Bike"),$E30*0,AND($C30="Plane - domestic flight"),$E30*'IT '!$C54,AND($C30="Plane - international - intra EU"),$E30*'IT '!$C56,AND($C30="Plane - international (extra EU)"),$E30*'IT '!$C58)</f>
        <v>#N/A</v>
      </c>
      <c r="G30" s="31" t="e" cm="1">
        <f t="array" ref="G30">_xlfn.IFS(AND($C30="Fuel car",$D30=1),$E30*'IT '!D$7,AND($C30="Fuel car",$D30=2),$E30*'IT '!D$8,AND($C30="Fuel car",$D30=3),$E30*'IT '!D$9,AND($C30="Fuel car",$D30=4),$E30*'IT '!D$10,AND($C30="Fuel car",$D30=5),$E30*'IT '!D$11,AND($C30="Motorcycle",$D30=1),$E30*'IT '!D$13,AND($C30="Motorcycle",$D30=2),$E30*'IT '!D$14,AND($C30="Electric car",$D30=1),$E30*'IT '!D$16,AND($C30="Electric car",$D30=2),$E30*'IT '!D$17,AND($C30="Electric car",$D30=3),$E30*'IT '!D$18,AND($C30="Electric car",$D30=4),$E30*'IT '!D$19,AND($C30="Electric car",$D30=5),$E30*'IT '!D$20,AND($C30="Hybrid car",$D30=1),$E30*'IT '!D$22,AND($C30="Hybrid car",$D30=2),$E30*'IT '!D$23,AND($C30="Hybrid car",$D30=3),$E30*'IT '!D$24,AND($C30="Hybrid car",$D30=4),$E30*'IT '!D$25,AND($C30="Hybrid car",$D30=5),$E30*'IT '!D$26,AND($C30="Electric motorcycle",$D30=1),$E30*'IT '!D$28,AND($C30="Electric motorcycle",$D30=2),$E30*'IT '!D$29,AND($C30="Electric bike",$D30=1),$E30*'IT '!D$31,AND($C30="Electric scooter",$D30=1),$E30*'IT '!D$33,AND($C30="Bus",$D30="Almost empty"),$E30*'IT '!I$23,AND($C30="Bus",$D30="Average"),$E30*'IT '!I$24,AND($C30="Bus",$D30="Nearly full"),$E30*'IT '!I$25,AND($C30="Electric bus",$D30="Almost empty"),$E30*'IT '!I$7,AND($C30="Electric bus",$D30="Average"),$E30*'IT '!I$8,AND($C30="Electric bus",$D30="Nearly full"),$E30*'IT '!I$9,AND($C30="Diesel bus",$D30="Almost empty"),$E30*'IT '!I$19,AND($C30="Diesel bus",$D30="Average"),$E30*'IT '!I$20,AND($C30="Diesel bus",$D30="Nearly full"),$E30*'IT '!I$21,AND($C30="Hybrid-electric bus",$D30="Almost empty"),$E30*'IT '!I$11,AND($C30="Hybrid-electric bus",$D30="Average"),$E30*'IT '!I$12,AND($C30="Hybrid-electric bus",$D30="Nearly full"),$E30*'IT '!I$13,AND($C30="Alternative fuel bus",$D30="Almost empty"),$E30*'IT '!I$15,AND($C30="Alternative fuel bus",$D30="Average"),$E30*'IT '!I$16,AND($C30="Alternative fuel bus",$D30="Nearly full"),$E30*'IT '!I$17,AND($C30="Metro, tram, urban light train",$D30="Almost empty"),$E30*'IT '!D$35,AND($C30="Metro, tram, urban light train",$D30="Average"),$E30*'IT '!D$36,AND($C30="Metro, tram, urban light train",$D30="Nearly full"),$E30*'IT '!D$37,AND($C30="Electric passenger train",$D30="Almost empty"),$E30*'IT '!D$39,AND($C30="Electric passenger train",$D30="Average"),$E30*'IT '!D$40,AND($C30="Electric passenger train",$D30="Nearly full"),$E30*'IT '!D$41,AND($C30="Diesel passenger train",$D30="Almost empty"),$E30*'IT '!D$47,AND($C30="Diesel passenger train",$D30="Average"),$E30*'IT '!D$48,AND($C30="Diesel passenger train",$D30="Nearly full"),$E30*'IT '!D$49,AND($C30="Walking"),$E30*0,AND($C30="Bike"),$E30*0,AND($C30="Plane - domestic flight"),$E30*'IT '!$C54,AND($C30="Plane - international - intra EU"),$E30*'IT '!$C56,AND($C30="Plane - international (extra EU)"),$E30*'IT '!$C58)</f>
        <v>#N/A</v>
      </c>
      <c r="H30" s="145"/>
      <c r="I30" s="148">
        <f t="shared" ref="I30:I43" si="6">H30/10*E30</f>
        <v>0</v>
      </c>
      <c r="J30" s="146" t="e" cm="1">
        <f t="array" ref="J30">_xlfn.IFS(C30="Fuel car",C30*DATA!$C$17,C30="Electric car",C30*DATA!$F$19,C30="Hybrid car",I30*(0.5*DATA!$C$17+0.5*DATA!$F$19))</f>
        <v>#N/A</v>
      </c>
      <c r="L30" s="215" t="s">
        <v>76</v>
      </c>
      <c r="M30" s="216"/>
      <c r="N30" s="217"/>
    </row>
    <row r="31" spans="1:17" x14ac:dyDescent="0.2">
      <c r="A31" s="222"/>
      <c r="B31" s="30"/>
      <c r="C31" s="15"/>
      <c r="D31" s="15"/>
      <c r="E31" s="125"/>
      <c r="F31" s="128" t="e" cm="1">
        <f t="array" ref="F31">_xlfn.IFS(AND($C31="Fuel car",$D31=1),$E31*'IT '!C$7,AND($C31="Fuel car",$D31=2),$E31*'IT '!C$8,AND($C31="Fuel car",$D31=3),$E31*'IT '!C$9,AND($C31="Fuel car",$D31=4),$E31*'IT '!C$10,AND($C31="Fuel car",$D31=5),$E31*'IT '!C$11,AND($C31="Motorcycle",$D31=1),$E31*'IT '!C$13,AND($C31="Motorcycle",$D31=2),$E31*'IT '!C$14,AND($C31="Electric car",$D31=1),$E31*'IT '!C$16,AND($C31="Electric car",$D31=2),$E31*'IT '!C$17,AND($C31="Electric car",$D31=3),$E31*'IT '!C$18,AND($C31="Electric car",$D31=4),$E31*'IT '!C$19,AND($C31="Electric car",$D31=5),$E31*'IT '!C$20,AND($C31="Hybrid car",$D31=1),$E31*'IT '!C$22,AND($C31="Hybrid car",$D31=2),$E31*'IT '!C$23,AND($C31="Hybrid car",$D31=3),$E31*'IT '!C$24,AND($C31="Hybrid car",$D31=4),$E31*'IT '!C$25,AND($C31="Hybrid car",$D31=5),$E31*'IT '!C$26,AND($C31="Electric motorcycle",$D31=1),$E31*'IT '!C$28,AND($C31="Electric motorcycle",$D31=2),$E31*'IT '!C$29,AND($C31="Electric bike",$D31=1),$E31*'IT '!C$31,AND($C31="Electric scooter",$D31=1),$E31*'IT '!C$33,AND($C31="Bus",$D31="Almost empty"),$E31*'IT '!H$23,AND($C31="Bus",$D31="Average"),$E31*'IT '!H$24,AND($C31="Bus",$D31="Nearly full"),$E31*'IT '!H$25,AND($C31="Electric bus",$D31="Almost empty"),$E31*'IT '!H$7,AND($C31="Electric bus",$D31="Average"),$E31*'IT '!H$8,AND($C31="Electric bus",$D31="Nearly full"),$E31*'IT '!H$9,AND($C31="Diesel bus",$D31="Almost empty"),$E31*'IT '!H$19,AND($C31="Diesel bus",$D31="Average"),$E31*'IT '!H$20,AND($C31="Diesel bus",$D31="Nearly full"),$E31*'IT '!H$21,AND($C31="Hybrid-electric bus",$D31="Almost empty"),$E31*'IT '!H$11,AND($C31="Hybrid-electric bus",$D31="Average"),$E31*'IT '!H$12,AND($C31="Hybrid-electric bus",$D31="Nearly full"),$E31*'IT '!H$13,AND($C31="Alternative fuel bus",$D31="Almost empty"),$E31*'IT '!H$15,AND($C31="Alternative fuel bus",$D31="Average"),$E31*'IT '!H$16,AND($C31="Alternative fuel bus",$D31="Nearly full"),$E31*'IT '!H$17,AND($C31="Metro, tram, urban light train",$D31="Almost empty"),$E31*'IT '!C$35,AND($C31="Metro, tram, urban light train",$D31="Average"),$E31*'IT '!C$36,AND($C31="Metro, tram, urban light train",$D31="Nearly full"),$E31*'IT '!C$37,AND($C31="Electric passenger train",$D31="Almost empty"),$E31*'IT '!C$39,AND($C31="Electric passenger train",$D31="Average"),$E31*'IT '!C$40,AND($C31="Electric passenger train",$D31="Nearly full"),$E31*'IT '!C$41,AND($C31="Diesel passenger train",$D31="Almost empty"),$E31*'IT '!C$47,AND($C31="Diesel passenger train",$D31="Average"),$E31*'IT '!C$48,AND($C31="Diesel passenger train",$D31="Nearly full"),$E31*'IT '!C$49,AND($C31="Walking"),$E31*0,AND($C31="Bike"),$E31*0,AND($C31="Plane - domestic flight"),$E31*'IT '!$C55,AND($C31="Plane - international - intra EU"),$E31*'IT '!$C57,AND($C31="Plane - international (extra EU)"),$E31*'IT '!$C59)</f>
        <v>#N/A</v>
      </c>
      <c r="G31" s="31" t="e" cm="1">
        <f t="array" ref="G31">_xlfn.IFS(AND($C31="Fuel car",$D31=1),$E31*'IT '!D$7,AND($C31="Fuel car",$D31=2),$E31*'IT '!D$8,AND($C31="Fuel car",$D31=3),$E31*'IT '!D$9,AND($C31="Fuel car",$D31=4),$E31*'IT '!D$10,AND($C31="Fuel car",$D31=5),$E31*'IT '!D$11,AND($C31="Motorcycle",$D31=1),$E31*'IT '!D$13,AND($C31="Motorcycle",$D31=2),$E31*'IT '!D$14,AND($C31="Electric car",$D31=1),$E31*'IT '!D$16,AND($C31="Electric car",$D31=2),$E31*'IT '!D$17,AND($C31="Electric car",$D31=3),$E31*'IT '!D$18,AND($C31="Electric car",$D31=4),$E31*'IT '!D$19,AND($C31="Electric car",$D31=5),$E31*'IT '!D$20,AND($C31="Hybrid car",$D31=1),$E31*'IT '!D$22,AND($C31="Hybrid car",$D31=2),$E31*'IT '!D$23,AND($C31="Hybrid car",$D31=3),$E31*'IT '!D$24,AND($C31="Hybrid car",$D31=4),$E31*'IT '!D$25,AND($C31="Hybrid car",$D31=5),$E31*'IT '!D$26,AND($C31="Electric motorcycle",$D31=1),$E31*'IT '!D$28,AND($C31="Electric motorcycle",$D31=2),$E31*'IT '!D$29,AND($C31="Electric bike",$D31=1),$E31*'IT '!D$31,AND($C31="Electric scooter",$D31=1),$E31*'IT '!D$33,AND($C31="Bus",$D31="Almost empty"),$E31*'IT '!I$23,AND($C31="Bus",$D31="Average"),$E31*'IT '!I$24,AND($C31="Bus",$D31="Nearly full"),$E31*'IT '!I$25,AND($C31="Electric bus",$D31="Almost empty"),$E31*'IT '!I$7,AND($C31="Electric bus",$D31="Average"),$E31*'IT '!I$8,AND($C31="Electric bus",$D31="Nearly full"),$E31*'IT '!I$9,AND($C31="Diesel bus",$D31="Almost empty"),$E31*'IT '!I$19,AND($C31="Diesel bus",$D31="Average"),$E31*'IT '!I$20,AND($C31="Diesel bus",$D31="Nearly full"),$E31*'IT '!I$21,AND($C31="Hybrid-electric bus",$D31="Almost empty"),$E31*'IT '!I$11,AND($C31="Hybrid-electric bus",$D31="Average"),$E31*'IT '!I$12,AND($C31="Hybrid-electric bus",$D31="Nearly full"),$E31*'IT '!I$13,AND($C31="Alternative fuel bus",$D31="Almost empty"),$E31*'IT '!I$15,AND($C31="Alternative fuel bus",$D31="Average"),$E31*'IT '!I$16,AND($C31="Alternative fuel bus",$D31="Nearly full"),$E31*'IT '!I$17,AND($C31="Metro, tram, urban light train",$D31="Almost empty"),$E31*'IT '!D$35,AND($C31="Metro, tram, urban light train",$D31="Average"),$E31*'IT '!D$36,AND($C31="Metro, tram, urban light train",$D31="Nearly full"),$E31*'IT '!D$37,AND($C31="Electric passenger train",$D31="Almost empty"),$E31*'IT '!D$39,AND($C31="Electric passenger train",$D31="Average"),$E31*'IT '!D$40,AND($C31="Electric passenger train",$D31="Nearly full"),$E31*'IT '!D$41,AND($C31="Diesel passenger train",$D31="Almost empty"),$E31*'IT '!D$47,AND($C31="Diesel passenger train",$D31="Average"),$E31*'IT '!D$48,AND($C31="Diesel passenger train",$D31="Nearly full"),$E31*'IT '!D$49,AND($C31="Walking"),$E31*0,AND($C31="Bike"),$E31*0,AND($C31="Plane - domestic flight"),$E31*'IT '!$C55,AND($C31="Plane - international - intra EU"),$E31*'IT '!$C57,AND($C31="Plane - international (extra EU)"),$E31*'IT '!$C59)</f>
        <v>#N/A</v>
      </c>
      <c r="H31" s="145"/>
      <c r="I31" s="148">
        <f t="shared" si="6"/>
        <v>0</v>
      </c>
      <c r="J31" s="146" t="e" cm="1">
        <f t="array" ref="J31">_xlfn.IFS(C31="Fuel car",C31*DATA!$C$17,C31="Electric car",C31*DATA!$F$19,C31="Hybrid car",I31*(0.5*DATA!$C$17+0.5*DATA!$F$19))</f>
        <v>#N/A</v>
      </c>
      <c r="L31" s="223"/>
      <c r="M31" s="224"/>
      <c r="N31" s="225"/>
    </row>
    <row r="32" spans="1:17" ht="16" thickBot="1" x14ac:dyDescent="0.25">
      <c r="A32" s="222"/>
      <c r="B32" s="30"/>
      <c r="C32" s="15"/>
      <c r="D32" s="15"/>
      <c r="E32" s="125"/>
      <c r="F32" s="128" t="e" cm="1">
        <f t="array" ref="F32">_xlfn.IFS(AND($C32="Fuel car",$D32=1),$E32*'IT '!C$7,AND($C32="Fuel car",$D32=2),$E32*'IT '!C$8,AND($C32="Fuel car",$D32=3),$E32*'IT '!C$9,AND($C32="Fuel car",$D32=4),$E32*'IT '!C$10,AND($C32="Fuel car",$D32=5),$E32*'IT '!C$11,AND($C32="Motorcycle",$D32=1),$E32*'IT '!C$13,AND($C32="Motorcycle",$D32=2),$E32*'IT '!C$14,AND($C32="Electric car",$D32=1),$E32*'IT '!C$16,AND($C32="Electric car",$D32=2),$E32*'IT '!C$17,AND($C32="Electric car",$D32=3),$E32*'IT '!C$18,AND($C32="Electric car",$D32=4),$E32*'IT '!C$19,AND($C32="Electric car",$D32=5),$E32*'IT '!C$20,AND($C32="Hybrid car",$D32=1),$E32*'IT '!C$22,AND($C32="Hybrid car",$D32=2),$E32*'IT '!C$23,AND($C32="Hybrid car",$D32=3),$E32*'IT '!C$24,AND($C32="Hybrid car",$D32=4),$E32*'IT '!C$25,AND($C32="Hybrid car",$D32=5),$E32*'IT '!C$26,AND($C32="Electric motorcycle",$D32=1),$E32*'IT '!C$28,AND($C32="Electric motorcycle",$D32=2),$E32*'IT '!C$29,AND($C32="Electric bike",$D32=1),$E32*'IT '!C$31,AND($C32="Electric scooter",$D32=1),$E32*'IT '!C$33,AND($C32="Bus",$D32="Almost empty"),$E32*'IT '!H$23,AND($C32="Bus",$D32="Average"),$E32*'IT '!H$24,AND($C32="Bus",$D32="Nearly full"),$E32*'IT '!H$25,AND($C32="Electric bus",$D32="Almost empty"),$E32*'IT '!H$7,AND($C32="Electric bus",$D32="Average"),$E32*'IT '!H$8,AND($C32="Electric bus",$D32="Nearly full"),$E32*'IT '!H$9,AND($C32="Diesel bus",$D32="Almost empty"),$E32*'IT '!H$19,AND($C32="Diesel bus",$D32="Average"),$E32*'IT '!H$20,AND($C32="Diesel bus",$D32="Nearly full"),$E32*'IT '!H$21,AND($C32="Hybrid-electric bus",$D32="Almost empty"),$E32*'IT '!H$11,AND($C32="Hybrid-electric bus",$D32="Average"),$E32*'IT '!H$12,AND($C32="Hybrid-electric bus",$D32="Nearly full"),$E32*'IT '!H$13,AND($C32="Alternative fuel bus",$D32="Almost empty"),$E32*'IT '!H$15,AND($C32="Alternative fuel bus",$D32="Average"),$E32*'IT '!H$16,AND($C32="Alternative fuel bus",$D32="Nearly full"),$E32*'IT '!H$17,AND($C32="Metro, tram, urban light train",$D32="Almost empty"),$E32*'IT '!C$35,AND($C32="Metro, tram, urban light train",$D32="Average"),$E32*'IT '!C$36,AND($C32="Metro, tram, urban light train",$D32="Nearly full"),$E32*'IT '!C$37,AND($C32="Electric passenger train",$D32="Almost empty"),$E32*'IT '!C$39,AND($C32="Electric passenger train",$D32="Average"),$E32*'IT '!C$40,AND($C32="Electric passenger train",$D32="Nearly full"),$E32*'IT '!C$41,AND($C32="Diesel passenger train",$D32="Almost empty"),$E32*'IT '!C$47,AND($C32="Diesel passenger train",$D32="Average"),$E32*'IT '!C$48,AND($C32="Diesel passenger train",$D32="Nearly full"),$E32*'IT '!C$49,AND($C32="Walking"),$E32*0,AND($C32="Bike"),$E32*0,AND($C32="Plane - domestic flight"),$E32*'IT '!$C56,AND($C32="Plane - international - intra EU"),$E32*'IT '!$C58,AND($C32="Plane - international (extra EU)"),$E32*'IT '!$C60)</f>
        <v>#N/A</v>
      </c>
      <c r="G32" s="31" t="e" cm="1">
        <f t="array" ref="G32">_xlfn.IFS(AND($C32="Fuel car",$D32=1),$E32*'IT '!D$7,AND($C32="Fuel car",$D32=2),$E32*'IT '!D$8,AND($C32="Fuel car",$D32=3),$E32*'IT '!D$9,AND($C32="Fuel car",$D32=4),$E32*'IT '!D$10,AND($C32="Fuel car",$D32=5),$E32*'IT '!D$11,AND($C32="Motorcycle",$D32=1),$E32*'IT '!D$13,AND($C32="Motorcycle",$D32=2),$E32*'IT '!D$14,AND($C32="Electric car",$D32=1),$E32*'IT '!D$16,AND($C32="Electric car",$D32=2),$E32*'IT '!D$17,AND($C32="Electric car",$D32=3),$E32*'IT '!D$18,AND($C32="Electric car",$D32=4),$E32*'IT '!D$19,AND($C32="Electric car",$D32=5),$E32*'IT '!D$20,AND($C32="Hybrid car",$D32=1),$E32*'IT '!D$22,AND($C32="Hybrid car",$D32=2),$E32*'IT '!D$23,AND($C32="Hybrid car",$D32=3),$E32*'IT '!D$24,AND($C32="Hybrid car",$D32=4),$E32*'IT '!D$25,AND($C32="Hybrid car",$D32=5),$E32*'IT '!D$26,AND($C32="Electric motorcycle",$D32=1),$E32*'IT '!D$28,AND($C32="Electric motorcycle",$D32=2),$E32*'IT '!D$29,AND($C32="Electric bike",$D32=1),$E32*'IT '!D$31,AND($C32="Electric scooter",$D32=1),$E32*'IT '!D$33,AND($C32="Bus",$D32="Almost empty"),$E32*'IT '!I$23,AND($C32="Bus",$D32="Average"),$E32*'IT '!I$24,AND($C32="Bus",$D32="Nearly full"),$E32*'IT '!I$25,AND($C32="Electric bus",$D32="Almost empty"),$E32*'IT '!I$7,AND($C32="Electric bus",$D32="Average"),$E32*'IT '!I$8,AND($C32="Electric bus",$D32="Nearly full"),$E32*'IT '!I$9,AND($C32="Diesel bus",$D32="Almost empty"),$E32*'IT '!I$19,AND($C32="Diesel bus",$D32="Average"),$E32*'IT '!I$20,AND($C32="Diesel bus",$D32="Nearly full"),$E32*'IT '!I$21,AND($C32="Hybrid-electric bus",$D32="Almost empty"),$E32*'IT '!I$11,AND($C32="Hybrid-electric bus",$D32="Average"),$E32*'IT '!I$12,AND($C32="Hybrid-electric bus",$D32="Nearly full"),$E32*'IT '!I$13,AND($C32="Alternative fuel bus",$D32="Almost empty"),$E32*'IT '!I$15,AND($C32="Alternative fuel bus",$D32="Average"),$E32*'IT '!I$16,AND($C32="Alternative fuel bus",$D32="Nearly full"),$E32*'IT '!I$17,AND($C32="Metro, tram, urban light train",$D32="Almost empty"),$E32*'IT '!D$35,AND($C32="Metro, tram, urban light train",$D32="Average"),$E32*'IT '!D$36,AND($C32="Metro, tram, urban light train",$D32="Nearly full"),$E32*'IT '!D$37,AND($C32="Electric passenger train",$D32="Almost empty"),$E32*'IT '!D$39,AND($C32="Electric passenger train",$D32="Average"),$E32*'IT '!D$40,AND($C32="Electric passenger train",$D32="Nearly full"),$E32*'IT '!D$41,AND($C32="Diesel passenger train",$D32="Almost empty"),$E32*'IT '!D$47,AND($C32="Diesel passenger train",$D32="Average"),$E32*'IT '!D$48,AND($C32="Diesel passenger train",$D32="Nearly full"),$E32*'IT '!D$49,AND($C32="Walking"),$E32*0,AND($C32="Bike"),$E32*0,AND($C32="Plane - domestic flight"),$E32*'IT '!$C56,AND($C32="Plane - international - intra EU"),$E32*'IT '!$C58,AND($C32="Plane - international (extra EU)"),$E32*'IT '!$C60)</f>
        <v>#N/A</v>
      </c>
      <c r="H32" s="145"/>
      <c r="I32" s="148">
        <f t="shared" si="6"/>
        <v>0</v>
      </c>
      <c r="J32" s="146" t="e" cm="1">
        <f t="array" ref="J32">_xlfn.IFS(C32="Fuel car",C32*DATA!$C$17,C32="Electric car",C32*DATA!$F$19,C32="Hybrid car",I32*(0.5*DATA!$C$17+0.5*DATA!$F$19))</f>
        <v>#N/A</v>
      </c>
      <c r="L32" s="218"/>
      <c r="M32" s="219"/>
      <c r="N32" s="220"/>
    </row>
    <row r="33" spans="1:14" ht="14.5" customHeight="1" x14ac:dyDescent="0.2">
      <c r="A33" s="222"/>
      <c r="B33" s="30"/>
      <c r="C33" s="15"/>
      <c r="D33" s="15"/>
      <c r="E33" s="125"/>
      <c r="F33" s="128" t="e" cm="1">
        <f t="array" ref="F33">_xlfn.IFS(AND($C33="Fuel car",$D33=1),$E33*'IT '!C$7,AND($C33="Fuel car",$D33=2),$E33*'IT '!C$8,AND($C33="Fuel car",$D33=3),$E33*'IT '!C$9,AND($C33="Fuel car",$D33=4),$E33*'IT '!C$10,AND($C33="Fuel car",$D33=5),$E33*'IT '!C$11,AND($C33="Motorcycle",$D33=1),$E33*'IT '!C$13,AND($C33="Motorcycle",$D33=2),$E33*'IT '!C$14,AND($C33="Electric car",$D33=1),$E33*'IT '!C$16,AND($C33="Electric car",$D33=2),$E33*'IT '!C$17,AND($C33="Electric car",$D33=3),$E33*'IT '!C$18,AND($C33="Electric car",$D33=4),$E33*'IT '!C$19,AND($C33="Electric car",$D33=5),$E33*'IT '!C$20,AND($C33="Hybrid car",$D33=1),$E33*'IT '!C$22,AND($C33="Hybrid car",$D33=2),$E33*'IT '!C$23,AND($C33="Hybrid car",$D33=3),$E33*'IT '!C$24,AND($C33="Hybrid car",$D33=4),$E33*'IT '!C$25,AND($C33="Hybrid car",$D33=5),$E33*'IT '!C$26,AND($C33="Electric motorcycle",$D33=1),$E33*'IT '!C$28,AND($C33="Electric motorcycle",$D33=2),$E33*'IT '!C$29,AND($C33="Electric bike",$D33=1),$E33*'IT '!C$31,AND($C33="Electric scooter",$D33=1),$E33*'IT '!C$33,AND($C33="Bus",$D33="Almost empty"),$E33*'IT '!H$23,AND($C33="Bus",$D33="Average"),$E33*'IT '!H$24,AND($C33="Bus",$D33="Nearly full"),$E33*'IT '!H$25,AND($C33="Electric bus",$D33="Almost empty"),$E33*'IT '!H$7,AND($C33="Electric bus",$D33="Average"),$E33*'IT '!H$8,AND($C33="Electric bus",$D33="Nearly full"),$E33*'IT '!H$9,AND($C33="Diesel bus",$D33="Almost empty"),$E33*'IT '!H$19,AND($C33="Diesel bus",$D33="Average"),$E33*'IT '!H$20,AND($C33="Diesel bus",$D33="Nearly full"),$E33*'IT '!H$21,AND($C33="Hybrid-electric bus",$D33="Almost empty"),$E33*'IT '!H$11,AND($C33="Hybrid-electric bus",$D33="Average"),$E33*'IT '!H$12,AND($C33="Hybrid-electric bus",$D33="Nearly full"),$E33*'IT '!H$13,AND($C33="Alternative fuel bus",$D33="Almost empty"),$E33*'IT '!H$15,AND($C33="Alternative fuel bus",$D33="Average"),$E33*'IT '!H$16,AND($C33="Alternative fuel bus",$D33="Nearly full"),$E33*'IT '!H$17,AND($C33="Metro, tram, urban light train",$D33="Almost empty"),$E33*'IT '!C$35,AND($C33="Metro, tram, urban light train",$D33="Average"),$E33*'IT '!C$36,AND($C33="Metro, tram, urban light train",$D33="Nearly full"),$E33*'IT '!C$37,AND($C33="Electric passenger train",$D33="Almost empty"),$E33*'IT '!C$39,AND($C33="Electric passenger train",$D33="Average"),$E33*'IT '!C$40,AND($C33="Electric passenger train",$D33="Nearly full"),$E33*'IT '!C$41,AND($C33="Diesel passenger train",$D33="Almost empty"),$E33*'IT '!C$47,AND($C33="Diesel passenger train",$D33="Average"),$E33*'IT '!C$48,AND($C33="Diesel passenger train",$D33="Nearly full"),$E33*'IT '!C$49,AND($C33="Walking"),$E33*0,AND($C33="Bike"),$E33*0,AND($C33="Plane - domestic flight"),$E33*'IT '!$C57,AND($C33="Plane - international - intra EU"),$E33*'IT '!$C59,AND($C33="Plane - international (extra EU)"),$E33*'IT '!$C61)</f>
        <v>#N/A</v>
      </c>
      <c r="G33" s="31" t="e" cm="1">
        <f t="array" ref="G33">_xlfn.IFS(AND($C33="Fuel car",$D33=1),$E33*'IT '!D$7,AND($C33="Fuel car",$D33=2),$E33*'IT '!D$8,AND($C33="Fuel car",$D33=3),$E33*'IT '!D$9,AND($C33="Fuel car",$D33=4),$E33*'IT '!D$10,AND($C33="Fuel car",$D33=5),$E33*'IT '!D$11,AND($C33="Motorcycle",$D33=1),$E33*'IT '!D$13,AND($C33="Motorcycle",$D33=2),$E33*'IT '!D$14,AND($C33="Electric car",$D33=1),$E33*'IT '!D$16,AND($C33="Electric car",$D33=2),$E33*'IT '!D$17,AND($C33="Electric car",$D33=3),$E33*'IT '!D$18,AND($C33="Electric car",$D33=4),$E33*'IT '!D$19,AND($C33="Electric car",$D33=5),$E33*'IT '!D$20,AND($C33="Hybrid car",$D33=1),$E33*'IT '!D$22,AND($C33="Hybrid car",$D33=2),$E33*'IT '!D$23,AND($C33="Hybrid car",$D33=3),$E33*'IT '!D$24,AND($C33="Hybrid car",$D33=4),$E33*'IT '!D$25,AND($C33="Hybrid car",$D33=5),$E33*'IT '!D$26,AND($C33="Electric motorcycle",$D33=1),$E33*'IT '!D$28,AND($C33="Electric motorcycle",$D33=2),$E33*'IT '!D$29,AND($C33="Electric bike",$D33=1),$E33*'IT '!D$31,AND($C33="Electric scooter",$D33=1),$E33*'IT '!D$33,AND($C33="Bus",$D33="Almost empty"),$E33*'IT '!I$23,AND($C33="Bus",$D33="Average"),$E33*'IT '!I$24,AND($C33="Bus",$D33="Nearly full"),$E33*'IT '!I$25,AND($C33="Electric bus",$D33="Almost empty"),$E33*'IT '!I$7,AND($C33="Electric bus",$D33="Average"),$E33*'IT '!I$8,AND($C33="Electric bus",$D33="Nearly full"),$E33*'IT '!I$9,AND($C33="Diesel bus",$D33="Almost empty"),$E33*'IT '!I$19,AND($C33="Diesel bus",$D33="Average"),$E33*'IT '!I$20,AND($C33="Diesel bus",$D33="Nearly full"),$E33*'IT '!I$21,AND($C33="Hybrid-electric bus",$D33="Almost empty"),$E33*'IT '!I$11,AND($C33="Hybrid-electric bus",$D33="Average"),$E33*'IT '!I$12,AND($C33="Hybrid-electric bus",$D33="Nearly full"),$E33*'IT '!I$13,AND($C33="Alternative fuel bus",$D33="Almost empty"),$E33*'IT '!I$15,AND($C33="Alternative fuel bus",$D33="Average"),$E33*'IT '!I$16,AND($C33="Alternative fuel bus",$D33="Nearly full"),$E33*'IT '!I$17,AND($C33="Metro, tram, urban light train",$D33="Almost empty"),$E33*'IT '!D$35,AND($C33="Metro, tram, urban light train",$D33="Average"),$E33*'IT '!D$36,AND($C33="Metro, tram, urban light train",$D33="Nearly full"),$E33*'IT '!D$37,AND($C33="Electric passenger train",$D33="Almost empty"),$E33*'IT '!D$39,AND($C33="Electric passenger train",$D33="Average"),$E33*'IT '!D$40,AND($C33="Electric passenger train",$D33="Nearly full"),$E33*'IT '!D$41,AND($C33="Diesel passenger train",$D33="Almost empty"),$E33*'IT '!D$47,AND($C33="Diesel passenger train",$D33="Average"),$E33*'IT '!D$48,AND($C33="Diesel passenger train",$D33="Nearly full"),$E33*'IT '!D$49,AND($C33="Walking"),$E33*0,AND($C33="Bike"),$E33*0,AND($C33="Plane - domestic flight"),$E33*'IT '!$C57,AND($C33="Plane - international - intra EU"),$E33*'IT '!$C59,AND($C33="Plane - international (extra EU)"),$E33*'IT '!$C61)</f>
        <v>#N/A</v>
      </c>
      <c r="H33" s="145"/>
      <c r="I33" s="148">
        <f t="shared" si="6"/>
        <v>0</v>
      </c>
      <c r="J33" s="146" t="e" cm="1">
        <f t="array" ref="J33">_xlfn.IFS(C33="Fuel car",C33*DATA!$C$17,C33="Electric car",C33*DATA!$F$19,C33="Hybrid car",I33*(0.5*DATA!$C$17+0.5*DATA!$F$19))</f>
        <v>#N/A</v>
      </c>
      <c r="L33" s="223" t="s">
        <v>78</v>
      </c>
      <c r="M33" s="224"/>
      <c r="N33" s="225"/>
    </row>
    <row r="34" spans="1:14" x14ac:dyDescent="0.2">
      <c r="A34" s="222"/>
      <c r="B34" s="30"/>
      <c r="C34" s="15"/>
      <c r="D34" s="15"/>
      <c r="E34" s="125"/>
      <c r="F34" s="128" t="e" cm="1">
        <f t="array" ref="F34">_xlfn.IFS(AND($C34="Fuel car",$D34=1),$E34*'IT '!C$7,AND($C34="Fuel car",$D34=2),$E34*'IT '!C$8,AND($C34="Fuel car",$D34=3),$E34*'IT '!C$9,AND($C34="Fuel car",$D34=4),$E34*'IT '!C$10,AND($C34="Fuel car",$D34=5),$E34*'IT '!C$11,AND($C34="Motorcycle",$D34=1),$E34*'IT '!C$13,AND($C34="Motorcycle",$D34=2),$E34*'IT '!C$14,AND($C34="Electric car",$D34=1),$E34*'IT '!C$16,AND($C34="Electric car",$D34=2),$E34*'IT '!C$17,AND($C34="Electric car",$D34=3),$E34*'IT '!C$18,AND($C34="Electric car",$D34=4),$E34*'IT '!C$19,AND($C34="Electric car",$D34=5),$E34*'IT '!C$20,AND($C34="Hybrid car",$D34=1),$E34*'IT '!C$22,AND($C34="Hybrid car",$D34=2),$E34*'IT '!C$23,AND($C34="Hybrid car",$D34=3),$E34*'IT '!C$24,AND($C34="Hybrid car",$D34=4),$E34*'IT '!C$25,AND($C34="Hybrid car",$D34=5),$E34*'IT '!C$26,AND($C34="Electric motorcycle",$D34=1),$E34*'IT '!C$28,AND($C34="Electric motorcycle",$D34=2),$E34*'IT '!C$29,AND($C34="Electric bike",$D34=1),$E34*'IT '!C$31,AND($C34="Electric scooter",$D34=1),$E34*'IT '!C$33,AND($C34="Bus",$D34="Almost empty"),$E34*'IT '!H$23,AND($C34="Bus",$D34="Average"),$E34*'IT '!H$24,AND($C34="Bus",$D34="Nearly full"),$E34*'IT '!H$25,AND($C34="Electric bus",$D34="Almost empty"),$E34*'IT '!H$7,AND($C34="Electric bus",$D34="Average"),$E34*'IT '!H$8,AND($C34="Electric bus",$D34="Nearly full"),$E34*'IT '!H$9,AND($C34="Diesel bus",$D34="Almost empty"),$E34*'IT '!H$19,AND($C34="Diesel bus",$D34="Average"),$E34*'IT '!H$20,AND($C34="Diesel bus",$D34="Nearly full"),$E34*'IT '!H$21,AND($C34="Hybrid-electric bus",$D34="Almost empty"),$E34*'IT '!H$11,AND($C34="Hybrid-electric bus",$D34="Average"),$E34*'IT '!H$12,AND($C34="Hybrid-electric bus",$D34="Nearly full"),$E34*'IT '!H$13,AND($C34="Alternative fuel bus",$D34="Almost empty"),$E34*'IT '!H$15,AND($C34="Alternative fuel bus",$D34="Average"),$E34*'IT '!H$16,AND($C34="Alternative fuel bus",$D34="Nearly full"),$E34*'IT '!H$17,AND($C34="Metro, tram, urban light train",$D34="Almost empty"),$E34*'IT '!C$35,AND($C34="Metro, tram, urban light train",$D34="Average"),$E34*'IT '!C$36,AND($C34="Metro, tram, urban light train",$D34="Nearly full"),$E34*'IT '!C$37,AND($C34="Electric passenger train",$D34="Almost empty"),$E34*'IT '!C$39,AND($C34="Electric passenger train",$D34="Average"),$E34*'IT '!C$40,AND($C34="Electric passenger train",$D34="Nearly full"),$E34*'IT '!C$41,AND($C34="Diesel passenger train",$D34="Almost empty"),$E34*'IT '!C$47,AND($C34="Diesel passenger train",$D34="Average"),$E34*'IT '!C$48,AND($C34="Diesel passenger train",$D34="Nearly full"),$E34*'IT '!C$49,AND($C34="Walking"),$E34*0,AND($C34="Bike"),$E34*0,AND($C34="Plane - domestic flight"),$E34*'IT '!$C58,AND($C34="Plane - international - intra EU"),$E34*'IT '!$C60,AND($C34="Plane - international (extra EU)"),$E34*'IT '!$C62)</f>
        <v>#N/A</v>
      </c>
      <c r="G34" s="31" t="e" cm="1">
        <f t="array" ref="G34">_xlfn.IFS(AND($C34="Fuel car",$D34=1),$E34*'IT '!D$7,AND($C34="Fuel car",$D34=2),$E34*'IT '!D$8,AND($C34="Fuel car",$D34=3),$E34*'IT '!D$9,AND($C34="Fuel car",$D34=4),$E34*'IT '!D$10,AND($C34="Fuel car",$D34=5),$E34*'IT '!D$11,AND($C34="Motorcycle",$D34=1),$E34*'IT '!D$13,AND($C34="Motorcycle",$D34=2),$E34*'IT '!D$14,AND($C34="Electric car",$D34=1),$E34*'IT '!D$16,AND($C34="Electric car",$D34=2),$E34*'IT '!D$17,AND($C34="Electric car",$D34=3),$E34*'IT '!D$18,AND($C34="Electric car",$D34=4),$E34*'IT '!D$19,AND($C34="Electric car",$D34=5),$E34*'IT '!D$20,AND($C34="Hybrid car",$D34=1),$E34*'IT '!D$22,AND($C34="Hybrid car",$D34=2),$E34*'IT '!D$23,AND($C34="Hybrid car",$D34=3),$E34*'IT '!D$24,AND($C34="Hybrid car",$D34=4),$E34*'IT '!D$25,AND($C34="Hybrid car",$D34=5),$E34*'IT '!D$26,AND($C34="Electric motorcycle",$D34=1),$E34*'IT '!D$28,AND($C34="Electric motorcycle",$D34=2),$E34*'IT '!D$29,AND($C34="Electric bike",$D34=1),$E34*'IT '!D$31,AND($C34="Electric scooter",$D34=1),$E34*'IT '!D$33,AND($C34="Bus",$D34="Almost empty"),$E34*'IT '!I$23,AND($C34="Bus",$D34="Average"),$E34*'IT '!I$24,AND($C34="Bus",$D34="Nearly full"),$E34*'IT '!I$25,AND($C34="Electric bus",$D34="Almost empty"),$E34*'IT '!I$7,AND($C34="Electric bus",$D34="Average"),$E34*'IT '!I$8,AND($C34="Electric bus",$D34="Nearly full"),$E34*'IT '!I$9,AND($C34="Diesel bus",$D34="Almost empty"),$E34*'IT '!I$19,AND($C34="Diesel bus",$D34="Average"),$E34*'IT '!I$20,AND($C34="Diesel bus",$D34="Nearly full"),$E34*'IT '!I$21,AND($C34="Hybrid-electric bus",$D34="Almost empty"),$E34*'IT '!I$11,AND($C34="Hybrid-electric bus",$D34="Average"),$E34*'IT '!I$12,AND($C34="Hybrid-electric bus",$D34="Nearly full"),$E34*'IT '!I$13,AND($C34="Alternative fuel bus",$D34="Almost empty"),$E34*'IT '!I$15,AND($C34="Alternative fuel bus",$D34="Average"),$E34*'IT '!I$16,AND($C34="Alternative fuel bus",$D34="Nearly full"),$E34*'IT '!I$17,AND($C34="Metro, tram, urban light train",$D34="Almost empty"),$E34*'IT '!D$35,AND($C34="Metro, tram, urban light train",$D34="Average"),$E34*'IT '!D$36,AND($C34="Metro, tram, urban light train",$D34="Nearly full"),$E34*'IT '!D$37,AND($C34="Electric passenger train",$D34="Almost empty"),$E34*'IT '!D$39,AND($C34="Electric passenger train",$D34="Average"),$E34*'IT '!D$40,AND($C34="Electric passenger train",$D34="Nearly full"),$E34*'IT '!D$41,AND($C34="Diesel passenger train",$D34="Almost empty"),$E34*'IT '!D$47,AND($C34="Diesel passenger train",$D34="Average"),$E34*'IT '!D$48,AND($C34="Diesel passenger train",$D34="Nearly full"),$E34*'IT '!D$49,AND($C34="Walking"),$E34*0,AND($C34="Bike"),$E34*0,AND($C34="Plane - domestic flight"),$E34*'IT '!$C58,AND($C34="Plane - international - intra EU"),$E34*'IT '!$C60,AND($C34="Plane - international (extra EU)"),$E34*'IT '!$C62)</f>
        <v>#N/A</v>
      </c>
      <c r="H34" s="145"/>
      <c r="I34" s="148">
        <f t="shared" si="6"/>
        <v>0</v>
      </c>
      <c r="J34" s="146" t="e" cm="1">
        <f t="array" ref="J34">_xlfn.IFS(C34="Fuel car",C34*DATA!$C$17,C34="Electric car",C34*DATA!$F$19,C34="Hybrid car",I34*(0.5*DATA!$C$17+0.5*DATA!$F$19))</f>
        <v>#N/A</v>
      </c>
      <c r="L34" s="223"/>
      <c r="M34" s="224"/>
      <c r="N34" s="225"/>
    </row>
    <row r="35" spans="1:14" ht="14.5" customHeight="1" x14ac:dyDescent="0.2">
      <c r="A35" s="222"/>
      <c r="B35" s="30"/>
      <c r="C35" s="15"/>
      <c r="D35" s="15"/>
      <c r="E35" s="125"/>
      <c r="F35" s="128" t="e" cm="1">
        <f t="array" ref="F35">_xlfn.IFS(AND($C35="Fuel car",$D35=1),$E35*'IT '!C$7,AND($C35="Fuel car",$D35=2),$E35*'IT '!C$8,AND($C35="Fuel car",$D35=3),$E35*'IT '!C$9,AND($C35="Fuel car",$D35=4),$E35*'IT '!C$10,AND($C35="Fuel car",$D35=5),$E35*'IT '!C$11,AND($C35="Motorcycle",$D35=1),$E35*'IT '!C$13,AND($C35="Motorcycle",$D35=2),$E35*'IT '!C$14,AND($C35="Electric car",$D35=1),$E35*'IT '!C$16,AND($C35="Electric car",$D35=2),$E35*'IT '!C$17,AND($C35="Electric car",$D35=3),$E35*'IT '!C$18,AND($C35="Electric car",$D35=4),$E35*'IT '!C$19,AND($C35="Electric car",$D35=5),$E35*'IT '!C$20,AND($C35="Hybrid car",$D35=1),$E35*'IT '!C$22,AND($C35="Hybrid car",$D35=2),$E35*'IT '!C$23,AND($C35="Hybrid car",$D35=3),$E35*'IT '!C$24,AND($C35="Hybrid car",$D35=4),$E35*'IT '!C$25,AND($C35="Hybrid car",$D35=5),$E35*'IT '!C$26,AND($C35="Electric motorcycle",$D35=1),$E35*'IT '!C$28,AND($C35="Electric motorcycle",$D35=2),$E35*'IT '!C$29,AND($C35="Electric bike",$D35=1),$E35*'IT '!C$31,AND($C35="Electric scooter",$D35=1),$E35*'IT '!C$33,AND($C35="Bus",$D35="Almost empty"),$E35*'IT '!H$23,AND($C35="Bus",$D35="Average"),$E35*'IT '!H$24,AND($C35="Bus",$D35="Nearly full"),$E35*'IT '!H$25,AND($C35="Electric bus",$D35="Almost empty"),$E35*'IT '!H$7,AND($C35="Electric bus",$D35="Average"),$E35*'IT '!H$8,AND($C35="Electric bus",$D35="Nearly full"),$E35*'IT '!H$9,AND($C35="Diesel bus",$D35="Almost empty"),$E35*'IT '!H$19,AND($C35="Diesel bus",$D35="Average"),$E35*'IT '!H$20,AND($C35="Diesel bus",$D35="Nearly full"),$E35*'IT '!H$21,AND($C35="Hybrid-electric bus",$D35="Almost empty"),$E35*'IT '!H$11,AND($C35="Hybrid-electric bus",$D35="Average"),$E35*'IT '!H$12,AND($C35="Hybrid-electric bus",$D35="Nearly full"),$E35*'IT '!H$13,AND($C35="Alternative fuel bus",$D35="Almost empty"),$E35*'IT '!H$15,AND($C35="Alternative fuel bus",$D35="Average"),$E35*'IT '!H$16,AND($C35="Alternative fuel bus",$D35="Nearly full"),$E35*'IT '!H$17,AND($C35="Metro, tram, urban light train",$D35="Almost empty"),$E35*'IT '!C$35,AND($C35="Metro, tram, urban light train",$D35="Average"),$E35*'IT '!C$36,AND($C35="Metro, tram, urban light train",$D35="Nearly full"),$E35*'IT '!C$37,AND($C35="Electric passenger train",$D35="Almost empty"),$E35*'IT '!C$39,AND($C35="Electric passenger train",$D35="Average"),$E35*'IT '!C$40,AND($C35="Electric passenger train",$D35="Nearly full"),$E35*'IT '!C$41,AND($C35="Diesel passenger train",$D35="Almost empty"),$E35*'IT '!C$47,AND($C35="Diesel passenger train",$D35="Average"),$E35*'IT '!C$48,AND($C35="Diesel passenger train",$D35="Nearly full"),$E35*'IT '!C$49,AND($C35="Walking"),$E35*0,AND($C35="Bike"),$E35*0,AND($C35="Plane - domestic flight"),$E35*'IT '!$C59,AND($C35="Plane - international - intra EU"),$E35*'IT '!$C61,AND($C35="Plane - international (extra EU)"),$E35*'IT '!$C63)</f>
        <v>#N/A</v>
      </c>
      <c r="G35" s="31" t="e" cm="1">
        <f t="array" ref="G35">_xlfn.IFS(AND($C35="Fuel car",$D35=1),$E35*'IT '!D$7,AND($C35="Fuel car",$D35=2),$E35*'IT '!D$8,AND($C35="Fuel car",$D35=3),$E35*'IT '!D$9,AND($C35="Fuel car",$D35=4),$E35*'IT '!D$10,AND($C35="Fuel car",$D35=5),$E35*'IT '!D$11,AND($C35="Motorcycle",$D35=1),$E35*'IT '!D$13,AND($C35="Motorcycle",$D35=2),$E35*'IT '!D$14,AND($C35="Electric car",$D35=1),$E35*'IT '!D$16,AND($C35="Electric car",$D35=2),$E35*'IT '!D$17,AND($C35="Electric car",$D35=3),$E35*'IT '!D$18,AND($C35="Electric car",$D35=4),$E35*'IT '!D$19,AND($C35="Electric car",$D35=5),$E35*'IT '!D$20,AND($C35="Hybrid car",$D35=1),$E35*'IT '!D$22,AND($C35="Hybrid car",$D35=2),$E35*'IT '!D$23,AND($C35="Hybrid car",$D35=3),$E35*'IT '!D$24,AND($C35="Hybrid car",$D35=4),$E35*'IT '!D$25,AND($C35="Hybrid car",$D35=5),$E35*'IT '!D$26,AND($C35="Electric motorcycle",$D35=1),$E35*'IT '!D$28,AND($C35="Electric motorcycle",$D35=2),$E35*'IT '!D$29,AND($C35="Electric bike",$D35=1),$E35*'IT '!D$31,AND($C35="Electric scooter",$D35=1),$E35*'IT '!D$33,AND($C35="Bus",$D35="Almost empty"),$E35*'IT '!I$23,AND($C35="Bus",$D35="Average"),$E35*'IT '!I$24,AND($C35="Bus",$D35="Nearly full"),$E35*'IT '!I$25,AND($C35="Electric bus",$D35="Almost empty"),$E35*'IT '!I$7,AND($C35="Electric bus",$D35="Average"),$E35*'IT '!I$8,AND($C35="Electric bus",$D35="Nearly full"),$E35*'IT '!I$9,AND($C35="Diesel bus",$D35="Almost empty"),$E35*'IT '!I$19,AND($C35="Diesel bus",$D35="Average"),$E35*'IT '!I$20,AND($C35="Diesel bus",$D35="Nearly full"),$E35*'IT '!I$21,AND($C35="Hybrid-electric bus",$D35="Almost empty"),$E35*'IT '!I$11,AND($C35="Hybrid-electric bus",$D35="Average"),$E35*'IT '!I$12,AND($C35="Hybrid-electric bus",$D35="Nearly full"),$E35*'IT '!I$13,AND($C35="Alternative fuel bus",$D35="Almost empty"),$E35*'IT '!I$15,AND($C35="Alternative fuel bus",$D35="Average"),$E35*'IT '!I$16,AND($C35="Alternative fuel bus",$D35="Nearly full"),$E35*'IT '!I$17,AND($C35="Metro, tram, urban light train",$D35="Almost empty"),$E35*'IT '!D$35,AND($C35="Metro, tram, urban light train",$D35="Average"),$E35*'IT '!D$36,AND($C35="Metro, tram, urban light train",$D35="Nearly full"),$E35*'IT '!D$37,AND($C35="Electric passenger train",$D35="Almost empty"),$E35*'IT '!D$39,AND($C35="Electric passenger train",$D35="Average"),$E35*'IT '!D$40,AND($C35="Electric passenger train",$D35="Nearly full"),$E35*'IT '!D$41,AND($C35="Diesel passenger train",$D35="Almost empty"),$E35*'IT '!D$47,AND($C35="Diesel passenger train",$D35="Average"),$E35*'IT '!D$48,AND($C35="Diesel passenger train",$D35="Nearly full"),$E35*'IT '!D$49,AND($C35="Walking"),$E35*0,AND($C35="Bike"),$E35*0,AND($C35="Plane - domestic flight"),$E35*'IT '!$C59,AND($C35="Plane - international - intra EU"),$E35*'IT '!$C61,AND($C35="Plane - international (extra EU)"),$E35*'IT '!$C63)</f>
        <v>#N/A</v>
      </c>
      <c r="H35" s="145"/>
      <c r="I35" s="148">
        <f t="shared" si="6"/>
        <v>0</v>
      </c>
      <c r="J35" s="146" t="e" cm="1">
        <f t="array" ref="J35">_xlfn.IFS(C35="Fuel car",C35*DATA!$C$17,C35="Electric car",C35*DATA!$F$19,C35="Hybrid car",I35*(0.5*DATA!$C$17+0.5*DATA!$F$19))</f>
        <v>#N/A</v>
      </c>
      <c r="L35" s="223"/>
      <c r="M35" s="224"/>
      <c r="N35" s="225"/>
    </row>
    <row r="36" spans="1:14" ht="16" thickBot="1" x14ac:dyDescent="0.25">
      <c r="A36" s="222"/>
      <c r="B36" s="30"/>
      <c r="C36" s="15"/>
      <c r="D36" s="15"/>
      <c r="E36" s="125"/>
      <c r="F36" s="128" t="e" cm="1">
        <f t="array" ref="F36">_xlfn.IFS(AND($C36="Fuel car",$D36=1),$E36*'IT '!C$7,AND($C36="Fuel car",$D36=2),$E36*'IT '!C$8,AND($C36="Fuel car",$D36=3),$E36*'IT '!C$9,AND($C36="Fuel car",$D36=4),$E36*'IT '!C$10,AND($C36="Fuel car",$D36=5),$E36*'IT '!C$11,AND($C36="Motorcycle",$D36=1),$E36*'IT '!C$13,AND($C36="Motorcycle",$D36=2),$E36*'IT '!C$14,AND($C36="Electric car",$D36=1),$E36*'IT '!C$16,AND($C36="Electric car",$D36=2),$E36*'IT '!C$17,AND($C36="Electric car",$D36=3),$E36*'IT '!C$18,AND($C36="Electric car",$D36=4),$E36*'IT '!C$19,AND($C36="Electric car",$D36=5),$E36*'IT '!C$20,AND($C36="Hybrid car",$D36=1),$E36*'IT '!C$22,AND($C36="Hybrid car",$D36=2),$E36*'IT '!C$23,AND($C36="Hybrid car",$D36=3),$E36*'IT '!C$24,AND($C36="Hybrid car",$D36=4),$E36*'IT '!C$25,AND($C36="Hybrid car",$D36=5),$E36*'IT '!C$26,AND($C36="Electric motorcycle",$D36=1),$E36*'IT '!C$28,AND($C36="Electric motorcycle",$D36=2),$E36*'IT '!C$29,AND($C36="Electric bike",$D36=1),$E36*'IT '!C$31,AND($C36="Electric scooter",$D36=1),$E36*'IT '!C$33,AND($C36="Bus",$D36="Almost empty"),$E36*'IT '!H$23,AND($C36="Bus",$D36="Average"),$E36*'IT '!H$24,AND($C36="Bus",$D36="Nearly full"),$E36*'IT '!H$25,AND($C36="Electric bus",$D36="Almost empty"),$E36*'IT '!H$7,AND($C36="Electric bus",$D36="Average"),$E36*'IT '!H$8,AND($C36="Electric bus",$D36="Nearly full"),$E36*'IT '!H$9,AND($C36="Diesel bus",$D36="Almost empty"),$E36*'IT '!H$19,AND($C36="Diesel bus",$D36="Average"),$E36*'IT '!H$20,AND($C36="Diesel bus",$D36="Nearly full"),$E36*'IT '!H$21,AND($C36="Hybrid-electric bus",$D36="Almost empty"),$E36*'IT '!H$11,AND($C36="Hybrid-electric bus",$D36="Average"),$E36*'IT '!H$12,AND($C36="Hybrid-electric bus",$D36="Nearly full"),$E36*'IT '!H$13,AND($C36="Alternative fuel bus",$D36="Almost empty"),$E36*'IT '!H$15,AND($C36="Alternative fuel bus",$D36="Average"),$E36*'IT '!H$16,AND($C36="Alternative fuel bus",$D36="Nearly full"),$E36*'IT '!H$17,AND($C36="Metro, tram, urban light train",$D36="Almost empty"),$E36*'IT '!C$35,AND($C36="Metro, tram, urban light train",$D36="Average"),$E36*'IT '!C$36,AND($C36="Metro, tram, urban light train",$D36="Nearly full"),$E36*'IT '!C$37,AND($C36="Electric passenger train",$D36="Almost empty"),$E36*'IT '!C$39,AND($C36="Electric passenger train",$D36="Average"),$E36*'IT '!C$40,AND($C36="Electric passenger train",$D36="Nearly full"),$E36*'IT '!C$41,AND($C36="Diesel passenger train",$D36="Almost empty"),$E36*'IT '!C$47,AND($C36="Diesel passenger train",$D36="Average"),$E36*'IT '!C$48,AND($C36="Diesel passenger train",$D36="Nearly full"),$E36*'IT '!C$49,AND($C36="Walking"),$E36*0,AND($C36="Bike"),$E36*0,AND($C36="Plane - domestic flight"),$E36*'IT '!$C60,AND($C36="Plane - international - intra EU"),$E36*'IT '!$C62,AND($C36="Plane - international (extra EU)"),$E36*'IT '!$C64)</f>
        <v>#N/A</v>
      </c>
      <c r="G36" s="31" t="e" cm="1">
        <f t="array" ref="G36">_xlfn.IFS(AND($C36="Fuel car",$D36=1),$E36*'IT '!D$7,AND($C36="Fuel car",$D36=2),$E36*'IT '!D$8,AND($C36="Fuel car",$D36=3),$E36*'IT '!D$9,AND($C36="Fuel car",$D36=4),$E36*'IT '!D$10,AND($C36="Fuel car",$D36=5),$E36*'IT '!D$11,AND($C36="Motorcycle",$D36=1),$E36*'IT '!D$13,AND($C36="Motorcycle",$D36=2),$E36*'IT '!D$14,AND($C36="Electric car",$D36=1),$E36*'IT '!D$16,AND($C36="Electric car",$D36=2),$E36*'IT '!D$17,AND($C36="Electric car",$D36=3),$E36*'IT '!D$18,AND($C36="Electric car",$D36=4),$E36*'IT '!D$19,AND($C36="Electric car",$D36=5),$E36*'IT '!D$20,AND($C36="Hybrid car",$D36=1),$E36*'IT '!D$22,AND($C36="Hybrid car",$D36=2),$E36*'IT '!D$23,AND($C36="Hybrid car",$D36=3),$E36*'IT '!D$24,AND($C36="Hybrid car",$D36=4),$E36*'IT '!D$25,AND($C36="Hybrid car",$D36=5),$E36*'IT '!D$26,AND($C36="Electric motorcycle",$D36=1),$E36*'IT '!D$28,AND($C36="Electric motorcycle",$D36=2),$E36*'IT '!D$29,AND($C36="Electric bike",$D36=1),$E36*'IT '!D$31,AND($C36="Electric scooter",$D36=1),$E36*'IT '!D$33,AND($C36="Bus",$D36="Almost empty"),$E36*'IT '!I$23,AND($C36="Bus",$D36="Average"),$E36*'IT '!I$24,AND($C36="Bus",$D36="Nearly full"),$E36*'IT '!I$25,AND($C36="Electric bus",$D36="Almost empty"),$E36*'IT '!I$7,AND($C36="Electric bus",$D36="Average"),$E36*'IT '!I$8,AND($C36="Electric bus",$D36="Nearly full"),$E36*'IT '!I$9,AND($C36="Diesel bus",$D36="Almost empty"),$E36*'IT '!I$19,AND($C36="Diesel bus",$D36="Average"),$E36*'IT '!I$20,AND($C36="Diesel bus",$D36="Nearly full"),$E36*'IT '!I$21,AND($C36="Hybrid-electric bus",$D36="Almost empty"),$E36*'IT '!I$11,AND($C36="Hybrid-electric bus",$D36="Average"),$E36*'IT '!I$12,AND($C36="Hybrid-electric bus",$D36="Nearly full"),$E36*'IT '!I$13,AND($C36="Alternative fuel bus",$D36="Almost empty"),$E36*'IT '!I$15,AND($C36="Alternative fuel bus",$D36="Average"),$E36*'IT '!I$16,AND($C36="Alternative fuel bus",$D36="Nearly full"),$E36*'IT '!I$17,AND($C36="Metro, tram, urban light train",$D36="Almost empty"),$E36*'IT '!D$35,AND($C36="Metro, tram, urban light train",$D36="Average"),$E36*'IT '!D$36,AND($C36="Metro, tram, urban light train",$D36="Nearly full"),$E36*'IT '!D$37,AND($C36="Electric passenger train",$D36="Almost empty"),$E36*'IT '!D$39,AND($C36="Electric passenger train",$D36="Average"),$E36*'IT '!D$40,AND($C36="Electric passenger train",$D36="Nearly full"),$E36*'IT '!D$41,AND($C36="Diesel passenger train",$D36="Almost empty"),$E36*'IT '!D$47,AND($C36="Diesel passenger train",$D36="Average"),$E36*'IT '!D$48,AND($C36="Diesel passenger train",$D36="Nearly full"),$E36*'IT '!D$49,AND($C36="Walking"),$E36*0,AND($C36="Bike"),$E36*0,AND($C36="Plane - domestic flight"),$E36*'IT '!$C60,AND($C36="Plane - international - intra EU"),$E36*'IT '!$C62,AND($C36="Plane - international (extra EU)"),$E36*'IT '!$C64)</f>
        <v>#N/A</v>
      </c>
      <c r="H36" s="145"/>
      <c r="I36" s="148">
        <f t="shared" si="6"/>
        <v>0</v>
      </c>
      <c r="J36" s="146" t="e" cm="1">
        <f t="array" ref="J36">_xlfn.IFS(C36="Fuel car",C36*DATA!$C$17,C36="Electric car",C36*DATA!$F$19,C36="Hybrid car",I36*(0.5*DATA!$C$17+0.5*DATA!$F$19))</f>
        <v>#N/A</v>
      </c>
      <c r="L36" s="218"/>
      <c r="M36" s="219"/>
      <c r="N36" s="220"/>
    </row>
    <row r="37" spans="1:14" ht="14.5" customHeight="1" x14ac:dyDescent="0.2">
      <c r="A37" s="222"/>
      <c r="B37" s="30"/>
      <c r="C37" s="15"/>
      <c r="D37" s="15"/>
      <c r="E37" s="125"/>
      <c r="F37" s="128" t="e" cm="1">
        <f t="array" ref="F37">_xlfn.IFS(AND($C37="Fuel car",$D37=1),$E37*'IT '!C$7,AND($C37="Fuel car",$D37=2),$E37*'IT '!C$8,AND($C37="Fuel car",$D37=3),$E37*'IT '!C$9,AND($C37="Fuel car",$D37=4),$E37*'IT '!C$10,AND($C37="Fuel car",$D37=5),$E37*'IT '!C$11,AND($C37="Motorcycle",$D37=1),$E37*'IT '!C$13,AND($C37="Motorcycle",$D37=2),$E37*'IT '!C$14,AND($C37="Electric car",$D37=1),$E37*'IT '!C$16,AND($C37="Electric car",$D37=2),$E37*'IT '!C$17,AND($C37="Electric car",$D37=3),$E37*'IT '!C$18,AND($C37="Electric car",$D37=4),$E37*'IT '!C$19,AND($C37="Electric car",$D37=5),$E37*'IT '!C$20,AND($C37="Hybrid car",$D37=1),$E37*'IT '!C$22,AND($C37="Hybrid car",$D37=2),$E37*'IT '!C$23,AND($C37="Hybrid car",$D37=3),$E37*'IT '!C$24,AND($C37="Hybrid car",$D37=4),$E37*'IT '!C$25,AND($C37="Hybrid car",$D37=5),$E37*'IT '!C$26,AND($C37="Electric motorcycle",$D37=1),$E37*'IT '!C$28,AND($C37="Electric motorcycle",$D37=2),$E37*'IT '!C$29,AND($C37="Electric bike",$D37=1),$E37*'IT '!C$31,AND($C37="Electric scooter",$D37=1),$E37*'IT '!C$33,AND($C37="Bus",$D37="Almost empty"),$E37*'IT '!H$23,AND($C37="Bus",$D37="Average"),$E37*'IT '!H$24,AND($C37="Bus",$D37="Nearly full"),$E37*'IT '!H$25,AND($C37="Electric bus",$D37="Almost empty"),$E37*'IT '!H$7,AND($C37="Electric bus",$D37="Average"),$E37*'IT '!H$8,AND($C37="Electric bus",$D37="Nearly full"),$E37*'IT '!H$9,AND($C37="Diesel bus",$D37="Almost empty"),$E37*'IT '!H$19,AND($C37="Diesel bus",$D37="Average"),$E37*'IT '!H$20,AND($C37="Diesel bus",$D37="Nearly full"),$E37*'IT '!H$21,AND($C37="Hybrid-electric bus",$D37="Almost empty"),$E37*'IT '!H$11,AND($C37="Hybrid-electric bus",$D37="Average"),$E37*'IT '!H$12,AND($C37="Hybrid-electric bus",$D37="Nearly full"),$E37*'IT '!H$13,AND($C37="Alternative fuel bus",$D37="Almost empty"),$E37*'IT '!H$15,AND($C37="Alternative fuel bus",$D37="Average"),$E37*'IT '!H$16,AND($C37="Alternative fuel bus",$D37="Nearly full"),$E37*'IT '!H$17,AND($C37="Metro, tram, urban light train",$D37="Almost empty"),$E37*'IT '!C$35,AND($C37="Metro, tram, urban light train",$D37="Average"),$E37*'IT '!C$36,AND($C37="Metro, tram, urban light train",$D37="Nearly full"),$E37*'IT '!C$37,AND($C37="Electric passenger train",$D37="Almost empty"),$E37*'IT '!C$39,AND($C37="Electric passenger train",$D37="Average"),$E37*'IT '!C$40,AND($C37="Electric passenger train",$D37="Nearly full"),$E37*'IT '!C$41,AND($C37="Diesel passenger train",$D37="Almost empty"),$E37*'IT '!C$47,AND($C37="Diesel passenger train",$D37="Average"),$E37*'IT '!C$48,AND($C37="Diesel passenger train",$D37="Nearly full"),$E37*'IT '!C$49,AND($C37="Walking"),$E37*0,AND($C37="Bike"),$E37*0,AND($C37="Plane - domestic flight"),$E37*'IT '!$C61,AND($C37="Plane - international - intra EU"),$E37*'IT '!$C63,AND($C37="Plane - international (extra EU)"),$E37*'IT '!$C65)</f>
        <v>#N/A</v>
      </c>
      <c r="G37" s="31" t="e" cm="1">
        <f t="array" ref="G37">_xlfn.IFS(AND($C37="Fuel car",$D37=1),$E37*'IT '!D$7,AND($C37="Fuel car",$D37=2),$E37*'IT '!D$8,AND($C37="Fuel car",$D37=3),$E37*'IT '!D$9,AND($C37="Fuel car",$D37=4),$E37*'IT '!D$10,AND($C37="Fuel car",$D37=5),$E37*'IT '!D$11,AND($C37="Motorcycle",$D37=1),$E37*'IT '!D$13,AND($C37="Motorcycle",$D37=2),$E37*'IT '!D$14,AND($C37="Electric car",$D37=1),$E37*'IT '!D$16,AND($C37="Electric car",$D37=2),$E37*'IT '!D$17,AND($C37="Electric car",$D37=3),$E37*'IT '!D$18,AND($C37="Electric car",$D37=4),$E37*'IT '!D$19,AND($C37="Electric car",$D37=5),$E37*'IT '!D$20,AND($C37="Hybrid car",$D37=1),$E37*'IT '!D$22,AND($C37="Hybrid car",$D37=2),$E37*'IT '!D$23,AND($C37="Hybrid car",$D37=3),$E37*'IT '!D$24,AND($C37="Hybrid car",$D37=4),$E37*'IT '!D$25,AND($C37="Hybrid car",$D37=5),$E37*'IT '!D$26,AND($C37="Electric motorcycle",$D37=1),$E37*'IT '!D$28,AND($C37="Electric motorcycle",$D37=2),$E37*'IT '!D$29,AND($C37="Electric bike",$D37=1),$E37*'IT '!D$31,AND($C37="Electric scooter",$D37=1),$E37*'IT '!D$33,AND($C37="Bus",$D37="Almost empty"),$E37*'IT '!I$23,AND($C37="Bus",$D37="Average"),$E37*'IT '!I$24,AND($C37="Bus",$D37="Nearly full"),$E37*'IT '!I$25,AND($C37="Electric bus",$D37="Almost empty"),$E37*'IT '!I$7,AND($C37="Electric bus",$D37="Average"),$E37*'IT '!I$8,AND($C37="Electric bus",$D37="Nearly full"),$E37*'IT '!I$9,AND($C37="Diesel bus",$D37="Almost empty"),$E37*'IT '!I$19,AND($C37="Diesel bus",$D37="Average"),$E37*'IT '!I$20,AND($C37="Diesel bus",$D37="Nearly full"),$E37*'IT '!I$21,AND($C37="Hybrid-electric bus",$D37="Almost empty"),$E37*'IT '!I$11,AND($C37="Hybrid-electric bus",$D37="Average"),$E37*'IT '!I$12,AND($C37="Hybrid-electric bus",$D37="Nearly full"),$E37*'IT '!I$13,AND($C37="Alternative fuel bus",$D37="Almost empty"),$E37*'IT '!I$15,AND($C37="Alternative fuel bus",$D37="Average"),$E37*'IT '!I$16,AND($C37="Alternative fuel bus",$D37="Nearly full"),$E37*'IT '!I$17,AND($C37="Metro, tram, urban light train",$D37="Almost empty"),$E37*'IT '!D$35,AND($C37="Metro, tram, urban light train",$D37="Average"),$E37*'IT '!D$36,AND($C37="Metro, tram, urban light train",$D37="Nearly full"),$E37*'IT '!D$37,AND($C37="Electric passenger train",$D37="Almost empty"),$E37*'IT '!D$39,AND($C37="Electric passenger train",$D37="Average"),$E37*'IT '!D$40,AND($C37="Electric passenger train",$D37="Nearly full"),$E37*'IT '!D$41,AND($C37="Diesel passenger train",$D37="Almost empty"),$E37*'IT '!D$47,AND($C37="Diesel passenger train",$D37="Average"),$E37*'IT '!D$48,AND($C37="Diesel passenger train",$D37="Nearly full"),$E37*'IT '!D$49,AND($C37="Walking"),$E37*0,AND($C37="Bike"),$E37*0,AND($C37="Plane - domestic flight"),$E37*'IT '!$C61,AND($C37="Plane - international - intra EU"),$E37*'IT '!$C63,AND($C37="Plane - international (extra EU)"),$E37*'IT '!$C65)</f>
        <v>#N/A</v>
      </c>
      <c r="H37" s="145"/>
      <c r="I37" s="148">
        <f t="shared" si="6"/>
        <v>0</v>
      </c>
      <c r="J37" s="146" t="e" cm="1">
        <f t="array" ref="J37">_xlfn.IFS(C37="Fuel car",C37*DATA!$C$17,C37="Electric car",C37*DATA!$F$19,C37="Hybrid car",I37*(0.5*DATA!$C$17+0.5*DATA!$F$19))</f>
        <v>#N/A</v>
      </c>
      <c r="L37" s="215" t="s">
        <v>79</v>
      </c>
      <c r="M37" s="216"/>
      <c r="N37" s="217"/>
    </row>
    <row r="38" spans="1:14" ht="16" thickBot="1" x14ac:dyDescent="0.25">
      <c r="A38" s="222"/>
      <c r="B38" s="30"/>
      <c r="C38" s="15"/>
      <c r="D38" s="15"/>
      <c r="E38" s="125"/>
      <c r="F38" s="128" t="e" cm="1">
        <f t="array" ref="F38">_xlfn.IFS(AND($C38="Fuel car",$D38=1),$E38*'IT '!C$7,AND($C38="Fuel car",$D38=2),$E38*'IT '!C$8,AND($C38="Fuel car",$D38=3),$E38*'IT '!C$9,AND($C38="Fuel car",$D38=4),$E38*'IT '!C$10,AND($C38="Fuel car",$D38=5),$E38*'IT '!C$11,AND($C38="Motorcycle",$D38=1),$E38*'IT '!C$13,AND($C38="Motorcycle",$D38=2),$E38*'IT '!C$14,AND($C38="Electric car",$D38=1),$E38*'IT '!C$16,AND($C38="Electric car",$D38=2),$E38*'IT '!C$17,AND($C38="Electric car",$D38=3),$E38*'IT '!C$18,AND($C38="Electric car",$D38=4),$E38*'IT '!C$19,AND($C38="Electric car",$D38=5),$E38*'IT '!C$20,AND($C38="Hybrid car",$D38=1),$E38*'IT '!C$22,AND($C38="Hybrid car",$D38=2),$E38*'IT '!C$23,AND($C38="Hybrid car",$D38=3),$E38*'IT '!C$24,AND($C38="Hybrid car",$D38=4),$E38*'IT '!C$25,AND($C38="Hybrid car",$D38=5),$E38*'IT '!C$26,AND($C38="Electric motorcycle",$D38=1),$E38*'IT '!C$28,AND($C38="Electric motorcycle",$D38=2),$E38*'IT '!C$29,AND($C38="Electric bike",$D38=1),$E38*'IT '!C$31,AND($C38="Electric scooter",$D38=1),$E38*'IT '!C$33,AND($C38="Bus",$D38="Almost empty"),$E38*'IT '!H$23,AND($C38="Bus",$D38="Average"),$E38*'IT '!H$24,AND($C38="Bus",$D38="Nearly full"),$E38*'IT '!H$25,AND($C38="Electric bus",$D38="Almost empty"),$E38*'IT '!H$7,AND($C38="Electric bus",$D38="Average"),$E38*'IT '!H$8,AND($C38="Electric bus",$D38="Nearly full"),$E38*'IT '!H$9,AND($C38="Diesel bus",$D38="Almost empty"),$E38*'IT '!H$19,AND($C38="Diesel bus",$D38="Average"),$E38*'IT '!H$20,AND($C38="Diesel bus",$D38="Nearly full"),$E38*'IT '!H$21,AND($C38="Hybrid-electric bus",$D38="Almost empty"),$E38*'IT '!H$11,AND($C38="Hybrid-electric bus",$D38="Average"),$E38*'IT '!H$12,AND($C38="Hybrid-electric bus",$D38="Nearly full"),$E38*'IT '!H$13,AND($C38="Alternative fuel bus",$D38="Almost empty"),$E38*'IT '!H$15,AND($C38="Alternative fuel bus",$D38="Average"),$E38*'IT '!H$16,AND($C38="Alternative fuel bus",$D38="Nearly full"),$E38*'IT '!H$17,AND($C38="Metro, tram, urban light train",$D38="Almost empty"),$E38*'IT '!C$35,AND($C38="Metro, tram, urban light train",$D38="Average"),$E38*'IT '!C$36,AND($C38="Metro, tram, urban light train",$D38="Nearly full"),$E38*'IT '!C$37,AND($C38="Electric passenger train",$D38="Almost empty"),$E38*'IT '!C$39,AND($C38="Electric passenger train",$D38="Average"),$E38*'IT '!C$40,AND($C38="Electric passenger train",$D38="Nearly full"),$E38*'IT '!C$41,AND($C38="Diesel passenger train",$D38="Almost empty"),$E38*'IT '!C$47,AND($C38="Diesel passenger train",$D38="Average"),$E38*'IT '!C$48,AND($C38="Diesel passenger train",$D38="Nearly full"),$E38*'IT '!C$49,AND($C38="Walking"),$E38*0,AND($C38="Bike"),$E38*0,AND($C38="Plane - domestic flight"),$E38*'IT '!$C62,AND($C38="Plane - international - intra EU"),$E38*'IT '!$C64,AND($C38="Plane - international (extra EU)"),$E38*'IT '!$C66)</f>
        <v>#N/A</v>
      </c>
      <c r="G38" s="31" t="e" cm="1">
        <f t="array" ref="G38">_xlfn.IFS(AND($C38="Fuel car",$D38=1),$E38*'IT '!D$7,AND($C38="Fuel car",$D38=2),$E38*'IT '!D$8,AND($C38="Fuel car",$D38=3),$E38*'IT '!D$9,AND($C38="Fuel car",$D38=4),$E38*'IT '!D$10,AND($C38="Fuel car",$D38=5),$E38*'IT '!D$11,AND($C38="Motorcycle",$D38=1),$E38*'IT '!D$13,AND($C38="Motorcycle",$D38=2),$E38*'IT '!D$14,AND($C38="Electric car",$D38=1),$E38*'IT '!D$16,AND($C38="Electric car",$D38=2),$E38*'IT '!D$17,AND($C38="Electric car",$D38=3),$E38*'IT '!D$18,AND($C38="Electric car",$D38=4),$E38*'IT '!D$19,AND($C38="Electric car",$D38=5),$E38*'IT '!D$20,AND($C38="Hybrid car",$D38=1),$E38*'IT '!D$22,AND($C38="Hybrid car",$D38=2),$E38*'IT '!D$23,AND($C38="Hybrid car",$D38=3),$E38*'IT '!D$24,AND($C38="Hybrid car",$D38=4),$E38*'IT '!D$25,AND($C38="Hybrid car",$D38=5),$E38*'IT '!D$26,AND($C38="Electric motorcycle",$D38=1),$E38*'IT '!D$28,AND($C38="Electric motorcycle",$D38=2),$E38*'IT '!D$29,AND($C38="Electric bike",$D38=1),$E38*'IT '!D$31,AND($C38="Electric scooter",$D38=1),$E38*'IT '!D$33,AND($C38="Bus",$D38="Almost empty"),$E38*'IT '!I$23,AND($C38="Bus",$D38="Average"),$E38*'IT '!I$24,AND($C38="Bus",$D38="Nearly full"),$E38*'IT '!I$25,AND($C38="Electric bus",$D38="Almost empty"),$E38*'IT '!I$7,AND($C38="Electric bus",$D38="Average"),$E38*'IT '!I$8,AND($C38="Electric bus",$D38="Nearly full"),$E38*'IT '!I$9,AND($C38="Diesel bus",$D38="Almost empty"),$E38*'IT '!I$19,AND($C38="Diesel bus",$D38="Average"),$E38*'IT '!I$20,AND($C38="Diesel bus",$D38="Nearly full"),$E38*'IT '!I$21,AND($C38="Hybrid-electric bus",$D38="Almost empty"),$E38*'IT '!I$11,AND($C38="Hybrid-electric bus",$D38="Average"),$E38*'IT '!I$12,AND($C38="Hybrid-electric bus",$D38="Nearly full"),$E38*'IT '!I$13,AND($C38="Alternative fuel bus",$D38="Almost empty"),$E38*'IT '!I$15,AND($C38="Alternative fuel bus",$D38="Average"),$E38*'IT '!I$16,AND($C38="Alternative fuel bus",$D38="Nearly full"),$E38*'IT '!I$17,AND($C38="Metro, tram, urban light train",$D38="Almost empty"),$E38*'IT '!D$35,AND($C38="Metro, tram, urban light train",$D38="Average"),$E38*'IT '!D$36,AND($C38="Metro, tram, urban light train",$D38="Nearly full"),$E38*'IT '!D$37,AND($C38="Electric passenger train",$D38="Almost empty"),$E38*'IT '!D$39,AND($C38="Electric passenger train",$D38="Average"),$E38*'IT '!D$40,AND($C38="Electric passenger train",$D38="Nearly full"),$E38*'IT '!D$41,AND($C38="Diesel passenger train",$D38="Almost empty"),$E38*'IT '!D$47,AND($C38="Diesel passenger train",$D38="Average"),$E38*'IT '!D$48,AND($C38="Diesel passenger train",$D38="Nearly full"),$E38*'IT '!D$49,AND($C38="Walking"),$E38*0,AND($C38="Bike"),$E38*0,AND($C38="Plane - domestic flight"),$E38*'IT '!$C62,AND($C38="Plane - international - intra EU"),$E38*'IT '!$C64,AND($C38="Plane - international (extra EU)"),$E38*'IT '!$C66)</f>
        <v>#N/A</v>
      </c>
      <c r="H38" s="145"/>
      <c r="I38" s="148">
        <f t="shared" si="6"/>
        <v>0</v>
      </c>
      <c r="J38" s="146" t="e" cm="1">
        <f t="array" ref="J38">_xlfn.IFS(C38="Fuel car",C38*DATA!$C$17,C38="Electric car",C38*DATA!$F$19,C38="Hybrid car",I38*(0.5*DATA!$C$17+0.5*DATA!$F$19))</f>
        <v>#N/A</v>
      </c>
      <c r="L38" s="218"/>
      <c r="M38" s="219"/>
      <c r="N38" s="220"/>
    </row>
    <row r="39" spans="1:14" ht="14.5" customHeight="1" x14ac:dyDescent="0.2">
      <c r="A39" s="222"/>
      <c r="B39" s="30"/>
      <c r="C39" s="15"/>
      <c r="D39" s="15"/>
      <c r="E39" s="125"/>
      <c r="F39" s="128" t="e" cm="1">
        <f t="array" ref="F39">_xlfn.IFS(AND($C39="Fuel car",$D39=1),$E39*'IT '!C$7,AND($C39="Fuel car",$D39=2),$E39*'IT '!C$8,AND($C39="Fuel car",$D39=3),$E39*'IT '!C$9,AND($C39="Fuel car",$D39=4),$E39*'IT '!C$10,AND($C39="Fuel car",$D39=5),$E39*'IT '!C$11,AND($C39="Motorcycle",$D39=1),$E39*'IT '!C$13,AND($C39="Motorcycle",$D39=2),$E39*'IT '!C$14,AND($C39="Electric car",$D39=1),$E39*'IT '!C$16,AND($C39="Electric car",$D39=2),$E39*'IT '!C$17,AND($C39="Electric car",$D39=3),$E39*'IT '!C$18,AND($C39="Electric car",$D39=4),$E39*'IT '!C$19,AND($C39="Electric car",$D39=5),$E39*'IT '!C$20,AND($C39="Hybrid car",$D39=1),$E39*'IT '!C$22,AND($C39="Hybrid car",$D39=2),$E39*'IT '!C$23,AND($C39="Hybrid car",$D39=3),$E39*'IT '!C$24,AND($C39="Hybrid car",$D39=4),$E39*'IT '!C$25,AND($C39="Hybrid car",$D39=5),$E39*'IT '!C$26,AND($C39="Electric motorcycle",$D39=1),$E39*'IT '!C$28,AND($C39="Electric motorcycle",$D39=2),$E39*'IT '!C$29,AND($C39="Electric bike",$D39=1),$E39*'IT '!C$31,AND($C39="Electric scooter",$D39=1),$E39*'IT '!C$33,AND($C39="Bus",$D39="Almost empty"),$E39*'IT '!H$23,AND($C39="Bus",$D39="Average"),$E39*'IT '!H$24,AND($C39="Bus",$D39="Nearly full"),$E39*'IT '!H$25,AND($C39="Electric bus",$D39="Almost empty"),$E39*'IT '!H$7,AND($C39="Electric bus",$D39="Average"),$E39*'IT '!H$8,AND($C39="Electric bus",$D39="Nearly full"),$E39*'IT '!H$9,AND($C39="Diesel bus",$D39="Almost empty"),$E39*'IT '!H$19,AND($C39="Diesel bus",$D39="Average"),$E39*'IT '!H$20,AND($C39="Diesel bus",$D39="Nearly full"),$E39*'IT '!H$21,AND($C39="Hybrid-electric bus",$D39="Almost empty"),$E39*'IT '!H$11,AND($C39="Hybrid-electric bus",$D39="Average"),$E39*'IT '!H$12,AND($C39="Hybrid-electric bus",$D39="Nearly full"),$E39*'IT '!H$13,AND($C39="Alternative fuel bus",$D39="Almost empty"),$E39*'IT '!H$15,AND($C39="Alternative fuel bus",$D39="Average"),$E39*'IT '!H$16,AND($C39="Alternative fuel bus",$D39="Nearly full"),$E39*'IT '!H$17,AND($C39="Metro, tram, urban light train",$D39="Almost empty"),$E39*'IT '!C$35,AND($C39="Metro, tram, urban light train",$D39="Average"),$E39*'IT '!C$36,AND($C39="Metro, tram, urban light train",$D39="Nearly full"),$E39*'IT '!C$37,AND($C39="Electric passenger train",$D39="Almost empty"),$E39*'IT '!C$39,AND($C39="Electric passenger train",$D39="Average"),$E39*'IT '!C$40,AND($C39="Electric passenger train",$D39="Nearly full"),$E39*'IT '!C$41,AND($C39="Diesel passenger train",$D39="Almost empty"),$E39*'IT '!C$47,AND($C39="Diesel passenger train",$D39="Average"),$E39*'IT '!C$48,AND($C39="Diesel passenger train",$D39="Nearly full"),$E39*'IT '!C$49,AND($C39="Walking"),$E39*0,AND($C39="Bike"),$E39*0,AND($C39="Plane - domestic flight"),$E39*'IT '!$C63,AND($C39="Plane - international - intra EU"),$E39*'IT '!$C65,AND($C39="Plane - international (extra EU)"),$E39*'IT '!$C67)</f>
        <v>#N/A</v>
      </c>
      <c r="G39" s="31" t="e" cm="1">
        <f t="array" ref="G39">_xlfn.IFS(AND($C39="Fuel car",$D39=1),$E39*'IT '!D$7,AND($C39="Fuel car",$D39=2),$E39*'IT '!D$8,AND($C39="Fuel car",$D39=3),$E39*'IT '!D$9,AND($C39="Fuel car",$D39=4),$E39*'IT '!D$10,AND($C39="Fuel car",$D39=5),$E39*'IT '!D$11,AND($C39="Motorcycle",$D39=1),$E39*'IT '!D$13,AND($C39="Motorcycle",$D39=2),$E39*'IT '!D$14,AND($C39="Electric car",$D39=1),$E39*'IT '!D$16,AND($C39="Electric car",$D39=2),$E39*'IT '!D$17,AND($C39="Electric car",$D39=3),$E39*'IT '!D$18,AND($C39="Electric car",$D39=4),$E39*'IT '!D$19,AND($C39="Electric car",$D39=5),$E39*'IT '!D$20,AND($C39="Hybrid car",$D39=1),$E39*'IT '!D$22,AND($C39="Hybrid car",$D39=2),$E39*'IT '!D$23,AND($C39="Hybrid car",$D39=3),$E39*'IT '!D$24,AND($C39="Hybrid car",$D39=4),$E39*'IT '!D$25,AND($C39="Hybrid car",$D39=5),$E39*'IT '!D$26,AND($C39="Electric motorcycle",$D39=1),$E39*'IT '!D$28,AND($C39="Electric motorcycle",$D39=2),$E39*'IT '!D$29,AND($C39="Electric bike",$D39=1),$E39*'IT '!D$31,AND($C39="Electric scooter",$D39=1),$E39*'IT '!D$33,AND($C39="Bus",$D39="Almost empty"),$E39*'IT '!I$23,AND($C39="Bus",$D39="Average"),$E39*'IT '!I$24,AND($C39="Bus",$D39="Nearly full"),$E39*'IT '!I$25,AND($C39="Electric bus",$D39="Almost empty"),$E39*'IT '!I$7,AND($C39="Electric bus",$D39="Average"),$E39*'IT '!I$8,AND($C39="Electric bus",$D39="Nearly full"),$E39*'IT '!I$9,AND($C39="Diesel bus",$D39="Almost empty"),$E39*'IT '!I$19,AND($C39="Diesel bus",$D39="Average"),$E39*'IT '!I$20,AND($C39="Diesel bus",$D39="Nearly full"),$E39*'IT '!I$21,AND($C39="Hybrid-electric bus",$D39="Almost empty"),$E39*'IT '!I$11,AND($C39="Hybrid-electric bus",$D39="Average"),$E39*'IT '!I$12,AND($C39="Hybrid-electric bus",$D39="Nearly full"),$E39*'IT '!I$13,AND($C39="Alternative fuel bus",$D39="Almost empty"),$E39*'IT '!I$15,AND($C39="Alternative fuel bus",$D39="Average"),$E39*'IT '!I$16,AND($C39="Alternative fuel bus",$D39="Nearly full"),$E39*'IT '!I$17,AND($C39="Metro, tram, urban light train",$D39="Almost empty"),$E39*'IT '!D$35,AND($C39="Metro, tram, urban light train",$D39="Average"),$E39*'IT '!D$36,AND($C39="Metro, tram, urban light train",$D39="Nearly full"),$E39*'IT '!D$37,AND($C39="Electric passenger train",$D39="Almost empty"),$E39*'IT '!D$39,AND($C39="Electric passenger train",$D39="Average"),$E39*'IT '!D$40,AND($C39="Electric passenger train",$D39="Nearly full"),$E39*'IT '!D$41,AND($C39="Diesel passenger train",$D39="Almost empty"),$E39*'IT '!D$47,AND($C39="Diesel passenger train",$D39="Average"),$E39*'IT '!D$48,AND($C39="Diesel passenger train",$D39="Nearly full"),$E39*'IT '!D$49,AND($C39="Walking"),$E39*0,AND($C39="Bike"),$E39*0,AND($C39="Plane - domestic flight"),$E39*'IT '!$C63,AND($C39="Plane - international - intra EU"),$E39*'IT '!$C65,AND($C39="Plane - international (extra EU)"),$E39*'IT '!$C67)</f>
        <v>#N/A</v>
      </c>
      <c r="H39" s="145"/>
      <c r="I39" s="148">
        <f t="shared" si="6"/>
        <v>0</v>
      </c>
      <c r="J39" s="146" t="e" cm="1">
        <f t="array" ref="J39">_xlfn.IFS(C39="Fuel car",C39*DATA!$C$17,C39="Electric car",C39*DATA!$F$19,C39="Hybrid car",I39*(0.5*DATA!$C$17+0.5*DATA!$F$19))</f>
        <v>#N/A</v>
      </c>
      <c r="L39" s="226" t="s">
        <v>80</v>
      </c>
      <c r="M39" s="227"/>
      <c r="N39" s="228"/>
    </row>
    <row r="40" spans="1:14" x14ac:dyDescent="0.2">
      <c r="A40" s="222"/>
      <c r="B40" s="30"/>
      <c r="C40" s="15"/>
      <c r="D40" s="15"/>
      <c r="E40" s="125"/>
      <c r="F40" s="128" t="e" cm="1">
        <f t="array" ref="F40">_xlfn.IFS(AND($C40="Fuel car",$D40=1),$E40*'IT '!C$7,AND($C40="Fuel car",$D40=2),$E40*'IT '!C$8,AND($C40="Fuel car",$D40=3),$E40*'IT '!C$9,AND($C40="Fuel car",$D40=4),$E40*'IT '!C$10,AND($C40="Fuel car",$D40=5),$E40*'IT '!C$11,AND($C40="Motorcycle",$D40=1),$E40*'IT '!C$13,AND($C40="Motorcycle",$D40=2),$E40*'IT '!C$14,AND($C40="Electric car",$D40=1),$E40*'IT '!C$16,AND($C40="Electric car",$D40=2),$E40*'IT '!C$17,AND($C40="Electric car",$D40=3),$E40*'IT '!C$18,AND($C40="Electric car",$D40=4),$E40*'IT '!C$19,AND($C40="Electric car",$D40=5),$E40*'IT '!C$20,AND($C40="Hybrid car",$D40=1),$E40*'IT '!C$22,AND($C40="Hybrid car",$D40=2),$E40*'IT '!C$23,AND($C40="Hybrid car",$D40=3),$E40*'IT '!C$24,AND($C40="Hybrid car",$D40=4),$E40*'IT '!C$25,AND($C40="Hybrid car",$D40=5),$E40*'IT '!C$26,AND($C40="Electric motorcycle",$D40=1),$E40*'IT '!C$28,AND($C40="Electric motorcycle",$D40=2),$E40*'IT '!C$29,AND($C40="Electric bike",$D40=1),$E40*'IT '!C$31,AND($C40="Electric scooter",$D40=1),$E40*'IT '!C$33,AND($C40="Bus",$D40="Almost empty"),$E40*'IT '!H$23,AND($C40="Bus",$D40="Average"),$E40*'IT '!H$24,AND($C40="Bus",$D40="Nearly full"),$E40*'IT '!H$25,AND($C40="Electric bus",$D40="Almost empty"),$E40*'IT '!H$7,AND($C40="Electric bus",$D40="Average"),$E40*'IT '!H$8,AND($C40="Electric bus",$D40="Nearly full"),$E40*'IT '!H$9,AND($C40="Diesel bus",$D40="Almost empty"),$E40*'IT '!H$19,AND($C40="Diesel bus",$D40="Average"),$E40*'IT '!H$20,AND($C40="Diesel bus",$D40="Nearly full"),$E40*'IT '!H$21,AND($C40="Hybrid-electric bus",$D40="Almost empty"),$E40*'IT '!H$11,AND($C40="Hybrid-electric bus",$D40="Average"),$E40*'IT '!H$12,AND($C40="Hybrid-electric bus",$D40="Nearly full"),$E40*'IT '!H$13,AND($C40="Alternative fuel bus",$D40="Almost empty"),$E40*'IT '!H$15,AND($C40="Alternative fuel bus",$D40="Average"),$E40*'IT '!H$16,AND($C40="Alternative fuel bus",$D40="Nearly full"),$E40*'IT '!H$17,AND($C40="Metro, tram, urban light train",$D40="Almost empty"),$E40*'IT '!C$35,AND($C40="Metro, tram, urban light train",$D40="Average"),$E40*'IT '!C$36,AND($C40="Metro, tram, urban light train",$D40="Nearly full"),$E40*'IT '!C$37,AND($C40="Electric passenger train",$D40="Almost empty"),$E40*'IT '!C$39,AND($C40="Electric passenger train",$D40="Average"),$E40*'IT '!C$40,AND($C40="Electric passenger train",$D40="Nearly full"),$E40*'IT '!C$41,AND($C40="Diesel passenger train",$D40="Almost empty"),$E40*'IT '!C$47,AND($C40="Diesel passenger train",$D40="Average"),$E40*'IT '!C$48,AND($C40="Diesel passenger train",$D40="Nearly full"),$E40*'IT '!C$49,AND($C40="Walking"),$E40*0,AND($C40="Bike"),$E40*0,AND($C40="Plane - domestic flight"),$E40*'IT '!$C64,AND($C40="Plane - international - intra EU"),$E40*'IT '!$C66,AND($C40="Plane - international (extra EU)"),$E40*'IT '!$C68)</f>
        <v>#N/A</v>
      </c>
      <c r="G40" s="31" t="e" cm="1">
        <f t="array" ref="G40">_xlfn.IFS(AND($C40="Fuel car",$D40=1),$E40*'IT '!D$7,AND($C40="Fuel car",$D40=2),$E40*'IT '!D$8,AND($C40="Fuel car",$D40=3),$E40*'IT '!D$9,AND($C40="Fuel car",$D40=4),$E40*'IT '!D$10,AND($C40="Fuel car",$D40=5),$E40*'IT '!D$11,AND($C40="Motorcycle",$D40=1),$E40*'IT '!D$13,AND($C40="Motorcycle",$D40=2),$E40*'IT '!D$14,AND($C40="Electric car",$D40=1),$E40*'IT '!D$16,AND($C40="Electric car",$D40=2),$E40*'IT '!D$17,AND($C40="Electric car",$D40=3),$E40*'IT '!D$18,AND($C40="Electric car",$D40=4),$E40*'IT '!D$19,AND($C40="Electric car",$D40=5),$E40*'IT '!D$20,AND($C40="Hybrid car",$D40=1),$E40*'IT '!D$22,AND($C40="Hybrid car",$D40=2),$E40*'IT '!D$23,AND($C40="Hybrid car",$D40=3),$E40*'IT '!D$24,AND($C40="Hybrid car",$D40=4),$E40*'IT '!D$25,AND($C40="Hybrid car",$D40=5),$E40*'IT '!D$26,AND($C40="Electric motorcycle",$D40=1),$E40*'IT '!D$28,AND($C40="Electric motorcycle",$D40=2),$E40*'IT '!D$29,AND($C40="Electric bike",$D40=1),$E40*'IT '!D$31,AND($C40="Electric scooter",$D40=1),$E40*'IT '!D$33,AND($C40="Bus",$D40="Almost empty"),$E40*'IT '!I$23,AND($C40="Bus",$D40="Average"),$E40*'IT '!I$24,AND($C40="Bus",$D40="Nearly full"),$E40*'IT '!I$25,AND($C40="Electric bus",$D40="Almost empty"),$E40*'IT '!I$7,AND($C40="Electric bus",$D40="Average"),$E40*'IT '!I$8,AND($C40="Electric bus",$D40="Nearly full"),$E40*'IT '!I$9,AND($C40="Diesel bus",$D40="Almost empty"),$E40*'IT '!I$19,AND($C40="Diesel bus",$D40="Average"),$E40*'IT '!I$20,AND($C40="Diesel bus",$D40="Nearly full"),$E40*'IT '!I$21,AND($C40="Hybrid-electric bus",$D40="Almost empty"),$E40*'IT '!I$11,AND($C40="Hybrid-electric bus",$D40="Average"),$E40*'IT '!I$12,AND($C40="Hybrid-electric bus",$D40="Nearly full"),$E40*'IT '!I$13,AND($C40="Alternative fuel bus",$D40="Almost empty"),$E40*'IT '!I$15,AND($C40="Alternative fuel bus",$D40="Average"),$E40*'IT '!I$16,AND($C40="Alternative fuel bus",$D40="Nearly full"),$E40*'IT '!I$17,AND($C40="Metro, tram, urban light train",$D40="Almost empty"),$E40*'IT '!D$35,AND($C40="Metro, tram, urban light train",$D40="Average"),$E40*'IT '!D$36,AND($C40="Metro, tram, urban light train",$D40="Nearly full"),$E40*'IT '!D$37,AND($C40="Electric passenger train",$D40="Almost empty"),$E40*'IT '!D$39,AND($C40="Electric passenger train",$D40="Average"),$E40*'IT '!D$40,AND($C40="Electric passenger train",$D40="Nearly full"),$E40*'IT '!D$41,AND($C40="Diesel passenger train",$D40="Almost empty"),$E40*'IT '!D$47,AND($C40="Diesel passenger train",$D40="Average"),$E40*'IT '!D$48,AND($C40="Diesel passenger train",$D40="Nearly full"),$E40*'IT '!D$49,AND($C40="Walking"),$E40*0,AND($C40="Bike"),$E40*0,AND($C40="Plane - domestic flight"),$E40*'IT '!$C64,AND($C40="Plane - international - intra EU"),$E40*'IT '!$C66,AND($C40="Plane - international (extra EU)"),$E40*'IT '!$C68)</f>
        <v>#N/A</v>
      </c>
      <c r="H40" s="145"/>
      <c r="I40" s="148">
        <f t="shared" si="6"/>
        <v>0</v>
      </c>
      <c r="J40" s="146" t="e" cm="1">
        <f t="array" ref="J40">_xlfn.IFS(C40="Fuel car",C40*DATA!$C$17,C40="Electric car",C40*DATA!$F$19,C40="Hybrid car",I40*(0.5*DATA!$C$17+0.5*DATA!$F$19))</f>
        <v>#N/A</v>
      </c>
      <c r="L40" s="229"/>
      <c r="M40" s="230"/>
      <c r="N40" s="231"/>
    </row>
    <row r="41" spans="1:14" ht="14.5" customHeight="1" x14ac:dyDescent="0.2">
      <c r="A41" s="222"/>
      <c r="B41" s="30"/>
      <c r="C41" s="15"/>
      <c r="D41" s="15"/>
      <c r="E41" s="125"/>
      <c r="F41" s="128" t="e" cm="1">
        <f t="array" ref="F41">_xlfn.IFS(AND($C41="Fuel car",$D41=1),$E41*'IT '!C$7,AND($C41="Fuel car",$D41=2),$E41*'IT '!C$8,AND($C41="Fuel car",$D41=3),$E41*'IT '!C$9,AND($C41="Fuel car",$D41=4),$E41*'IT '!C$10,AND($C41="Fuel car",$D41=5),$E41*'IT '!C$11,AND($C41="Motorcycle",$D41=1),$E41*'IT '!C$13,AND($C41="Motorcycle",$D41=2),$E41*'IT '!C$14,AND($C41="Electric car",$D41=1),$E41*'IT '!C$16,AND($C41="Electric car",$D41=2),$E41*'IT '!C$17,AND($C41="Electric car",$D41=3),$E41*'IT '!C$18,AND($C41="Electric car",$D41=4),$E41*'IT '!C$19,AND($C41="Electric car",$D41=5),$E41*'IT '!C$20,AND($C41="Hybrid car",$D41=1),$E41*'IT '!C$22,AND($C41="Hybrid car",$D41=2),$E41*'IT '!C$23,AND($C41="Hybrid car",$D41=3),$E41*'IT '!C$24,AND($C41="Hybrid car",$D41=4),$E41*'IT '!C$25,AND($C41="Hybrid car",$D41=5),$E41*'IT '!C$26,AND($C41="Electric motorcycle",$D41=1),$E41*'IT '!C$28,AND($C41="Electric motorcycle",$D41=2),$E41*'IT '!C$29,AND($C41="Electric bike",$D41=1),$E41*'IT '!C$31,AND($C41="Electric scooter",$D41=1),$E41*'IT '!C$33,AND($C41="Bus",$D41="Almost empty"),$E41*'IT '!H$23,AND($C41="Bus",$D41="Average"),$E41*'IT '!H$24,AND($C41="Bus",$D41="Nearly full"),$E41*'IT '!H$25,AND($C41="Electric bus",$D41="Almost empty"),$E41*'IT '!H$7,AND($C41="Electric bus",$D41="Average"),$E41*'IT '!H$8,AND($C41="Electric bus",$D41="Nearly full"),$E41*'IT '!H$9,AND($C41="Diesel bus",$D41="Almost empty"),$E41*'IT '!H$19,AND($C41="Diesel bus",$D41="Average"),$E41*'IT '!H$20,AND($C41="Diesel bus",$D41="Nearly full"),$E41*'IT '!H$21,AND($C41="Hybrid-electric bus",$D41="Almost empty"),$E41*'IT '!H$11,AND($C41="Hybrid-electric bus",$D41="Average"),$E41*'IT '!H$12,AND($C41="Hybrid-electric bus",$D41="Nearly full"),$E41*'IT '!H$13,AND($C41="Alternative fuel bus",$D41="Almost empty"),$E41*'IT '!H$15,AND($C41="Alternative fuel bus",$D41="Average"),$E41*'IT '!H$16,AND($C41="Alternative fuel bus",$D41="Nearly full"),$E41*'IT '!H$17,AND($C41="Metro, tram, urban light train",$D41="Almost empty"),$E41*'IT '!C$35,AND($C41="Metro, tram, urban light train",$D41="Average"),$E41*'IT '!C$36,AND($C41="Metro, tram, urban light train",$D41="Nearly full"),$E41*'IT '!C$37,AND($C41="Electric passenger train",$D41="Almost empty"),$E41*'IT '!C$39,AND($C41="Electric passenger train",$D41="Average"),$E41*'IT '!C$40,AND($C41="Electric passenger train",$D41="Nearly full"),$E41*'IT '!C$41,AND($C41="Diesel passenger train",$D41="Almost empty"),$E41*'IT '!C$47,AND($C41="Diesel passenger train",$D41="Average"),$E41*'IT '!C$48,AND($C41="Diesel passenger train",$D41="Nearly full"),$E41*'IT '!C$49,AND($C41="Walking"),$E41*0,AND($C41="Bike"),$E41*0,AND($C41="Plane - domestic flight"),$E41*'IT '!$C65,AND($C41="Plane - international - intra EU"),$E41*'IT '!$C67,AND($C41="Plane - international (extra EU)"),$E41*'IT '!$C69)</f>
        <v>#N/A</v>
      </c>
      <c r="G41" s="31" t="e" cm="1">
        <f t="array" ref="G41">_xlfn.IFS(AND($C41="Fuel car",$D41=1),$E41*'IT '!D$7,AND($C41="Fuel car",$D41=2),$E41*'IT '!D$8,AND($C41="Fuel car",$D41=3),$E41*'IT '!D$9,AND($C41="Fuel car",$D41=4),$E41*'IT '!D$10,AND($C41="Fuel car",$D41=5),$E41*'IT '!D$11,AND($C41="Motorcycle",$D41=1),$E41*'IT '!D$13,AND($C41="Motorcycle",$D41=2),$E41*'IT '!D$14,AND($C41="Electric car",$D41=1),$E41*'IT '!D$16,AND($C41="Electric car",$D41=2),$E41*'IT '!D$17,AND($C41="Electric car",$D41=3),$E41*'IT '!D$18,AND($C41="Electric car",$D41=4),$E41*'IT '!D$19,AND($C41="Electric car",$D41=5),$E41*'IT '!D$20,AND($C41="Hybrid car",$D41=1),$E41*'IT '!D$22,AND($C41="Hybrid car",$D41=2),$E41*'IT '!D$23,AND($C41="Hybrid car",$D41=3),$E41*'IT '!D$24,AND($C41="Hybrid car",$D41=4),$E41*'IT '!D$25,AND($C41="Hybrid car",$D41=5),$E41*'IT '!D$26,AND($C41="Electric motorcycle",$D41=1),$E41*'IT '!D$28,AND($C41="Electric motorcycle",$D41=2),$E41*'IT '!D$29,AND($C41="Electric bike",$D41=1),$E41*'IT '!D$31,AND($C41="Electric scooter",$D41=1),$E41*'IT '!D$33,AND($C41="Bus",$D41="Almost empty"),$E41*'IT '!I$23,AND($C41="Bus",$D41="Average"),$E41*'IT '!I$24,AND($C41="Bus",$D41="Nearly full"),$E41*'IT '!I$25,AND($C41="Electric bus",$D41="Almost empty"),$E41*'IT '!I$7,AND($C41="Electric bus",$D41="Average"),$E41*'IT '!I$8,AND($C41="Electric bus",$D41="Nearly full"),$E41*'IT '!I$9,AND($C41="Diesel bus",$D41="Almost empty"),$E41*'IT '!I$19,AND($C41="Diesel bus",$D41="Average"),$E41*'IT '!I$20,AND($C41="Diesel bus",$D41="Nearly full"),$E41*'IT '!I$21,AND($C41="Hybrid-electric bus",$D41="Almost empty"),$E41*'IT '!I$11,AND($C41="Hybrid-electric bus",$D41="Average"),$E41*'IT '!I$12,AND($C41="Hybrid-electric bus",$D41="Nearly full"),$E41*'IT '!I$13,AND($C41="Alternative fuel bus",$D41="Almost empty"),$E41*'IT '!I$15,AND($C41="Alternative fuel bus",$D41="Average"),$E41*'IT '!I$16,AND($C41="Alternative fuel bus",$D41="Nearly full"),$E41*'IT '!I$17,AND($C41="Metro, tram, urban light train",$D41="Almost empty"),$E41*'IT '!D$35,AND($C41="Metro, tram, urban light train",$D41="Average"),$E41*'IT '!D$36,AND($C41="Metro, tram, urban light train",$D41="Nearly full"),$E41*'IT '!D$37,AND($C41="Electric passenger train",$D41="Almost empty"),$E41*'IT '!D$39,AND($C41="Electric passenger train",$D41="Average"),$E41*'IT '!D$40,AND($C41="Electric passenger train",$D41="Nearly full"),$E41*'IT '!D$41,AND($C41="Diesel passenger train",$D41="Almost empty"),$E41*'IT '!D$47,AND($C41="Diesel passenger train",$D41="Average"),$E41*'IT '!D$48,AND($C41="Diesel passenger train",$D41="Nearly full"),$E41*'IT '!D$49,AND($C41="Walking"),$E41*0,AND($C41="Bike"),$E41*0,AND($C41="Plane - domestic flight"),$E41*'IT '!$C65,AND($C41="Plane - international - intra EU"),$E41*'IT '!$C67,AND($C41="Plane - international (extra EU)"),$E41*'IT '!$C69)</f>
        <v>#N/A</v>
      </c>
      <c r="H41" s="145"/>
      <c r="I41" s="148">
        <f t="shared" si="6"/>
        <v>0</v>
      </c>
      <c r="J41" s="146" t="e" cm="1">
        <f t="array" ref="J41">_xlfn.IFS(C41="Fuel car",C41*DATA!$C$17,C41="Electric car",C41*DATA!$F$19,C41="Hybrid car",I41*(0.5*DATA!$C$17+0.5*DATA!$F$19))</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car",$D42=1),$E42*'IT '!C$7,AND($C42="Fuel car",$D42=2),$E42*'IT '!C$8,AND($C42="Fuel car",$D42=3),$E42*'IT '!C$9,AND($C42="Fuel car",$D42=4),$E42*'IT '!C$10,AND($C42="Fuel car",$D42=5),$E42*'IT '!C$11,AND($C42="Motorcycle",$D42=1),$E42*'IT '!C$13,AND($C42="Motorcycle",$D42=2),$E42*'IT '!C$14,AND($C42="Electric car",$D42=1),$E42*'IT '!C$16,AND($C42="Electric car",$D42=2),$E42*'IT '!C$17,AND($C42="Electric car",$D42=3),$E42*'IT '!C$18,AND($C42="Electric car",$D42=4),$E42*'IT '!C$19,AND($C42="Electric car",$D42=5),$E42*'IT '!C$20,AND($C42="Hybrid car",$D42=1),$E42*'IT '!C$22,AND($C42="Hybrid car",$D42=2),$E42*'IT '!C$23,AND($C42="Hybrid car",$D42=3),$E42*'IT '!C$24,AND($C42="Hybrid car",$D42=4),$E42*'IT '!C$25,AND($C42="Hybrid car",$D42=5),$E42*'IT '!C$26,AND($C42="Electric motorcycle",$D42=1),$E42*'IT '!C$28,AND($C42="Electric motorcycle",$D42=2),$E42*'IT '!C$29,AND($C42="Electric bike",$D42=1),$E42*'IT '!C$31,AND($C42="Electric scooter",$D42=1),$E42*'IT '!C$33,AND($C42="Bus",$D42="Almost empty"),$E42*'IT '!H$23,AND($C42="Bus",$D42="Average"),$E42*'IT '!H$24,AND($C42="Bus",$D42="Nearly full"),$E42*'IT '!H$25,AND($C42="Electric bus",$D42="Almost empty"),$E42*'IT '!H$7,AND($C42="Electric bus",$D42="Average"),$E42*'IT '!H$8,AND($C42="Electric bus",$D42="Nearly full"),$E42*'IT '!H$9,AND($C42="Diesel bus",$D42="Almost empty"),$E42*'IT '!H$19,AND($C42="Diesel bus",$D42="Average"),$E42*'IT '!H$20,AND($C42="Diesel bus",$D42="Nearly full"),$E42*'IT '!H$21,AND($C42="Hybrid-electric bus",$D42="Almost empty"),$E42*'IT '!H$11,AND($C42="Hybrid-electric bus",$D42="Average"),$E42*'IT '!H$12,AND($C42="Hybrid-electric bus",$D42="Nearly full"),$E42*'IT '!H$13,AND($C42="Alternative fuel bus",$D42="Almost empty"),$E42*'IT '!H$15,AND($C42="Alternative fuel bus",$D42="Average"),$E42*'IT '!H$16,AND($C42="Alternative fuel bus",$D42="Nearly full"),$E42*'IT '!H$17,AND($C42="Metro, tram, urban light train",$D42="Almost empty"),$E42*'IT '!C$35,AND($C42="Metro, tram, urban light train",$D42="Average"),$E42*'IT '!C$36,AND($C42="Metro, tram, urban light train",$D42="Nearly full"),$E42*'IT '!C$37,AND($C42="Electric passenger train",$D42="Almost empty"),$E42*'IT '!C$39,AND($C42="Electric passenger train",$D42="Average"),$E42*'IT '!C$40,AND($C42="Electric passenger train",$D42="Nearly full"),$E42*'IT '!C$41,AND($C42="Diesel passenger train",$D42="Almost empty"),$E42*'IT '!C$47,AND($C42="Diesel passenger train",$D42="Average"),$E42*'IT '!C$48,AND($C42="Diesel passenger train",$D42="Nearly full"),$E42*'IT '!C$49,AND($C42="Walking"),$E42*0,AND($C42="Bike"),$E42*0,AND($C42="Plane - domestic flight"),$E42*'IT '!$C66,AND($C42="Plane - international - intra EU"),$E42*'IT '!$C68,AND($C42="Plane - international (extra EU)"),$E42*'IT '!$C70)</f>
        <v>#N/A</v>
      </c>
      <c r="G42" s="31" t="e" cm="1">
        <f t="array" ref="G42">_xlfn.IFS(AND($C42="Fuel car",$D42=1),$E42*'IT '!D$7,AND($C42="Fuel car",$D42=2),$E42*'IT '!D$8,AND($C42="Fuel car",$D42=3),$E42*'IT '!D$9,AND($C42="Fuel car",$D42=4),$E42*'IT '!D$10,AND($C42="Fuel car",$D42=5),$E42*'IT '!D$11,AND($C42="Motorcycle",$D42=1),$E42*'IT '!D$13,AND($C42="Motorcycle",$D42=2),$E42*'IT '!D$14,AND($C42="Electric car",$D42=1),$E42*'IT '!D$16,AND($C42="Electric car",$D42=2),$E42*'IT '!D$17,AND($C42="Electric car",$D42=3),$E42*'IT '!D$18,AND($C42="Electric car",$D42=4),$E42*'IT '!D$19,AND($C42="Electric car",$D42=5),$E42*'IT '!D$20,AND($C42="Hybrid car",$D42=1),$E42*'IT '!D$22,AND($C42="Hybrid car",$D42=2),$E42*'IT '!D$23,AND($C42="Hybrid car",$D42=3),$E42*'IT '!D$24,AND($C42="Hybrid car",$D42=4),$E42*'IT '!D$25,AND($C42="Hybrid car",$D42=5),$E42*'IT '!D$26,AND($C42="Electric motorcycle",$D42=1),$E42*'IT '!D$28,AND($C42="Electric motorcycle",$D42=2),$E42*'IT '!D$29,AND($C42="Electric bike",$D42=1),$E42*'IT '!D$31,AND($C42="Electric scooter",$D42=1),$E42*'IT '!D$33,AND($C42="Bus",$D42="Almost empty"),$E42*'IT '!I$23,AND($C42="Bus",$D42="Average"),$E42*'IT '!I$24,AND($C42="Bus",$D42="Nearly full"),$E42*'IT '!I$25,AND($C42="Electric bus",$D42="Almost empty"),$E42*'IT '!I$7,AND($C42="Electric bus",$D42="Average"),$E42*'IT '!I$8,AND($C42="Electric bus",$D42="Nearly full"),$E42*'IT '!I$9,AND($C42="Diesel bus",$D42="Almost empty"),$E42*'IT '!I$19,AND($C42="Diesel bus",$D42="Average"),$E42*'IT '!I$20,AND($C42="Diesel bus",$D42="Nearly full"),$E42*'IT '!I$21,AND($C42="Hybrid-electric bus",$D42="Almost empty"),$E42*'IT '!I$11,AND($C42="Hybrid-electric bus",$D42="Average"),$E42*'IT '!I$12,AND($C42="Hybrid-electric bus",$D42="Nearly full"),$E42*'IT '!I$13,AND($C42="Alternative fuel bus",$D42="Almost empty"),$E42*'IT '!I$15,AND($C42="Alternative fuel bus",$D42="Average"),$E42*'IT '!I$16,AND($C42="Alternative fuel bus",$D42="Nearly full"),$E42*'IT '!I$17,AND($C42="Metro, tram, urban light train",$D42="Almost empty"),$E42*'IT '!D$35,AND($C42="Metro, tram, urban light train",$D42="Average"),$E42*'IT '!D$36,AND($C42="Metro, tram, urban light train",$D42="Nearly full"),$E42*'IT '!D$37,AND($C42="Electric passenger train",$D42="Almost empty"),$E42*'IT '!D$39,AND($C42="Electric passenger train",$D42="Average"),$E42*'IT '!D$40,AND($C42="Electric passenger train",$D42="Nearly full"),$E42*'IT '!D$41,AND($C42="Diesel passenger train",$D42="Almost empty"),$E42*'IT '!D$47,AND($C42="Diesel passenger train",$D42="Average"),$E42*'IT '!D$48,AND($C42="Diesel passenger train",$D42="Nearly full"),$E42*'IT '!D$49,AND($C42="Walking"),$E42*0,AND($C42="Bike"),$E42*0,AND($C42="Plane - domestic flight"),$E42*'IT '!$C66,AND($C42="Plane - international - intra EU"),$E42*'IT '!$C68,AND($C42="Plane - international (extra EU)"),$E42*'IT '!$C70)</f>
        <v>#N/A</v>
      </c>
      <c r="H42" s="145"/>
      <c r="I42" s="148">
        <f t="shared" si="6"/>
        <v>0</v>
      </c>
      <c r="J42" s="146" t="e" cm="1">
        <f t="array" ref="J42">_xlfn.IFS(C42="Fuel car",C42*DATA!$C$17,C42="Electric car",C42*DATA!$F$19,C42="Hybrid car",I42*(0.5*DATA!$C$17+0.5*DATA!$F$19))</f>
        <v>#N/A</v>
      </c>
      <c r="L42" s="235"/>
      <c r="M42" s="236"/>
      <c r="N42" s="237"/>
    </row>
    <row r="43" spans="1:14" ht="14.5" customHeight="1" thickBot="1" x14ac:dyDescent="0.25">
      <c r="A43" s="222"/>
      <c r="B43" s="30"/>
      <c r="C43" s="15"/>
      <c r="D43" s="15"/>
      <c r="E43" s="125"/>
      <c r="F43" s="128" t="e" cm="1">
        <f t="array" ref="F43">_xlfn.IFS(AND($C43="Fuel car",$D43=1),$E43*'IT '!C$7,AND($C43="Fuel car",$D43=2),$E43*'IT '!C$8,AND($C43="Fuel car",$D43=3),$E43*'IT '!C$9,AND($C43="Fuel car",$D43=4),$E43*'IT '!C$10,AND($C43="Fuel car",$D43=5),$E43*'IT '!C$11,AND($C43="Motorcycle",$D43=1),$E43*'IT '!C$13,AND($C43="Motorcycle",$D43=2),$E43*'IT '!C$14,AND($C43="Electric car",$D43=1),$E43*'IT '!C$16,AND($C43="Electric car",$D43=2),$E43*'IT '!C$17,AND($C43="Electric car",$D43=3),$E43*'IT '!C$18,AND($C43="Electric car",$D43=4),$E43*'IT '!C$19,AND($C43="Electric car",$D43=5),$E43*'IT '!C$20,AND($C43="Hybrid car",$D43=1),$E43*'IT '!C$22,AND($C43="Hybrid car",$D43=2),$E43*'IT '!C$23,AND($C43="Hybrid car",$D43=3),$E43*'IT '!C$24,AND($C43="Hybrid car",$D43=4),$E43*'IT '!C$25,AND($C43="Hybrid car",$D43=5),$E43*'IT '!C$26,AND($C43="Electric motorcycle",$D43=1),$E43*'IT '!C$28,AND($C43="Electric motorcycle",$D43=2),$E43*'IT '!C$29,AND($C43="Electric bike",$D43=1),$E43*'IT '!C$31,AND($C43="Electric scooter",$D43=1),$E43*'IT '!C$33,AND($C43="Bus",$D43="Almost empty"),$E43*'IT '!H$23,AND($C43="Bus",$D43="Average"),$E43*'IT '!H$24,AND($C43="Bus",$D43="Nearly full"),$E43*'IT '!H$25,AND($C43="Electric bus",$D43="Almost empty"),$E43*'IT '!H$7,AND($C43="Electric bus",$D43="Average"),$E43*'IT '!H$8,AND($C43="Electric bus",$D43="Nearly full"),$E43*'IT '!H$9,AND($C43="Diesel bus",$D43="Almost empty"),$E43*'IT '!H$19,AND($C43="Diesel bus",$D43="Average"),$E43*'IT '!H$20,AND($C43="Diesel bus",$D43="Nearly full"),$E43*'IT '!H$21,AND($C43="Hybrid-electric bus",$D43="Almost empty"),$E43*'IT '!H$11,AND($C43="Hybrid-electric bus",$D43="Average"),$E43*'IT '!H$12,AND($C43="Hybrid-electric bus",$D43="Nearly full"),$E43*'IT '!H$13,AND($C43="Alternative fuel bus",$D43="Almost empty"),$E43*'IT '!H$15,AND($C43="Alternative fuel bus",$D43="Average"),$E43*'IT '!H$16,AND($C43="Alternative fuel bus",$D43="Nearly full"),$E43*'IT '!H$17,AND($C43="Metro, tram, urban light train",$D43="Almost empty"),$E43*'IT '!C$35,AND($C43="Metro, tram, urban light train",$D43="Average"),$E43*'IT '!C$36,AND($C43="Metro, tram, urban light train",$D43="Nearly full"),$E43*'IT '!C$37,AND($C43="Electric passenger train",$D43="Almost empty"),$E43*'IT '!C$39,AND($C43="Electric passenger train",$D43="Average"),$E43*'IT '!C$40,AND($C43="Electric passenger train",$D43="Nearly full"),$E43*'IT '!C$41,AND($C43="Diesel passenger train",$D43="Almost empty"),$E43*'IT '!C$47,AND($C43="Diesel passenger train",$D43="Average"),$E43*'IT '!C$48,AND($C43="Diesel passenger train",$D43="Nearly full"),$E43*'IT '!C$49,AND($C43="Walking"),$E43*0,AND($C43="Bike"),$E43*0,AND($C43="Plane - domestic flight"),$E43*'IT '!$C67,AND($C43="Plane - international - intra EU"),$E43*'IT '!$C69,AND($C43="Plane - international (extra EU)"),$E43*'IT '!$C71)</f>
        <v>#N/A</v>
      </c>
      <c r="G43" s="31" t="e" cm="1">
        <f t="array" ref="G43">_xlfn.IFS(AND($C43="Fuel car",$D43=1),$E43*'IT '!D$7,AND($C43="Fuel car",$D43=2),$E43*'IT '!D$8,AND($C43="Fuel car",$D43=3),$E43*'IT '!D$9,AND($C43="Fuel car",$D43=4),$E43*'IT '!D$10,AND($C43="Fuel car",$D43=5),$E43*'IT '!D$11,AND($C43="Motorcycle",$D43=1),$E43*'IT '!D$13,AND($C43="Motorcycle",$D43=2),$E43*'IT '!D$14,AND($C43="Electric car",$D43=1),$E43*'IT '!D$16,AND($C43="Electric car",$D43=2),$E43*'IT '!D$17,AND($C43="Electric car",$D43=3),$E43*'IT '!D$18,AND($C43="Electric car",$D43=4),$E43*'IT '!D$19,AND($C43="Electric car",$D43=5),$E43*'IT '!D$20,AND($C43="Hybrid car",$D43=1),$E43*'IT '!D$22,AND($C43="Hybrid car",$D43=2),$E43*'IT '!D$23,AND($C43="Hybrid car",$D43=3),$E43*'IT '!D$24,AND($C43="Hybrid car",$D43=4),$E43*'IT '!D$25,AND($C43="Hybrid car",$D43=5),$E43*'IT '!D$26,AND($C43="Electric motorcycle",$D43=1),$E43*'IT '!D$28,AND($C43="Electric motorcycle",$D43=2),$E43*'IT '!D$29,AND($C43="Electric bike",$D43=1),$E43*'IT '!D$31,AND($C43="Electric scooter",$D43=1),$E43*'IT '!D$33,AND($C43="Bus",$D43="Almost empty"),$E43*'IT '!I$23,AND($C43="Bus",$D43="Average"),$E43*'IT '!I$24,AND($C43="Bus",$D43="Nearly full"),$E43*'IT '!I$25,AND($C43="Electric bus",$D43="Almost empty"),$E43*'IT '!I$7,AND($C43="Electric bus",$D43="Average"),$E43*'IT '!I$8,AND($C43="Electric bus",$D43="Nearly full"),$E43*'IT '!I$9,AND($C43="Diesel bus",$D43="Almost empty"),$E43*'IT '!I$19,AND($C43="Diesel bus",$D43="Average"),$E43*'IT '!I$20,AND($C43="Diesel bus",$D43="Nearly full"),$E43*'IT '!I$21,AND($C43="Hybrid-electric bus",$D43="Almost empty"),$E43*'IT '!I$11,AND($C43="Hybrid-electric bus",$D43="Average"),$E43*'IT '!I$12,AND($C43="Hybrid-electric bus",$D43="Nearly full"),$E43*'IT '!I$13,AND($C43="Alternative fuel bus",$D43="Almost empty"),$E43*'IT '!I$15,AND($C43="Alternative fuel bus",$D43="Average"),$E43*'IT '!I$16,AND($C43="Alternative fuel bus",$D43="Nearly full"),$E43*'IT '!I$17,AND($C43="Metro, tram, urban light train",$D43="Almost empty"),$E43*'IT '!D$35,AND($C43="Metro, tram, urban light train",$D43="Average"),$E43*'IT '!D$36,AND($C43="Metro, tram, urban light train",$D43="Nearly full"),$E43*'IT '!D$37,AND($C43="Electric passenger train",$D43="Almost empty"),$E43*'IT '!D$39,AND($C43="Electric passenger train",$D43="Average"),$E43*'IT '!D$40,AND($C43="Electric passenger train",$D43="Nearly full"),$E43*'IT '!D$41,AND($C43="Diesel passenger train",$D43="Almost empty"),$E43*'IT '!D$47,AND($C43="Diesel passenger train",$D43="Average"),$E43*'IT '!D$48,AND($C43="Diesel passenger train",$D43="Nearly full"),$E43*'IT '!D$49,AND($C43="Walking"),$E43*0,AND($C43="Bike"),$E43*0,AND($C43="Plane - domestic flight"),$E43*'IT '!$C67,AND($C43="Plane - international - intra EU"),$E43*'IT '!$C69,AND($C43="Plane - international (extra EU)"),$E43*'IT '!$C71)</f>
        <v>#N/A</v>
      </c>
      <c r="H43" s="109"/>
      <c r="I43" s="154">
        <f t="shared" si="6"/>
        <v>0</v>
      </c>
      <c r="J43" s="147" t="e" cm="1">
        <f t="array" ref="J43">_xlfn.IFS(C43="Fuel car",C43*DATA!$C$17,C43="Electric car",C43*DATA!$F$19,C43="Hybrid car",I43*(0.5*DATA!$C$17+0.5*DATA!$F$19))</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car",$D44=1),$E44*'IT '!C$7,AND($C44="Fuel car",$D44=2),$E44*'IT '!C$8,AND($C44="Fuel car",$D44=3),$E44*'IT '!C$9,AND($C44="Fuel car",$D44=4),$E44*'IT '!C$10,AND($C44="Fuel car",$D44=5),$E44*'IT '!C$11,AND($C44="Motorcycle",$D44=1),$E44*'IT '!C$13,AND($C44="Motorcycle",$D44=2),$E44*'IT '!C$14,AND($C44="Electric car",$D44=1),$E44*'IT '!C$16,AND($C44="Electric car",$D44=2),$E44*'IT '!C$17,AND($C44="Electric car",$D44=3),$E44*'IT '!C$18,AND($C44="Electric car",$D44=4),$E44*'IT '!C$19,AND($C44="Electric car",$D44=5),$E44*'IT '!C$20,AND($C44="Hybrid car",$D44=1),$E44*'IT '!C$22,AND($C44="Hybrid car",$D44=2),$E44*'IT '!C$23,AND($C44="Hybrid car",$D44=3),$E44*'IT '!C$24,AND($C44="Hybrid car",$D44=4),$E44*'IT '!C$25,AND($C44="Hybrid car",$D44=5),$E44*'IT '!C$26,AND($C44="Electric motorcycle",$D44=1),$E44*'IT '!C$28,AND($C44="Electric motorcycle",$D44=2),$E44*'IT '!C$29,AND($C44="Electric bike",$D44=1),$E44*'IT '!C$31,AND($C44="Electric scooter",$D44=1),$E44*'IT '!C$33,AND($C44="Bus",$D44="Almost empty"),$E44*'IT '!H$23,AND($C44="Bus",$D44="Average"),$E44*'IT '!H$24,AND($C44="Bus",$D44="Nearly full"),$E44*'IT '!H$25,AND($C44="Electric bus",$D44="Almost empty"),$E44*'IT '!H$7,AND($C44="Electric bus",$D44="Average"),$E44*'IT '!H$8,AND($C44="Electric bus",$D44="Nearly full"),$E44*'IT '!H$9,AND($C44="Diesel bus",$D44="Almost empty"),$E44*'IT '!H$19,AND($C44="Diesel bus",$D44="Average"),$E44*'IT '!H$20,AND($C44="Diesel bus",$D44="Nearly full"),$E44*'IT '!H$21,AND($C44="Hybrid-electric bus",$D44="Almost empty"),$E44*'IT '!H$11,AND($C44="Hybrid-electric bus",$D44="Average"),$E44*'IT '!H$12,AND($C44="Hybrid-electric bus",$D44="Nearly full"),$E44*'IT '!H$13,AND($C44="Alternative fuel bus",$D44="Almost empty"),$E44*'IT '!H$15,AND($C44="Alternative fuel bus",$D44="Average"),$E44*'IT '!H$16,AND($C44="Alternative fuel bus",$D44="Nearly full"),$E44*'IT '!H$17,AND($C44="Metro, tram, urban light train",$D44="Almost empty"),$E44*'IT '!C$35,AND($C44="Metro, tram, urban light train",$D44="Average"),$E44*'IT '!C$36,AND($C44="Metro, tram, urban light train",$D44="Nearly full"),$E44*'IT '!C$37,AND($C44="Electric passenger train",$D44="Almost empty"),$E44*'IT '!C$39,AND($C44="Electric passenger train",$D44="Average"),$E44*'IT '!C$40,AND($C44="Electric passenger train",$D44="Nearly full"),$E44*'IT '!C$41,AND($C44="Diesel passenger train",$D44="Almost empty"),$E44*'IT '!C$47,AND($C44="Diesel passenger train",$D44="Average"),$E44*'IT '!C$48,AND($C44="Diesel passenger train",$D44="Nearly full"),$E44*'IT '!C$49,AND($C44="Walking"),$E44*0,AND($C44="Bike"),$E44*0,AND($C44="Plane - domestic flight"),$E44*'IT '!$C68,AND($C44="Plane - international - intra EU"),$E44*'IT '!$C70,AND($C44="Plane - international (extra EU)"),$E44*'IT '!$C72)</f>
        <v>#N/A</v>
      </c>
      <c r="G44" s="31" t="e" cm="1">
        <f t="array" ref="G44">_xlfn.IFS(AND($C44="Fuel car",$D44=1),$E44*'IT '!D$7,AND($C44="Fuel car",$D44=2),$E44*'IT '!D$8,AND($C44="Fuel car",$D44=3),$E44*'IT '!D$9,AND($C44="Fuel car",$D44=4),$E44*'IT '!D$10,AND($C44="Fuel car",$D44=5),$E44*'IT '!D$11,AND($C44="Motorcycle",$D44=1),$E44*'IT '!D$13,AND($C44="Motorcycle",$D44=2),$E44*'IT '!D$14,AND($C44="Electric car",$D44=1),$E44*'IT '!D$16,AND($C44="Electric car",$D44=2),$E44*'IT '!D$17,AND($C44="Electric car",$D44=3),$E44*'IT '!D$18,AND($C44="Electric car",$D44=4),$E44*'IT '!D$19,AND($C44="Electric car",$D44=5),$E44*'IT '!D$20,AND($C44="Hybrid car",$D44=1),$E44*'IT '!D$22,AND($C44="Hybrid car",$D44=2),$E44*'IT '!D$23,AND($C44="Hybrid car",$D44=3),$E44*'IT '!D$24,AND($C44="Hybrid car",$D44=4),$E44*'IT '!D$25,AND($C44="Hybrid car",$D44=5),$E44*'IT '!D$26,AND($C44="Electric motorcycle",$D44=1),$E44*'IT '!D$28,AND($C44="Electric motorcycle",$D44=2),$E44*'IT '!D$29,AND($C44="Electric bike",$D44=1),$E44*'IT '!D$31,AND($C44="Electric scooter",$D44=1),$E44*'IT '!D$33,AND($C44="Bus",$D44="Almost empty"),$E44*'IT '!I$23,AND($C44="Bus",$D44="Average"),$E44*'IT '!I$24,AND($C44="Bus",$D44="Nearly full"),$E44*'IT '!I$25,AND($C44="Electric bus",$D44="Almost empty"),$E44*'IT '!I$7,AND($C44="Electric bus",$D44="Average"),$E44*'IT '!I$8,AND($C44="Electric bus",$D44="Nearly full"),$E44*'IT '!I$9,AND($C44="Diesel bus",$D44="Almost empty"),$E44*'IT '!I$19,AND($C44="Diesel bus",$D44="Average"),$E44*'IT '!I$20,AND($C44="Diesel bus",$D44="Nearly full"),$E44*'IT '!I$21,AND($C44="Hybrid-electric bus",$D44="Almost empty"),$E44*'IT '!I$11,AND($C44="Hybrid-electric bus",$D44="Average"),$E44*'IT '!I$12,AND($C44="Hybrid-electric bus",$D44="Nearly full"),$E44*'IT '!I$13,AND($C44="Alternative fuel bus",$D44="Almost empty"),$E44*'IT '!I$15,AND($C44="Alternative fuel bus",$D44="Average"),$E44*'IT '!I$16,AND($C44="Alternative fuel bus",$D44="Nearly full"),$E44*'IT '!I$17,AND($C44="Metro, tram, urban light train",$D44="Almost empty"),$E44*'IT '!D$35,AND($C44="Metro, tram, urban light train",$D44="Average"),$E44*'IT '!D$36,AND($C44="Metro, tram, urban light train",$D44="Nearly full"),$E44*'IT '!D$37,AND($C44="Electric passenger train",$D44="Almost empty"),$E44*'IT '!D$39,AND($C44="Electric passenger train",$D44="Average"),$E44*'IT '!D$40,AND($C44="Electric passenger train",$D44="Nearly full"),$E44*'IT '!D$41,AND($C44="Diesel passenger train",$D44="Almost empty"),$E44*'IT '!D$47,AND($C44="Diesel passenger train",$D44="Average"),$E44*'IT '!D$48,AND($C44="Diesel passenger train",$D44="Nearly full"),$E44*'IT '!D$49,AND($C44="Walking"),$E44*0,AND($C44="Bike"),$E44*0,AND($C44="Plane - domestic flight"),$E44*'IT '!$C68,AND($C44="Plane - international - intra EU"),$E44*'IT '!$C70,AND($C44="Plane - international (extra EU)"),$E44*'IT '!$C72)</f>
        <v>#N/A</v>
      </c>
      <c r="L44" s="218"/>
      <c r="M44" s="219"/>
      <c r="N44" s="220"/>
    </row>
    <row r="45" spans="1:14" ht="14.5" customHeight="1" x14ac:dyDescent="0.2">
      <c r="A45" s="222"/>
      <c r="B45" s="30"/>
      <c r="C45" s="15"/>
      <c r="D45" s="15"/>
      <c r="E45" s="125"/>
      <c r="F45" s="128" t="e" cm="1">
        <f t="array" ref="F45">_xlfn.IFS(AND($C45="Fuel car",$D45=1),$E45*'IT '!C$7,AND($C45="Fuel car",$D45=2),$E45*'IT '!C$8,AND($C45="Fuel car",$D45=3),$E45*'IT '!C$9,AND($C45="Fuel car",$D45=4),$E45*'IT '!C$10,AND($C45="Fuel car",$D45=5),$E45*'IT '!C$11,AND($C45="Motorcycle",$D45=1),$E45*'IT '!C$13,AND($C45="Motorcycle",$D45=2),$E45*'IT '!C$14,AND($C45="Electric car",$D45=1),$E45*'IT '!C$16,AND($C45="Electric car",$D45=2),$E45*'IT '!C$17,AND($C45="Electric car",$D45=3),$E45*'IT '!C$18,AND($C45="Electric car",$D45=4),$E45*'IT '!C$19,AND($C45="Electric car",$D45=5),$E45*'IT '!C$20,AND($C45="Hybrid car",$D45=1),$E45*'IT '!C$22,AND($C45="Hybrid car",$D45=2),$E45*'IT '!C$23,AND($C45="Hybrid car",$D45=3),$E45*'IT '!C$24,AND($C45="Hybrid car",$D45=4),$E45*'IT '!C$25,AND($C45="Hybrid car",$D45=5),$E45*'IT '!C$26,AND($C45="Electric motorcycle",$D45=1),$E45*'IT '!C$28,AND($C45="Electric motorcycle",$D45=2),$E45*'IT '!C$29,AND($C45="Electric bike",$D45=1),$E45*'IT '!C$31,AND($C45="Electric scooter",$D45=1),$E45*'IT '!C$33,AND($C45="Bus",$D45="Almost empty"),$E45*'IT '!H$23,AND($C45="Bus",$D45="Average"),$E45*'IT '!H$24,AND($C45="Bus",$D45="Nearly full"),$E45*'IT '!H$25,AND($C45="Electric bus",$D45="Almost empty"),$E45*'IT '!H$7,AND($C45="Electric bus",$D45="Average"),$E45*'IT '!H$8,AND($C45="Electric bus",$D45="Nearly full"),$E45*'IT '!H$9,AND($C45="Diesel bus",$D45="Almost empty"),$E45*'IT '!H$19,AND($C45="Diesel bus",$D45="Average"),$E45*'IT '!H$20,AND($C45="Diesel bus",$D45="Nearly full"),$E45*'IT '!H$21,AND($C45="Hybrid-electric bus",$D45="Almost empty"),$E45*'IT '!H$11,AND($C45="Hybrid-electric bus",$D45="Average"),$E45*'IT '!H$12,AND($C45="Hybrid-electric bus",$D45="Nearly full"),$E45*'IT '!H$13,AND($C45="Alternative fuel bus",$D45="Almost empty"),$E45*'IT '!H$15,AND($C45="Alternative fuel bus",$D45="Average"),$E45*'IT '!H$16,AND($C45="Alternative fuel bus",$D45="Nearly full"),$E45*'IT '!H$17,AND($C45="Metro, tram, urban light train",$D45="Almost empty"),$E45*'IT '!C$35,AND($C45="Metro, tram, urban light train",$D45="Average"),$E45*'IT '!C$36,AND($C45="Metro, tram, urban light train",$D45="Nearly full"),$E45*'IT '!C$37,AND($C45="Electric passenger train",$D45="Almost empty"),$E45*'IT '!C$39,AND($C45="Electric passenger train",$D45="Average"),$E45*'IT '!C$40,AND($C45="Electric passenger train",$D45="Nearly full"),$E45*'IT '!C$41,AND($C45="Diesel passenger train",$D45="Almost empty"),$E45*'IT '!C$47,AND($C45="Diesel passenger train",$D45="Average"),$E45*'IT '!C$48,AND($C45="Diesel passenger train",$D45="Nearly full"),$E45*'IT '!C$49,AND($C45="Walking"),$E45*0,AND($C45="Bike"),$E45*0,AND($C45="Plane - domestic flight"),$E45*'IT '!$C69,AND($C45="Plane - international - intra EU"),$E45*'IT '!$C71,AND($C45="Plane - international (extra EU)"),$E45*'IT '!$C73)</f>
        <v>#N/A</v>
      </c>
      <c r="G45" s="31" t="e" cm="1">
        <f t="array" ref="G45">_xlfn.IFS(AND($C45="Fuel car",$D45=1),$E45*'IT '!D$7,AND($C45="Fuel car",$D45=2),$E45*'IT '!D$8,AND($C45="Fuel car",$D45=3),$E45*'IT '!D$9,AND($C45="Fuel car",$D45=4),$E45*'IT '!D$10,AND($C45="Fuel car",$D45=5),$E45*'IT '!D$11,AND($C45="Motorcycle",$D45=1),$E45*'IT '!D$13,AND($C45="Motorcycle",$D45=2),$E45*'IT '!D$14,AND($C45="Electric car",$D45=1),$E45*'IT '!D$16,AND($C45="Electric car",$D45=2),$E45*'IT '!D$17,AND($C45="Electric car",$D45=3),$E45*'IT '!D$18,AND($C45="Electric car",$D45=4),$E45*'IT '!D$19,AND($C45="Electric car",$D45=5),$E45*'IT '!D$20,AND($C45="Hybrid car",$D45=1),$E45*'IT '!D$22,AND($C45="Hybrid car",$D45=2),$E45*'IT '!D$23,AND($C45="Hybrid car",$D45=3),$E45*'IT '!D$24,AND($C45="Hybrid car",$D45=4),$E45*'IT '!D$25,AND($C45="Hybrid car",$D45=5),$E45*'IT '!D$26,AND($C45="Electric motorcycle",$D45=1),$E45*'IT '!D$28,AND($C45="Electric motorcycle",$D45=2),$E45*'IT '!D$29,AND($C45="Electric bike",$D45=1),$E45*'IT '!D$31,AND($C45="Electric scooter",$D45=1),$E45*'IT '!D$33,AND($C45="Bus",$D45="Almost empty"),$E45*'IT '!I$23,AND($C45="Bus",$D45="Average"),$E45*'IT '!I$24,AND($C45="Bus",$D45="Nearly full"),$E45*'IT '!I$25,AND($C45="Electric bus",$D45="Almost empty"),$E45*'IT '!I$7,AND($C45="Electric bus",$D45="Average"),$E45*'IT '!I$8,AND($C45="Electric bus",$D45="Nearly full"),$E45*'IT '!I$9,AND($C45="Diesel bus",$D45="Almost empty"),$E45*'IT '!I$19,AND($C45="Diesel bus",$D45="Average"),$E45*'IT '!I$20,AND($C45="Diesel bus",$D45="Nearly full"),$E45*'IT '!I$21,AND($C45="Hybrid-electric bus",$D45="Almost empty"),$E45*'IT '!I$11,AND($C45="Hybrid-electric bus",$D45="Average"),$E45*'IT '!I$12,AND($C45="Hybrid-electric bus",$D45="Nearly full"),$E45*'IT '!I$13,AND($C45="Alternative fuel bus",$D45="Almost empty"),$E45*'IT '!I$15,AND($C45="Alternative fuel bus",$D45="Average"),$E45*'IT '!I$16,AND($C45="Alternative fuel bus",$D45="Nearly full"),$E45*'IT '!I$17,AND($C45="Metro, tram, urban light train",$D45="Almost empty"),$E45*'IT '!D$35,AND($C45="Metro, tram, urban light train",$D45="Average"),$E45*'IT '!D$36,AND($C45="Metro, tram, urban light train",$D45="Nearly full"),$E45*'IT '!D$37,AND($C45="Electric passenger train",$D45="Almost empty"),$E45*'IT '!D$39,AND($C45="Electric passenger train",$D45="Average"),$E45*'IT '!D$40,AND($C45="Electric passenger train",$D45="Nearly full"),$E45*'IT '!D$41,AND($C45="Diesel passenger train",$D45="Almost empty"),$E45*'IT '!D$47,AND($C45="Diesel passenger train",$D45="Average"),$E45*'IT '!D$48,AND($C45="Diesel passenger train",$D45="Nearly full"),$E45*'IT '!D$49,AND($C45="Walking"),$E45*0,AND($C45="Bike"),$E45*0,AND($C45="Plane - domestic flight"),$E45*'IT '!$C69,AND($C45="Plane - international - intra EU"),$E45*'IT '!$C71,AND($C45="Plane - international (extra EU)"),$E45*'IT '!$C73)</f>
        <v>#N/A</v>
      </c>
      <c r="L45" s="198" t="s">
        <v>256</v>
      </c>
      <c r="M45" s="199"/>
      <c r="N45" s="200"/>
    </row>
    <row r="46" spans="1:14" ht="16" thickBot="1" x14ac:dyDescent="0.25">
      <c r="A46" s="222"/>
      <c r="B46" s="30"/>
      <c r="C46" s="15"/>
      <c r="D46" s="15"/>
      <c r="E46" s="125"/>
      <c r="F46" s="128" t="e" cm="1">
        <f t="array" ref="F46">_xlfn.IFS(AND($C46="Fuel car",$D46=1),$E46*'IT '!C$7,AND($C46="Fuel car",$D46=2),$E46*'IT '!C$8,AND($C46="Fuel car",$D46=3),$E46*'IT '!C$9,AND($C46="Fuel car",$D46=4),$E46*'IT '!C$10,AND($C46="Fuel car",$D46=5),$E46*'IT '!C$11,AND($C46="Motorcycle",$D46=1),$E46*'IT '!C$13,AND($C46="Motorcycle",$D46=2),$E46*'IT '!C$14,AND($C46="Electric car",$D46=1),$E46*'IT '!C$16,AND($C46="Electric car",$D46=2),$E46*'IT '!C$17,AND($C46="Electric car",$D46=3),$E46*'IT '!C$18,AND($C46="Electric car",$D46=4),$E46*'IT '!C$19,AND($C46="Electric car",$D46=5),$E46*'IT '!C$20,AND($C46="Hybrid car",$D46=1),$E46*'IT '!C$22,AND($C46="Hybrid car",$D46=2),$E46*'IT '!C$23,AND($C46="Hybrid car",$D46=3),$E46*'IT '!C$24,AND($C46="Hybrid car",$D46=4),$E46*'IT '!C$25,AND($C46="Hybrid car",$D46=5),$E46*'IT '!C$26,AND($C46="Electric motorcycle",$D46=1),$E46*'IT '!C$28,AND($C46="Electric motorcycle",$D46=2),$E46*'IT '!C$29,AND($C46="Electric bike",$D46=1),$E46*'IT '!C$31,AND($C46="Electric scooter",$D46=1),$E46*'IT '!C$33,AND($C46="Bus",$D46="Almost empty"),$E46*'IT '!H$23,AND($C46="Bus",$D46="Average"),$E46*'IT '!H$24,AND($C46="Bus",$D46="Nearly full"),$E46*'IT '!H$25,AND($C46="Electric bus",$D46="Almost empty"),$E46*'IT '!H$7,AND($C46="Electric bus",$D46="Average"),$E46*'IT '!H$8,AND($C46="Electric bus",$D46="Nearly full"),$E46*'IT '!H$9,AND($C46="Diesel bus",$D46="Almost empty"),$E46*'IT '!H$19,AND($C46="Diesel bus",$D46="Average"),$E46*'IT '!H$20,AND($C46="Diesel bus",$D46="Nearly full"),$E46*'IT '!H$21,AND($C46="Hybrid-electric bus",$D46="Almost empty"),$E46*'IT '!H$11,AND($C46="Hybrid-electric bus",$D46="Average"),$E46*'IT '!H$12,AND($C46="Hybrid-electric bus",$D46="Nearly full"),$E46*'IT '!H$13,AND($C46="Alternative fuel bus",$D46="Almost empty"),$E46*'IT '!H$15,AND($C46="Alternative fuel bus",$D46="Average"),$E46*'IT '!H$16,AND($C46="Alternative fuel bus",$D46="Nearly full"),$E46*'IT '!H$17,AND($C46="Metro, tram, urban light train",$D46="Almost empty"),$E46*'IT '!C$35,AND($C46="Metro, tram, urban light train",$D46="Average"),$E46*'IT '!C$36,AND($C46="Metro, tram, urban light train",$D46="Nearly full"),$E46*'IT '!C$37,AND($C46="Electric passenger train",$D46="Almost empty"),$E46*'IT '!C$39,AND($C46="Electric passenger train",$D46="Average"),$E46*'IT '!C$40,AND($C46="Electric passenger train",$D46="Nearly full"),$E46*'IT '!C$41,AND($C46="Diesel passenger train",$D46="Almost empty"),$E46*'IT '!C$47,AND($C46="Diesel passenger train",$D46="Average"),$E46*'IT '!C$48,AND($C46="Diesel passenger train",$D46="Nearly full"),$E46*'IT '!C$49,AND($C46="Walking"),$E46*0,AND($C46="Bike"),$E46*0,AND($C46="Plane - domestic flight"),$E46*'IT '!$C70,AND($C46="Plane - international - intra EU"),$E46*'IT '!$C72,AND($C46="Plane - international (extra EU)"),$E46*'IT '!$C74)</f>
        <v>#N/A</v>
      </c>
      <c r="G46" s="31" t="e" cm="1">
        <f t="array" ref="G46">_xlfn.IFS(AND($C46="Fuel car",$D46=1),$E46*'IT '!D$7,AND($C46="Fuel car",$D46=2),$E46*'IT '!D$8,AND($C46="Fuel car",$D46=3),$E46*'IT '!D$9,AND($C46="Fuel car",$D46=4),$E46*'IT '!D$10,AND($C46="Fuel car",$D46=5),$E46*'IT '!D$11,AND($C46="Motorcycle",$D46=1),$E46*'IT '!D$13,AND($C46="Motorcycle",$D46=2),$E46*'IT '!D$14,AND($C46="Electric car",$D46=1),$E46*'IT '!D$16,AND($C46="Electric car",$D46=2),$E46*'IT '!D$17,AND($C46="Electric car",$D46=3),$E46*'IT '!D$18,AND($C46="Electric car",$D46=4),$E46*'IT '!D$19,AND($C46="Electric car",$D46=5),$E46*'IT '!D$20,AND($C46="Hybrid car",$D46=1),$E46*'IT '!D$22,AND($C46="Hybrid car",$D46=2),$E46*'IT '!D$23,AND($C46="Hybrid car",$D46=3),$E46*'IT '!D$24,AND($C46="Hybrid car",$D46=4),$E46*'IT '!D$25,AND($C46="Hybrid car",$D46=5),$E46*'IT '!D$26,AND($C46="Electric motorcycle",$D46=1),$E46*'IT '!D$28,AND($C46="Electric motorcycle",$D46=2),$E46*'IT '!D$29,AND($C46="Electric bike",$D46=1),$E46*'IT '!D$31,AND($C46="Electric scooter",$D46=1),$E46*'IT '!D$33,AND($C46="Bus",$D46="Almost empty"),$E46*'IT '!I$23,AND($C46="Bus",$D46="Average"),$E46*'IT '!I$24,AND($C46="Bus",$D46="Nearly full"),$E46*'IT '!I$25,AND($C46="Electric bus",$D46="Almost empty"),$E46*'IT '!I$7,AND($C46="Electric bus",$D46="Average"),$E46*'IT '!I$8,AND($C46="Electric bus",$D46="Nearly full"),$E46*'IT '!I$9,AND($C46="Diesel bus",$D46="Almost empty"),$E46*'IT '!I$19,AND($C46="Diesel bus",$D46="Average"),$E46*'IT '!I$20,AND($C46="Diesel bus",$D46="Nearly full"),$E46*'IT '!I$21,AND($C46="Hybrid-electric bus",$D46="Almost empty"),$E46*'IT '!I$11,AND($C46="Hybrid-electric bus",$D46="Average"),$E46*'IT '!I$12,AND($C46="Hybrid-electric bus",$D46="Nearly full"),$E46*'IT '!I$13,AND($C46="Alternative fuel bus",$D46="Almost empty"),$E46*'IT '!I$15,AND($C46="Alternative fuel bus",$D46="Average"),$E46*'IT '!I$16,AND($C46="Alternative fuel bus",$D46="Nearly full"),$E46*'IT '!I$17,AND($C46="Metro, tram, urban light train",$D46="Almost empty"),$E46*'IT '!D$35,AND($C46="Metro, tram, urban light train",$D46="Average"),$E46*'IT '!D$36,AND($C46="Metro, tram, urban light train",$D46="Nearly full"),$E46*'IT '!D$37,AND($C46="Electric passenger train",$D46="Almost empty"),$E46*'IT '!D$39,AND($C46="Electric passenger train",$D46="Average"),$E46*'IT '!D$40,AND($C46="Electric passenger train",$D46="Nearly full"),$E46*'IT '!D$41,AND($C46="Diesel passenger train",$D46="Almost empty"),$E46*'IT '!D$47,AND($C46="Diesel passenger train",$D46="Average"),$E46*'IT '!D$48,AND($C46="Diesel passenger train",$D46="Nearly full"),$E46*'IT '!D$49,AND($C46="Walking"),$E46*0,AND($C46="Bike"),$E46*0,AND($C46="Plane - domestic flight"),$E46*'IT '!$C70,AND($C46="Plane - international - intra EU"),$E46*'IT '!$C72,AND($C46="Plane - international (extra EU)"),$E46*'IT '!$C74)</f>
        <v>#N/A</v>
      </c>
      <c r="L46" s="246"/>
      <c r="M46" s="247"/>
      <c r="N46" s="248"/>
    </row>
    <row r="47" spans="1:14" ht="20" thickBot="1" x14ac:dyDescent="0.25">
      <c r="A47" s="222"/>
      <c r="B47" s="30"/>
      <c r="C47" s="15"/>
      <c r="D47" s="15"/>
      <c r="E47" s="125"/>
      <c r="F47" s="128" t="e" cm="1">
        <f t="array" ref="F47">_xlfn.IFS(AND($C47="Fuel car",$D47=1),$E47*'IT '!C$7,AND($C47="Fuel car",$D47=2),$E47*'IT '!C$8,AND($C47="Fuel car",$D47=3),$E47*'IT '!C$9,AND($C47="Fuel car",$D47=4),$E47*'IT '!C$10,AND($C47="Fuel car",$D47=5),$E47*'IT '!C$11,AND($C47="Motorcycle",$D47=1),$E47*'IT '!C$13,AND($C47="Motorcycle",$D47=2),$E47*'IT '!C$14,AND($C47="Electric car",$D47=1),$E47*'IT '!C$16,AND($C47="Electric car",$D47=2),$E47*'IT '!C$17,AND($C47="Electric car",$D47=3),$E47*'IT '!C$18,AND($C47="Electric car",$D47=4),$E47*'IT '!C$19,AND($C47="Electric car",$D47=5),$E47*'IT '!C$20,AND($C47="Hybrid car",$D47=1),$E47*'IT '!C$22,AND($C47="Hybrid car",$D47=2),$E47*'IT '!C$23,AND($C47="Hybrid car",$D47=3),$E47*'IT '!C$24,AND($C47="Hybrid car",$D47=4),$E47*'IT '!C$25,AND($C47="Hybrid car",$D47=5),$E47*'IT '!C$26,AND($C47="Electric motorcycle",$D47=1),$E47*'IT '!C$28,AND($C47="Electric motorcycle",$D47=2),$E47*'IT '!C$29,AND($C47="Electric bike",$D47=1),$E47*'IT '!C$31,AND($C47="Electric scooter",$D47=1),$E47*'IT '!C$33,AND($C47="Bus",$D47="Almost empty"),$E47*'IT '!H$23,AND($C47="Bus",$D47="Average"),$E47*'IT '!H$24,AND($C47="Bus",$D47="Nearly full"),$E47*'IT '!H$25,AND($C47="Electric bus",$D47="Almost empty"),$E47*'IT '!H$7,AND($C47="Electric bus",$D47="Average"),$E47*'IT '!H$8,AND($C47="Electric bus",$D47="Nearly full"),$E47*'IT '!H$9,AND($C47="Diesel bus",$D47="Almost empty"),$E47*'IT '!H$19,AND($C47="Diesel bus",$D47="Average"),$E47*'IT '!H$20,AND($C47="Diesel bus",$D47="Nearly full"),$E47*'IT '!H$21,AND($C47="Hybrid-electric bus",$D47="Almost empty"),$E47*'IT '!H$11,AND($C47="Hybrid-electric bus",$D47="Average"),$E47*'IT '!H$12,AND($C47="Hybrid-electric bus",$D47="Nearly full"),$E47*'IT '!H$13,AND($C47="Alternative fuel bus",$D47="Almost empty"),$E47*'IT '!H$15,AND($C47="Alternative fuel bus",$D47="Average"),$E47*'IT '!H$16,AND($C47="Alternative fuel bus",$D47="Nearly full"),$E47*'IT '!H$17,AND($C47="Metro, tram, urban light train",$D47="Almost empty"),$E47*'IT '!C$35,AND($C47="Metro, tram, urban light train",$D47="Average"),$E47*'IT '!C$36,AND($C47="Metro, tram, urban light train",$D47="Nearly full"),$E47*'IT '!C$37,AND($C47="Electric passenger train",$D47="Almost empty"),$E47*'IT '!C$39,AND($C47="Electric passenger train",$D47="Average"),$E47*'IT '!C$40,AND($C47="Electric passenger train",$D47="Nearly full"),$E47*'IT '!C$41,AND($C47="Diesel passenger train",$D47="Almost empty"),$E47*'IT '!C$47,AND($C47="Diesel passenger train",$D47="Average"),$E47*'IT '!C$48,AND($C47="Diesel passenger train",$D47="Nearly full"),$E47*'IT '!C$49,AND($C47="Walking"),$E47*0,AND($C47="Bike"),$E47*0,AND($C47="Plane - domestic flight"),$E47*'IT '!$C71,AND($C47="Plane - international - intra EU"),$E47*'IT '!$C73,AND($C47="Plane - international (extra EU)"),$E47*'IT '!$C75)</f>
        <v>#N/A</v>
      </c>
      <c r="G47" s="31" t="e" cm="1">
        <f t="array" ref="G47">_xlfn.IFS(AND($C47="Fuel car",$D47=1),$E47*'IT '!D$7,AND($C47="Fuel car",$D47=2),$E47*'IT '!D$8,AND($C47="Fuel car",$D47=3),$E47*'IT '!D$9,AND($C47="Fuel car",$D47=4),$E47*'IT '!D$10,AND($C47="Fuel car",$D47=5),$E47*'IT '!D$11,AND($C47="Motorcycle",$D47=1),$E47*'IT '!D$13,AND($C47="Motorcycle",$D47=2),$E47*'IT '!D$14,AND($C47="Electric car",$D47=1),$E47*'IT '!D$16,AND($C47="Electric car",$D47=2),$E47*'IT '!D$17,AND($C47="Electric car",$D47=3),$E47*'IT '!D$18,AND($C47="Electric car",$D47=4),$E47*'IT '!D$19,AND($C47="Electric car",$D47=5),$E47*'IT '!D$20,AND($C47="Hybrid car",$D47=1),$E47*'IT '!D$22,AND($C47="Hybrid car",$D47=2),$E47*'IT '!D$23,AND($C47="Hybrid car",$D47=3),$E47*'IT '!D$24,AND($C47="Hybrid car",$D47=4),$E47*'IT '!D$25,AND($C47="Hybrid car",$D47=5),$E47*'IT '!D$26,AND($C47="Electric motorcycle",$D47=1),$E47*'IT '!D$28,AND($C47="Electric motorcycle",$D47=2),$E47*'IT '!D$29,AND($C47="Electric bike",$D47=1),$E47*'IT '!D$31,AND($C47="Electric scooter",$D47=1),$E47*'IT '!D$33,AND($C47="Bus",$D47="Almost empty"),$E47*'IT '!I$23,AND($C47="Bus",$D47="Average"),$E47*'IT '!I$24,AND($C47="Bus",$D47="Nearly full"),$E47*'IT '!I$25,AND($C47="Electric bus",$D47="Almost empty"),$E47*'IT '!I$7,AND($C47="Electric bus",$D47="Average"),$E47*'IT '!I$8,AND($C47="Electric bus",$D47="Nearly full"),$E47*'IT '!I$9,AND($C47="Diesel bus",$D47="Almost empty"),$E47*'IT '!I$19,AND($C47="Diesel bus",$D47="Average"),$E47*'IT '!I$20,AND($C47="Diesel bus",$D47="Nearly full"),$E47*'IT '!I$21,AND($C47="Hybrid-electric bus",$D47="Almost empty"),$E47*'IT '!I$11,AND($C47="Hybrid-electric bus",$D47="Average"),$E47*'IT '!I$12,AND($C47="Hybrid-electric bus",$D47="Nearly full"),$E47*'IT '!I$13,AND($C47="Alternative fuel bus",$D47="Almost empty"),$E47*'IT '!I$15,AND($C47="Alternative fuel bus",$D47="Average"),$E47*'IT '!I$16,AND($C47="Alternative fuel bus",$D47="Nearly full"),$E47*'IT '!I$17,AND($C47="Metro, tram, urban light train",$D47="Almost empty"),$E47*'IT '!D$35,AND($C47="Metro, tram, urban light train",$D47="Average"),$E47*'IT '!D$36,AND($C47="Metro, tram, urban light train",$D47="Nearly full"),$E47*'IT '!D$37,AND($C47="Electric passenger train",$D47="Almost empty"),$E47*'IT '!D$39,AND($C47="Electric passenger train",$D47="Average"),$E47*'IT '!D$40,AND($C47="Electric passenger train",$D47="Nearly full"),$E47*'IT '!D$41,AND($C47="Diesel passenger train",$D47="Almost empty"),$E47*'IT '!D$47,AND($C47="Diesel passenger train",$D47="Average"),$E47*'IT '!D$48,AND($C47="Diesel passenger train",$D47="Nearly full"),$E47*'IT '!D$49,AND($C47="Walking"),$E47*0,AND($C47="Bike"),$E47*0,AND($C47="Plane - domestic flight"),$E47*'IT '!$C71,AND($C47="Plane - international - intra EU"),$E47*'IT '!$C73,AND($C47="Plane - international (extra EU)"),$E47*'IT '!$C75)</f>
        <v>#N/A</v>
      </c>
      <c r="L47" s="238" t="s">
        <v>56</v>
      </c>
      <c r="M47" s="239"/>
      <c r="N47" s="240"/>
    </row>
    <row r="48" spans="1:14" ht="16" thickBot="1" x14ac:dyDescent="0.25">
      <c r="A48" s="222"/>
      <c r="B48" s="30"/>
      <c r="C48" s="15"/>
      <c r="D48" s="15"/>
      <c r="E48" s="125"/>
      <c r="F48" s="128" t="e" cm="1">
        <f t="array" ref="F48">_xlfn.IFS(AND($C48="Fuel car",$D48=1),$E48*'IT '!C$7,AND($C48="Fuel car",$D48=2),$E48*'IT '!C$8,AND($C48="Fuel car",$D48=3),$E48*'IT '!C$9,AND($C48="Fuel car",$D48=4),$E48*'IT '!C$10,AND($C48="Fuel car",$D48=5),$E48*'IT '!C$11,AND($C48="Motorcycle",$D48=1),$E48*'IT '!C$13,AND($C48="Motorcycle",$D48=2),$E48*'IT '!C$14,AND($C48="Electric car",$D48=1),$E48*'IT '!C$16,AND($C48="Electric car",$D48=2),$E48*'IT '!C$17,AND($C48="Electric car",$D48=3),$E48*'IT '!C$18,AND($C48="Electric car",$D48=4),$E48*'IT '!C$19,AND($C48="Electric car",$D48=5),$E48*'IT '!C$20,AND($C48="Hybrid car",$D48=1),$E48*'IT '!C$22,AND($C48="Hybrid car",$D48=2),$E48*'IT '!C$23,AND($C48="Hybrid car",$D48=3),$E48*'IT '!C$24,AND($C48="Hybrid car",$D48=4),$E48*'IT '!C$25,AND($C48="Hybrid car",$D48=5),$E48*'IT '!C$26,AND($C48="Electric motorcycle",$D48=1),$E48*'IT '!C$28,AND($C48="Electric motorcycle",$D48=2),$E48*'IT '!C$29,AND($C48="Electric bike",$D48=1),$E48*'IT '!C$31,AND($C48="Electric scooter",$D48=1),$E48*'IT '!C$33,AND($C48="Bus",$D48="Almost empty"),$E48*'IT '!H$23,AND($C48="Bus",$D48="Average"),$E48*'IT '!H$24,AND($C48="Bus",$D48="Nearly full"),$E48*'IT '!H$25,AND($C48="Electric bus",$D48="Almost empty"),$E48*'IT '!H$7,AND($C48="Electric bus",$D48="Average"),$E48*'IT '!H$8,AND($C48="Electric bus",$D48="Nearly full"),$E48*'IT '!H$9,AND($C48="Diesel bus",$D48="Almost empty"),$E48*'IT '!H$19,AND($C48="Diesel bus",$D48="Average"),$E48*'IT '!H$20,AND($C48="Diesel bus",$D48="Nearly full"),$E48*'IT '!H$21,AND($C48="Hybrid-electric bus",$D48="Almost empty"),$E48*'IT '!H$11,AND($C48="Hybrid-electric bus",$D48="Average"),$E48*'IT '!H$12,AND($C48="Hybrid-electric bus",$D48="Nearly full"),$E48*'IT '!H$13,AND($C48="Alternative fuel bus",$D48="Almost empty"),$E48*'IT '!H$15,AND($C48="Alternative fuel bus",$D48="Average"),$E48*'IT '!H$16,AND($C48="Alternative fuel bus",$D48="Nearly full"),$E48*'IT '!H$17,AND($C48="Metro, tram, urban light train",$D48="Almost empty"),$E48*'IT '!C$35,AND($C48="Metro, tram, urban light train",$D48="Average"),$E48*'IT '!C$36,AND($C48="Metro, tram, urban light train",$D48="Nearly full"),$E48*'IT '!C$37,AND($C48="Electric passenger train",$D48="Almost empty"),$E48*'IT '!C$39,AND($C48="Electric passenger train",$D48="Average"),$E48*'IT '!C$40,AND($C48="Electric passenger train",$D48="Nearly full"),$E48*'IT '!C$41,AND($C48="Diesel passenger train",$D48="Almost empty"),$E48*'IT '!C$47,AND($C48="Diesel passenger train",$D48="Average"),$E48*'IT '!C$48,AND($C48="Diesel passenger train",$D48="Nearly full"),$E48*'IT '!C$49,AND($C48="Walking"),$E48*0,AND($C48="Bike"),$E48*0,AND($C48="Plane - domestic flight"),$E48*'IT '!$C72,AND($C48="Plane - international - intra EU"),$E48*'IT '!$C74,AND($C48="Plane - international (extra EU)"),$E48*'IT '!$C76)</f>
        <v>#N/A</v>
      </c>
      <c r="G48" s="31" t="e" cm="1">
        <f t="array" ref="G48">_xlfn.IFS(AND($C48="Fuel car",$D48=1),$E48*'IT '!D$7,AND($C48="Fuel car",$D48=2),$E48*'IT '!D$8,AND($C48="Fuel car",$D48=3),$E48*'IT '!D$9,AND($C48="Fuel car",$D48=4),$E48*'IT '!D$10,AND($C48="Fuel car",$D48=5),$E48*'IT '!D$11,AND($C48="Motorcycle",$D48=1),$E48*'IT '!D$13,AND($C48="Motorcycle",$D48=2),$E48*'IT '!D$14,AND($C48="Electric car",$D48=1),$E48*'IT '!D$16,AND($C48="Electric car",$D48=2),$E48*'IT '!D$17,AND($C48="Electric car",$D48=3),$E48*'IT '!D$18,AND($C48="Electric car",$D48=4),$E48*'IT '!D$19,AND($C48="Electric car",$D48=5),$E48*'IT '!D$20,AND($C48="Hybrid car",$D48=1),$E48*'IT '!D$22,AND($C48="Hybrid car",$D48=2),$E48*'IT '!D$23,AND($C48="Hybrid car",$D48=3),$E48*'IT '!D$24,AND($C48="Hybrid car",$D48=4),$E48*'IT '!D$25,AND($C48="Hybrid car",$D48=5),$E48*'IT '!D$26,AND($C48="Electric motorcycle",$D48=1),$E48*'IT '!D$28,AND($C48="Electric motorcycle",$D48=2),$E48*'IT '!D$29,AND($C48="Electric bike",$D48=1),$E48*'IT '!D$31,AND($C48="Electric scooter",$D48=1),$E48*'IT '!D$33,AND($C48="Bus",$D48="Almost empty"),$E48*'IT '!I$23,AND($C48="Bus",$D48="Average"),$E48*'IT '!I$24,AND($C48="Bus",$D48="Nearly full"),$E48*'IT '!I$25,AND($C48="Electric bus",$D48="Almost empty"),$E48*'IT '!I$7,AND($C48="Electric bus",$D48="Average"),$E48*'IT '!I$8,AND($C48="Electric bus",$D48="Nearly full"),$E48*'IT '!I$9,AND($C48="Diesel bus",$D48="Almost empty"),$E48*'IT '!I$19,AND($C48="Diesel bus",$D48="Average"),$E48*'IT '!I$20,AND($C48="Diesel bus",$D48="Nearly full"),$E48*'IT '!I$21,AND($C48="Hybrid-electric bus",$D48="Almost empty"),$E48*'IT '!I$11,AND($C48="Hybrid-electric bus",$D48="Average"),$E48*'IT '!I$12,AND($C48="Hybrid-electric bus",$D48="Nearly full"),$E48*'IT '!I$13,AND($C48="Alternative fuel bus",$D48="Almost empty"),$E48*'IT '!I$15,AND($C48="Alternative fuel bus",$D48="Average"),$E48*'IT '!I$16,AND($C48="Alternative fuel bus",$D48="Nearly full"),$E48*'IT '!I$17,AND($C48="Metro, tram, urban light train",$D48="Almost empty"),$E48*'IT '!D$35,AND($C48="Metro, tram, urban light train",$D48="Average"),$E48*'IT '!D$36,AND($C48="Metro, tram, urban light train",$D48="Nearly full"),$E48*'IT '!D$37,AND($C48="Electric passenger train",$D48="Almost empty"),$E48*'IT '!D$39,AND($C48="Electric passenger train",$D48="Average"),$E48*'IT '!D$40,AND($C48="Electric passenger train",$D48="Nearly full"),$E48*'IT '!D$41,AND($C48="Diesel passenger train",$D48="Almost empty"),$E48*'IT '!D$47,AND($C48="Diesel passenger train",$D48="Average"),$E48*'IT '!D$48,AND($C48="Diesel passenger train",$D48="Nearly full"),$E48*'IT '!D$49,AND($C48="Walking"),$E48*0,AND($C48="Bike"),$E48*0,AND($C48="Plane - domestic flight"),$E48*'IT '!$C72,AND($C48="Plane - international - intra EU"),$E48*'IT '!$C74,AND($C48="Plane - international (extra EU)"),$E48*'IT '!$C76)</f>
        <v>#N/A</v>
      </c>
      <c r="H48" s="196" t="s">
        <v>67</v>
      </c>
      <c r="I48" s="197"/>
      <c r="L48" s="249"/>
      <c r="M48" s="250"/>
      <c r="N48" s="251"/>
    </row>
    <row r="49" spans="1:14" x14ac:dyDescent="0.2">
      <c r="A49" s="222"/>
      <c r="B49" s="30"/>
      <c r="C49" s="15"/>
      <c r="D49" s="15"/>
      <c r="E49" s="125"/>
      <c r="F49" s="128" t="e" cm="1">
        <f t="array" ref="F49">_xlfn.IFS(AND($C49="Fuel car",$D49=1),$E49*'IT '!C$7,AND($C49="Fuel car",$D49=2),$E49*'IT '!C$8,AND($C49="Fuel car",$D49=3),$E49*'IT '!C$9,AND($C49="Fuel car",$D49=4),$E49*'IT '!C$10,AND($C49="Fuel car",$D49=5),$E49*'IT '!C$11,AND($C49="Motorcycle",$D49=1),$E49*'IT '!C$13,AND($C49="Motorcycle",$D49=2),$E49*'IT '!C$14,AND($C49="Electric car",$D49=1),$E49*'IT '!C$16,AND($C49="Electric car",$D49=2),$E49*'IT '!C$17,AND($C49="Electric car",$D49=3),$E49*'IT '!C$18,AND($C49="Electric car",$D49=4),$E49*'IT '!C$19,AND($C49="Electric car",$D49=5),$E49*'IT '!C$20,AND($C49="Hybrid car",$D49=1),$E49*'IT '!C$22,AND($C49="Hybrid car",$D49=2),$E49*'IT '!C$23,AND($C49="Hybrid car",$D49=3),$E49*'IT '!C$24,AND($C49="Hybrid car",$D49=4),$E49*'IT '!C$25,AND($C49="Hybrid car",$D49=5),$E49*'IT '!C$26,AND($C49="Electric motorcycle",$D49=1),$E49*'IT '!C$28,AND($C49="Electric motorcycle",$D49=2),$E49*'IT '!C$29,AND($C49="Electric bike",$D49=1),$E49*'IT '!C$31,AND($C49="Electric scooter",$D49=1),$E49*'IT '!C$33,AND($C49="Bus",$D49="Almost empty"),$E49*'IT '!H$23,AND($C49="Bus",$D49="Average"),$E49*'IT '!H$24,AND($C49="Bus",$D49="Nearly full"),$E49*'IT '!H$25,AND($C49="Electric bus",$D49="Almost empty"),$E49*'IT '!H$7,AND($C49="Electric bus",$D49="Average"),$E49*'IT '!H$8,AND($C49="Electric bus",$D49="Nearly full"),$E49*'IT '!H$9,AND($C49="Diesel bus",$D49="Almost empty"),$E49*'IT '!H$19,AND($C49="Diesel bus",$D49="Average"),$E49*'IT '!H$20,AND($C49="Diesel bus",$D49="Nearly full"),$E49*'IT '!H$21,AND($C49="Hybrid-electric bus",$D49="Almost empty"),$E49*'IT '!H$11,AND($C49="Hybrid-electric bus",$D49="Average"),$E49*'IT '!H$12,AND($C49="Hybrid-electric bus",$D49="Nearly full"),$E49*'IT '!H$13,AND($C49="Alternative fuel bus",$D49="Almost empty"),$E49*'IT '!H$15,AND($C49="Alternative fuel bus",$D49="Average"),$E49*'IT '!H$16,AND($C49="Alternative fuel bus",$D49="Nearly full"),$E49*'IT '!H$17,AND($C49="Metro, tram, urban light train",$D49="Almost empty"),$E49*'IT '!C$35,AND($C49="Metro, tram, urban light train",$D49="Average"),$E49*'IT '!C$36,AND($C49="Metro, tram, urban light train",$D49="Nearly full"),$E49*'IT '!C$37,AND($C49="Electric passenger train",$D49="Almost empty"),$E49*'IT '!C$39,AND($C49="Electric passenger train",$D49="Average"),$E49*'IT '!C$40,AND($C49="Electric passenger train",$D49="Nearly full"),$E49*'IT '!C$41,AND($C49="Diesel passenger train",$D49="Almost empty"),$E49*'IT '!C$47,AND($C49="Diesel passenger train",$D49="Average"),$E49*'IT '!C$48,AND($C49="Diesel passenger train",$D49="Nearly full"),$E49*'IT '!C$49,AND($C49="Walking"),$E49*0,AND($C49="Bike"),$E49*0,AND($C49="Plane - domestic flight"),$E49*'IT '!$C73,AND($C49="Plane - international - intra EU"),$E49*'IT '!$C75,AND($C49="Plane - international (extra EU)"),$E49*'IT '!$C77)</f>
        <v>#N/A</v>
      </c>
      <c r="G49" s="31" t="e" cm="1">
        <f t="array" ref="G49">_xlfn.IFS(AND($C49="Fuel car",$D49=1),$E49*'IT '!D$7,AND($C49="Fuel car",$D49=2),$E49*'IT '!D$8,AND($C49="Fuel car",$D49=3),$E49*'IT '!D$9,AND($C49="Fuel car",$D49=4),$E49*'IT '!D$10,AND($C49="Fuel car",$D49=5),$E49*'IT '!D$11,AND($C49="Motorcycle",$D49=1),$E49*'IT '!D$13,AND($C49="Motorcycle",$D49=2),$E49*'IT '!D$14,AND($C49="Electric car",$D49=1),$E49*'IT '!D$16,AND($C49="Electric car",$D49=2),$E49*'IT '!D$17,AND($C49="Electric car",$D49=3),$E49*'IT '!D$18,AND($C49="Electric car",$D49=4),$E49*'IT '!D$19,AND($C49="Electric car",$D49=5),$E49*'IT '!D$20,AND($C49="Hybrid car",$D49=1),$E49*'IT '!D$22,AND($C49="Hybrid car",$D49=2),$E49*'IT '!D$23,AND($C49="Hybrid car",$D49=3),$E49*'IT '!D$24,AND($C49="Hybrid car",$D49=4),$E49*'IT '!D$25,AND($C49="Hybrid car",$D49=5),$E49*'IT '!D$26,AND($C49="Electric motorcycle",$D49=1),$E49*'IT '!D$28,AND($C49="Electric motorcycle",$D49=2),$E49*'IT '!D$29,AND($C49="Electric bike",$D49=1),$E49*'IT '!D$31,AND($C49="Electric scooter",$D49=1),$E49*'IT '!D$33,AND($C49="Bus",$D49="Almost empty"),$E49*'IT '!I$23,AND($C49="Bus",$D49="Average"),$E49*'IT '!I$24,AND($C49="Bus",$D49="Nearly full"),$E49*'IT '!I$25,AND($C49="Electric bus",$D49="Almost empty"),$E49*'IT '!I$7,AND($C49="Electric bus",$D49="Average"),$E49*'IT '!I$8,AND($C49="Electric bus",$D49="Nearly full"),$E49*'IT '!I$9,AND($C49="Diesel bus",$D49="Almost empty"),$E49*'IT '!I$19,AND($C49="Diesel bus",$D49="Average"),$E49*'IT '!I$20,AND($C49="Diesel bus",$D49="Nearly full"),$E49*'IT '!I$21,AND($C49="Hybrid-electric bus",$D49="Almost empty"),$E49*'IT '!I$11,AND($C49="Hybrid-electric bus",$D49="Average"),$E49*'IT '!I$12,AND($C49="Hybrid-electric bus",$D49="Nearly full"),$E49*'IT '!I$13,AND($C49="Alternative fuel bus",$D49="Almost empty"),$E49*'IT '!I$15,AND($C49="Alternative fuel bus",$D49="Average"),$E49*'IT '!I$16,AND($C49="Alternative fuel bus",$D49="Nearly full"),$E49*'IT '!I$17,AND($C49="Metro, tram, urban light train",$D49="Almost empty"),$E49*'IT '!D$35,AND($C49="Metro, tram, urban light train",$D49="Average"),$E49*'IT '!D$36,AND($C49="Metro, tram, urban light train",$D49="Nearly full"),$E49*'IT '!D$37,AND($C49="Electric passenger train",$D49="Almost empty"),$E49*'IT '!D$39,AND($C49="Electric passenger train",$D49="Average"),$E49*'IT '!D$40,AND($C49="Electric passenger train",$D49="Nearly full"),$E49*'IT '!D$41,AND($C49="Diesel passenger train",$D49="Almost empty"),$E49*'IT '!D$47,AND($C49="Diesel passenger train",$D49="Average"),$E49*'IT '!D$48,AND($C49="Diesel passenger train",$D49="Nearly full"),$E49*'IT '!D$49,AND($C49="Walking"),$E49*0,AND($C49="Bike"),$E49*0,AND($C49="Plane - domestic flight"),$E49*'IT '!$C73,AND($C49="Plane - international - intra EU"),$E49*'IT '!$C75,AND($C49="Plane - international (extra EU)"),$E49*'IT '!$C77)</f>
        <v>#N/A</v>
      </c>
      <c r="H49" s="244" t="s">
        <v>74</v>
      </c>
      <c r="I49" s="141"/>
      <c r="L49" s="252"/>
      <c r="M49" s="253"/>
      <c r="N49" s="254"/>
    </row>
    <row r="50" spans="1:14" ht="16" thickBot="1" x14ac:dyDescent="0.25">
      <c r="A50" s="222"/>
      <c r="B50" s="51"/>
      <c r="C50" s="15"/>
      <c r="D50" s="15"/>
      <c r="E50" s="126"/>
      <c r="F50" s="128" t="e" cm="1">
        <f t="array" ref="F50">_xlfn.IFS(AND($C50="Fuel car",$D50=1),$E50*'IT '!C$7,AND($C50="Fuel car",$D50=2),$E50*'IT '!C$8,AND($C50="Fuel car",$D50=3),$E50*'IT '!C$9,AND($C50="Fuel car",$D50=4),$E50*'IT '!C$10,AND($C50="Fuel car",$D50=5),$E50*'IT '!C$11,AND($C50="Motorcycle",$D50=1),$E50*'IT '!C$13,AND($C50="Motorcycle",$D50=2),$E50*'IT '!C$14,AND($C50="Electric car",$D50=1),$E50*'IT '!C$16,AND($C50="Electric car",$D50=2),$E50*'IT '!C$17,AND($C50="Electric car",$D50=3),$E50*'IT '!C$18,AND($C50="Electric car",$D50=4),$E50*'IT '!C$19,AND($C50="Electric car",$D50=5),$E50*'IT '!C$20,AND($C50="Hybrid car",$D50=1),$E50*'IT '!C$22,AND($C50="Hybrid car",$D50=2),$E50*'IT '!C$23,AND($C50="Hybrid car",$D50=3),$E50*'IT '!C$24,AND($C50="Hybrid car",$D50=4),$E50*'IT '!C$25,AND($C50="Hybrid car",$D50=5),$E50*'IT '!C$26,AND($C50="Electric motorcycle",$D50=1),$E50*'IT '!C$28,AND($C50="Electric motorcycle",$D50=2),$E50*'IT '!C$29,AND($C50="Electric bike",$D50=1),$E50*'IT '!C$31,AND($C50="Electric scooter",$D50=1),$E50*'IT '!C$33,AND($C50="Bus",$D50="Almost empty"),$E50*'IT '!H$23,AND($C50="Bus",$D50="Average"),$E50*'IT '!H$24,AND($C50="Bus",$D50="Nearly full"),$E50*'IT '!H$25,AND($C50="Electric bus",$D50="Almost empty"),$E50*'IT '!H$7,AND($C50="Electric bus",$D50="Average"),$E50*'IT '!H$8,AND($C50="Electric bus",$D50="Nearly full"),$E50*'IT '!H$9,AND($C50="Diesel bus",$D50="Almost empty"),$E50*'IT '!H$19,AND($C50="Diesel bus",$D50="Average"),$E50*'IT '!H$20,AND($C50="Diesel bus",$D50="Nearly full"),$E50*'IT '!H$21,AND($C50="Hybrid-electric bus",$D50="Almost empty"),$E50*'IT '!H$11,AND($C50="Hybrid-electric bus",$D50="Average"),$E50*'IT '!H$12,AND($C50="Hybrid-electric bus",$D50="Nearly full"),$E50*'IT '!H$13,AND($C50="Alternative fuel bus",$D50="Almost empty"),$E50*'IT '!H$15,AND($C50="Alternative fuel bus",$D50="Average"),$E50*'IT '!H$16,AND($C50="Alternative fuel bus",$D50="Nearly full"),$E50*'IT '!H$17,AND($C50="Metro, tram, urban light train",$D50="Almost empty"),$E50*'IT '!C$35,AND($C50="Metro, tram, urban light train",$D50="Average"),$E50*'IT '!C$36,AND($C50="Metro, tram, urban light train",$D50="Nearly full"),$E50*'IT '!C$37,AND($C50="Electric passenger train",$D50="Almost empty"),$E50*'IT '!C$39,AND($C50="Electric passenger train",$D50="Average"),$E50*'IT '!C$40,AND($C50="Electric passenger train",$D50="Nearly full"),$E50*'IT '!C$41,AND($C50="Diesel passenger train",$D50="Almost empty"),$E50*'IT '!C$47,AND($C50="Diesel passenger train",$D50="Average"),$E50*'IT '!C$48,AND($C50="Diesel passenger train",$D50="Nearly full"),$E50*'IT '!C$49,AND($C50="Walking"),$E50*0,AND($C50="Bike"),$E50*0,AND($C50="Plane - domestic flight"),$E50*'IT '!$C74,AND($C50="Plane - international - intra EU"),$E50*'IT '!$C76,AND($C50="Plane - international (extra EU)"),$E50*'IT '!$C78)</f>
        <v>#N/A</v>
      </c>
      <c r="G50" s="31" t="e" cm="1">
        <f t="array" ref="G50">_xlfn.IFS(AND($C50="Fuel car",$D50=1),$E50*'IT '!D$7,AND($C50="Fuel car",$D50=2),$E50*'IT '!D$8,AND($C50="Fuel car",$D50=3),$E50*'IT '!D$9,AND($C50="Fuel car",$D50=4),$E50*'IT '!D$10,AND($C50="Fuel car",$D50=5),$E50*'IT '!D$11,AND($C50="Motorcycle",$D50=1),$E50*'IT '!D$13,AND($C50="Motorcycle",$D50=2),$E50*'IT '!D$14,AND($C50="Electric car",$D50=1),$E50*'IT '!D$16,AND($C50="Electric car",$D50=2),$E50*'IT '!D$17,AND($C50="Electric car",$D50=3),$E50*'IT '!D$18,AND($C50="Electric car",$D50=4),$E50*'IT '!D$19,AND($C50="Electric car",$D50=5),$E50*'IT '!D$20,AND($C50="Hybrid car",$D50=1),$E50*'IT '!D$22,AND($C50="Hybrid car",$D50=2),$E50*'IT '!D$23,AND($C50="Hybrid car",$D50=3),$E50*'IT '!D$24,AND($C50="Hybrid car",$D50=4),$E50*'IT '!D$25,AND($C50="Hybrid car",$D50=5),$E50*'IT '!D$26,AND($C50="Electric motorcycle",$D50=1),$E50*'IT '!D$28,AND($C50="Electric motorcycle",$D50=2),$E50*'IT '!D$29,AND($C50="Electric bike",$D50=1),$E50*'IT '!D$31,AND($C50="Electric scooter",$D50=1),$E50*'IT '!D$33,AND($C50="Bus",$D50="Almost empty"),$E50*'IT '!I$23,AND($C50="Bus",$D50="Average"),$E50*'IT '!I$24,AND($C50="Bus",$D50="Nearly full"),$E50*'IT '!I$25,AND($C50="Electric bus",$D50="Almost empty"),$E50*'IT '!I$7,AND($C50="Electric bus",$D50="Average"),$E50*'IT '!I$8,AND($C50="Electric bus",$D50="Nearly full"),$E50*'IT '!I$9,AND($C50="Diesel bus",$D50="Almost empty"),$E50*'IT '!I$19,AND($C50="Diesel bus",$D50="Average"),$E50*'IT '!I$20,AND($C50="Diesel bus",$D50="Nearly full"),$E50*'IT '!I$21,AND($C50="Hybrid-electric bus",$D50="Almost empty"),$E50*'IT '!I$11,AND($C50="Hybrid-electric bus",$D50="Average"),$E50*'IT '!I$12,AND($C50="Hybrid-electric bus",$D50="Nearly full"),$E50*'IT '!I$13,AND($C50="Alternative fuel bus",$D50="Almost empty"),$E50*'IT '!I$15,AND($C50="Alternative fuel bus",$D50="Average"),$E50*'IT '!I$16,AND($C50="Alternative fuel bus",$D50="Nearly full"),$E50*'IT '!I$17,AND($C50="Metro, tram, urban light train",$D50="Almost empty"),$E50*'IT '!D$35,AND($C50="Metro, tram, urban light train",$D50="Average"),$E50*'IT '!D$36,AND($C50="Metro, tram, urban light train",$D50="Nearly full"),$E50*'IT '!D$37,AND($C50="Electric passenger train",$D50="Almost empty"),$E50*'IT '!D$39,AND($C50="Electric passenger train",$D50="Average"),$E50*'IT '!D$40,AND($C50="Electric passenger train",$D50="Nearly full"),$E50*'IT '!D$41,AND($C50="Diesel passenger train",$D50="Almost empty"),$E50*'IT '!D$47,AND($C50="Diesel passenger train",$D50="Average"),$E50*'IT '!D$48,AND($C50="Diesel passenger train",$D50="Nearly full"),$E50*'IT '!D$49,AND($C50="Walking"),$E50*0,AND($C50="Bike"),$E50*0,AND($C50="Plane - domestic flight"),$E50*'IT '!$C74,AND($C50="Plane - international - intra EU"),$E50*'IT '!$C76,AND($C50="Plane - international (extra EU)"),$E50*'IT '!$C78)</f>
        <v>#N/A</v>
      </c>
      <c r="H50" s="245"/>
      <c r="I50" s="142"/>
      <c r="L50" s="252"/>
      <c r="M50" s="253"/>
      <c r="N50" s="254"/>
    </row>
    <row r="51" spans="1:14" ht="33" thickBot="1" x14ac:dyDescent="0.25">
      <c r="A51" s="222"/>
      <c r="B51" s="53"/>
      <c r="C51" s="32"/>
      <c r="D51" s="34"/>
      <c r="E51" s="113"/>
      <c r="F51" s="129" t="e" cm="1">
        <f t="array" ref="F51">_xlfn.IFS(AND($C51="Fuel car",$D51=1),$E51*'IT '!C$7,AND($C51="Fuel car",$D51=2),$E51*'IT '!C$8,AND($C51="Fuel car",$D51=3),$E51*'IT '!C$9,AND($C51="Fuel car",$D51=4),$E51*'IT '!C$10,AND($C51="Fuel car",$D51=5),$E51*'IT '!C$11,AND($C51="Motorcycle",$D51=1),$E51*'IT '!C$13,AND($C51="Motorcycle",$D51=2),$E51*'IT '!C$14,AND($C51="Electric car",$D51=1),$E51*'IT '!C$16,AND($C51="Electric car",$D51=2),$E51*'IT '!C$17,AND($C51="Electric car",$D51=3),$E51*'IT '!C$18,AND($C51="Electric car",$D51=4),$E51*'IT '!C$19,AND($C51="Electric car",$D51=5),$E51*'IT '!C$20,AND($C51="Hybrid car",$D51=1),$E51*'IT '!C$22,AND($C51="Hybrid car",$D51=2),$E51*'IT '!C$23,AND($C51="Hybrid car",$D51=3),$E51*'IT '!C$24,AND($C51="Hybrid car",$D51=4),$E51*'IT '!C$25,AND($C51="Hybrid car",$D51=5),$E51*'IT '!C$26,AND($C51="Electric motorcycle",$D51=1),$E51*'IT '!C$28,AND($C51="Electric motorcycle",$D51=2),$E51*'IT '!C$29,AND($C51="Electric bike",$D51=1),$E51*'IT '!C$31,AND($C51="Electric scooter",$D51=1),$E51*'IT '!C$33,AND($C51="Bus",$D51="Almost empty"),$E51*'IT '!H$23,AND($C51="Bus",$D51="Average"),$E51*'IT '!H$24,AND($C51="Bus",$D51="Nearly full"),$E51*'IT '!H$25,AND($C51="Electric bus",$D51="Almost empty"),$E51*'IT '!H$7,AND($C51="Electric bus",$D51="Average"),$E51*'IT '!H$8,AND($C51="Electric bus",$D51="Nearly full"),$E51*'IT '!H$9,AND($C51="Diesel bus",$D51="Almost empty"),$E51*'IT '!H$19,AND($C51="Diesel bus",$D51="Average"),$E51*'IT '!H$20,AND($C51="Diesel bus",$D51="Nearly full"),$E51*'IT '!H$21,AND($C51="Hybrid-electric bus",$D51="Almost empty"),$E51*'IT '!H$11,AND($C51="Hybrid-electric bus",$D51="Average"),$E51*'IT '!H$12,AND($C51="Hybrid-electric bus",$D51="Nearly full"),$E51*'IT '!H$13,AND($C51="Alternative fuel bus",$D51="Almost empty"),$E51*'IT '!H$15,AND($C51="Alternative fuel bus",$D51="Average"),$E51*'IT '!H$16,AND($C51="Alternative fuel bus",$D51="Nearly full"),$E51*'IT '!H$17,AND($C51="Metro, tram, urban light train",$D51="Almost empty"),$E51*'IT '!C$35,AND($C51="Metro, tram, urban light train",$D51="Average"),$E51*'IT '!C$36,AND($C51="Metro, tram, urban light train",$D51="Nearly full"),$E51*'IT '!C$37,AND($C51="Electric passenger train",$D51="Almost empty"),$E51*'IT '!C$39,AND($C51="Electric passenger train",$D51="Average"),$E51*'IT '!C$40,AND($C51="Electric passenger train",$D51="Nearly full"),$E51*'IT '!C$41,AND($C51="Diesel passenger train",$D51="Almost empty"),$E51*'IT '!C$47,AND($C51="Diesel passenger train",$D51="Average"),$E51*'IT '!C$48,AND($C51="Diesel passenger train",$D51="Nearly full"),$E51*'IT '!C$49,AND($C51="Walking"),$E51*0,AND($C51="Bike"),$E51*0,AND($C51="Plane - domestic flight"),$E51*'IT '!$C75,AND($C51="Plane - international - intra EU"),$E51*'IT '!$C77,AND($C51="Plane - international (extra EU)"),$E51*'IT '!$C79)</f>
        <v>#N/A</v>
      </c>
      <c r="G51" s="35" t="e" cm="1">
        <f t="array" ref="G51">_xlfn.IFS(AND($C51="Fuel car",$D51=1),$E51*'IT '!D$7,AND($C51="Fuel car",$D51=2),$E51*'IT '!D$8,AND($C51="Fuel car",$D51=3),$E51*'IT '!D$9,AND($C51="Fuel car",$D51=4),$E51*'IT '!D$10,AND($C51="Fuel car",$D51=5),$E51*'IT '!D$11,AND($C51="Motorcycle",$D51=1),$E51*'IT '!D$13,AND($C51="Motorcycle",$D51=2),$E51*'IT '!D$14,AND($C51="Electric car",$D51=1),$E51*'IT '!D$16,AND($C51="Electric car",$D51=2),$E51*'IT '!D$17,AND($C51="Electric car",$D51=3),$E51*'IT '!D$18,AND($C51="Electric car",$D51=4),$E51*'IT '!D$19,AND($C51="Electric car",$D51=5),$E51*'IT '!D$20,AND($C51="Hybrid car",$D51=1),$E51*'IT '!D$22,AND($C51="Hybrid car",$D51=2),$E51*'IT '!D$23,AND($C51="Hybrid car",$D51=3),$E51*'IT '!D$24,AND($C51="Hybrid car",$D51=4),$E51*'IT '!D$25,AND($C51="Hybrid car",$D51=5),$E51*'IT '!D$26,AND($C51="Electric motorcycle",$D51=1),$E51*'IT '!D$28,AND($C51="Electric motorcycle",$D51=2),$E51*'IT '!D$29,AND($C51="Electric bike",$D51=1),$E51*'IT '!D$31,AND($C51="Electric scooter",$D51=1),$E51*'IT '!D$33,AND($C51="Bus",$D51="Almost empty"),$E51*'IT '!I$23,AND($C51="Bus",$D51="Average"),$E51*'IT '!I$24,AND($C51="Bus",$D51="Nearly full"),$E51*'IT '!I$25,AND($C51="Electric bus",$D51="Almost empty"),$E51*'IT '!I$7,AND($C51="Electric bus",$D51="Average"),$E51*'IT '!I$8,AND($C51="Electric bus",$D51="Nearly full"),$E51*'IT '!I$9,AND($C51="Diesel bus",$D51="Almost empty"),$E51*'IT '!I$19,AND($C51="Diesel bus",$D51="Average"),$E51*'IT '!I$20,AND($C51="Diesel bus",$D51="Nearly full"),$E51*'IT '!I$21,AND($C51="Hybrid-electric bus",$D51="Almost empty"),$E51*'IT '!I$11,AND($C51="Hybrid-electric bus",$D51="Average"),$E51*'IT '!I$12,AND($C51="Hybrid-electric bus",$D51="Nearly full"),$E51*'IT '!I$13,AND($C51="Alternative fuel bus",$D51="Almost empty"),$E51*'IT '!I$15,AND($C51="Alternative fuel bus",$D51="Average"),$E51*'IT '!I$16,AND($C51="Alternative fuel bus",$D51="Nearly full"),$E51*'IT '!I$17,AND($C51="Metro, tram, urban light train",$D51="Almost empty"),$E51*'IT '!D$35,AND($C51="Metro, tram, urban light train",$D51="Average"),$E51*'IT '!D$36,AND($C51="Metro, tram, urban light train",$D51="Nearly full"),$E51*'IT '!D$37,AND($C51="Electric passenger train",$D51="Almost empty"),$E51*'IT '!D$39,AND($C51="Electric passenger train",$D51="Average"),$E51*'IT '!D$40,AND($C51="Electric passenger train",$D51="Nearly full"),$E51*'IT '!D$41,AND($C51="Diesel passenger train",$D51="Almost empty"),$E51*'IT '!D$47,AND($C51="Diesel passenger train",$D51="Average"),$E51*'IT '!D$48,AND($C51="Diesel passenger train",$D51="Nearly full"),$E51*'IT '!D$49,AND($C51="Walking"),$E51*0,AND($C51="Bike"),$E51*0,AND($C51="Plane - domestic flight"),$E51*'IT '!$C75,AND($C51="Plane - international - intra EU"),$E51*'IT '!$C77,AND($C51="Plane - international (extra EU)"),$E51*'IT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_xlfn.IFS(AND(D57&lt;='IT '!L4),"A+",AND(D57&lt;='IT '!M4,D57&gt;'IT '!L4),"A",AND(D57&lt;='IT '!N4,D57&gt;'IT '!M4),"B",AND(D57&lt;='IT '!O4,D57&gt;'IT '!N4),"C",AND(D57&lt;='IT '!P4,D57&gt;'IT '!O4),"D",AND(D57&lt;='IT '!Q4,D57&gt;'IT '!P4),"E",AND(D57&lt;='IT '!R4,D57&gt;'IT '!Q4),"F",AND(D57&gt;'IT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_xlfn.IFS(D58="#","#",AND(D58&lt;='IT '!L5),"A+",AND(D58&lt;='IT '!M5,D58&gt;'IT '!L5),"A",AND(D58&lt;='IT '!N5,D58&gt;'IT '!M5),"B",AND(D58&lt;='IT '!O5,D58&gt;'IT '!N5),"C",AND(D58&lt;='IT '!P5,D58&gt;'IT '!O5),"D",AND(D58&lt;='IT '!Q5,D58&gt;'IT '!P5),"E",AND(D58&lt;='IT '!R5,D58&gt;'IT '!Q5),"F",AND(D58&gt;'IT '!R5),"G")</f>
        <v>#</v>
      </c>
    </row>
    <row r="59" spans="1:14" ht="32" x14ac:dyDescent="0.2">
      <c r="A59" s="262"/>
      <c r="B59" s="264"/>
      <c r="C59" s="21" t="s">
        <v>88</v>
      </c>
      <c r="D59" s="47" t="e">
        <f>IF(ISNUMBER(D58), D57 + D58, D57)</f>
        <v>#DIV/0!</v>
      </c>
      <c r="E59" s="277"/>
      <c r="G59" s="264"/>
      <c r="H59" t="s">
        <v>88</v>
      </c>
      <c r="I59" s="56" t="e" cm="1">
        <f t="array" ref="I59">_xlfn.IFS(AND(D59&lt;='IT '!L6),"A+",AND(D59&lt;='IT '!M6,D59&gt;'IT '!L6),"A",AND(D59&lt;='IT '!N6,D59&gt;'IT '!M6),"B",AND(D59&lt;='IT '!O6,D59&gt;'IT '!N6),"C",AND(D59&lt;='IT '!P6,D59&gt;'IT '!O6),"D",AND(D59&lt;='IT '!Q6,D59&gt;'IT '!P6),"E",AND(D59&lt;='IT '!R6,D59&gt;'IT '!Q6),"F",AND(D59&gt;'IT '!R6),"G")</f>
        <v>#DIV/0!</v>
      </c>
    </row>
    <row r="60" spans="1:14" ht="16" x14ac:dyDescent="0.2">
      <c r="A60" s="262"/>
      <c r="B60" s="264"/>
      <c r="C60" s="21" t="s">
        <v>89</v>
      </c>
      <c r="D60" s="99">
        <f>I30</f>
        <v>0</v>
      </c>
      <c r="E60" s="277"/>
      <c r="G60" s="264"/>
      <c r="H60" t="s">
        <v>89</v>
      </c>
      <c r="I60" s="56" t="str" cm="1">
        <f t="array" ref="I60">_xlfn.IFS(AND(D60&lt;='IT '!L7),"A+",AND(D60&lt;='IT '!M7,D60&gt;'IT '!L7),"A",AND(D60&lt;='IT '!N7,D60&gt;'IT '!M7),"B",AND(D60&lt;='IT '!O7,D60&gt;'IT '!N7),"C",AND(D60&lt;='IT '!P7,D60&gt;'IT '!O7),"D",AND(D60&lt;='IT '!Q7,D60&gt;'IT '!P7),"E",AND(D60&lt;='IT '!R7,D60&gt;'IT '!Q7),"F",AND(D60&gt;'IT '!R7),"G")</f>
        <v>A+</v>
      </c>
    </row>
    <row r="61" spans="1:14" ht="16" thickBot="1" x14ac:dyDescent="0.25">
      <c r="A61" s="262"/>
      <c r="B61" s="265"/>
      <c r="C61" s="16" t="s">
        <v>57</v>
      </c>
      <c r="D61" s="58" t="e">
        <f>SUM(D59:D60)</f>
        <v>#DIV/0!</v>
      </c>
      <c r="E61" s="261"/>
      <c r="G61" s="265"/>
      <c r="H61" s="16" t="s">
        <v>57</v>
      </c>
      <c r="I61" s="1" t="e" cm="1">
        <f t="array" ref="I61">_xlfn.IFS(AND(D61&lt;='IT '!L8),"A+",AND(D61&lt;='IT '!M8,D61&gt;'IT '!L8),"A",AND(D61&lt;='IT '!N8,D61&gt;'IT '!M8),"B",AND(D61&lt;='IT '!O8,D61&gt;'IT '!N8),"C",AND(D61&lt;='IT '!P8,D61&gt;'IT '!O8),"D",AND(D61&lt;='IT '!Q8,D61&gt;'IT '!P8),"E",AND(D61&lt;='IT '!R8,D61&gt;'IT '!Q8),"F",AND(D61&gt;'IT '!R8),"G")</f>
        <v>#DIV/0!</v>
      </c>
    </row>
    <row r="62" spans="1:14" ht="32" x14ac:dyDescent="0.2">
      <c r="A62" s="262"/>
      <c r="B62" s="263" t="s">
        <v>90</v>
      </c>
      <c r="C62" s="57" t="s">
        <v>85</v>
      </c>
      <c r="D62" s="100" t="e">
        <f>I16</f>
        <v>#DIV/0!</v>
      </c>
      <c r="E62" s="266" t="s">
        <v>91</v>
      </c>
      <c r="G62" s="263" t="s">
        <v>90</v>
      </c>
      <c r="H62" s="46" t="s">
        <v>85</v>
      </c>
      <c r="I62" s="55" t="e" cm="1">
        <f t="array" ref="I62">_xlfn.IFS(AND(D62&lt;='IT '!L9),"A+",AND(D62&lt;='IT '!M9,D62&gt;'IT '!L9),"A",AND(D62&lt;='IT '!N9,D62&gt;'IT '!M9),"B",AND(D62&lt;='IT '!O9,D62&gt;'IT '!N9),"C",AND(D62&lt;='IT '!P9,D62&gt;'IT '!O9),"D",AND(D62&lt;='IT '!Q9,D62&gt;'IT '!P9),"E",AND(D62&lt;='IT '!R9,D62&gt;'IT '!Q9),"F",AND(D62&gt;'IT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_xlfn.IFS(D63="#","#",AND(D63&lt;='IT '!L10),"A+",AND(D63&lt;='IT '!M10,D63&gt;'IT '!L10),"A",AND(D63&lt;='IT '!N10,D63&gt;'IT '!M10),"B",AND(D63&lt;='IT '!O10,D63&gt;'IT '!N10),"C",AND(D63&lt;='IT '!P10,D63&gt;'IT '!O10),"D",AND(D63&lt;='IT '!Q10,D63&gt;'IT '!P10),"E",AND(D63&lt;='IT '!R10,D63&gt;'IT '!Q10),"F",AND(D63&gt;'IT '!R10),"G")</f>
        <v>#</v>
      </c>
    </row>
    <row r="64" spans="1:14" ht="32" x14ac:dyDescent="0.2">
      <c r="A64" s="262"/>
      <c r="B64" s="264"/>
      <c r="C64" s="21" t="s">
        <v>92</v>
      </c>
      <c r="D64" s="47" t="e">
        <f>IF(ISNUMBER(D63), D62 + D63, D62)</f>
        <v>#DIV/0!</v>
      </c>
      <c r="E64" s="202"/>
      <c r="G64" s="264"/>
      <c r="H64" t="s">
        <v>92</v>
      </c>
      <c r="I64" s="56" t="e" cm="1">
        <f t="array" ref="I64">_xlfn.IFS(AND(D64&lt;='IT '!L11),"A+",AND(D64&lt;='IT '!M11,D64&gt;'IT '!L11),"A",AND(D64&lt;='IT '!N11,D64&gt;'IT '!M11),"B",AND(D64&lt;='IT '!O11,D64&gt;'IT '!N11),"C",AND(D64&lt;='IT '!P11,D64&gt;'IT '!O11),"D",AND(D64&lt;='IT '!Q11,D64&gt;'IT '!P11),"E",AND(D64&lt;='IT '!R11,D64&gt;'IT '!Q11),"F",AND(D64&gt;'IT '!R11),"G")</f>
        <v>#DIV/0!</v>
      </c>
    </row>
    <row r="65" spans="1:9" x14ac:dyDescent="0.2">
      <c r="A65" s="262"/>
      <c r="B65" s="264"/>
      <c r="C65" t="s">
        <v>89</v>
      </c>
      <c r="D65" s="99">
        <f>I31</f>
        <v>0</v>
      </c>
      <c r="E65" s="202"/>
      <c r="G65" s="264"/>
      <c r="H65" t="s">
        <v>89</v>
      </c>
      <c r="I65" s="56" t="str" cm="1">
        <f t="array" ref="I65">_xlfn.IFS(AND(D65&lt;='IT '!L12),"A+",AND(D65&lt;='IT '!M12,D65&gt;'IT '!L12),"A",AND(D65&lt;='IT '!N12,D65&gt;'IT '!M12),"B",AND(D65&lt;='IT '!O12,D65&gt;'IT '!N12),"C",AND(D65&lt;='IT '!P12,D65&gt;'IT '!O12),"D",AND(D65&lt;='IT '!Q12,D65&gt;'IT '!P12),"E",AND(D65&lt;='IT '!R12,D65&gt;'IT '!Q12),"F",AND(D65&gt;'IT '!R12),"G")</f>
        <v>A+</v>
      </c>
    </row>
    <row r="66" spans="1:9" ht="16" thickBot="1" x14ac:dyDescent="0.25">
      <c r="A66" s="262"/>
      <c r="B66" s="265"/>
      <c r="C66" s="16" t="s">
        <v>57</v>
      </c>
      <c r="D66" s="16" t="e">
        <f>SUM(D64:D65)</f>
        <v>#DIV/0!</v>
      </c>
      <c r="E66" s="267"/>
      <c r="G66" s="265"/>
      <c r="H66" s="16" t="s">
        <v>57</v>
      </c>
      <c r="I66" s="1" t="e" cm="1">
        <f t="array" ref="I66">_xlfn.IFS(AND(D66&lt;='IT '!L13),"A+",AND(D66&lt;='IT '!M13,D66&gt;'IT '!L13),"A",AND(D66&lt;='IT '!N13,D66&gt;'IT '!M13),"B",AND(D66&lt;='IT '!O13,D66&gt;'IT '!N13),"C",AND(D66&lt;='IT '!P13,D66&gt;'IT '!O13),"D",AND(D66&lt;='IT '!Q13,D66&gt;'IT '!P13),"E",AND(D66&lt;='IT '!R13,D66&gt;'IT '!Q13),"F",AND(D66&gt;'IT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53" priority="7" operator="equal">
      <formula>"A+"</formula>
    </cfRule>
    <cfRule type="containsText" dxfId="252" priority="8" operator="containsText" text="A">
      <formula>NOT(ISERROR(SEARCH("A",I57)))</formula>
    </cfRule>
    <cfRule type="containsText" dxfId="251" priority="9" operator="containsText" text="B">
      <formula>NOT(ISERROR(SEARCH("B",I57)))</formula>
    </cfRule>
    <cfRule type="containsText" dxfId="250" priority="10" operator="containsText" text="C">
      <formula>NOT(ISERROR(SEARCH("C",I57)))</formula>
    </cfRule>
    <cfRule type="containsText" dxfId="249" priority="11" operator="containsText" text="D">
      <formula>NOT(ISERROR(SEARCH("D",I57)))</formula>
    </cfRule>
    <cfRule type="containsText" dxfId="248" priority="12" operator="containsText" text="E">
      <formula>NOT(ISERROR(SEARCH("E",I57)))</formula>
    </cfRule>
    <cfRule type="containsText" dxfId="247" priority="13" operator="containsText" text="F">
      <formula>NOT(ISERROR(SEARCH("F",I57)))</formula>
    </cfRule>
    <cfRule type="containsText" dxfId="246" priority="14" operator="containsText" text="G">
      <formula>NOT(ISERROR(SEARCH("G",I57)))</formula>
    </cfRule>
  </conditionalFormatting>
  <conditionalFormatting sqref="K5:K15">
    <cfRule type="expression" dxfId="33" priority="2" stopIfTrue="1">
      <formula>$O$19="No"</formula>
    </cfRule>
  </conditionalFormatting>
  <conditionalFormatting sqref="L5:L15">
    <cfRule type="expression" dxfId="3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5B4C4AE8-0654-C649-AD53-3833735246FD}">
      <formula1>AND(Q19="Yes", ISNUMBER(L5))</formula1>
    </dataValidation>
    <dataValidation type="custom" operator="lessThan" allowBlank="1" showErrorMessage="1" errorTitle="Error" error="You can only enter values if you have selected HOME PV. The value must be a number." sqref="K5:K15" xr:uid="{1AC48FEE-50C2-BE45-8879-7A6A9C995B59}">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C057978-F5CB-4A8D-A371-848574F6685C}">
          <x14:formula1>
            <xm:f>DATA!$J$3:$J$10</xm:f>
          </x14:formula1>
          <xm:sqref>D29:D51</xm:sqref>
        </x14:dataValidation>
        <x14:dataValidation type="list" allowBlank="1" showInputMessage="1" showErrorMessage="1" xr:uid="{31867995-B064-FE4E-B2A1-A28AB5A7BBDA}">
          <x14:formula1>
            <xm:f>DATA!$B$15:$B$23</xm:f>
          </x14:formula1>
          <xm:sqref>J2</xm:sqref>
        </x14:dataValidation>
        <x14:dataValidation type="list" allowBlank="1" showInputMessage="1" showErrorMessage="1" xr:uid="{69DF02F6-CE48-41F5-A1DB-00098F7264C4}">
          <x14:formula1>
            <xm:f>DATA!$H$3:$H$23</xm:f>
          </x14:formula1>
          <xm:sqref>C29:C51</xm:sqref>
        </x14:dataValidation>
        <x14:dataValidation type="list" allowBlank="1" showInputMessage="1" showErrorMessage="1" xr:uid="{3C8A4169-D20A-744E-9E2B-DF4416270155}">
          <x14:formula1>
            <xm:f>DATA!$B$3:$B$13</xm:f>
          </x14:formula1>
          <xm:sqref>H2</xm:sqref>
        </x14:dataValidation>
        <x14:dataValidation type="list" allowBlank="1" showInputMessage="1" showErrorMessage="1" xr:uid="{C894CE1C-6053-F34A-816A-510895060838}">
          <x14:formula1>
            <xm:f>DATA!$L$4:$L$5</xm:f>
          </x14:formula1>
          <xm:sqref>O18:O19 Q19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A29A3-83B2-4967-88FD-41541B200D1F}">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33203125" customWidth="1"/>
    <col min="5" max="5" width="17.33203125" customWidth="1"/>
    <col min="6" max="6" width="18.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108</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IF($O$18="Yes",(E5/$F$2)*DATA!$C$9,(E5/$F$2)*DATA!F19)+IF(ISBLANK(K5),0,K5/$F$2)*DATA!$C$9-IF(ISBLANK(L5),0,L5/$F$2)*DATA!F$19</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IF($O$18="Yes",(E6/$F$2)*DATA!$C$9,(E6/$F$2)*DATA!F20)+IF(ISBLANK(K6),0,K6/$F$2)*DATA!$C$9-IF(ISBLANK(L6),0,L6/$F$2)*DATA!F$19</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IF($O$18="Yes",(E7/$F$2)*DATA!$C$9,(E7/$F$2)*DATA!F21)+IF(ISBLANK(K7),0,K7/$F$2)*DATA!$C$9-IF(ISBLANK(L7),0,L7/$F$2)*DATA!F$19</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IF($O$18="Yes",(E8/$F$2)*DATA!$C$9,(E8/$F$2)*DATA!F22)+IF(ISBLANK(K8),0,K8/$F$2)*DATA!$C$9-IF(ISBLANK(L8),0,L8/$F$2)*DATA!F$19</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IF($O$18="Yes",(E9/$F$2)*DATA!$C$9,(E9/$F$2)*DATA!F23)+IF(ISBLANK(K9),0,K9/$F$2)*DATA!$C$9-IF(ISBLANK(L9),0,L9/$F$2)*DATA!F$19</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IF($O$18="Yes",(E10/$F$2)*DATA!$C$9,(E10/$F$2)*DATA!F24)+IF(ISBLANK(K10),0,K10/$F$2)*DATA!$C$9-IF(ISBLANK(L10),0,L10/$F$2)*DATA!F$19</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IF($O$18="Yes",(E11/$F$2)*DATA!$C$9,(E11/$F$2)*DATA!F25)+IF(ISBLANK(K11),0,K11/$F$2)*DATA!$C$9-IF(ISBLANK(L11),0,L11/$F$2)*DATA!F$19</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IF($O$18="Yes",(E12/$F$2)*DATA!$C$9,(E12/$F$2)*DATA!F26)+IF(ISBLANK(K12),0,K12/$F$2)*DATA!$C$9-IF(ISBLANK(L12),0,L12/$F$2)*DATA!F$19</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IF($O$18="Yes",(E13/$F$2)*DATA!$C$9,(E13/$F$2)*DATA!F27)+IF(ISBLANK(K13),0,K13/$F$2)*DATA!$C$9-IF(ISBLANK(L13),0,L13/$F$2)*DATA!F$19</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IF($O$18="Yes",(E14/$F$2)*DATA!$C$9,(E14/$F$2)*DATA!F28)+IF(ISBLANK(K14),0,K14/$F$2)*DATA!$C$9-IF(ISBLANK(L14),0,L14/$F$2)*DATA!F$19</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IF($O$18="Yes",(E15/$F$2)*DATA!$C$9,(E15/$F$2)*DATA!F29)+IF(ISBLANK(K15),0,K15/$F$2)*DATA!$C$9-IF(ISBLANK(L15),0,L15/$F$2)*DATA!F$19</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59"/>
      <c r="G28" s="261"/>
      <c r="H28" s="201"/>
      <c r="I28" s="209"/>
      <c r="J28" s="202"/>
      <c r="L28" s="223"/>
      <c r="M28" s="224"/>
      <c r="N28" s="225"/>
    </row>
    <row r="29" spans="1:17" ht="16" thickBot="1" x14ac:dyDescent="0.25">
      <c r="A29" s="222"/>
      <c r="B29" s="52"/>
      <c r="C29" s="15"/>
      <c r="D29" s="33"/>
      <c r="E29" s="124"/>
      <c r="F29" s="127" t="e" cm="1">
        <f t="array" ref="F29">_xlfn.IFS(AND($C29="Fuel car",$D29=1),$E29*'LV '!C$7,AND($C29="Fuel car",$D29=2),$E29*'LV '!C$8,AND($C29="Fuel car",$D29=3),$E29*'LV '!C$9,AND($C29="Fuel car",$D29=4),$E29*'LV '!C$10,AND($C29="Fuel car",$D29=5),$E29*'LV '!C$11,AND($C29="Motorcycle",$D29=1),$E29*'LV '!C$13,AND($C29="Motorcycle",$D29=2),$E29*'LV '!C$14,AND($C29="Electric car",$D29=1),$E29*'LV '!C$16,AND($C29="Electric car",$D29=2),$E29*'LV '!C$17,AND($C29="Electric car",$D29=3),$E29*'LV '!C$18,AND($C29="Electric car",$D29=4),$E29*'LV '!C$19,AND($C29="Electric car",$D29=5),$E29*'LV '!C$20,AND($C29="Hybrid car",$D29=1),$E29*'LV '!C$22,AND($C29="Hybrid car",$D29=2),$E29*'LV '!C$23,AND($C29="Hybrid car",$D29=3),$E29*'LV '!C$24,AND($C29="Hybrid car",$D29=4),$E29*'LV '!C$25,AND($C29="Hybrid car",$D29=5),$E29*'LV '!C$26,AND($C29="Electric motorcycle",$D29=1),$E29*'LV '!C$28,AND($C29="Electric motorcycle",$D29=2),$E29*'LV '!C$29,AND($C29="Electric bike",$D29=1),$E29*'LV '!C$31,AND($C29="Electric scooter",$D29=1),$E29*'LV '!C$33,AND($C29="Bus",$D29="Almost empty"),$E29*'LV '!H$23,AND($C29="Bus",$D29="Average"),$E29*'LV '!H$24,AND($C29="Bus",$D29="Nearly full"),$E29*'LV '!H$25,AND($C29="Electric bus",$D29="Almost empty"),$E29*'LV '!H$7,AND($C29="Electric bus",$D29="Average"),$E29*'LV '!H$8,AND($C29="Electric bus",$D29="Nearly full"),$E29*'LV '!H$9,AND($C29="Diesel bus",$D29="Almost empty"),$E29*'LV '!H$19,AND($C29="Diesel bus",$D29="Average"),$E29*'LV '!H$20,AND($C29="Diesel bus",$D29="Nearly full"),$E29*'LV '!H$21,AND($C29="Hybrid-electric bus",$D29="Almost empty"),$E29*'LV '!H$11,AND($C29="Hybrid-electric bus",$D29="Average"),$E29*'LV '!H$12,AND($C29="Hybrid-electric bus",$D29="Nearly full"),$E29*'LV '!H$13,AND($C29="Alternative fuel bus",$D29="Almost empty"),$E29*'LV '!H$15,AND($C29="Alternative fuel bus",$D29="Average"),$E29*'LV '!H$16,AND($C29="Alternative fuel bus",$D29="Nearly full"),$E29*'LV '!H$17,AND($C29="Metro, tram, urban light train",$D29="Almost empty"),$E29*'LV '!C$35,AND($C29="Metro, tram, urban light train",$D29="Average"),$E29*'LV '!C$36,AND($C29="Metro, tram, urban light train",$D29="Nearly full"),$E29*'LV '!C$37,AND($C29="Electric passenger train",$D29="Almost empty"),$E29*'LV '!C$39,AND($C29="Electric passenger train",$D29="Average"),$E29*'LV '!C$40,AND($C29="Electric passenger train",$D29="Nearly full"),$E29*'LV '!C$41,AND($C29="Diesel passenger train",$D29="Almost empty"),$E29*'LV '!C$47,AND($C29="Diesel passenger train",$D29="Average"),$E29*'LV '!C$48,AND($C29="Diesel passenger train",$D29="Nearly full"),$E29*'LV '!C$49,AND($C29="Walking"),$E29*0,AND($C29="Bike"),$E29*0,AND($C29="Plane - domestic flight"),$E29*'LV '!$C53,AND($C29="Plane - international - intra EU"),$E29*'LV '!$C55,AND($C29="Plane - international (extra EU)"),$E29*'LV '!$C57)</f>
        <v>#N/A</v>
      </c>
      <c r="G29" s="104" t="e" cm="1">
        <f t="array" ref="G29">_xlfn.IFS(AND($C29="Fuel car",$D29=1),$E29*'LV '!D$7,AND($C29="Fuel car",$D29=2),$E29*'LV '!D$8,AND($C29="Fuel car",$D29=3),$E29*'LV '!D$9,AND($C29="Fuel car",$D29=4),$E29*'LV '!D$10,AND($C29="Fuel car",$D29=5),$E29*'LV '!D$11,AND($C29="Motorcycle",$D29=1),$E29*'LV '!D$13,AND($C29="Motorcycle",$D29=2),$E29*'LV '!D$14,AND($C29="Electric car",$D29=1),$E29*'LV '!D$16,AND($C29="Electric car",$D29=2),$E29*'LV '!D$17,AND($C29="Electric car",$D29=3),$E29*'LV '!D$18,AND($C29="Electric car",$D29=4),$E29*'LV '!D$19,AND($C29="Electric car",$D29=5),$E29*'LV '!D$20,AND($C29="Hybrid car",$D29=1),$E29*'LV '!D$22,AND($C29="Hybrid car",$D29=2),$E29*'LV '!D$23,AND($C29="Hybrid car",$D29=3),$E29*'LV '!D$24,AND($C29="Hybrid car",$D29=4),$E29*'LV '!D$25,AND($C29="Hybrid car",$D29=5),$E29*'LV '!D$26,AND($C29="Electric motorcycle",$D29=1),$E29*'LV '!D$28,AND($C29="Electric motorcycle",$D29=2),$E29*'LV '!D$29,AND($C29="Electric bike",$D29=1),$E29*'LV '!D$31,AND($C29="Electric scooter",$D29=1),$E29*'LV '!D$33,AND($C29="Bus",$D29="Almost empty"),$E29*'LV '!I$23,AND($C29="Bus",$D29="Average"),$E29*'LV '!I$24,AND($C29="Bus",$D29="Nearly full"),$E29*'LV '!I$25,AND($C29="Electric bus",$D29="Almost empty"),$E29*'LV '!I$7,AND($C29="Electric bus",$D29="Average"),$E29*'LV '!I$8,AND($C29="Electric bus",$D29="Nearly full"),$E29*'LV '!I$9,AND($C29="Diesel bus",$D29="Almost empty"),$E29*'LV '!I$19,AND($C29="Diesel bus",$D29="Average"),$E29*'LV '!I$20,AND($C29="Diesel bus",$D29="Nearly full"),$E29*'LV '!I$21,AND($C29="Hybrid-electric bus",$D29="Almost empty"),$E29*'LV '!I$11,AND($C29="Hybrid-electric bus",$D29="Average"),$E29*'LV '!I$12,AND($C29="Hybrid-electric bus",$D29="Nearly full"),$E29*'LV '!I$13,AND($C29="Alternative fuel bus",$D29="Almost empty"),$E29*'LV '!I$15,AND($C29="Alternative fuel bus",$D29="Average"),$E29*'LV '!I$16,AND($C29="Alternative fuel bus",$D29="Nearly full"),$E29*'LV '!I$17,AND($C29="Metro, tram, urban light train",$D29="Almost empty"),$E29*'LV '!D$35,AND($C29="Metro, tram, urban light train",$D29="Average"),$E29*'LV '!D$36,AND($C29="Metro, tram, urban light train",$D29="Nearly full"),$E29*'LV '!D$37,AND($C29="Electric passenger train",$D29="Almost empty"),$E29*'LV '!D$39,AND($C29="Electric passenger train",$D29="Average"),$E29*'LV '!D$40,AND($C29="Electric passenger train",$D29="Nearly full"),$E29*'LV '!D$41,AND($C29="Diesel passenger train",$D29="Almost empty"),$E29*'LV '!D$47,AND($C29="Diesel passenger train",$D29="Average"),$E29*'LV '!D$48,AND($C29="Diesel passenger train",$D29="Nearly full"),$E29*'LV '!D$49,AND($C29="Walking"),$E29*0,AND($C29="Bike"),$E29*0,AND($C29="Plane - domestic flight"),$E29*'LV '!$C53,AND($C29="Plane - international - intra EU"),$E29*'LV '!$C55,AND($C29="Plane - international (extra EU)"),$E29*'LV '!$C57)</f>
        <v>#N/A</v>
      </c>
      <c r="H29" s="151"/>
      <c r="I29" s="152">
        <f>H29/10*E29</f>
        <v>0</v>
      </c>
      <c r="J29" s="146" t="e" cm="1">
        <f t="array" ref="J29">_xlfn.IFS(C29="Fuel car",C29*DATA!$C$17,C29="Electric car",C29*DATA!$F$20,C29="Hybrid car",I29*(0.5*DATA!$C$17+0.5*DATA!$F$20))</f>
        <v>#N/A</v>
      </c>
      <c r="L29" s="218"/>
      <c r="M29" s="219"/>
      <c r="N29" s="220"/>
    </row>
    <row r="30" spans="1:17" ht="32" customHeight="1" x14ac:dyDescent="0.2">
      <c r="A30" s="222"/>
      <c r="B30" s="30"/>
      <c r="C30" s="15"/>
      <c r="D30" s="15"/>
      <c r="E30" s="125"/>
      <c r="F30" s="128" t="e" cm="1">
        <f t="array" ref="F30">_xlfn.IFS(AND($C30="Fuel car",$D30=1),$E30*'LV '!C$7,AND($C30="Fuel car",$D30=2),$E30*'LV '!C$8,AND($C30="Fuel car",$D30=3),$E30*'LV '!C$9,AND($C30="Fuel car",$D30=4),$E30*'LV '!C$10,AND($C30="Fuel car",$D30=5),$E30*'LV '!C$11,AND($C30="Motorcycle",$D30=1),$E30*'LV '!C$13,AND($C30="Motorcycle",$D30=2),$E30*'LV '!C$14,AND($C30="Electric car",$D30=1),$E30*'LV '!C$16,AND($C30="Electric car",$D30=2),$E30*'LV '!C$17,AND($C30="Electric car",$D30=3),$E30*'LV '!C$18,AND($C30="Electric car",$D30=4),$E30*'LV '!C$19,AND($C30="Electric car",$D30=5),$E30*'LV '!C$20,AND($C30="Hybrid car",$D30=1),$E30*'LV '!C$22,AND($C30="Hybrid car",$D30=2),$E30*'LV '!C$23,AND($C30="Hybrid car",$D30=3),$E30*'LV '!C$24,AND($C30="Hybrid car",$D30=4),$E30*'LV '!C$25,AND($C30="Hybrid car",$D30=5),$E30*'LV '!C$26,AND($C30="Electric motorcycle",$D30=1),$E30*'LV '!C$28,AND($C30="Electric motorcycle",$D30=2),$E30*'LV '!C$29,AND($C30="Electric bike",$D30=1),$E30*'LV '!C$31,AND($C30="Electric scooter",$D30=1),$E30*'LV '!C$33,AND($C30="Bus",$D30="Almost empty"),$E30*'LV '!H$23,AND($C30="Bus",$D30="Average"),$E30*'LV '!H$24,AND($C30="Bus",$D30="Nearly full"),$E30*'LV '!H$25,AND($C30="Electric bus",$D30="Almost empty"),$E30*'LV '!H$7,AND($C30="Electric bus",$D30="Average"),$E30*'LV '!H$8,AND($C30="Electric bus",$D30="Nearly full"),$E30*'LV '!H$9,AND($C30="Diesel bus",$D30="Almost empty"),$E30*'LV '!H$19,AND($C30="Diesel bus",$D30="Average"),$E30*'LV '!H$20,AND($C30="Diesel bus",$D30="Nearly full"),$E30*'LV '!H$21,AND($C30="Hybrid-electric bus",$D30="Almost empty"),$E30*'LV '!H$11,AND($C30="Hybrid-electric bus",$D30="Average"),$E30*'LV '!H$12,AND($C30="Hybrid-electric bus",$D30="Nearly full"),$E30*'LV '!H$13,AND($C30="Alternative fuel bus",$D30="Almost empty"),$E30*'LV '!H$15,AND($C30="Alternative fuel bus",$D30="Average"),$E30*'LV '!H$16,AND($C30="Alternative fuel bus",$D30="Nearly full"),$E30*'LV '!H$17,AND($C30="Metro, tram, urban light train",$D30="Almost empty"),$E30*'LV '!C$35,AND($C30="Metro, tram, urban light train",$D30="Average"),$E30*'LV '!C$36,AND($C30="Metro, tram, urban light train",$D30="Nearly full"),$E30*'LV '!C$37,AND($C30="Electric passenger train",$D30="Almost empty"),$E30*'LV '!C$39,AND($C30="Electric passenger train",$D30="Average"),$E30*'LV '!C$40,AND($C30="Electric passenger train",$D30="Nearly full"),$E30*'LV '!C$41,AND($C30="Diesel passenger train",$D30="Almost empty"),$E30*'LV '!C$47,AND($C30="Diesel passenger train",$D30="Average"),$E30*'LV '!C$48,AND($C30="Diesel passenger train",$D30="Nearly full"),$E30*'LV '!C$49,AND($C30="Walking"),$E30*0,AND($C30="Bike"),$E30*0,AND($C30="Plane - domestic flight"),$E30*'LV '!$C54,AND($C30="Plane - international - intra EU"),$E30*'LV '!$C56,AND($C30="Plane - international (extra EU)"),$E30*'LV '!$C58)</f>
        <v>#N/A</v>
      </c>
      <c r="G30" s="31" t="e" cm="1">
        <f t="array" ref="G30">_xlfn.IFS(AND($C30="Fuel car",$D30=1),$E30*'LV '!D$7,AND($C30="Fuel car",$D30=2),$E30*'LV '!D$8,AND($C30="Fuel car",$D30=3),$E30*'LV '!D$9,AND($C30="Fuel car",$D30=4),$E30*'LV '!D$10,AND($C30="Fuel car",$D30=5),$E30*'LV '!D$11,AND($C30="Motorcycle",$D30=1),$E30*'LV '!D$13,AND($C30="Motorcycle",$D30=2),$E30*'LV '!D$14,AND($C30="Electric car",$D30=1),$E30*'LV '!D$16,AND($C30="Electric car",$D30=2),$E30*'LV '!D$17,AND($C30="Electric car",$D30=3),$E30*'LV '!D$18,AND($C30="Electric car",$D30=4),$E30*'LV '!D$19,AND($C30="Electric car",$D30=5),$E30*'LV '!D$20,AND($C30="Hybrid car",$D30=1),$E30*'LV '!D$22,AND($C30="Hybrid car",$D30=2),$E30*'LV '!D$23,AND($C30="Hybrid car",$D30=3),$E30*'LV '!D$24,AND($C30="Hybrid car",$D30=4),$E30*'LV '!D$25,AND($C30="Hybrid car",$D30=5),$E30*'LV '!D$26,AND($C30="Electric motorcycle",$D30=1),$E30*'LV '!D$28,AND($C30="Electric motorcycle",$D30=2),$E30*'LV '!D$29,AND($C30="Electric bike",$D30=1),$E30*'LV '!D$31,AND($C30="Electric scooter",$D30=1),$E30*'LV '!D$33,AND($C30="Bus",$D30="Almost empty"),$E30*'LV '!I$23,AND($C30="Bus",$D30="Average"),$E30*'LV '!I$24,AND($C30="Bus",$D30="Nearly full"),$E30*'LV '!I$25,AND($C30="Electric bus",$D30="Almost empty"),$E30*'LV '!I$7,AND($C30="Electric bus",$D30="Average"),$E30*'LV '!I$8,AND($C30="Electric bus",$D30="Nearly full"),$E30*'LV '!I$9,AND($C30="Diesel bus",$D30="Almost empty"),$E30*'LV '!I$19,AND($C30="Diesel bus",$D30="Average"),$E30*'LV '!I$20,AND($C30="Diesel bus",$D30="Nearly full"),$E30*'LV '!I$21,AND($C30="Hybrid-electric bus",$D30="Almost empty"),$E30*'LV '!I$11,AND($C30="Hybrid-electric bus",$D30="Average"),$E30*'LV '!I$12,AND($C30="Hybrid-electric bus",$D30="Nearly full"),$E30*'LV '!I$13,AND($C30="Alternative fuel bus",$D30="Almost empty"),$E30*'LV '!I$15,AND($C30="Alternative fuel bus",$D30="Average"),$E30*'LV '!I$16,AND($C30="Alternative fuel bus",$D30="Nearly full"),$E30*'LV '!I$17,AND($C30="Metro, tram, urban light train",$D30="Almost empty"),$E30*'LV '!D$35,AND($C30="Metro, tram, urban light train",$D30="Average"),$E30*'LV '!D$36,AND($C30="Metro, tram, urban light train",$D30="Nearly full"),$E30*'LV '!D$37,AND($C30="Electric passenger train",$D30="Almost empty"),$E30*'LV '!D$39,AND($C30="Electric passenger train",$D30="Average"),$E30*'LV '!D$40,AND($C30="Electric passenger train",$D30="Nearly full"),$E30*'LV '!D$41,AND($C30="Diesel passenger train",$D30="Almost empty"),$E30*'LV '!D$47,AND($C30="Diesel passenger train",$D30="Average"),$E30*'LV '!D$48,AND($C30="Diesel passenger train",$D30="Nearly full"),$E30*'LV '!D$49,AND($C30="Walking"),$E30*0,AND($C30="Bike"),$E30*0,AND($C30="Plane - domestic flight"),$E30*'LV '!$C54,AND($C30="Plane - international - intra EU"),$E30*'LV '!$C56,AND($C30="Plane - international (extra EU)"),$E30*'LV '!$C58)</f>
        <v>#N/A</v>
      </c>
      <c r="H30" s="145"/>
      <c r="I30" s="148">
        <f t="shared" ref="I30:I43" si="6">H30/10*E30</f>
        <v>0</v>
      </c>
      <c r="J30" s="146" t="e" cm="1">
        <f t="array" ref="J30">_xlfn.IFS(C30="Fuel car",C30*DATA!$C$17,C30="Electric car",C30*DATA!$F$20,C30="Hybrid car",I30*(0.5*DATA!$C$17+0.5*DATA!$F$20))</f>
        <v>#N/A</v>
      </c>
      <c r="L30" s="215" t="s">
        <v>76</v>
      </c>
      <c r="M30" s="216"/>
      <c r="N30" s="217"/>
    </row>
    <row r="31" spans="1:17" x14ac:dyDescent="0.2">
      <c r="A31" s="222"/>
      <c r="B31" s="30"/>
      <c r="C31" s="15"/>
      <c r="D31" s="15"/>
      <c r="E31" s="125"/>
      <c r="F31" s="128" t="e" cm="1">
        <f t="array" ref="F31">_xlfn.IFS(AND($C31="Fuel car",$D31=1),$E31*'LV '!C$7,AND($C31="Fuel car",$D31=2),$E31*'LV '!C$8,AND($C31="Fuel car",$D31=3),$E31*'LV '!C$9,AND($C31="Fuel car",$D31=4),$E31*'LV '!C$10,AND($C31="Fuel car",$D31=5),$E31*'LV '!C$11,AND($C31="Motorcycle",$D31=1),$E31*'LV '!C$13,AND($C31="Motorcycle",$D31=2),$E31*'LV '!C$14,AND($C31="Electric car",$D31=1),$E31*'LV '!C$16,AND($C31="Electric car",$D31=2),$E31*'LV '!C$17,AND($C31="Electric car",$D31=3),$E31*'LV '!C$18,AND($C31="Electric car",$D31=4),$E31*'LV '!C$19,AND($C31="Electric car",$D31=5),$E31*'LV '!C$20,AND($C31="Hybrid car",$D31=1),$E31*'LV '!C$22,AND($C31="Hybrid car",$D31=2),$E31*'LV '!C$23,AND($C31="Hybrid car",$D31=3),$E31*'LV '!C$24,AND($C31="Hybrid car",$D31=4),$E31*'LV '!C$25,AND($C31="Hybrid car",$D31=5),$E31*'LV '!C$26,AND($C31="Electric motorcycle",$D31=1),$E31*'LV '!C$28,AND($C31="Electric motorcycle",$D31=2),$E31*'LV '!C$29,AND($C31="Electric bike",$D31=1),$E31*'LV '!C$31,AND($C31="Electric scooter",$D31=1),$E31*'LV '!C$33,AND($C31="Bus",$D31="Almost empty"),$E31*'LV '!H$23,AND($C31="Bus",$D31="Average"),$E31*'LV '!H$24,AND($C31="Bus",$D31="Nearly full"),$E31*'LV '!H$25,AND($C31="Electric bus",$D31="Almost empty"),$E31*'LV '!H$7,AND($C31="Electric bus",$D31="Average"),$E31*'LV '!H$8,AND($C31="Electric bus",$D31="Nearly full"),$E31*'LV '!H$9,AND($C31="Diesel bus",$D31="Almost empty"),$E31*'LV '!H$19,AND($C31="Diesel bus",$D31="Average"),$E31*'LV '!H$20,AND($C31="Diesel bus",$D31="Nearly full"),$E31*'LV '!H$21,AND($C31="Hybrid-electric bus",$D31="Almost empty"),$E31*'LV '!H$11,AND($C31="Hybrid-electric bus",$D31="Average"),$E31*'LV '!H$12,AND($C31="Hybrid-electric bus",$D31="Nearly full"),$E31*'LV '!H$13,AND($C31="Alternative fuel bus",$D31="Almost empty"),$E31*'LV '!H$15,AND($C31="Alternative fuel bus",$D31="Average"),$E31*'LV '!H$16,AND($C31="Alternative fuel bus",$D31="Nearly full"),$E31*'LV '!H$17,AND($C31="Metro, tram, urban light train",$D31="Almost empty"),$E31*'LV '!C$35,AND($C31="Metro, tram, urban light train",$D31="Average"),$E31*'LV '!C$36,AND($C31="Metro, tram, urban light train",$D31="Nearly full"),$E31*'LV '!C$37,AND($C31="Electric passenger train",$D31="Almost empty"),$E31*'LV '!C$39,AND($C31="Electric passenger train",$D31="Average"),$E31*'LV '!C$40,AND($C31="Electric passenger train",$D31="Nearly full"),$E31*'LV '!C$41,AND($C31="Diesel passenger train",$D31="Almost empty"),$E31*'LV '!C$47,AND($C31="Diesel passenger train",$D31="Average"),$E31*'LV '!C$48,AND($C31="Diesel passenger train",$D31="Nearly full"),$E31*'LV '!C$49,AND($C31="Walking"),$E31*0,AND($C31="Bike"),$E31*0,AND($C31="Plane - domestic flight"),$E31*'LV '!$C55,AND($C31="Plane - international - intra EU"),$E31*'LV '!$C57,AND($C31="Plane - international (extra EU)"),$E31*'LV '!$C59)</f>
        <v>#N/A</v>
      </c>
      <c r="G31" s="31" t="e" cm="1">
        <f t="array" ref="G31">_xlfn.IFS(AND($C31="Fuel car",$D31=1),$E31*'LV '!D$7,AND($C31="Fuel car",$D31=2),$E31*'LV '!D$8,AND($C31="Fuel car",$D31=3),$E31*'LV '!D$9,AND($C31="Fuel car",$D31=4),$E31*'LV '!D$10,AND($C31="Fuel car",$D31=5),$E31*'LV '!D$11,AND($C31="Motorcycle",$D31=1),$E31*'LV '!D$13,AND($C31="Motorcycle",$D31=2),$E31*'LV '!D$14,AND($C31="Electric car",$D31=1),$E31*'LV '!D$16,AND($C31="Electric car",$D31=2),$E31*'LV '!D$17,AND($C31="Electric car",$D31=3),$E31*'LV '!D$18,AND($C31="Electric car",$D31=4),$E31*'LV '!D$19,AND($C31="Electric car",$D31=5),$E31*'LV '!D$20,AND($C31="Hybrid car",$D31=1),$E31*'LV '!D$22,AND($C31="Hybrid car",$D31=2),$E31*'LV '!D$23,AND($C31="Hybrid car",$D31=3),$E31*'LV '!D$24,AND($C31="Hybrid car",$D31=4),$E31*'LV '!D$25,AND($C31="Hybrid car",$D31=5),$E31*'LV '!D$26,AND($C31="Electric motorcycle",$D31=1),$E31*'LV '!D$28,AND($C31="Electric motorcycle",$D31=2),$E31*'LV '!D$29,AND($C31="Electric bike",$D31=1),$E31*'LV '!D$31,AND($C31="Electric scooter",$D31=1),$E31*'LV '!D$33,AND($C31="Bus",$D31="Almost empty"),$E31*'LV '!I$23,AND($C31="Bus",$D31="Average"),$E31*'LV '!I$24,AND($C31="Bus",$D31="Nearly full"),$E31*'LV '!I$25,AND($C31="Electric bus",$D31="Almost empty"),$E31*'LV '!I$7,AND($C31="Electric bus",$D31="Average"),$E31*'LV '!I$8,AND($C31="Electric bus",$D31="Nearly full"),$E31*'LV '!I$9,AND($C31="Diesel bus",$D31="Almost empty"),$E31*'LV '!I$19,AND($C31="Diesel bus",$D31="Average"),$E31*'LV '!I$20,AND($C31="Diesel bus",$D31="Nearly full"),$E31*'LV '!I$21,AND($C31="Hybrid-electric bus",$D31="Almost empty"),$E31*'LV '!I$11,AND($C31="Hybrid-electric bus",$D31="Average"),$E31*'LV '!I$12,AND($C31="Hybrid-electric bus",$D31="Nearly full"),$E31*'LV '!I$13,AND($C31="Alternative fuel bus",$D31="Almost empty"),$E31*'LV '!I$15,AND($C31="Alternative fuel bus",$D31="Average"),$E31*'LV '!I$16,AND($C31="Alternative fuel bus",$D31="Nearly full"),$E31*'LV '!I$17,AND($C31="Metro, tram, urban light train",$D31="Almost empty"),$E31*'LV '!D$35,AND($C31="Metro, tram, urban light train",$D31="Average"),$E31*'LV '!D$36,AND($C31="Metro, tram, urban light train",$D31="Nearly full"),$E31*'LV '!D$37,AND($C31="Electric passenger train",$D31="Almost empty"),$E31*'LV '!D$39,AND($C31="Electric passenger train",$D31="Average"),$E31*'LV '!D$40,AND($C31="Electric passenger train",$D31="Nearly full"),$E31*'LV '!D$41,AND($C31="Diesel passenger train",$D31="Almost empty"),$E31*'LV '!D$47,AND($C31="Diesel passenger train",$D31="Average"),$E31*'LV '!D$48,AND($C31="Diesel passenger train",$D31="Nearly full"),$E31*'LV '!D$49,AND($C31="Walking"),$E31*0,AND($C31="Bike"),$E31*0,AND($C31="Plane - domestic flight"),$E31*'LV '!$C55,AND($C31="Plane - international - intra EU"),$E31*'LV '!$C57,AND($C31="Plane - international (extra EU)"),$E31*'LV '!$C59)</f>
        <v>#N/A</v>
      </c>
      <c r="H31" s="145"/>
      <c r="I31" s="148">
        <f t="shared" si="6"/>
        <v>0</v>
      </c>
      <c r="J31" s="146" t="e" cm="1">
        <f t="array" ref="J31">_xlfn.IFS(C31="Fuel car",C31*DATA!$C$17,C31="Electric car",C31*DATA!$F$20,C31="Hybrid car",I31*(0.5*DATA!$C$17+0.5*DATA!$F$20))</f>
        <v>#N/A</v>
      </c>
      <c r="L31" s="223"/>
      <c r="M31" s="224"/>
      <c r="N31" s="225"/>
    </row>
    <row r="32" spans="1:17" ht="16" thickBot="1" x14ac:dyDescent="0.25">
      <c r="A32" s="222"/>
      <c r="B32" s="30"/>
      <c r="C32" s="15"/>
      <c r="D32" s="15"/>
      <c r="E32" s="125"/>
      <c r="F32" s="128" t="e" cm="1">
        <f t="array" ref="F32">_xlfn.IFS(AND($C32="Fuel car",$D32=1),$E32*'LV '!C$7,AND($C32="Fuel car",$D32=2),$E32*'LV '!C$8,AND($C32="Fuel car",$D32=3),$E32*'LV '!C$9,AND($C32="Fuel car",$D32=4),$E32*'LV '!C$10,AND($C32="Fuel car",$D32=5),$E32*'LV '!C$11,AND($C32="Motorcycle",$D32=1),$E32*'LV '!C$13,AND($C32="Motorcycle",$D32=2),$E32*'LV '!C$14,AND($C32="Electric car",$D32=1),$E32*'LV '!C$16,AND($C32="Electric car",$D32=2),$E32*'LV '!C$17,AND($C32="Electric car",$D32=3),$E32*'LV '!C$18,AND($C32="Electric car",$D32=4),$E32*'LV '!C$19,AND($C32="Electric car",$D32=5),$E32*'LV '!C$20,AND($C32="Hybrid car",$D32=1),$E32*'LV '!C$22,AND($C32="Hybrid car",$D32=2),$E32*'LV '!C$23,AND($C32="Hybrid car",$D32=3),$E32*'LV '!C$24,AND($C32="Hybrid car",$D32=4),$E32*'LV '!C$25,AND($C32="Hybrid car",$D32=5),$E32*'LV '!C$26,AND($C32="Electric motorcycle",$D32=1),$E32*'LV '!C$28,AND($C32="Electric motorcycle",$D32=2),$E32*'LV '!C$29,AND($C32="Electric bike",$D32=1),$E32*'LV '!C$31,AND($C32="Electric scooter",$D32=1),$E32*'LV '!C$33,AND($C32="Bus",$D32="Almost empty"),$E32*'LV '!H$23,AND($C32="Bus",$D32="Average"),$E32*'LV '!H$24,AND($C32="Bus",$D32="Nearly full"),$E32*'LV '!H$25,AND($C32="Electric bus",$D32="Almost empty"),$E32*'LV '!H$7,AND($C32="Electric bus",$D32="Average"),$E32*'LV '!H$8,AND($C32="Electric bus",$D32="Nearly full"),$E32*'LV '!H$9,AND($C32="Diesel bus",$D32="Almost empty"),$E32*'LV '!H$19,AND($C32="Diesel bus",$D32="Average"),$E32*'LV '!H$20,AND($C32="Diesel bus",$D32="Nearly full"),$E32*'LV '!H$21,AND($C32="Hybrid-electric bus",$D32="Almost empty"),$E32*'LV '!H$11,AND($C32="Hybrid-electric bus",$D32="Average"),$E32*'LV '!H$12,AND($C32="Hybrid-electric bus",$D32="Nearly full"),$E32*'LV '!H$13,AND($C32="Alternative fuel bus",$D32="Almost empty"),$E32*'LV '!H$15,AND($C32="Alternative fuel bus",$D32="Average"),$E32*'LV '!H$16,AND($C32="Alternative fuel bus",$D32="Nearly full"),$E32*'LV '!H$17,AND($C32="Metro, tram, urban light train",$D32="Almost empty"),$E32*'LV '!C$35,AND($C32="Metro, tram, urban light train",$D32="Average"),$E32*'LV '!C$36,AND($C32="Metro, tram, urban light train",$D32="Nearly full"),$E32*'LV '!C$37,AND($C32="Electric passenger train",$D32="Almost empty"),$E32*'LV '!C$39,AND($C32="Electric passenger train",$D32="Average"),$E32*'LV '!C$40,AND($C32="Electric passenger train",$D32="Nearly full"),$E32*'LV '!C$41,AND($C32="Diesel passenger train",$D32="Almost empty"),$E32*'LV '!C$47,AND($C32="Diesel passenger train",$D32="Average"),$E32*'LV '!C$48,AND($C32="Diesel passenger train",$D32="Nearly full"),$E32*'LV '!C$49,AND($C32="Walking"),$E32*0,AND($C32="Bike"),$E32*0,AND($C32="Plane - domestic flight"),$E32*'LV '!$C56,AND($C32="Plane - international - intra EU"),$E32*'LV '!$C58,AND($C32="Plane - international (extra EU)"),$E32*'LV '!$C60)</f>
        <v>#N/A</v>
      </c>
      <c r="G32" s="31" t="e" cm="1">
        <f t="array" ref="G32">_xlfn.IFS(AND($C32="Fuel car",$D32=1),$E32*'LV '!D$7,AND($C32="Fuel car",$D32=2),$E32*'LV '!D$8,AND($C32="Fuel car",$D32=3),$E32*'LV '!D$9,AND($C32="Fuel car",$D32=4),$E32*'LV '!D$10,AND($C32="Fuel car",$D32=5),$E32*'LV '!D$11,AND($C32="Motorcycle",$D32=1),$E32*'LV '!D$13,AND($C32="Motorcycle",$D32=2),$E32*'LV '!D$14,AND($C32="Electric car",$D32=1),$E32*'LV '!D$16,AND($C32="Electric car",$D32=2),$E32*'LV '!D$17,AND($C32="Electric car",$D32=3),$E32*'LV '!D$18,AND($C32="Electric car",$D32=4),$E32*'LV '!D$19,AND($C32="Electric car",$D32=5),$E32*'LV '!D$20,AND($C32="Hybrid car",$D32=1),$E32*'LV '!D$22,AND($C32="Hybrid car",$D32=2),$E32*'LV '!D$23,AND($C32="Hybrid car",$D32=3),$E32*'LV '!D$24,AND($C32="Hybrid car",$D32=4),$E32*'LV '!D$25,AND($C32="Hybrid car",$D32=5),$E32*'LV '!D$26,AND($C32="Electric motorcycle",$D32=1),$E32*'LV '!D$28,AND($C32="Electric motorcycle",$D32=2),$E32*'LV '!D$29,AND($C32="Electric bike",$D32=1),$E32*'LV '!D$31,AND($C32="Electric scooter",$D32=1),$E32*'LV '!D$33,AND($C32="Bus",$D32="Almost empty"),$E32*'LV '!I$23,AND($C32="Bus",$D32="Average"),$E32*'LV '!I$24,AND($C32="Bus",$D32="Nearly full"),$E32*'LV '!I$25,AND($C32="Electric bus",$D32="Almost empty"),$E32*'LV '!I$7,AND($C32="Electric bus",$D32="Average"),$E32*'LV '!I$8,AND($C32="Electric bus",$D32="Nearly full"),$E32*'LV '!I$9,AND($C32="Diesel bus",$D32="Almost empty"),$E32*'LV '!I$19,AND($C32="Diesel bus",$D32="Average"),$E32*'LV '!I$20,AND($C32="Diesel bus",$D32="Nearly full"),$E32*'LV '!I$21,AND($C32="Hybrid-electric bus",$D32="Almost empty"),$E32*'LV '!I$11,AND($C32="Hybrid-electric bus",$D32="Average"),$E32*'LV '!I$12,AND($C32="Hybrid-electric bus",$D32="Nearly full"),$E32*'LV '!I$13,AND($C32="Alternative fuel bus",$D32="Almost empty"),$E32*'LV '!I$15,AND($C32="Alternative fuel bus",$D32="Average"),$E32*'LV '!I$16,AND($C32="Alternative fuel bus",$D32="Nearly full"),$E32*'LV '!I$17,AND($C32="Metro, tram, urban light train",$D32="Almost empty"),$E32*'LV '!D$35,AND($C32="Metro, tram, urban light train",$D32="Average"),$E32*'LV '!D$36,AND($C32="Metro, tram, urban light train",$D32="Nearly full"),$E32*'LV '!D$37,AND($C32="Electric passenger train",$D32="Almost empty"),$E32*'LV '!D$39,AND($C32="Electric passenger train",$D32="Average"),$E32*'LV '!D$40,AND($C32="Electric passenger train",$D32="Nearly full"),$E32*'LV '!D$41,AND($C32="Diesel passenger train",$D32="Almost empty"),$E32*'LV '!D$47,AND($C32="Diesel passenger train",$D32="Average"),$E32*'LV '!D$48,AND($C32="Diesel passenger train",$D32="Nearly full"),$E32*'LV '!D$49,AND($C32="Walking"),$E32*0,AND($C32="Bike"),$E32*0,AND($C32="Plane - domestic flight"),$E32*'LV '!$C56,AND($C32="Plane - international - intra EU"),$E32*'LV '!$C58,AND($C32="Plane - international (extra EU)"),$E32*'LV '!$C60)</f>
        <v>#N/A</v>
      </c>
      <c r="H32" s="145"/>
      <c r="I32" s="148">
        <f t="shared" si="6"/>
        <v>0</v>
      </c>
      <c r="J32" s="146" t="e" cm="1">
        <f t="array" ref="J32">_xlfn.IFS(C32="Fuel car",C32*DATA!$C$17,C32="Electric car",C32*DATA!$F$20,C32="Hybrid car",I32*(0.5*DATA!$C$17+0.5*DATA!$F$20))</f>
        <v>#N/A</v>
      </c>
      <c r="L32" s="218"/>
      <c r="M32" s="219"/>
      <c r="N32" s="220"/>
    </row>
    <row r="33" spans="1:14" ht="14.5" customHeight="1" x14ac:dyDescent="0.2">
      <c r="A33" s="222"/>
      <c r="B33" s="30"/>
      <c r="C33" s="15"/>
      <c r="D33" s="15"/>
      <c r="E33" s="125"/>
      <c r="F33" s="128" t="e" cm="1">
        <f t="array" ref="F33">_xlfn.IFS(AND($C33="Fuel car",$D33=1),$E33*'LV '!C$7,AND($C33="Fuel car",$D33=2),$E33*'LV '!C$8,AND($C33="Fuel car",$D33=3),$E33*'LV '!C$9,AND($C33="Fuel car",$D33=4),$E33*'LV '!C$10,AND($C33="Fuel car",$D33=5),$E33*'LV '!C$11,AND($C33="Motorcycle",$D33=1),$E33*'LV '!C$13,AND($C33="Motorcycle",$D33=2),$E33*'LV '!C$14,AND($C33="Electric car",$D33=1),$E33*'LV '!C$16,AND($C33="Electric car",$D33=2),$E33*'LV '!C$17,AND($C33="Electric car",$D33=3),$E33*'LV '!C$18,AND($C33="Electric car",$D33=4),$E33*'LV '!C$19,AND($C33="Electric car",$D33=5),$E33*'LV '!C$20,AND($C33="Hybrid car",$D33=1),$E33*'LV '!C$22,AND($C33="Hybrid car",$D33=2),$E33*'LV '!C$23,AND($C33="Hybrid car",$D33=3),$E33*'LV '!C$24,AND($C33="Hybrid car",$D33=4),$E33*'LV '!C$25,AND($C33="Hybrid car",$D33=5),$E33*'LV '!C$26,AND($C33="Electric motorcycle",$D33=1),$E33*'LV '!C$28,AND($C33="Electric motorcycle",$D33=2),$E33*'LV '!C$29,AND($C33="Electric bike",$D33=1),$E33*'LV '!C$31,AND($C33="Electric scooter",$D33=1),$E33*'LV '!C$33,AND($C33="Bus",$D33="Almost empty"),$E33*'LV '!H$23,AND($C33="Bus",$D33="Average"),$E33*'LV '!H$24,AND($C33="Bus",$D33="Nearly full"),$E33*'LV '!H$25,AND($C33="Electric bus",$D33="Almost empty"),$E33*'LV '!H$7,AND($C33="Electric bus",$D33="Average"),$E33*'LV '!H$8,AND($C33="Electric bus",$D33="Nearly full"),$E33*'LV '!H$9,AND($C33="Diesel bus",$D33="Almost empty"),$E33*'LV '!H$19,AND($C33="Diesel bus",$D33="Average"),$E33*'LV '!H$20,AND($C33="Diesel bus",$D33="Nearly full"),$E33*'LV '!H$21,AND($C33="Hybrid-electric bus",$D33="Almost empty"),$E33*'LV '!H$11,AND($C33="Hybrid-electric bus",$D33="Average"),$E33*'LV '!H$12,AND($C33="Hybrid-electric bus",$D33="Nearly full"),$E33*'LV '!H$13,AND($C33="Alternative fuel bus",$D33="Almost empty"),$E33*'LV '!H$15,AND($C33="Alternative fuel bus",$D33="Average"),$E33*'LV '!H$16,AND($C33="Alternative fuel bus",$D33="Nearly full"),$E33*'LV '!H$17,AND($C33="Metro, tram, urban light train",$D33="Almost empty"),$E33*'LV '!C$35,AND($C33="Metro, tram, urban light train",$D33="Average"),$E33*'LV '!C$36,AND($C33="Metro, tram, urban light train",$D33="Nearly full"),$E33*'LV '!C$37,AND($C33="Electric passenger train",$D33="Almost empty"),$E33*'LV '!C$39,AND($C33="Electric passenger train",$D33="Average"),$E33*'LV '!C$40,AND($C33="Electric passenger train",$D33="Nearly full"),$E33*'LV '!C$41,AND($C33="Diesel passenger train",$D33="Almost empty"),$E33*'LV '!C$47,AND($C33="Diesel passenger train",$D33="Average"),$E33*'LV '!C$48,AND($C33="Diesel passenger train",$D33="Nearly full"),$E33*'LV '!C$49,AND($C33="Walking"),$E33*0,AND($C33="Bike"),$E33*0,AND($C33="Plane - domestic flight"),$E33*'LV '!$C57,AND($C33="Plane - international - intra EU"),$E33*'LV '!$C59,AND($C33="Plane - international (extra EU)"),$E33*'LV '!$C61)</f>
        <v>#N/A</v>
      </c>
      <c r="G33" s="31" t="e" cm="1">
        <f t="array" ref="G33">_xlfn.IFS(AND($C33="Fuel car",$D33=1),$E33*'LV '!D$7,AND($C33="Fuel car",$D33=2),$E33*'LV '!D$8,AND($C33="Fuel car",$D33=3),$E33*'LV '!D$9,AND($C33="Fuel car",$D33=4),$E33*'LV '!D$10,AND($C33="Fuel car",$D33=5),$E33*'LV '!D$11,AND($C33="Motorcycle",$D33=1),$E33*'LV '!D$13,AND($C33="Motorcycle",$D33=2),$E33*'LV '!D$14,AND($C33="Electric car",$D33=1),$E33*'LV '!D$16,AND($C33="Electric car",$D33=2),$E33*'LV '!D$17,AND($C33="Electric car",$D33=3),$E33*'LV '!D$18,AND($C33="Electric car",$D33=4),$E33*'LV '!D$19,AND($C33="Electric car",$D33=5),$E33*'LV '!D$20,AND($C33="Hybrid car",$D33=1),$E33*'LV '!D$22,AND($C33="Hybrid car",$D33=2),$E33*'LV '!D$23,AND($C33="Hybrid car",$D33=3),$E33*'LV '!D$24,AND($C33="Hybrid car",$D33=4),$E33*'LV '!D$25,AND($C33="Hybrid car",$D33=5),$E33*'LV '!D$26,AND($C33="Electric motorcycle",$D33=1),$E33*'LV '!D$28,AND($C33="Electric motorcycle",$D33=2),$E33*'LV '!D$29,AND($C33="Electric bike",$D33=1),$E33*'LV '!D$31,AND($C33="Electric scooter",$D33=1),$E33*'LV '!D$33,AND($C33="Bus",$D33="Almost empty"),$E33*'LV '!I$23,AND($C33="Bus",$D33="Average"),$E33*'LV '!I$24,AND($C33="Bus",$D33="Nearly full"),$E33*'LV '!I$25,AND($C33="Electric bus",$D33="Almost empty"),$E33*'LV '!I$7,AND($C33="Electric bus",$D33="Average"),$E33*'LV '!I$8,AND($C33="Electric bus",$D33="Nearly full"),$E33*'LV '!I$9,AND($C33="Diesel bus",$D33="Almost empty"),$E33*'LV '!I$19,AND($C33="Diesel bus",$D33="Average"),$E33*'LV '!I$20,AND($C33="Diesel bus",$D33="Nearly full"),$E33*'LV '!I$21,AND($C33="Hybrid-electric bus",$D33="Almost empty"),$E33*'LV '!I$11,AND($C33="Hybrid-electric bus",$D33="Average"),$E33*'LV '!I$12,AND($C33="Hybrid-electric bus",$D33="Nearly full"),$E33*'LV '!I$13,AND($C33="Alternative fuel bus",$D33="Almost empty"),$E33*'LV '!I$15,AND($C33="Alternative fuel bus",$D33="Average"),$E33*'LV '!I$16,AND($C33="Alternative fuel bus",$D33="Nearly full"),$E33*'LV '!I$17,AND($C33="Metro, tram, urban light train",$D33="Almost empty"),$E33*'LV '!D$35,AND($C33="Metro, tram, urban light train",$D33="Average"),$E33*'LV '!D$36,AND($C33="Metro, tram, urban light train",$D33="Nearly full"),$E33*'LV '!D$37,AND($C33="Electric passenger train",$D33="Almost empty"),$E33*'LV '!D$39,AND($C33="Electric passenger train",$D33="Average"),$E33*'LV '!D$40,AND($C33="Electric passenger train",$D33="Nearly full"),$E33*'LV '!D$41,AND($C33="Diesel passenger train",$D33="Almost empty"),$E33*'LV '!D$47,AND($C33="Diesel passenger train",$D33="Average"),$E33*'LV '!D$48,AND($C33="Diesel passenger train",$D33="Nearly full"),$E33*'LV '!D$49,AND($C33="Walking"),$E33*0,AND($C33="Bike"),$E33*0,AND($C33="Plane - domestic flight"),$E33*'LV '!$C57,AND($C33="Plane - international - intra EU"),$E33*'LV '!$C59,AND($C33="Plane - international (extra EU)"),$E33*'LV '!$C61)</f>
        <v>#N/A</v>
      </c>
      <c r="H33" s="145"/>
      <c r="I33" s="148">
        <f t="shared" si="6"/>
        <v>0</v>
      </c>
      <c r="J33" s="146" t="e" cm="1">
        <f t="array" ref="J33">_xlfn.IFS(C33="Fuel car",C33*DATA!$C$17,C33="Electric car",C33*DATA!$F$20,C33="Hybrid car",I33*(0.5*DATA!$C$17+0.5*DATA!$F$20))</f>
        <v>#N/A</v>
      </c>
      <c r="L33" s="223" t="s">
        <v>78</v>
      </c>
      <c r="M33" s="224"/>
      <c r="N33" s="225"/>
    </row>
    <row r="34" spans="1:14" x14ac:dyDescent="0.2">
      <c r="A34" s="222"/>
      <c r="B34" s="30"/>
      <c r="C34" s="15"/>
      <c r="D34" s="15"/>
      <c r="E34" s="125"/>
      <c r="F34" s="128" t="e" cm="1">
        <f t="array" ref="F34">_xlfn.IFS(AND($C34="Fuel car",$D34=1),$E34*'LV '!C$7,AND($C34="Fuel car",$D34=2),$E34*'LV '!C$8,AND($C34="Fuel car",$D34=3),$E34*'LV '!C$9,AND($C34="Fuel car",$D34=4),$E34*'LV '!C$10,AND($C34="Fuel car",$D34=5),$E34*'LV '!C$11,AND($C34="Motorcycle",$D34=1),$E34*'LV '!C$13,AND($C34="Motorcycle",$D34=2),$E34*'LV '!C$14,AND($C34="Electric car",$D34=1),$E34*'LV '!C$16,AND($C34="Electric car",$D34=2),$E34*'LV '!C$17,AND($C34="Electric car",$D34=3),$E34*'LV '!C$18,AND($C34="Electric car",$D34=4),$E34*'LV '!C$19,AND($C34="Electric car",$D34=5),$E34*'LV '!C$20,AND($C34="Hybrid car",$D34=1),$E34*'LV '!C$22,AND($C34="Hybrid car",$D34=2),$E34*'LV '!C$23,AND($C34="Hybrid car",$D34=3),$E34*'LV '!C$24,AND($C34="Hybrid car",$D34=4),$E34*'LV '!C$25,AND($C34="Hybrid car",$D34=5),$E34*'LV '!C$26,AND($C34="Electric motorcycle",$D34=1),$E34*'LV '!C$28,AND($C34="Electric motorcycle",$D34=2),$E34*'LV '!C$29,AND($C34="Electric bike",$D34=1),$E34*'LV '!C$31,AND($C34="Electric scooter",$D34=1),$E34*'LV '!C$33,AND($C34="Bus",$D34="Almost empty"),$E34*'LV '!H$23,AND($C34="Bus",$D34="Average"),$E34*'LV '!H$24,AND($C34="Bus",$D34="Nearly full"),$E34*'LV '!H$25,AND($C34="Electric bus",$D34="Almost empty"),$E34*'LV '!H$7,AND($C34="Electric bus",$D34="Average"),$E34*'LV '!H$8,AND($C34="Electric bus",$D34="Nearly full"),$E34*'LV '!H$9,AND($C34="Diesel bus",$D34="Almost empty"),$E34*'LV '!H$19,AND($C34="Diesel bus",$D34="Average"),$E34*'LV '!H$20,AND($C34="Diesel bus",$D34="Nearly full"),$E34*'LV '!H$21,AND($C34="Hybrid-electric bus",$D34="Almost empty"),$E34*'LV '!H$11,AND($C34="Hybrid-electric bus",$D34="Average"),$E34*'LV '!H$12,AND($C34="Hybrid-electric bus",$D34="Nearly full"),$E34*'LV '!H$13,AND($C34="Alternative fuel bus",$D34="Almost empty"),$E34*'LV '!H$15,AND($C34="Alternative fuel bus",$D34="Average"),$E34*'LV '!H$16,AND($C34="Alternative fuel bus",$D34="Nearly full"),$E34*'LV '!H$17,AND($C34="Metro, tram, urban light train",$D34="Almost empty"),$E34*'LV '!C$35,AND($C34="Metro, tram, urban light train",$D34="Average"),$E34*'LV '!C$36,AND($C34="Metro, tram, urban light train",$D34="Nearly full"),$E34*'LV '!C$37,AND($C34="Electric passenger train",$D34="Almost empty"),$E34*'LV '!C$39,AND($C34="Electric passenger train",$D34="Average"),$E34*'LV '!C$40,AND($C34="Electric passenger train",$D34="Nearly full"),$E34*'LV '!C$41,AND($C34="Diesel passenger train",$D34="Almost empty"),$E34*'LV '!C$47,AND($C34="Diesel passenger train",$D34="Average"),$E34*'LV '!C$48,AND($C34="Diesel passenger train",$D34="Nearly full"),$E34*'LV '!C$49,AND($C34="Walking"),$E34*0,AND($C34="Bike"),$E34*0,AND($C34="Plane - domestic flight"),$E34*'LV '!$C58,AND($C34="Plane - international - intra EU"),$E34*'LV '!$C60,AND($C34="Plane - international (extra EU)"),$E34*'LV '!$C62)</f>
        <v>#N/A</v>
      </c>
      <c r="G34" s="31" t="e" cm="1">
        <f t="array" ref="G34">_xlfn.IFS(AND($C34="Fuel car",$D34=1),$E34*'LV '!D$7,AND($C34="Fuel car",$D34=2),$E34*'LV '!D$8,AND($C34="Fuel car",$D34=3),$E34*'LV '!D$9,AND($C34="Fuel car",$D34=4),$E34*'LV '!D$10,AND($C34="Fuel car",$D34=5),$E34*'LV '!D$11,AND($C34="Motorcycle",$D34=1),$E34*'LV '!D$13,AND($C34="Motorcycle",$D34=2),$E34*'LV '!D$14,AND($C34="Electric car",$D34=1),$E34*'LV '!D$16,AND($C34="Electric car",$D34=2),$E34*'LV '!D$17,AND($C34="Electric car",$D34=3),$E34*'LV '!D$18,AND($C34="Electric car",$D34=4),$E34*'LV '!D$19,AND($C34="Electric car",$D34=5),$E34*'LV '!D$20,AND($C34="Hybrid car",$D34=1),$E34*'LV '!D$22,AND($C34="Hybrid car",$D34=2),$E34*'LV '!D$23,AND($C34="Hybrid car",$D34=3),$E34*'LV '!D$24,AND($C34="Hybrid car",$D34=4),$E34*'LV '!D$25,AND($C34="Hybrid car",$D34=5),$E34*'LV '!D$26,AND($C34="Electric motorcycle",$D34=1),$E34*'LV '!D$28,AND($C34="Electric motorcycle",$D34=2),$E34*'LV '!D$29,AND($C34="Electric bike",$D34=1),$E34*'LV '!D$31,AND($C34="Electric scooter",$D34=1),$E34*'LV '!D$33,AND($C34="Bus",$D34="Almost empty"),$E34*'LV '!I$23,AND($C34="Bus",$D34="Average"),$E34*'LV '!I$24,AND($C34="Bus",$D34="Nearly full"),$E34*'LV '!I$25,AND($C34="Electric bus",$D34="Almost empty"),$E34*'LV '!I$7,AND($C34="Electric bus",$D34="Average"),$E34*'LV '!I$8,AND($C34="Electric bus",$D34="Nearly full"),$E34*'LV '!I$9,AND($C34="Diesel bus",$D34="Almost empty"),$E34*'LV '!I$19,AND($C34="Diesel bus",$D34="Average"),$E34*'LV '!I$20,AND($C34="Diesel bus",$D34="Nearly full"),$E34*'LV '!I$21,AND($C34="Hybrid-electric bus",$D34="Almost empty"),$E34*'LV '!I$11,AND($C34="Hybrid-electric bus",$D34="Average"),$E34*'LV '!I$12,AND($C34="Hybrid-electric bus",$D34="Nearly full"),$E34*'LV '!I$13,AND($C34="Alternative fuel bus",$D34="Almost empty"),$E34*'LV '!I$15,AND($C34="Alternative fuel bus",$D34="Average"),$E34*'LV '!I$16,AND($C34="Alternative fuel bus",$D34="Nearly full"),$E34*'LV '!I$17,AND($C34="Metro, tram, urban light train",$D34="Almost empty"),$E34*'LV '!D$35,AND($C34="Metro, tram, urban light train",$D34="Average"),$E34*'LV '!D$36,AND($C34="Metro, tram, urban light train",$D34="Nearly full"),$E34*'LV '!D$37,AND($C34="Electric passenger train",$D34="Almost empty"),$E34*'LV '!D$39,AND($C34="Electric passenger train",$D34="Average"),$E34*'LV '!D$40,AND($C34="Electric passenger train",$D34="Nearly full"),$E34*'LV '!D$41,AND($C34="Diesel passenger train",$D34="Almost empty"),$E34*'LV '!D$47,AND($C34="Diesel passenger train",$D34="Average"),$E34*'LV '!D$48,AND($C34="Diesel passenger train",$D34="Nearly full"),$E34*'LV '!D$49,AND($C34="Walking"),$E34*0,AND($C34="Bike"),$E34*0,AND($C34="Plane - domestic flight"),$E34*'LV '!$C58,AND($C34="Plane - international - intra EU"),$E34*'LV '!$C60,AND($C34="Plane - international (extra EU)"),$E34*'LV '!$C62)</f>
        <v>#N/A</v>
      </c>
      <c r="H34" s="145"/>
      <c r="I34" s="148">
        <f t="shared" si="6"/>
        <v>0</v>
      </c>
      <c r="J34" s="146" t="e" cm="1">
        <f t="array" ref="J34">_xlfn.IFS(C34="Fuel car",C34*DATA!$C$17,C34="Electric car",C34*DATA!$F$20,C34="Hybrid car",I34*(0.5*DATA!$C$17+0.5*DATA!$F$20))</f>
        <v>#N/A</v>
      </c>
      <c r="L34" s="223"/>
      <c r="M34" s="224"/>
      <c r="N34" s="225"/>
    </row>
    <row r="35" spans="1:14" ht="14.5" customHeight="1" x14ac:dyDescent="0.2">
      <c r="A35" s="222"/>
      <c r="B35" s="30"/>
      <c r="C35" s="15"/>
      <c r="D35" s="15"/>
      <c r="E35" s="125"/>
      <c r="F35" s="128" t="e" cm="1">
        <f t="array" ref="F35">_xlfn.IFS(AND($C35="Fuel car",$D35=1),$E35*'LV '!C$7,AND($C35="Fuel car",$D35=2),$E35*'LV '!C$8,AND($C35="Fuel car",$D35=3),$E35*'LV '!C$9,AND($C35="Fuel car",$D35=4),$E35*'LV '!C$10,AND($C35="Fuel car",$D35=5),$E35*'LV '!C$11,AND($C35="Motorcycle",$D35=1),$E35*'LV '!C$13,AND($C35="Motorcycle",$D35=2),$E35*'LV '!C$14,AND($C35="Electric car",$D35=1),$E35*'LV '!C$16,AND($C35="Electric car",$D35=2),$E35*'LV '!C$17,AND($C35="Electric car",$D35=3),$E35*'LV '!C$18,AND($C35="Electric car",$D35=4),$E35*'LV '!C$19,AND($C35="Electric car",$D35=5),$E35*'LV '!C$20,AND($C35="Hybrid car",$D35=1),$E35*'LV '!C$22,AND($C35="Hybrid car",$D35=2),$E35*'LV '!C$23,AND($C35="Hybrid car",$D35=3),$E35*'LV '!C$24,AND($C35="Hybrid car",$D35=4),$E35*'LV '!C$25,AND($C35="Hybrid car",$D35=5),$E35*'LV '!C$26,AND($C35="Electric motorcycle",$D35=1),$E35*'LV '!C$28,AND($C35="Electric motorcycle",$D35=2),$E35*'LV '!C$29,AND($C35="Electric bike",$D35=1),$E35*'LV '!C$31,AND($C35="Electric scooter",$D35=1),$E35*'LV '!C$33,AND($C35="Bus",$D35="Almost empty"),$E35*'LV '!H$23,AND($C35="Bus",$D35="Average"),$E35*'LV '!H$24,AND($C35="Bus",$D35="Nearly full"),$E35*'LV '!H$25,AND($C35="Electric bus",$D35="Almost empty"),$E35*'LV '!H$7,AND($C35="Electric bus",$D35="Average"),$E35*'LV '!H$8,AND($C35="Electric bus",$D35="Nearly full"),$E35*'LV '!H$9,AND($C35="Diesel bus",$D35="Almost empty"),$E35*'LV '!H$19,AND($C35="Diesel bus",$D35="Average"),$E35*'LV '!H$20,AND($C35="Diesel bus",$D35="Nearly full"),$E35*'LV '!H$21,AND($C35="Hybrid-electric bus",$D35="Almost empty"),$E35*'LV '!H$11,AND($C35="Hybrid-electric bus",$D35="Average"),$E35*'LV '!H$12,AND($C35="Hybrid-electric bus",$D35="Nearly full"),$E35*'LV '!H$13,AND($C35="Alternative fuel bus",$D35="Almost empty"),$E35*'LV '!H$15,AND($C35="Alternative fuel bus",$D35="Average"),$E35*'LV '!H$16,AND($C35="Alternative fuel bus",$D35="Nearly full"),$E35*'LV '!H$17,AND($C35="Metro, tram, urban light train",$D35="Almost empty"),$E35*'LV '!C$35,AND($C35="Metro, tram, urban light train",$D35="Average"),$E35*'LV '!C$36,AND($C35="Metro, tram, urban light train",$D35="Nearly full"),$E35*'LV '!C$37,AND($C35="Electric passenger train",$D35="Almost empty"),$E35*'LV '!C$39,AND($C35="Electric passenger train",$D35="Average"),$E35*'LV '!C$40,AND($C35="Electric passenger train",$D35="Nearly full"),$E35*'LV '!C$41,AND($C35="Diesel passenger train",$D35="Almost empty"),$E35*'LV '!C$47,AND($C35="Diesel passenger train",$D35="Average"),$E35*'LV '!C$48,AND($C35="Diesel passenger train",$D35="Nearly full"),$E35*'LV '!C$49,AND($C35="Walking"),$E35*0,AND($C35="Bike"),$E35*0,AND($C35="Plane - domestic flight"),$E35*'LV '!$C59,AND($C35="Plane - international - intra EU"),$E35*'LV '!$C61,AND($C35="Plane - international (extra EU)"),$E35*'LV '!$C63)</f>
        <v>#N/A</v>
      </c>
      <c r="G35" s="31" t="e" cm="1">
        <f t="array" ref="G35">_xlfn.IFS(AND($C35="Fuel car",$D35=1),$E35*'LV '!D$7,AND($C35="Fuel car",$D35=2),$E35*'LV '!D$8,AND($C35="Fuel car",$D35=3),$E35*'LV '!D$9,AND($C35="Fuel car",$D35=4),$E35*'LV '!D$10,AND($C35="Fuel car",$D35=5),$E35*'LV '!D$11,AND($C35="Motorcycle",$D35=1),$E35*'LV '!D$13,AND($C35="Motorcycle",$D35=2),$E35*'LV '!D$14,AND($C35="Electric car",$D35=1),$E35*'LV '!D$16,AND($C35="Electric car",$D35=2),$E35*'LV '!D$17,AND($C35="Electric car",$D35=3),$E35*'LV '!D$18,AND($C35="Electric car",$D35=4),$E35*'LV '!D$19,AND($C35="Electric car",$D35=5),$E35*'LV '!D$20,AND($C35="Hybrid car",$D35=1),$E35*'LV '!D$22,AND($C35="Hybrid car",$D35=2),$E35*'LV '!D$23,AND($C35="Hybrid car",$D35=3),$E35*'LV '!D$24,AND($C35="Hybrid car",$D35=4),$E35*'LV '!D$25,AND($C35="Hybrid car",$D35=5),$E35*'LV '!D$26,AND($C35="Electric motorcycle",$D35=1),$E35*'LV '!D$28,AND($C35="Electric motorcycle",$D35=2),$E35*'LV '!D$29,AND($C35="Electric bike",$D35=1),$E35*'LV '!D$31,AND($C35="Electric scooter",$D35=1),$E35*'LV '!D$33,AND($C35="Bus",$D35="Almost empty"),$E35*'LV '!I$23,AND($C35="Bus",$D35="Average"),$E35*'LV '!I$24,AND($C35="Bus",$D35="Nearly full"),$E35*'LV '!I$25,AND($C35="Electric bus",$D35="Almost empty"),$E35*'LV '!I$7,AND($C35="Electric bus",$D35="Average"),$E35*'LV '!I$8,AND($C35="Electric bus",$D35="Nearly full"),$E35*'LV '!I$9,AND($C35="Diesel bus",$D35="Almost empty"),$E35*'LV '!I$19,AND($C35="Diesel bus",$D35="Average"),$E35*'LV '!I$20,AND($C35="Diesel bus",$D35="Nearly full"),$E35*'LV '!I$21,AND($C35="Hybrid-electric bus",$D35="Almost empty"),$E35*'LV '!I$11,AND($C35="Hybrid-electric bus",$D35="Average"),$E35*'LV '!I$12,AND($C35="Hybrid-electric bus",$D35="Nearly full"),$E35*'LV '!I$13,AND($C35="Alternative fuel bus",$D35="Almost empty"),$E35*'LV '!I$15,AND($C35="Alternative fuel bus",$D35="Average"),$E35*'LV '!I$16,AND($C35="Alternative fuel bus",$D35="Nearly full"),$E35*'LV '!I$17,AND($C35="Metro, tram, urban light train",$D35="Almost empty"),$E35*'LV '!D$35,AND($C35="Metro, tram, urban light train",$D35="Average"),$E35*'LV '!D$36,AND($C35="Metro, tram, urban light train",$D35="Nearly full"),$E35*'LV '!D$37,AND($C35="Electric passenger train",$D35="Almost empty"),$E35*'LV '!D$39,AND($C35="Electric passenger train",$D35="Average"),$E35*'LV '!D$40,AND($C35="Electric passenger train",$D35="Nearly full"),$E35*'LV '!D$41,AND($C35="Diesel passenger train",$D35="Almost empty"),$E35*'LV '!D$47,AND($C35="Diesel passenger train",$D35="Average"),$E35*'LV '!D$48,AND($C35="Diesel passenger train",$D35="Nearly full"),$E35*'LV '!D$49,AND($C35="Walking"),$E35*0,AND($C35="Bike"),$E35*0,AND($C35="Plane - domestic flight"),$E35*'LV '!$C59,AND($C35="Plane - international - intra EU"),$E35*'LV '!$C61,AND($C35="Plane - international (extra EU)"),$E35*'LV '!$C63)</f>
        <v>#N/A</v>
      </c>
      <c r="H35" s="145"/>
      <c r="I35" s="148">
        <f t="shared" si="6"/>
        <v>0</v>
      </c>
      <c r="J35" s="146" t="e" cm="1">
        <f t="array" ref="J35">_xlfn.IFS(C35="Fuel car",C35*DATA!$C$17,C35="Electric car",C35*DATA!$F$20,C35="Hybrid car",I35*(0.5*DATA!$C$17+0.5*DATA!$F$20))</f>
        <v>#N/A</v>
      </c>
      <c r="L35" s="223"/>
      <c r="M35" s="224"/>
      <c r="N35" s="225"/>
    </row>
    <row r="36" spans="1:14" ht="16" thickBot="1" x14ac:dyDescent="0.25">
      <c r="A36" s="222"/>
      <c r="B36" s="30"/>
      <c r="C36" s="15"/>
      <c r="D36" s="15"/>
      <c r="E36" s="125"/>
      <c r="F36" s="128" t="e" cm="1">
        <f t="array" ref="F36">_xlfn.IFS(AND($C36="Fuel car",$D36=1),$E36*'LV '!C$7,AND($C36="Fuel car",$D36=2),$E36*'LV '!C$8,AND($C36="Fuel car",$D36=3),$E36*'LV '!C$9,AND($C36="Fuel car",$D36=4),$E36*'LV '!C$10,AND($C36="Fuel car",$D36=5),$E36*'LV '!C$11,AND($C36="Motorcycle",$D36=1),$E36*'LV '!C$13,AND($C36="Motorcycle",$D36=2),$E36*'LV '!C$14,AND($C36="Electric car",$D36=1),$E36*'LV '!C$16,AND($C36="Electric car",$D36=2),$E36*'LV '!C$17,AND($C36="Electric car",$D36=3),$E36*'LV '!C$18,AND($C36="Electric car",$D36=4),$E36*'LV '!C$19,AND($C36="Electric car",$D36=5),$E36*'LV '!C$20,AND($C36="Hybrid car",$D36=1),$E36*'LV '!C$22,AND($C36="Hybrid car",$D36=2),$E36*'LV '!C$23,AND($C36="Hybrid car",$D36=3),$E36*'LV '!C$24,AND($C36="Hybrid car",$D36=4),$E36*'LV '!C$25,AND($C36="Hybrid car",$D36=5),$E36*'LV '!C$26,AND($C36="Electric motorcycle",$D36=1),$E36*'LV '!C$28,AND($C36="Electric motorcycle",$D36=2),$E36*'LV '!C$29,AND($C36="Electric bike",$D36=1),$E36*'LV '!C$31,AND($C36="Electric scooter",$D36=1),$E36*'LV '!C$33,AND($C36="Bus",$D36="Almost empty"),$E36*'LV '!H$23,AND($C36="Bus",$D36="Average"),$E36*'LV '!H$24,AND($C36="Bus",$D36="Nearly full"),$E36*'LV '!H$25,AND($C36="Electric bus",$D36="Almost empty"),$E36*'LV '!H$7,AND($C36="Electric bus",$D36="Average"),$E36*'LV '!H$8,AND($C36="Electric bus",$D36="Nearly full"),$E36*'LV '!H$9,AND($C36="Diesel bus",$D36="Almost empty"),$E36*'LV '!H$19,AND($C36="Diesel bus",$D36="Average"),$E36*'LV '!H$20,AND($C36="Diesel bus",$D36="Nearly full"),$E36*'LV '!H$21,AND($C36="Hybrid-electric bus",$D36="Almost empty"),$E36*'LV '!H$11,AND($C36="Hybrid-electric bus",$D36="Average"),$E36*'LV '!H$12,AND($C36="Hybrid-electric bus",$D36="Nearly full"),$E36*'LV '!H$13,AND($C36="Alternative fuel bus",$D36="Almost empty"),$E36*'LV '!H$15,AND($C36="Alternative fuel bus",$D36="Average"),$E36*'LV '!H$16,AND($C36="Alternative fuel bus",$D36="Nearly full"),$E36*'LV '!H$17,AND($C36="Metro, tram, urban light train",$D36="Almost empty"),$E36*'LV '!C$35,AND($C36="Metro, tram, urban light train",$D36="Average"),$E36*'LV '!C$36,AND($C36="Metro, tram, urban light train",$D36="Nearly full"),$E36*'LV '!C$37,AND($C36="Electric passenger train",$D36="Almost empty"),$E36*'LV '!C$39,AND($C36="Electric passenger train",$D36="Average"),$E36*'LV '!C$40,AND($C36="Electric passenger train",$D36="Nearly full"),$E36*'LV '!C$41,AND($C36="Diesel passenger train",$D36="Almost empty"),$E36*'LV '!C$47,AND($C36="Diesel passenger train",$D36="Average"),$E36*'LV '!C$48,AND($C36="Diesel passenger train",$D36="Nearly full"),$E36*'LV '!C$49,AND($C36="Walking"),$E36*0,AND($C36="Bike"),$E36*0,AND($C36="Plane - domestic flight"),$E36*'LV '!$C60,AND($C36="Plane - international - intra EU"),$E36*'LV '!$C62,AND($C36="Plane - international (extra EU)"),$E36*'LV '!$C64)</f>
        <v>#N/A</v>
      </c>
      <c r="G36" s="31" t="e" cm="1">
        <f t="array" ref="G36">_xlfn.IFS(AND($C36="Fuel car",$D36=1),$E36*'LV '!D$7,AND($C36="Fuel car",$D36=2),$E36*'LV '!D$8,AND($C36="Fuel car",$D36=3),$E36*'LV '!D$9,AND($C36="Fuel car",$D36=4),$E36*'LV '!D$10,AND($C36="Fuel car",$D36=5),$E36*'LV '!D$11,AND($C36="Motorcycle",$D36=1),$E36*'LV '!D$13,AND($C36="Motorcycle",$D36=2),$E36*'LV '!D$14,AND($C36="Electric car",$D36=1),$E36*'LV '!D$16,AND($C36="Electric car",$D36=2),$E36*'LV '!D$17,AND($C36="Electric car",$D36=3),$E36*'LV '!D$18,AND($C36="Electric car",$D36=4),$E36*'LV '!D$19,AND($C36="Electric car",$D36=5),$E36*'LV '!D$20,AND($C36="Hybrid car",$D36=1),$E36*'LV '!D$22,AND($C36="Hybrid car",$D36=2),$E36*'LV '!D$23,AND($C36="Hybrid car",$D36=3),$E36*'LV '!D$24,AND($C36="Hybrid car",$D36=4),$E36*'LV '!D$25,AND($C36="Hybrid car",$D36=5),$E36*'LV '!D$26,AND($C36="Electric motorcycle",$D36=1),$E36*'LV '!D$28,AND($C36="Electric motorcycle",$D36=2),$E36*'LV '!D$29,AND($C36="Electric bike",$D36=1),$E36*'LV '!D$31,AND($C36="Electric scooter",$D36=1),$E36*'LV '!D$33,AND($C36="Bus",$D36="Almost empty"),$E36*'LV '!I$23,AND($C36="Bus",$D36="Average"),$E36*'LV '!I$24,AND($C36="Bus",$D36="Nearly full"),$E36*'LV '!I$25,AND($C36="Electric bus",$D36="Almost empty"),$E36*'LV '!I$7,AND($C36="Electric bus",$D36="Average"),$E36*'LV '!I$8,AND($C36="Electric bus",$D36="Nearly full"),$E36*'LV '!I$9,AND($C36="Diesel bus",$D36="Almost empty"),$E36*'LV '!I$19,AND($C36="Diesel bus",$D36="Average"),$E36*'LV '!I$20,AND($C36="Diesel bus",$D36="Nearly full"),$E36*'LV '!I$21,AND($C36="Hybrid-electric bus",$D36="Almost empty"),$E36*'LV '!I$11,AND($C36="Hybrid-electric bus",$D36="Average"),$E36*'LV '!I$12,AND($C36="Hybrid-electric bus",$D36="Nearly full"),$E36*'LV '!I$13,AND($C36="Alternative fuel bus",$D36="Almost empty"),$E36*'LV '!I$15,AND($C36="Alternative fuel bus",$D36="Average"),$E36*'LV '!I$16,AND($C36="Alternative fuel bus",$D36="Nearly full"),$E36*'LV '!I$17,AND($C36="Metro, tram, urban light train",$D36="Almost empty"),$E36*'LV '!D$35,AND($C36="Metro, tram, urban light train",$D36="Average"),$E36*'LV '!D$36,AND($C36="Metro, tram, urban light train",$D36="Nearly full"),$E36*'LV '!D$37,AND($C36="Electric passenger train",$D36="Almost empty"),$E36*'LV '!D$39,AND($C36="Electric passenger train",$D36="Average"),$E36*'LV '!D$40,AND($C36="Electric passenger train",$D36="Nearly full"),$E36*'LV '!D$41,AND($C36="Diesel passenger train",$D36="Almost empty"),$E36*'LV '!D$47,AND($C36="Diesel passenger train",$D36="Average"),$E36*'LV '!D$48,AND($C36="Diesel passenger train",$D36="Nearly full"),$E36*'LV '!D$49,AND($C36="Walking"),$E36*0,AND($C36="Bike"),$E36*0,AND($C36="Plane - domestic flight"),$E36*'LV '!$C60,AND($C36="Plane - international - intra EU"),$E36*'LV '!$C62,AND($C36="Plane - international (extra EU)"),$E36*'LV '!$C64)</f>
        <v>#N/A</v>
      </c>
      <c r="H36" s="145"/>
      <c r="I36" s="148">
        <f t="shared" si="6"/>
        <v>0</v>
      </c>
      <c r="J36" s="146" t="e" cm="1">
        <f t="array" ref="J36">_xlfn.IFS(C36="Fuel car",C36*DATA!$C$17,C36="Electric car",C36*DATA!$F$20,C36="Hybrid car",I36*(0.5*DATA!$C$17+0.5*DATA!$F$20))</f>
        <v>#N/A</v>
      </c>
      <c r="L36" s="218"/>
      <c r="M36" s="219"/>
      <c r="N36" s="220"/>
    </row>
    <row r="37" spans="1:14" ht="14.5" customHeight="1" x14ac:dyDescent="0.2">
      <c r="A37" s="222"/>
      <c r="B37" s="30"/>
      <c r="C37" s="15"/>
      <c r="D37" s="15"/>
      <c r="E37" s="125"/>
      <c r="F37" s="128" t="e" cm="1">
        <f t="array" ref="F37">_xlfn.IFS(AND($C37="Fuel car",$D37=1),$E37*'LV '!C$7,AND($C37="Fuel car",$D37=2),$E37*'LV '!C$8,AND($C37="Fuel car",$D37=3),$E37*'LV '!C$9,AND($C37="Fuel car",$D37=4),$E37*'LV '!C$10,AND($C37="Fuel car",$D37=5),$E37*'LV '!C$11,AND($C37="Motorcycle",$D37=1),$E37*'LV '!C$13,AND($C37="Motorcycle",$D37=2),$E37*'LV '!C$14,AND($C37="Electric car",$D37=1),$E37*'LV '!C$16,AND($C37="Electric car",$D37=2),$E37*'LV '!C$17,AND($C37="Electric car",$D37=3),$E37*'LV '!C$18,AND($C37="Electric car",$D37=4),$E37*'LV '!C$19,AND($C37="Electric car",$D37=5),$E37*'LV '!C$20,AND($C37="Hybrid car",$D37=1),$E37*'LV '!C$22,AND($C37="Hybrid car",$D37=2),$E37*'LV '!C$23,AND($C37="Hybrid car",$D37=3),$E37*'LV '!C$24,AND($C37="Hybrid car",$D37=4),$E37*'LV '!C$25,AND($C37="Hybrid car",$D37=5),$E37*'LV '!C$26,AND($C37="Electric motorcycle",$D37=1),$E37*'LV '!C$28,AND($C37="Electric motorcycle",$D37=2),$E37*'LV '!C$29,AND($C37="Electric bike",$D37=1),$E37*'LV '!C$31,AND($C37="Electric scooter",$D37=1),$E37*'LV '!C$33,AND($C37="Bus",$D37="Almost empty"),$E37*'LV '!H$23,AND($C37="Bus",$D37="Average"),$E37*'LV '!H$24,AND($C37="Bus",$D37="Nearly full"),$E37*'LV '!H$25,AND($C37="Electric bus",$D37="Almost empty"),$E37*'LV '!H$7,AND($C37="Electric bus",$D37="Average"),$E37*'LV '!H$8,AND($C37="Electric bus",$D37="Nearly full"),$E37*'LV '!H$9,AND($C37="Diesel bus",$D37="Almost empty"),$E37*'LV '!H$19,AND($C37="Diesel bus",$D37="Average"),$E37*'LV '!H$20,AND($C37="Diesel bus",$D37="Nearly full"),$E37*'LV '!H$21,AND($C37="Hybrid-electric bus",$D37="Almost empty"),$E37*'LV '!H$11,AND($C37="Hybrid-electric bus",$D37="Average"),$E37*'LV '!H$12,AND($C37="Hybrid-electric bus",$D37="Nearly full"),$E37*'LV '!H$13,AND($C37="Alternative fuel bus",$D37="Almost empty"),$E37*'LV '!H$15,AND($C37="Alternative fuel bus",$D37="Average"),$E37*'LV '!H$16,AND($C37="Alternative fuel bus",$D37="Nearly full"),$E37*'LV '!H$17,AND($C37="Metro, tram, urban light train",$D37="Almost empty"),$E37*'LV '!C$35,AND($C37="Metro, tram, urban light train",$D37="Average"),$E37*'LV '!C$36,AND($C37="Metro, tram, urban light train",$D37="Nearly full"),$E37*'LV '!C$37,AND($C37="Electric passenger train",$D37="Almost empty"),$E37*'LV '!C$39,AND($C37="Electric passenger train",$D37="Average"),$E37*'LV '!C$40,AND($C37="Electric passenger train",$D37="Nearly full"),$E37*'LV '!C$41,AND($C37="Diesel passenger train",$D37="Almost empty"),$E37*'LV '!C$47,AND($C37="Diesel passenger train",$D37="Average"),$E37*'LV '!C$48,AND($C37="Diesel passenger train",$D37="Nearly full"),$E37*'LV '!C$49,AND($C37="Walking"),$E37*0,AND($C37="Bike"),$E37*0,AND($C37="Plane - domestic flight"),$E37*'LV '!$C61,AND($C37="Plane - international - intra EU"),$E37*'LV '!$C63,AND($C37="Plane - international (extra EU)"),$E37*'LV '!$C65)</f>
        <v>#N/A</v>
      </c>
      <c r="G37" s="31" t="e" cm="1">
        <f t="array" ref="G37">_xlfn.IFS(AND($C37="Fuel car",$D37=1),$E37*'LV '!D$7,AND($C37="Fuel car",$D37=2),$E37*'LV '!D$8,AND($C37="Fuel car",$D37=3),$E37*'LV '!D$9,AND($C37="Fuel car",$D37=4),$E37*'LV '!D$10,AND($C37="Fuel car",$D37=5),$E37*'LV '!D$11,AND($C37="Motorcycle",$D37=1),$E37*'LV '!D$13,AND($C37="Motorcycle",$D37=2),$E37*'LV '!D$14,AND($C37="Electric car",$D37=1),$E37*'LV '!D$16,AND($C37="Electric car",$D37=2),$E37*'LV '!D$17,AND($C37="Electric car",$D37=3),$E37*'LV '!D$18,AND($C37="Electric car",$D37=4),$E37*'LV '!D$19,AND($C37="Electric car",$D37=5),$E37*'LV '!D$20,AND($C37="Hybrid car",$D37=1),$E37*'LV '!D$22,AND($C37="Hybrid car",$D37=2),$E37*'LV '!D$23,AND($C37="Hybrid car",$D37=3),$E37*'LV '!D$24,AND($C37="Hybrid car",$D37=4),$E37*'LV '!D$25,AND($C37="Hybrid car",$D37=5),$E37*'LV '!D$26,AND($C37="Electric motorcycle",$D37=1),$E37*'LV '!D$28,AND($C37="Electric motorcycle",$D37=2),$E37*'LV '!D$29,AND($C37="Electric bike",$D37=1),$E37*'LV '!D$31,AND($C37="Electric scooter",$D37=1),$E37*'LV '!D$33,AND($C37="Bus",$D37="Almost empty"),$E37*'LV '!I$23,AND($C37="Bus",$D37="Average"),$E37*'LV '!I$24,AND($C37="Bus",$D37="Nearly full"),$E37*'LV '!I$25,AND($C37="Electric bus",$D37="Almost empty"),$E37*'LV '!I$7,AND($C37="Electric bus",$D37="Average"),$E37*'LV '!I$8,AND($C37="Electric bus",$D37="Nearly full"),$E37*'LV '!I$9,AND($C37="Diesel bus",$D37="Almost empty"),$E37*'LV '!I$19,AND($C37="Diesel bus",$D37="Average"),$E37*'LV '!I$20,AND($C37="Diesel bus",$D37="Nearly full"),$E37*'LV '!I$21,AND($C37="Hybrid-electric bus",$D37="Almost empty"),$E37*'LV '!I$11,AND($C37="Hybrid-electric bus",$D37="Average"),$E37*'LV '!I$12,AND($C37="Hybrid-electric bus",$D37="Nearly full"),$E37*'LV '!I$13,AND($C37="Alternative fuel bus",$D37="Almost empty"),$E37*'LV '!I$15,AND($C37="Alternative fuel bus",$D37="Average"),$E37*'LV '!I$16,AND($C37="Alternative fuel bus",$D37="Nearly full"),$E37*'LV '!I$17,AND($C37="Metro, tram, urban light train",$D37="Almost empty"),$E37*'LV '!D$35,AND($C37="Metro, tram, urban light train",$D37="Average"),$E37*'LV '!D$36,AND($C37="Metro, tram, urban light train",$D37="Nearly full"),$E37*'LV '!D$37,AND($C37="Electric passenger train",$D37="Almost empty"),$E37*'LV '!D$39,AND($C37="Electric passenger train",$D37="Average"),$E37*'LV '!D$40,AND($C37="Electric passenger train",$D37="Nearly full"),$E37*'LV '!D$41,AND($C37="Diesel passenger train",$D37="Almost empty"),$E37*'LV '!D$47,AND($C37="Diesel passenger train",$D37="Average"),$E37*'LV '!D$48,AND($C37="Diesel passenger train",$D37="Nearly full"),$E37*'LV '!D$49,AND($C37="Walking"),$E37*0,AND($C37="Bike"),$E37*0,AND($C37="Plane - domestic flight"),$E37*'LV '!$C61,AND($C37="Plane - international - intra EU"),$E37*'LV '!$C63,AND($C37="Plane - international (extra EU)"),$E37*'LV '!$C65)</f>
        <v>#N/A</v>
      </c>
      <c r="H37" s="145"/>
      <c r="I37" s="148">
        <f t="shared" si="6"/>
        <v>0</v>
      </c>
      <c r="J37" s="146" t="e" cm="1">
        <f t="array" ref="J37">_xlfn.IFS(C37="Fuel car",C37*DATA!$C$17,C37="Electric car",C37*DATA!$F$20,C37="Hybrid car",I37*(0.5*DATA!$C$17+0.5*DATA!$F$20))</f>
        <v>#N/A</v>
      </c>
      <c r="L37" s="215" t="s">
        <v>79</v>
      </c>
      <c r="M37" s="216"/>
      <c r="N37" s="217"/>
    </row>
    <row r="38" spans="1:14" ht="16" thickBot="1" x14ac:dyDescent="0.25">
      <c r="A38" s="222"/>
      <c r="B38" s="30"/>
      <c r="C38" s="15"/>
      <c r="D38" s="15"/>
      <c r="E38" s="125"/>
      <c r="F38" s="128" t="e" cm="1">
        <f t="array" ref="F38">_xlfn.IFS(AND($C38="Fuel car",$D38=1),$E38*'LV '!C$7,AND($C38="Fuel car",$D38=2),$E38*'LV '!C$8,AND($C38="Fuel car",$D38=3),$E38*'LV '!C$9,AND($C38="Fuel car",$D38=4),$E38*'LV '!C$10,AND($C38="Fuel car",$D38=5),$E38*'LV '!C$11,AND($C38="Motorcycle",$D38=1),$E38*'LV '!C$13,AND($C38="Motorcycle",$D38=2),$E38*'LV '!C$14,AND($C38="Electric car",$D38=1),$E38*'LV '!C$16,AND($C38="Electric car",$D38=2),$E38*'LV '!C$17,AND($C38="Electric car",$D38=3),$E38*'LV '!C$18,AND($C38="Electric car",$D38=4),$E38*'LV '!C$19,AND($C38="Electric car",$D38=5),$E38*'LV '!C$20,AND($C38="Hybrid car",$D38=1),$E38*'LV '!C$22,AND($C38="Hybrid car",$D38=2),$E38*'LV '!C$23,AND($C38="Hybrid car",$D38=3),$E38*'LV '!C$24,AND($C38="Hybrid car",$D38=4),$E38*'LV '!C$25,AND($C38="Hybrid car",$D38=5),$E38*'LV '!C$26,AND($C38="Electric motorcycle",$D38=1),$E38*'LV '!C$28,AND($C38="Electric motorcycle",$D38=2),$E38*'LV '!C$29,AND($C38="Electric bike",$D38=1),$E38*'LV '!C$31,AND($C38="Electric scooter",$D38=1),$E38*'LV '!C$33,AND($C38="Bus",$D38="Almost empty"),$E38*'LV '!H$23,AND($C38="Bus",$D38="Average"),$E38*'LV '!H$24,AND($C38="Bus",$D38="Nearly full"),$E38*'LV '!H$25,AND($C38="Electric bus",$D38="Almost empty"),$E38*'LV '!H$7,AND($C38="Electric bus",$D38="Average"),$E38*'LV '!H$8,AND($C38="Electric bus",$D38="Nearly full"),$E38*'LV '!H$9,AND($C38="Diesel bus",$D38="Almost empty"),$E38*'LV '!H$19,AND($C38="Diesel bus",$D38="Average"),$E38*'LV '!H$20,AND($C38="Diesel bus",$D38="Nearly full"),$E38*'LV '!H$21,AND($C38="Hybrid-electric bus",$D38="Almost empty"),$E38*'LV '!H$11,AND($C38="Hybrid-electric bus",$D38="Average"),$E38*'LV '!H$12,AND($C38="Hybrid-electric bus",$D38="Nearly full"),$E38*'LV '!H$13,AND($C38="Alternative fuel bus",$D38="Almost empty"),$E38*'LV '!H$15,AND($C38="Alternative fuel bus",$D38="Average"),$E38*'LV '!H$16,AND($C38="Alternative fuel bus",$D38="Nearly full"),$E38*'LV '!H$17,AND($C38="Metro, tram, urban light train",$D38="Almost empty"),$E38*'LV '!C$35,AND($C38="Metro, tram, urban light train",$D38="Average"),$E38*'LV '!C$36,AND($C38="Metro, tram, urban light train",$D38="Nearly full"),$E38*'LV '!C$37,AND($C38="Electric passenger train",$D38="Almost empty"),$E38*'LV '!C$39,AND($C38="Electric passenger train",$D38="Average"),$E38*'LV '!C$40,AND($C38="Electric passenger train",$D38="Nearly full"),$E38*'LV '!C$41,AND($C38="Diesel passenger train",$D38="Almost empty"),$E38*'LV '!C$47,AND($C38="Diesel passenger train",$D38="Average"),$E38*'LV '!C$48,AND($C38="Diesel passenger train",$D38="Nearly full"),$E38*'LV '!C$49,AND($C38="Walking"),$E38*0,AND($C38="Bike"),$E38*0,AND($C38="Plane - domestic flight"),$E38*'LV '!$C62,AND($C38="Plane - international - intra EU"),$E38*'LV '!$C64,AND($C38="Plane - international (extra EU)"),$E38*'LV '!$C66)</f>
        <v>#N/A</v>
      </c>
      <c r="G38" s="31" t="e" cm="1">
        <f t="array" ref="G38">_xlfn.IFS(AND($C38="Fuel car",$D38=1),$E38*'LV '!D$7,AND($C38="Fuel car",$D38=2),$E38*'LV '!D$8,AND($C38="Fuel car",$D38=3),$E38*'LV '!D$9,AND($C38="Fuel car",$D38=4),$E38*'LV '!D$10,AND($C38="Fuel car",$D38=5),$E38*'LV '!D$11,AND($C38="Motorcycle",$D38=1),$E38*'LV '!D$13,AND($C38="Motorcycle",$D38=2),$E38*'LV '!D$14,AND($C38="Electric car",$D38=1),$E38*'LV '!D$16,AND($C38="Electric car",$D38=2),$E38*'LV '!D$17,AND($C38="Electric car",$D38=3),$E38*'LV '!D$18,AND($C38="Electric car",$D38=4),$E38*'LV '!D$19,AND($C38="Electric car",$D38=5),$E38*'LV '!D$20,AND($C38="Hybrid car",$D38=1),$E38*'LV '!D$22,AND($C38="Hybrid car",$D38=2),$E38*'LV '!D$23,AND($C38="Hybrid car",$D38=3),$E38*'LV '!D$24,AND($C38="Hybrid car",$D38=4),$E38*'LV '!D$25,AND($C38="Hybrid car",$D38=5),$E38*'LV '!D$26,AND($C38="Electric motorcycle",$D38=1),$E38*'LV '!D$28,AND($C38="Electric motorcycle",$D38=2),$E38*'LV '!D$29,AND($C38="Electric bike",$D38=1),$E38*'LV '!D$31,AND($C38="Electric scooter",$D38=1),$E38*'LV '!D$33,AND($C38="Bus",$D38="Almost empty"),$E38*'LV '!I$23,AND($C38="Bus",$D38="Average"),$E38*'LV '!I$24,AND($C38="Bus",$D38="Nearly full"),$E38*'LV '!I$25,AND($C38="Electric bus",$D38="Almost empty"),$E38*'LV '!I$7,AND($C38="Electric bus",$D38="Average"),$E38*'LV '!I$8,AND($C38="Electric bus",$D38="Nearly full"),$E38*'LV '!I$9,AND($C38="Diesel bus",$D38="Almost empty"),$E38*'LV '!I$19,AND($C38="Diesel bus",$D38="Average"),$E38*'LV '!I$20,AND($C38="Diesel bus",$D38="Nearly full"),$E38*'LV '!I$21,AND($C38="Hybrid-electric bus",$D38="Almost empty"),$E38*'LV '!I$11,AND($C38="Hybrid-electric bus",$D38="Average"),$E38*'LV '!I$12,AND($C38="Hybrid-electric bus",$D38="Nearly full"),$E38*'LV '!I$13,AND($C38="Alternative fuel bus",$D38="Almost empty"),$E38*'LV '!I$15,AND($C38="Alternative fuel bus",$D38="Average"),$E38*'LV '!I$16,AND($C38="Alternative fuel bus",$D38="Nearly full"),$E38*'LV '!I$17,AND($C38="Metro, tram, urban light train",$D38="Almost empty"),$E38*'LV '!D$35,AND($C38="Metro, tram, urban light train",$D38="Average"),$E38*'LV '!D$36,AND($C38="Metro, tram, urban light train",$D38="Nearly full"),$E38*'LV '!D$37,AND($C38="Electric passenger train",$D38="Almost empty"),$E38*'LV '!D$39,AND($C38="Electric passenger train",$D38="Average"),$E38*'LV '!D$40,AND($C38="Electric passenger train",$D38="Nearly full"),$E38*'LV '!D$41,AND($C38="Diesel passenger train",$D38="Almost empty"),$E38*'LV '!D$47,AND($C38="Diesel passenger train",$D38="Average"),$E38*'LV '!D$48,AND($C38="Diesel passenger train",$D38="Nearly full"),$E38*'LV '!D$49,AND($C38="Walking"),$E38*0,AND($C38="Bike"),$E38*0,AND($C38="Plane - domestic flight"),$E38*'LV '!$C62,AND($C38="Plane - international - intra EU"),$E38*'LV '!$C64,AND($C38="Plane - international (extra EU)"),$E38*'LV '!$C66)</f>
        <v>#N/A</v>
      </c>
      <c r="H38" s="145"/>
      <c r="I38" s="148">
        <f t="shared" si="6"/>
        <v>0</v>
      </c>
      <c r="J38" s="146" t="e" cm="1">
        <f t="array" ref="J38">_xlfn.IFS(C38="Fuel car",C38*DATA!$C$17,C38="Electric car",C38*DATA!$F$20,C38="Hybrid car",I38*(0.5*DATA!$C$17+0.5*DATA!$F$20))</f>
        <v>#N/A</v>
      </c>
      <c r="L38" s="218"/>
      <c r="M38" s="219"/>
      <c r="N38" s="220"/>
    </row>
    <row r="39" spans="1:14" ht="14.5" customHeight="1" x14ac:dyDescent="0.2">
      <c r="A39" s="222"/>
      <c r="B39" s="30"/>
      <c r="C39" s="15"/>
      <c r="D39" s="15"/>
      <c r="E39" s="125"/>
      <c r="F39" s="128" t="e" cm="1">
        <f t="array" ref="F39">_xlfn.IFS(AND($C39="Fuel car",$D39=1),$E39*'LV '!C$7,AND($C39="Fuel car",$D39=2),$E39*'LV '!C$8,AND($C39="Fuel car",$D39=3),$E39*'LV '!C$9,AND($C39="Fuel car",$D39=4),$E39*'LV '!C$10,AND($C39="Fuel car",$D39=5),$E39*'LV '!C$11,AND($C39="Motorcycle",$D39=1),$E39*'LV '!C$13,AND($C39="Motorcycle",$D39=2),$E39*'LV '!C$14,AND($C39="Electric car",$D39=1),$E39*'LV '!C$16,AND($C39="Electric car",$D39=2),$E39*'LV '!C$17,AND($C39="Electric car",$D39=3),$E39*'LV '!C$18,AND($C39="Electric car",$D39=4),$E39*'LV '!C$19,AND($C39="Electric car",$D39=5),$E39*'LV '!C$20,AND($C39="Hybrid car",$D39=1),$E39*'LV '!C$22,AND($C39="Hybrid car",$D39=2),$E39*'LV '!C$23,AND($C39="Hybrid car",$D39=3),$E39*'LV '!C$24,AND($C39="Hybrid car",$D39=4),$E39*'LV '!C$25,AND($C39="Hybrid car",$D39=5),$E39*'LV '!C$26,AND($C39="Electric motorcycle",$D39=1),$E39*'LV '!C$28,AND($C39="Electric motorcycle",$D39=2),$E39*'LV '!C$29,AND($C39="Electric bike",$D39=1),$E39*'LV '!C$31,AND($C39="Electric scooter",$D39=1),$E39*'LV '!C$33,AND($C39="Bus",$D39="Almost empty"),$E39*'LV '!H$23,AND($C39="Bus",$D39="Average"),$E39*'LV '!H$24,AND($C39="Bus",$D39="Nearly full"),$E39*'LV '!H$25,AND($C39="Electric bus",$D39="Almost empty"),$E39*'LV '!H$7,AND($C39="Electric bus",$D39="Average"),$E39*'LV '!H$8,AND($C39="Electric bus",$D39="Nearly full"),$E39*'LV '!H$9,AND($C39="Diesel bus",$D39="Almost empty"),$E39*'LV '!H$19,AND($C39="Diesel bus",$D39="Average"),$E39*'LV '!H$20,AND($C39="Diesel bus",$D39="Nearly full"),$E39*'LV '!H$21,AND($C39="Hybrid-electric bus",$D39="Almost empty"),$E39*'LV '!H$11,AND($C39="Hybrid-electric bus",$D39="Average"),$E39*'LV '!H$12,AND($C39="Hybrid-electric bus",$D39="Nearly full"),$E39*'LV '!H$13,AND($C39="Alternative fuel bus",$D39="Almost empty"),$E39*'LV '!H$15,AND($C39="Alternative fuel bus",$D39="Average"),$E39*'LV '!H$16,AND($C39="Alternative fuel bus",$D39="Nearly full"),$E39*'LV '!H$17,AND($C39="Metro, tram, urban light train",$D39="Almost empty"),$E39*'LV '!C$35,AND($C39="Metro, tram, urban light train",$D39="Average"),$E39*'LV '!C$36,AND($C39="Metro, tram, urban light train",$D39="Nearly full"),$E39*'LV '!C$37,AND($C39="Electric passenger train",$D39="Almost empty"),$E39*'LV '!C$39,AND($C39="Electric passenger train",$D39="Average"),$E39*'LV '!C$40,AND($C39="Electric passenger train",$D39="Nearly full"),$E39*'LV '!C$41,AND($C39="Diesel passenger train",$D39="Almost empty"),$E39*'LV '!C$47,AND($C39="Diesel passenger train",$D39="Average"),$E39*'LV '!C$48,AND($C39="Diesel passenger train",$D39="Nearly full"),$E39*'LV '!C$49,AND($C39="Walking"),$E39*0,AND($C39="Bike"),$E39*0,AND($C39="Plane - domestic flight"),$E39*'LV '!$C63,AND($C39="Plane - international - intra EU"),$E39*'LV '!$C65,AND($C39="Plane - international (extra EU)"),$E39*'LV '!$C67)</f>
        <v>#N/A</v>
      </c>
      <c r="G39" s="31" t="e" cm="1">
        <f t="array" ref="G39">_xlfn.IFS(AND($C39="Fuel car",$D39=1),$E39*'LV '!D$7,AND($C39="Fuel car",$D39=2),$E39*'LV '!D$8,AND($C39="Fuel car",$D39=3),$E39*'LV '!D$9,AND($C39="Fuel car",$D39=4),$E39*'LV '!D$10,AND($C39="Fuel car",$D39=5),$E39*'LV '!D$11,AND($C39="Motorcycle",$D39=1),$E39*'LV '!D$13,AND($C39="Motorcycle",$D39=2),$E39*'LV '!D$14,AND($C39="Electric car",$D39=1),$E39*'LV '!D$16,AND($C39="Electric car",$D39=2),$E39*'LV '!D$17,AND($C39="Electric car",$D39=3),$E39*'LV '!D$18,AND($C39="Electric car",$D39=4),$E39*'LV '!D$19,AND($C39="Electric car",$D39=5),$E39*'LV '!D$20,AND($C39="Hybrid car",$D39=1),$E39*'LV '!D$22,AND($C39="Hybrid car",$D39=2),$E39*'LV '!D$23,AND($C39="Hybrid car",$D39=3),$E39*'LV '!D$24,AND($C39="Hybrid car",$D39=4),$E39*'LV '!D$25,AND($C39="Hybrid car",$D39=5),$E39*'LV '!D$26,AND($C39="Electric motorcycle",$D39=1),$E39*'LV '!D$28,AND($C39="Electric motorcycle",$D39=2),$E39*'LV '!D$29,AND($C39="Electric bike",$D39=1),$E39*'LV '!D$31,AND($C39="Electric scooter",$D39=1),$E39*'LV '!D$33,AND($C39="Bus",$D39="Almost empty"),$E39*'LV '!I$23,AND($C39="Bus",$D39="Average"),$E39*'LV '!I$24,AND($C39="Bus",$D39="Nearly full"),$E39*'LV '!I$25,AND($C39="Electric bus",$D39="Almost empty"),$E39*'LV '!I$7,AND($C39="Electric bus",$D39="Average"),$E39*'LV '!I$8,AND($C39="Electric bus",$D39="Nearly full"),$E39*'LV '!I$9,AND($C39="Diesel bus",$D39="Almost empty"),$E39*'LV '!I$19,AND($C39="Diesel bus",$D39="Average"),$E39*'LV '!I$20,AND($C39="Diesel bus",$D39="Nearly full"),$E39*'LV '!I$21,AND($C39="Hybrid-electric bus",$D39="Almost empty"),$E39*'LV '!I$11,AND($C39="Hybrid-electric bus",$D39="Average"),$E39*'LV '!I$12,AND($C39="Hybrid-electric bus",$D39="Nearly full"),$E39*'LV '!I$13,AND($C39="Alternative fuel bus",$D39="Almost empty"),$E39*'LV '!I$15,AND($C39="Alternative fuel bus",$D39="Average"),$E39*'LV '!I$16,AND($C39="Alternative fuel bus",$D39="Nearly full"),$E39*'LV '!I$17,AND($C39="Metro, tram, urban light train",$D39="Almost empty"),$E39*'LV '!D$35,AND($C39="Metro, tram, urban light train",$D39="Average"),$E39*'LV '!D$36,AND($C39="Metro, tram, urban light train",$D39="Nearly full"),$E39*'LV '!D$37,AND($C39="Electric passenger train",$D39="Almost empty"),$E39*'LV '!D$39,AND($C39="Electric passenger train",$D39="Average"),$E39*'LV '!D$40,AND($C39="Electric passenger train",$D39="Nearly full"),$E39*'LV '!D$41,AND($C39="Diesel passenger train",$D39="Almost empty"),$E39*'LV '!D$47,AND($C39="Diesel passenger train",$D39="Average"),$E39*'LV '!D$48,AND($C39="Diesel passenger train",$D39="Nearly full"),$E39*'LV '!D$49,AND($C39="Walking"),$E39*0,AND($C39="Bike"),$E39*0,AND($C39="Plane - domestic flight"),$E39*'LV '!$C63,AND($C39="Plane - international - intra EU"),$E39*'LV '!$C65,AND($C39="Plane - international (extra EU)"),$E39*'LV '!$C67)</f>
        <v>#N/A</v>
      </c>
      <c r="H39" s="145"/>
      <c r="I39" s="148">
        <f t="shared" si="6"/>
        <v>0</v>
      </c>
      <c r="J39" s="146" t="e" cm="1">
        <f t="array" ref="J39">_xlfn.IFS(C39="Fuel car",C39*DATA!$C$17,C39="Electric car",C39*DATA!$F$20,C39="Hybrid car",I39*(0.5*DATA!$C$17+0.5*DATA!$F$20))</f>
        <v>#N/A</v>
      </c>
      <c r="L39" s="226" t="s">
        <v>80</v>
      </c>
      <c r="M39" s="227"/>
      <c r="N39" s="228"/>
    </row>
    <row r="40" spans="1:14" x14ac:dyDescent="0.2">
      <c r="A40" s="222"/>
      <c r="B40" s="30"/>
      <c r="C40" s="15"/>
      <c r="D40" s="15"/>
      <c r="E40" s="125"/>
      <c r="F40" s="128" t="e" cm="1">
        <f t="array" ref="F40">_xlfn.IFS(AND($C40="Fuel car",$D40=1),$E40*'LV '!C$7,AND($C40="Fuel car",$D40=2),$E40*'LV '!C$8,AND($C40="Fuel car",$D40=3),$E40*'LV '!C$9,AND($C40="Fuel car",$D40=4),$E40*'LV '!C$10,AND($C40="Fuel car",$D40=5),$E40*'LV '!C$11,AND($C40="Motorcycle",$D40=1),$E40*'LV '!C$13,AND($C40="Motorcycle",$D40=2),$E40*'LV '!C$14,AND($C40="Electric car",$D40=1),$E40*'LV '!C$16,AND($C40="Electric car",$D40=2),$E40*'LV '!C$17,AND($C40="Electric car",$D40=3),$E40*'LV '!C$18,AND($C40="Electric car",$D40=4),$E40*'LV '!C$19,AND($C40="Electric car",$D40=5),$E40*'LV '!C$20,AND($C40="Hybrid car",$D40=1),$E40*'LV '!C$22,AND($C40="Hybrid car",$D40=2),$E40*'LV '!C$23,AND($C40="Hybrid car",$D40=3),$E40*'LV '!C$24,AND($C40="Hybrid car",$D40=4),$E40*'LV '!C$25,AND($C40="Hybrid car",$D40=5),$E40*'LV '!C$26,AND($C40="Electric motorcycle",$D40=1),$E40*'LV '!C$28,AND($C40="Electric motorcycle",$D40=2),$E40*'LV '!C$29,AND($C40="Electric bike",$D40=1),$E40*'LV '!C$31,AND($C40="Electric scooter",$D40=1),$E40*'LV '!C$33,AND($C40="Bus",$D40="Almost empty"),$E40*'LV '!H$23,AND($C40="Bus",$D40="Average"),$E40*'LV '!H$24,AND($C40="Bus",$D40="Nearly full"),$E40*'LV '!H$25,AND($C40="Electric bus",$D40="Almost empty"),$E40*'LV '!H$7,AND($C40="Electric bus",$D40="Average"),$E40*'LV '!H$8,AND($C40="Electric bus",$D40="Nearly full"),$E40*'LV '!H$9,AND($C40="Diesel bus",$D40="Almost empty"),$E40*'LV '!H$19,AND($C40="Diesel bus",$D40="Average"),$E40*'LV '!H$20,AND($C40="Diesel bus",$D40="Nearly full"),$E40*'LV '!H$21,AND($C40="Hybrid-electric bus",$D40="Almost empty"),$E40*'LV '!H$11,AND($C40="Hybrid-electric bus",$D40="Average"),$E40*'LV '!H$12,AND($C40="Hybrid-electric bus",$D40="Nearly full"),$E40*'LV '!H$13,AND($C40="Alternative fuel bus",$D40="Almost empty"),$E40*'LV '!H$15,AND($C40="Alternative fuel bus",$D40="Average"),$E40*'LV '!H$16,AND($C40="Alternative fuel bus",$D40="Nearly full"),$E40*'LV '!H$17,AND($C40="Metro, tram, urban light train",$D40="Almost empty"),$E40*'LV '!C$35,AND($C40="Metro, tram, urban light train",$D40="Average"),$E40*'LV '!C$36,AND($C40="Metro, tram, urban light train",$D40="Nearly full"),$E40*'LV '!C$37,AND($C40="Electric passenger train",$D40="Almost empty"),$E40*'LV '!C$39,AND($C40="Electric passenger train",$D40="Average"),$E40*'LV '!C$40,AND($C40="Electric passenger train",$D40="Nearly full"),$E40*'LV '!C$41,AND($C40="Diesel passenger train",$D40="Almost empty"),$E40*'LV '!C$47,AND($C40="Diesel passenger train",$D40="Average"),$E40*'LV '!C$48,AND($C40="Diesel passenger train",$D40="Nearly full"),$E40*'LV '!C$49,AND($C40="Walking"),$E40*0,AND($C40="Bike"),$E40*0,AND($C40="Plane - domestic flight"),$E40*'LV '!$C64,AND($C40="Plane - international - intra EU"),$E40*'LV '!$C66,AND($C40="Plane - international (extra EU)"),$E40*'LV '!$C68)</f>
        <v>#N/A</v>
      </c>
      <c r="G40" s="31" t="e" cm="1">
        <f t="array" ref="G40">_xlfn.IFS(AND($C40="Fuel car",$D40=1),$E40*'LV '!D$7,AND($C40="Fuel car",$D40=2),$E40*'LV '!D$8,AND($C40="Fuel car",$D40=3),$E40*'LV '!D$9,AND($C40="Fuel car",$D40=4),$E40*'LV '!D$10,AND($C40="Fuel car",$D40=5),$E40*'LV '!D$11,AND($C40="Motorcycle",$D40=1),$E40*'LV '!D$13,AND($C40="Motorcycle",$D40=2),$E40*'LV '!D$14,AND($C40="Electric car",$D40=1),$E40*'LV '!D$16,AND($C40="Electric car",$D40=2),$E40*'LV '!D$17,AND($C40="Electric car",$D40=3),$E40*'LV '!D$18,AND($C40="Electric car",$D40=4),$E40*'LV '!D$19,AND($C40="Electric car",$D40=5),$E40*'LV '!D$20,AND($C40="Hybrid car",$D40=1),$E40*'LV '!D$22,AND($C40="Hybrid car",$D40=2),$E40*'LV '!D$23,AND($C40="Hybrid car",$D40=3),$E40*'LV '!D$24,AND($C40="Hybrid car",$D40=4),$E40*'LV '!D$25,AND($C40="Hybrid car",$D40=5),$E40*'LV '!D$26,AND($C40="Electric motorcycle",$D40=1),$E40*'LV '!D$28,AND($C40="Electric motorcycle",$D40=2),$E40*'LV '!D$29,AND($C40="Electric bike",$D40=1),$E40*'LV '!D$31,AND($C40="Electric scooter",$D40=1),$E40*'LV '!D$33,AND($C40="Bus",$D40="Almost empty"),$E40*'LV '!I$23,AND($C40="Bus",$D40="Average"),$E40*'LV '!I$24,AND($C40="Bus",$D40="Nearly full"),$E40*'LV '!I$25,AND($C40="Electric bus",$D40="Almost empty"),$E40*'LV '!I$7,AND($C40="Electric bus",$D40="Average"),$E40*'LV '!I$8,AND($C40="Electric bus",$D40="Nearly full"),$E40*'LV '!I$9,AND($C40="Diesel bus",$D40="Almost empty"),$E40*'LV '!I$19,AND($C40="Diesel bus",$D40="Average"),$E40*'LV '!I$20,AND($C40="Diesel bus",$D40="Nearly full"),$E40*'LV '!I$21,AND($C40="Hybrid-electric bus",$D40="Almost empty"),$E40*'LV '!I$11,AND($C40="Hybrid-electric bus",$D40="Average"),$E40*'LV '!I$12,AND($C40="Hybrid-electric bus",$D40="Nearly full"),$E40*'LV '!I$13,AND($C40="Alternative fuel bus",$D40="Almost empty"),$E40*'LV '!I$15,AND($C40="Alternative fuel bus",$D40="Average"),$E40*'LV '!I$16,AND($C40="Alternative fuel bus",$D40="Nearly full"),$E40*'LV '!I$17,AND($C40="Metro, tram, urban light train",$D40="Almost empty"),$E40*'LV '!D$35,AND($C40="Metro, tram, urban light train",$D40="Average"),$E40*'LV '!D$36,AND($C40="Metro, tram, urban light train",$D40="Nearly full"),$E40*'LV '!D$37,AND($C40="Electric passenger train",$D40="Almost empty"),$E40*'LV '!D$39,AND($C40="Electric passenger train",$D40="Average"),$E40*'LV '!D$40,AND($C40="Electric passenger train",$D40="Nearly full"),$E40*'LV '!D$41,AND($C40="Diesel passenger train",$D40="Almost empty"),$E40*'LV '!D$47,AND($C40="Diesel passenger train",$D40="Average"),$E40*'LV '!D$48,AND($C40="Diesel passenger train",$D40="Nearly full"),$E40*'LV '!D$49,AND($C40="Walking"),$E40*0,AND($C40="Bike"),$E40*0,AND($C40="Plane - domestic flight"),$E40*'LV '!$C64,AND($C40="Plane - international - intra EU"),$E40*'LV '!$C66,AND($C40="Plane - international (extra EU)"),$E40*'LV '!$C68)</f>
        <v>#N/A</v>
      </c>
      <c r="H40" s="145"/>
      <c r="I40" s="148">
        <f t="shared" si="6"/>
        <v>0</v>
      </c>
      <c r="J40" s="146" t="e" cm="1">
        <f t="array" ref="J40">_xlfn.IFS(C40="Fuel car",C40*DATA!$C$17,C40="Electric car",C40*DATA!$F$20,C40="Hybrid car",I40*(0.5*DATA!$C$17+0.5*DATA!$F$20))</f>
        <v>#N/A</v>
      </c>
      <c r="L40" s="229"/>
      <c r="M40" s="230"/>
      <c r="N40" s="231"/>
    </row>
    <row r="41" spans="1:14" ht="14.5" customHeight="1" x14ac:dyDescent="0.2">
      <c r="A41" s="222"/>
      <c r="B41" s="30"/>
      <c r="C41" s="15"/>
      <c r="D41" s="15"/>
      <c r="E41" s="125"/>
      <c r="F41" s="128" t="e" cm="1">
        <f t="array" ref="F41">_xlfn.IFS(AND($C41="Fuel car",$D41=1),$E41*'LV '!C$7,AND($C41="Fuel car",$D41=2),$E41*'LV '!C$8,AND($C41="Fuel car",$D41=3),$E41*'LV '!C$9,AND($C41="Fuel car",$D41=4),$E41*'LV '!C$10,AND($C41="Fuel car",$D41=5),$E41*'LV '!C$11,AND($C41="Motorcycle",$D41=1),$E41*'LV '!C$13,AND($C41="Motorcycle",$D41=2),$E41*'LV '!C$14,AND($C41="Electric car",$D41=1),$E41*'LV '!C$16,AND($C41="Electric car",$D41=2),$E41*'LV '!C$17,AND($C41="Electric car",$D41=3),$E41*'LV '!C$18,AND($C41="Electric car",$D41=4),$E41*'LV '!C$19,AND($C41="Electric car",$D41=5),$E41*'LV '!C$20,AND($C41="Hybrid car",$D41=1),$E41*'LV '!C$22,AND($C41="Hybrid car",$D41=2),$E41*'LV '!C$23,AND($C41="Hybrid car",$D41=3),$E41*'LV '!C$24,AND($C41="Hybrid car",$D41=4),$E41*'LV '!C$25,AND($C41="Hybrid car",$D41=5),$E41*'LV '!C$26,AND($C41="Electric motorcycle",$D41=1),$E41*'LV '!C$28,AND($C41="Electric motorcycle",$D41=2),$E41*'LV '!C$29,AND($C41="Electric bike",$D41=1),$E41*'LV '!C$31,AND($C41="Electric scooter",$D41=1),$E41*'LV '!C$33,AND($C41="Bus",$D41="Almost empty"),$E41*'LV '!H$23,AND($C41="Bus",$D41="Average"),$E41*'LV '!H$24,AND($C41="Bus",$D41="Nearly full"),$E41*'LV '!H$25,AND($C41="Electric bus",$D41="Almost empty"),$E41*'LV '!H$7,AND($C41="Electric bus",$D41="Average"),$E41*'LV '!H$8,AND($C41="Electric bus",$D41="Nearly full"),$E41*'LV '!H$9,AND($C41="Diesel bus",$D41="Almost empty"),$E41*'LV '!H$19,AND($C41="Diesel bus",$D41="Average"),$E41*'LV '!H$20,AND($C41="Diesel bus",$D41="Nearly full"),$E41*'LV '!H$21,AND($C41="Hybrid-electric bus",$D41="Almost empty"),$E41*'LV '!H$11,AND($C41="Hybrid-electric bus",$D41="Average"),$E41*'LV '!H$12,AND($C41="Hybrid-electric bus",$D41="Nearly full"),$E41*'LV '!H$13,AND($C41="Alternative fuel bus",$D41="Almost empty"),$E41*'LV '!H$15,AND($C41="Alternative fuel bus",$D41="Average"),$E41*'LV '!H$16,AND($C41="Alternative fuel bus",$D41="Nearly full"),$E41*'LV '!H$17,AND($C41="Metro, tram, urban light train",$D41="Almost empty"),$E41*'LV '!C$35,AND($C41="Metro, tram, urban light train",$D41="Average"),$E41*'LV '!C$36,AND($C41="Metro, tram, urban light train",$D41="Nearly full"),$E41*'LV '!C$37,AND($C41="Electric passenger train",$D41="Almost empty"),$E41*'LV '!C$39,AND($C41="Electric passenger train",$D41="Average"),$E41*'LV '!C$40,AND($C41="Electric passenger train",$D41="Nearly full"),$E41*'LV '!C$41,AND($C41="Diesel passenger train",$D41="Almost empty"),$E41*'LV '!C$47,AND($C41="Diesel passenger train",$D41="Average"),$E41*'LV '!C$48,AND($C41="Diesel passenger train",$D41="Nearly full"),$E41*'LV '!C$49,AND($C41="Walking"),$E41*0,AND($C41="Bike"),$E41*0,AND($C41="Plane - domestic flight"),$E41*'LV '!$C65,AND($C41="Plane - international - intra EU"),$E41*'LV '!$C67,AND($C41="Plane - international (extra EU)"),$E41*'LV '!$C69)</f>
        <v>#N/A</v>
      </c>
      <c r="G41" s="31" t="e" cm="1">
        <f t="array" ref="G41">_xlfn.IFS(AND($C41="Fuel car",$D41=1),$E41*'LV '!D$7,AND($C41="Fuel car",$D41=2),$E41*'LV '!D$8,AND($C41="Fuel car",$D41=3),$E41*'LV '!D$9,AND($C41="Fuel car",$D41=4),$E41*'LV '!D$10,AND($C41="Fuel car",$D41=5),$E41*'LV '!D$11,AND($C41="Motorcycle",$D41=1),$E41*'LV '!D$13,AND($C41="Motorcycle",$D41=2),$E41*'LV '!D$14,AND($C41="Electric car",$D41=1),$E41*'LV '!D$16,AND($C41="Electric car",$D41=2),$E41*'LV '!D$17,AND($C41="Electric car",$D41=3),$E41*'LV '!D$18,AND($C41="Electric car",$D41=4),$E41*'LV '!D$19,AND($C41="Electric car",$D41=5),$E41*'LV '!D$20,AND($C41="Hybrid car",$D41=1),$E41*'LV '!D$22,AND($C41="Hybrid car",$D41=2),$E41*'LV '!D$23,AND($C41="Hybrid car",$D41=3),$E41*'LV '!D$24,AND($C41="Hybrid car",$D41=4),$E41*'LV '!D$25,AND($C41="Hybrid car",$D41=5),$E41*'LV '!D$26,AND($C41="Electric motorcycle",$D41=1),$E41*'LV '!D$28,AND($C41="Electric motorcycle",$D41=2),$E41*'LV '!D$29,AND($C41="Electric bike",$D41=1),$E41*'LV '!D$31,AND($C41="Electric scooter",$D41=1),$E41*'LV '!D$33,AND($C41="Bus",$D41="Almost empty"),$E41*'LV '!I$23,AND($C41="Bus",$D41="Average"),$E41*'LV '!I$24,AND($C41="Bus",$D41="Nearly full"),$E41*'LV '!I$25,AND($C41="Electric bus",$D41="Almost empty"),$E41*'LV '!I$7,AND($C41="Electric bus",$D41="Average"),$E41*'LV '!I$8,AND($C41="Electric bus",$D41="Nearly full"),$E41*'LV '!I$9,AND($C41="Diesel bus",$D41="Almost empty"),$E41*'LV '!I$19,AND($C41="Diesel bus",$D41="Average"),$E41*'LV '!I$20,AND($C41="Diesel bus",$D41="Nearly full"),$E41*'LV '!I$21,AND($C41="Hybrid-electric bus",$D41="Almost empty"),$E41*'LV '!I$11,AND($C41="Hybrid-electric bus",$D41="Average"),$E41*'LV '!I$12,AND($C41="Hybrid-electric bus",$D41="Nearly full"),$E41*'LV '!I$13,AND($C41="Alternative fuel bus",$D41="Almost empty"),$E41*'LV '!I$15,AND($C41="Alternative fuel bus",$D41="Average"),$E41*'LV '!I$16,AND($C41="Alternative fuel bus",$D41="Nearly full"),$E41*'LV '!I$17,AND($C41="Metro, tram, urban light train",$D41="Almost empty"),$E41*'LV '!D$35,AND($C41="Metro, tram, urban light train",$D41="Average"),$E41*'LV '!D$36,AND($C41="Metro, tram, urban light train",$D41="Nearly full"),$E41*'LV '!D$37,AND($C41="Electric passenger train",$D41="Almost empty"),$E41*'LV '!D$39,AND($C41="Electric passenger train",$D41="Average"),$E41*'LV '!D$40,AND($C41="Electric passenger train",$D41="Nearly full"),$E41*'LV '!D$41,AND($C41="Diesel passenger train",$D41="Almost empty"),$E41*'LV '!D$47,AND($C41="Diesel passenger train",$D41="Average"),$E41*'LV '!D$48,AND($C41="Diesel passenger train",$D41="Nearly full"),$E41*'LV '!D$49,AND($C41="Walking"),$E41*0,AND($C41="Bike"),$E41*0,AND($C41="Plane - domestic flight"),$E41*'LV '!$C65,AND($C41="Plane - international - intra EU"),$E41*'LV '!$C67,AND($C41="Plane - international (extra EU)"),$E41*'LV '!$C69)</f>
        <v>#N/A</v>
      </c>
      <c r="H41" s="145"/>
      <c r="I41" s="148">
        <f t="shared" si="6"/>
        <v>0</v>
      </c>
      <c r="J41" s="146" t="e" cm="1">
        <f t="array" ref="J41">_xlfn.IFS(C41="Fuel car",C41*DATA!$C$17,C41="Electric car",C41*DATA!$F$20,C41="Hybrid car",I41*(0.5*DATA!$C$17+0.5*DATA!$F$20))</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car",$D42=1),$E42*'LV '!C$7,AND($C42="Fuel car",$D42=2),$E42*'LV '!C$8,AND($C42="Fuel car",$D42=3),$E42*'LV '!C$9,AND($C42="Fuel car",$D42=4),$E42*'LV '!C$10,AND($C42="Fuel car",$D42=5),$E42*'LV '!C$11,AND($C42="Motorcycle",$D42=1),$E42*'LV '!C$13,AND($C42="Motorcycle",$D42=2),$E42*'LV '!C$14,AND($C42="Electric car",$D42=1),$E42*'LV '!C$16,AND($C42="Electric car",$D42=2),$E42*'LV '!C$17,AND($C42="Electric car",$D42=3),$E42*'LV '!C$18,AND($C42="Electric car",$D42=4),$E42*'LV '!C$19,AND($C42="Electric car",$D42=5),$E42*'LV '!C$20,AND($C42="Hybrid car",$D42=1),$E42*'LV '!C$22,AND($C42="Hybrid car",$D42=2),$E42*'LV '!C$23,AND($C42="Hybrid car",$D42=3),$E42*'LV '!C$24,AND($C42="Hybrid car",$D42=4),$E42*'LV '!C$25,AND($C42="Hybrid car",$D42=5),$E42*'LV '!C$26,AND($C42="Electric motorcycle",$D42=1),$E42*'LV '!C$28,AND($C42="Electric motorcycle",$D42=2),$E42*'LV '!C$29,AND($C42="Electric bike",$D42=1),$E42*'LV '!C$31,AND($C42="Electric scooter",$D42=1),$E42*'LV '!C$33,AND($C42="Bus",$D42="Almost empty"),$E42*'LV '!H$23,AND($C42="Bus",$D42="Average"),$E42*'LV '!H$24,AND($C42="Bus",$D42="Nearly full"),$E42*'LV '!H$25,AND($C42="Electric bus",$D42="Almost empty"),$E42*'LV '!H$7,AND($C42="Electric bus",$D42="Average"),$E42*'LV '!H$8,AND($C42="Electric bus",$D42="Nearly full"),$E42*'LV '!H$9,AND($C42="Diesel bus",$D42="Almost empty"),$E42*'LV '!H$19,AND($C42="Diesel bus",$D42="Average"),$E42*'LV '!H$20,AND($C42="Diesel bus",$D42="Nearly full"),$E42*'LV '!H$21,AND($C42="Hybrid-electric bus",$D42="Almost empty"),$E42*'LV '!H$11,AND($C42="Hybrid-electric bus",$D42="Average"),$E42*'LV '!H$12,AND($C42="Hybrid-electric bus",$D42="Nearly full"),$E42*'LV '!H$13,AND($C42="Alternative fuel bus",$D42="Almost empty"),$E42*'LV '!H$15,AND($C42="Alternative fuel bus",$D42="Average"),$E42*'LV '!H$16,AND($C42="Alternative fuel bus",$D42="Nearly full"),$E42*'LV '!H$17,AND($C42="Metro, tram, urban light train",$D42="Almost empty"),$E42*'LV '!C$35,AND($C42="Metro, tram, urban light train",$D42="Average"),$E42*'LV '!C$36,AND($C42="Metro, tram, urban light train",$D42="Nearly full"),$E42*'LV '!C$37,AND($C42="Electric passenger train",$D42="Almost empty"),$E42*'LV '!C$39,AND($C42="Electric passenger train",$D42="Average"),$E42*'LV '!C$40,AND($C42="Electric passenger train",$D42="Nearly full"),$E42*'LV '!C$41,AND($C42="Diesel passenger train",$D42="Almost empty"),$E42*'LV '!C$47,AND($C42="Diesel passenger train",$D42="Average"),$E42*'LV '!C$48,AND($C42="Diesel passenger train",$D42="Nearly full"),$E42*'LV '!C$49,AND($C42="Walking"),$E42*0,AND($C42="Bike"),$E42*0,AND($C42="Plane - domestic flight"),$E42*'LV '!$C66,AND($C42="Plane - international - intra EU"),$E42*'LV '!$C68,AND($C42="Plane - international (extra EU)"),$E42*'LV '!$C70)</f>
        <v>#N/A</v>
      </c>
      <c r="G42" s="31" t="e" cm="1">
        <f t="array" ref="G42">_xlfn.IFS(AND($C42="Fuel car",$D42=1),$E42*'LV '!D$7,AND($C42="Fuel car",$D42=2),$E42*'LV '!D$8,AND($C42="Fuel car",$D42=3),$E42*'LV '!D$9,AND($C42="Fuel car",$D42=4),$E42*'LV '!D$10,AND($C42="Fuel car",$D42=5),$E42*'LV '!D$11,AND($C42="Motorcycle",$D42=1),$E42*'LV '!D$13,AND($C42="Motorcycle",$D42=2),$E42*'LV '!D$14,AND($C42="Electric car",$D42=1),$E42*'LV '!D$16,AND($C42="Electric car",$D42=2),$E42*'LV '!D$17,AND($C42="Electric car",$D42=3),$E42*'LV '!D$18,AND($C42="Electric car",$D42=4),$E42*'LV '!D$19,AND($C42="Electric car",$D42=5),$E42*'LV '!D$20,AND($C42="Hybrid car",$D42=1),$E42*'LV '!D$22,AND($C42="Hybrid car",$D42=2),$E42*'LV '!D$23,AND($C42="Hybrid car",$D42=3),$E42*'LV '!D$24,AND($C42="Hybrid car",$D42=4),$E42*'LV '!D$25,AND($C42="Hybrid car",$D42=5),$E42*'LV '!D$26,AND($C42="Electric motorcycle",$D42=1),$E42*'LV '!D$28,AND($C42="Electric motorcycle",$D42=2),$E42*'LV '!D$29,AND($C42="Electric bike",$D42=1),$E42*'LV '!D$31,AND($C42="Electric scooter",$D42=1),$E42*'LV '!D$33,AND($C42="Bus",$D42="Almost empty"),$E42*'LV '!I$23,AND($C42="Bus",$D42="Average"),$E42*'LV '!I$24,AND($C42="Bus",$D42="Nearly full"),$E42*'LV '!I$25,AND($C42="Electric bus",$D42="Almost empty"),$E42*'LV '!I$7,AND($C42="Electric bus",$D42="Average"),$E42*'LV '!I$8,AND($C42="Electric bus",$D42="Nearly full"),$E42*'LV '!I$9,AND($C42="Diesel bus",$D42="Almost empty"),$E42*'LV '!I$19,AND($C42="Diesel bus",$D42="Average"),$E42*'LV '!I$20,AND($C42="Diesel bus",$D42="Nearly full"),$E42*'LV '!I$21,AND($C42="Hybrid-electric bus",$D42="Almost empty"),$E42*'LV '!I$11,AND($C42="Hybrid-electric bus",$D42="Average"),$E42*'LV '!I$12,AND($C42="Hybrid-electric bus",$D42="Nearly full"),$E42*'LV '!I$13,AND($C42="Alternative fuel bus",$D42="Almost empty"),$E42*'LV '!I$15,AND($C42="Alternative fuel bus",$D42="Average"),$E42*'LV '!I$16,AND($C42="Alternative fuel bus",$D42="Nearly full"),$E42*'LV '!I$17,AND($C42="Metro, tram, urban light train",$D42="Almost empty"),$E42*'LV '!D$35,AND($C42="Metro, tram, urban light train",$D42="Average"),$E42*'LV '!D$36,AND($C42="Metro, tram, urban light train",$D42="Nearly full"),$E42*'LV '!D$37,AND($C42="Electric passenger train",$D42="Almost empty"),$E42*'LV '!D$39,AND($C42="Electric passenger train",$D42="Average"),$E42*'LV '!D$40,AND($C42="Electric passenger train",$D42="Nearly full"),$E42*'LV '!D$41,AND($C42="Diesel passenger train",$D42="Almost empty"),$E42*'LV '!D$47,AND($C42="Diesel passenger train",$D42="Average"),$E42*'LV '!D$48,AND($C42="Diesel passenger train",$D42="Nearly full"),$E42*'LV '!D$49,AND($C42="Walking"),$E42*0,AND($C42="Bike"),$E42*0,AND($C42="Plane - domestic flight"),$E42*'LV '!$C66,AND($C42="Plane - international - intra EU"),$E42*'LV '!$C68,AND($C42="Plane - international (extra EU)"),$E42*'LV '!$C70)</f>
        <v>#N/A</v>
      </c>
      <c r="H42" s="145"/>
      <c r="I42" s="148">
        <f t="shared" si="6"/>
        <v>0</v>
      </c>
      <c r="J42" s="146" t="e" cm="1">
        <f t="array" ref="J42">_xlfn.IFS(C42="Fuel car",C42*DATA!$C$17,C42="Electric car",C42*DATA!$F$20,C42="Hybrid car",I42*(0.5*DATA!$C$17+0.5*DATA!$F$20))</f>
        <v>#N/A</v>
      </c>
      <c r="L42" s="235"/>
      <c r="M42" s="236"/>
      <c r="N42" s="237"/>
    </row>
    <row r="43" spans="1:14" ht="14.5" customHeight="1" thickBot="1" x14ac:dyDescent="0.25">
      <c r="A43" s="222"/>
      <c r="B43" s="30"/>
      <c r="C43" s="15"/>
      <c r="D43" s="15"/>
      <c r="E43" s="125"/>
      <c r="F43" s="128" t="e" cm="1">
        <f t="array" ref="F43">_xlfn.IFS(AND($C43="Fuel car",$D43=1),$E43*'LV '!C$7,AND($C43="Fuel car",$D43=2),$E43*'LV '!C$8,AND($C43="Fuel car",$D43=3),$E43*'LV '!C$9,AND($C43="Fuel car",$D43=4),$E43*'LV '!C$10,AND($C43="Fuel car",$D43=5),$E43*'LV '!C$11,AND($C43="Motorcycle",$D43=1),$E43*'LV '!C$13,AND($C43="Motorcycle",$D43=2),$E43*'LV '!C$14,AND($C43="Electric car",$D43=1),$E43*'LV '!C$16,AND($C43="Electric car",$D43=2),$E43*'LV '!C$17,AND($C43="Electric car",$D43=3),$E43*'LV '!C$18,AND($C43="Electric car",$D43=4),$E43*'LV '!C$19,AND($C43="Electric car",$D43=5),$E43*'LV '!C$20,AND($C43="Hybrid car",$D43=1),$E43*'LV '!C$22,AND($C43="Hybrid car",$D43=2),$E43*'LV '!C$23,AND($C43="Hybrid car",$D43=3),$E43*'LV '!C$24,AND($C43="Hybrid car",$D43=4),$E43*'LV '!C$25,AND($C43="Hybrid car",$D43=5),$E43*'LV '!C$26,AND($C43="Electric motorcycle",$D43=1),$E43*'LV '!C$28,AND($C43="Electric motorcycle",$D43=2),$E43*'LV '!C$29,AND($C43="Electric bike",$D43=1),$E43*'LV '!C$31,AND($C43="Electric scooter",$D43=1),$E43*'LV '!C$33,AND($C43="Bus",$D43="Almost empty"),$E43*'LV '!H$23,AND($C43="Bus",$D43="Average"),$E43*'LV '!H$24,AND($C43="Bus",$D43="Nearly full"),$E43*'LV '!H$25,AND($C43="Electric bus",$D43="Almost empty"),$E43*'LV '!H$7,AND($C43="Electric bus",$D43="Average"),$E43*'LV '!H$8,AND($C43="Electric bus",$D43="Nearly full"),$E43*'LV '!H$9,AND($C43="Diesel bus",$D43="Almost empty"),$E43*'LV '!H$19,AND($C43="Diesel bus",$D43="Average"),$E43*'LV '!H$20,AND($C43="Diesel bus",$D43="Nearly full"),$E43*'LV '!H$21,AND($C43="Hybrid-electric bus",$D43="Almost empty"),$E43*'LV '!H$11,AND($C43="Hybrid-electric bus",$D43="Average"),$E43*'LV '!H$12,AND($C43="Hybrid-electric bus",$D43="Nearly full"),$E43*'LV '!H$13,AND($C43="Alternative fuel bus",$D43="Almost empty"),$E43*'LV '!H$15,AND($C43="Alternative fuel bus",$D43="Average"),$E43*'LV '!H$16,AND($C43="Alternative fuel bus",$D43="Nearly full"),$E43*'LV '!H$17,AND($C43="Metro, tram, urban light train",$D43="Almost empty"),$E43*'LV '!C$35,AND($C43="Metro, tram, urban light train",$D43="Average"),$E43*'LV '!C$36,AND($C43="Metro, tram, urban light train",$D43="Nearly full"),$E43*'LV '!C$37,AND($C43="Electric passenger train",$D43="Almost empty"),$E43*'LV '!C$39,AND($C43="Electric passenger train",$D43="Average"),$E43*'LV '!C$40,AND($C43="Electric passenger train",$D43="Nearly full"),$E43*'LV '!C$41,AND($C43="Diesel passenger train",$D43="Almost empty"),$E43*'LV '!C$47,AND($C43="Diesel passenger train",$D43="Average"),$E43*'LV '!C$48,AND($C43="Diesel passenger train",$D43="Nearly full"),$E43*'LV '!C$49,AND($C43="Walking"),$E43*0,AND($C43="Bike"),$E43*0,AND($C43="Plane - domestic flight"),$E43*'LV '!$C67,AND($C43="Plane - international - intra EU"),$E43*'LV '!$C69,AND($C43="Plane - international (extra EU)"),$E43*'LV '!$C71)</f>
        <v>#N/A</v>
      </c>
      <c r="G43" s="31" t="e" cm="1">
        <f t="array" ref="G43">_xlfn.IFS(AND($C43="Fuel car",$D43=1),$E43*'LV '!D$7,AND($C43="Fuel car",$D43=2),$E43*'LV '!D$8,AND($C43="Fuel car",$D43=3),$E43*'LV '!D$9,AND($C43="Fuel car",$D43=4),$E43*'LV '!D$10,AND($C43="Fuel car",$D43=5),$E43*'LV '!D$11,AND($C43="Motorcycle",$D43=1),$E43*'LV '!D$13,AND($C43="Motorcycle",$D43=2),$E43*'LV '!D$14,AND($C43="Electric car",$D43=1),$E43*'LV '!D$16,AND($C43="Electric car",$D43=2),$E43*'LV '!D$17,AND($C43="Electric car",$D43=3),$E43*'LV '!D$18,AND($C43="Electric car",$D43=4),$E43*'LV '!D$19,AND($C43="Electric car",$D43=5),$E43*'LV '!D$20,AND($C43="Hybrid car",$D43=1),$E43*'LV '!D$22,AND($C43="Hybrid car",$D43=2),$E43*'LV '!D$23,AND($C43="Hybrid car",$D43=3),$E43*'LV '!D$24,AND($C43="Hybrid car",$D43=4),$E43*'LV '!D$25,AND($C43="Hybrid car",$D43=5),$E43*'LV '!D$26,AND($C43="Electric motorcycle",$D43=1),$E43*'LV '!D$28,AND($C43="Electric motorcycle",$D43=2),$E43*'LV '!D$29,AND($C43="Electric bike",$D43=1),$E43*'LV '!D$31,AND($C43="Electric scooter",$D43=1),$E43*'LV '!D$33,AND($C43="Bus",$D43="Almost empty"),$E43*'LV '!I$23,AND($C43="Bus",$D43="Average"),$E43*'LV '!I$24,AND($C43="Bus",$D43="Nearly full"),$E43*'LV '!I$25,AND($C43="Electric bus",$D43="Almost empty"),$E43*'LV '!I$7,AND($C43="Electric bus",$D43="Average"),$E43*'LV '!I$8,AND($C43="Electric bus",$D43="Nearly full"),$E43*'LV '!I$9,AND($C43="Diesel bus",$D43="Almost empty"),$E43*'LV '!I$19,AND($C43="Diesel bus",$D43="Average"),$E43*'LV '!I$20,AND($C43="Diesel bus",$D43="Nearly full"),$E43*'LV '!I$21,AND($C43="Hybrid-electric bus",$D43="Almost empty"),$E43*'LV '!I$11,AND($C43="Hybrid-electric bus",$D43="Average"),$E43*'LV '!I$12,AND($C43="Hybrid-electric bus",$D43="Nearly full"),$E43*'LV '!I$13,AND($C43="Alternative fuel bus",$D43="Almost empty"),$E43*'LV '!I$15,AND($C43="Alternative fuel bus",$D43="Average"),$E43*'LV '!I$16,AND($C43="Alternative fuel bus",$D43="Nearly full"),$E43*'LV '!I$17,AND($C43="Metro, tram, urban light train",$D43="Almost empty"),$E43*'LV '!D$35,AND($C43="Metro, tram, urban light train",$D43="Average"),$E43*'LV '!D$36,AND($C43="Metro, tram, urban light train",$D43="Nearly full"),$E43*'LV '!D$37,AND($C43="Electric passenger train",$D43="Almost empty"),$E43*'LV '!D$39,AND($C43="Electric passenger train",$D43="Average"),$E43*'LV '!D$40,AND($C43="Electric passenger train",$D43="Nearly full"),$E43*'LV '!D$41,AND($C43="Diesel passenger train",$D43="Almost empty"),$E43*'LV '!D$47,AND($C43="Diesel passenger train",$D43="Average"),$E43*'LV '!D$48,AND($C43="Diesel passenger train",$D43="Nearly full"),$E43*'LV '!D$49,AND($C43="Walking"),$E43*0,AND($C43="Bike"),$E43*0,AND($C43="Plane - domestic flight"),$E43*'LV '!$C67,AND($C43="Plane - international - intra EU"),$E43*'LV '!$C69,AND($C43="Plane - international (extra EU)"),$E43*'LV '!$C71)</f>
        <v>#N/A</v>
      </c>
      <c r="H43" s="109"/>
      <c r="I43" s="154">
        <f t="shared" si="6"/>
        <v>0</v>
      </c>
      <c r="J43" s="147" t="e" cm="1">
        <f t="array" ref="J43">_xlfn.IFS(C43="Fuel car",C43*DATA!$C$17,C43="Electric car",C43*DATA!$F$20,C43="Hybrid car",I43*(0.5*DATA!$C$17+0.5*DATA!$F$20))</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car",$D44=1),$E44*'LV '!C$7,AND($C44="Fuel car",$D44=2),$E44*'LV '!C$8,AND($C44="Fuel car",$D44=3),$E44*'LV '!C$9,AND($C44="Fuel car",$D44=4),$E44*'LV '!C$10,AND($C44="Fuel car",$D44=5),$E44*'LV '!C$11,AND($C44="Motorcycle",$D44=1),$E44*'LV '!C$13,AND($C44="Motorcycle",$D44=2),$E44*'LV '!C$14,AND($C44="Electric car",$D44=1),$E44*'LV '!C$16,AND($C44="Electric car",$D44=2),$E44*'LV '!C$17,AND($C44="Electric car",$D44=3),$E44*'LV '!C$18,AND($C44="Electric car",$D44=4),$E44*'LV '!C$19,AND($C44="Electric car",$D44=5),$E44*'LV '!C$20,AND($C44="Hybrid car",$D44=1),$E44*'LV '!C$22,AND($C44="Hybrid car",$D44=2),$E44*'LV '!C$23,AND($C44="Hybrid car",$D44=3),$E44*'LV '!C$24,AND($C44="Hybrid car",$D44=4),$E44*'LV '!C$25,AND($C44="Hybrid car",$D44=5),$E44*'LV '!C$26,AND($C44="Electric motorcycle",$D44=1),$E44*'LV '!C$28,AND($C44="Electric motorcycle",$D44=2),$E44*'LV '!C$29,AND($C44="Electric bike",$D44=1),$E44*'LV '!C$31,AND($C44="Electric scooter",$D44=1),$E44*'LV '!C$33,AND($C44="Bus",$D44="Almost empty"),$E44*'LV '!H$23,AND($C44="Bus",$D44="Average"),$E44*'LV '!H$24,AND($C44="Bus",$D44="Nearly full"),$E44*'LV '!H$25,AND($C44="Electric bus",$D44="Almost empty"),$E44*'LV '!H$7,AND($C44="Electric bus",$D44="Average"),$E44*'LV '!H$8,AND($C44="Electric bus",$D44="Nearly full"),$E44*'LV '!H$9,AND($C44="Diesel bus",$D44="Almost empty"),$E44*'LV '!H$19,AND($C44="Diesel bus",$D44="Average"),$E44*'LV '!H$20,AND($C44="Diesel bus",$D44="Nearly full"),$E44*'LV '!H$21,AND($C44="Hybrid-electric bus",$D44="Almost empty"),$E44*'LV '!H$11,AND($C44="Hybrid-electric bus",$D44="Average"),$E44*'LV '!H$12,AND($C44="Hybrid-electric bus",$D44="Nearly full"),$E44*'LV '!H$13,AND($C44="Alternative fuel bus",$D44="Almost empty"),$E44*'LV '!H$15,AND($C44="Alternative fuel bus",$D44="Average"),$E44*'LV '!H$16,AND($C44="Alternative fuel bus",$D44="Nearly full"),$E44*'LV '!H$17,AND($C44="Metro, tram, urban light train",$D44="Almost empty"),$E44*'LV '!C$35,AND($C44="Metro, tram, urban light train",$D44="Average"),$E44*'LV '!C$36,AND($C44="Metro, tram, urban light train",$D44="Nearly full"),$E44*'LV '!C$37,AND($C44="Electric passenger train",$D44="Almost empty"),$E44*'LV '!C$39,AND($C44="Electric passenger train",$D44="Average"),$E44*'LV '!C$40,AND($C44="Electric passenger train",$D44="Nearly full"),$E44*'LV '!C$41,AND($C44="Diesel passenger train",$D44="Almost empty"),$E44*'LV '!C$47,AND($C44="Diesel passenger train",$D44="Average"),$E44*'LV '!C$48,AND($C44="Diesel passenger train",$D44="Nearly full"),$E44*'LV '!C$49,AND($C44="Walking"),$E44*0,AND($C44="Bike"),$E44*0,AND($C44="Plane - domestic flight"),$E44*'LV '!$C68,AND($C44="Plane - international - intra EU"),$E44*'LV '!$C70,AND($C44="Plane - international (extra EU)"),$E44*'LV '!$C72)</f>
        <v>#N/A</v>
      </c>
      <c r="G44" s="31" t="e" cm="1">
        <f t="array" ref="G44">_xlfn.IFS(AND($C44="Fuel car",$D44=1),$E44*'LV '!D$7,AND($C44="Fuel car",$D44=2),$E44*'LV '!D$8,AND($C44="Fuel car",$D44=3),$E44*'LV '!D$9,AND($C44="Fuel car",$D44=4),$E44*'LV '!D$10,AND($C44="Fuel car",$D44=5),$E44*'LV '!D$11,AND($C44="Motorcycle",$D44=1),$E44*'LV '!D$13,AND($C44="Motorcycle",$D44=2),$E44*'LV '!D$14,AND($C44="Electric car",$D44=1),$E44*'LV '!D$16,AND($C44="Electric car",$D44=2),$E44*'LV '!D$17,AND($C44="Electric car",$D44=3),$E44*'LV '!D$18,AND($C44="Electric car",$D44=4),$E44*'LV '!D$19,AND($C44="Electric car",$D44=5),$E44*'LV '!D$20,AND($C44="Hybrid car",$D44=1),$E44*'LV '!D$22,AND($C44="Hybrid car",$D44=2),$E44*'LV '!D$23,AND($C44="Hybrid car",$D44=3),$E44*'LV '!D$24,AND($C44="Hybrid car",$D44=4),$E44*'LV '!D$25,AND($C44="Hybrid car",$D44=5),$E44*'LV '!D$26,AND($C44="Electric motorcycle",$D44=1),$E44*'LV '!D$28,AND($C44="Electric motorcycle",$D44=2),$E44*'LV '!D$29,AND($C44="Electric bike",$D44=1),$E44*'LV '!D$31,AND($C44="Electric scooter",$D44=1),$E44*'LV '!D$33,AND($C44="Bus",$D44="Almost empty"),$E44*'LV '!I$23,AND($C44="Bus",$D44="Average"),$E44*'LV '!I$24,AND($C44="Bus",$D44="Nearly full"),$E44*'LV '!I$25,AND($C44="Electric bus",$D44="Almost empty"),$E44*'LV '!I$7,AND($C44="Electric bus",$D44="Average"),$E44*'LV '!I$8,AND($C44="Electric bus",$D44="Nearly full"),$E44*'LV '!I$9,AND($C44="Diesel bus",$D44="Almost empty"),$E44*'LV '!I$19,AND($C44="Diesel bus",$D44="Average"),$E44*'LV '!I$20,AND($C44="Diesel bus",$D44="Nearly full"),$E44*'LV '!I$21,AND($C44="Hybrid-electric bus",$D44="Almost empty"),$E44*'LV '!I$11,AND($C44="Hybrid-electric bus",$D44="Average"),$E44*'LV '!I$12,AND($C44="Hybrid-electric bus",$D44="Nearly full"),$E44*'LV '!I$13,AND($C44="Alternative fuel bus",$D44="Almost empty"),$E44*'LV '!I$15,AND($C44="Alternative fuel bus",$D44="Average"),$E44*'LV '!I$16,AND($C44="Alternative fuel bus",$D44="Nearly full"),$E44*'LV '!I$17,AND($C44="Metro, tram, urban light train",$D44="Almost empty"),$E44*'LV '!D$35,AND($C44="Metro, tram, urban light train",$D44="Average"),$E44*'LV '!D$36,AND($C44="Metro, tram, urban light train",$D44="Nearly full"),$E44*'LV '!D$37,AND($C44="Electric passenger train",$D44="Almost empty"),$E44*'LV '!D$39,AND($C44="Electric passenger train",$D44="Average"),$E44*'LV '!D$40,AND($C44="Electric passenger train",$D44="Nearly full"),$E44*'LV '!D$41,AND($C44="Diesel passenger train",$D44="Almost empty"),$E44*'LV '!D$47,AND($C44="Diesel passenger train",$D44="Average"),$E44*'LV '!D$48,AND($C44="Diesel passenger train",$D44="Nearly full"),$E44*'LV '!D$49,AND($C44="Walking"),$E44*0,AND($C44="Bike"),$E44*0,AND($C44="Plane - domestic flight"),$E44*'LV '!$C68,AND($C44="Plane - international - intra EU"),$E44*'LV '!$C70,AND($C44="Plane - international (extra EU)"),$E44*'LV '!$C72)</f>
        <v>#N/A</v>
      </c>
      <c r="L44" s="218"/>
      <c r="M44" s="219"/>
      <c r="N44" s="220"/>
    </row>
    <row r="45" spans="1:14" ht="14.5" customHeight="1" x14ac:dyDescent="0.2">
      <c r="A45" s="222"/>
      <c r="B45" s="30"/>
      <c r="C45" s="15"/>
      <c r="D45" s="15"/>
      <c r="E45" s="125"/>
      <c r="F45" s="128" t="e" cm="1">
        <f t="array" ref="F45">_xlfn.IFS(AND($C45="Fuel car",$D45=1),$E45*'LV '!C$7,AND($C45="Fuel car",$D45=2),$E45*'LV '!C$8,AND($C45="Fuel car",$D45=3),$E45*'LV '!C$9,AND($C45="Fuel car",$D45=4),$E45*'LV '!C$10,AND($C45="Fuel car",$D45=5),$E45*'LV '!C$11,AND($C45="Motorcycle",$D45=1),$E45*'LV '!C$13,AND($C45="Motorcycle",$D45=2),$E45*'LV '!C$14,AND($C45="Electric car",$D45=1),$E45*'LV '!C$16,AND($C45="Electric car",$D45=2),$E45*'LV '!C$17,AND($C45="Electric car",$D45=3),$E45*'LV '!C$18,AND($C45="Electric car",$D45=4),$E45*'LV '!C$19,AND($C45="Electric car",$D45=5),$E45*'LV '!C$20,AND($C45="Hybrid car",$D45=1),$E45*'LV '!C$22,AND($C45="Hybrid car",$D45=2),$E45*'LV '!C$23,AND($C45="Hybrid car",$D45=3),$E45*'LV '!C$24,AND($C45="Hybrid car",$D45=4),$E45*'LV '!C$25,AND($C45="Hybrid car",$D45=5),$E45*'LV '!C$26,AND($C45="Electric motorcycle",$D45=1),$E45*'LV '!C$28,AND($C45="Electric motorcycle",$D45=2),$E45*'LV '!C$29,AND($C45="Electric bike",$D45=1),$E45*'LV '!C$31,AND($C45="Electric scooter",$D45=1),$E45*'LV '!C$33,AND($C45="Bus",$D45="Almost empty"),$E45*'LV '!H$23,AND($C45="Bus",$D45="Average"),$E45*'LV '!H$24,AND($C45="Bus",$D45="Nearly full"),$E45*'LV '!H$25,AND($C45="Electric bus",$D45="Almost empty"),$E45*'LV '!H$7,AND($C45="Electric bus",$D45="Average"),$E45*'LV '!H$8,AND($C45="Electric bus",$D45="Nearly full"),$E45*'LV '!H$9,AND($C45="Diesel bus",$D45="Almost empty"),$E45*'LV '!H$19,AND($C45="Diesel bus",$D45="Average"),$E45*'LV '!H$20,AND($C45="Diesel bus",$D45="Nearly full"),$E45*'LV '!H$21,AND($C45="Hybrid-electric bus",$D45="Almost empty"),$E45*'LV '!H$11,AND($C45="Hybrid-electric bus",$D45="Average"),$E45*'LV '!H$12,AND($C45="Hybrid-electric bus",$D45="Nearly full"),$E45*'LV '!H$13,AND($C45="Alternative fuel bus",$D45="Almost empty"),$E45*'LV '!H$15,AND($C45="Alternative fuel bus",$D45="Average"),$E45*'LV '!H$16,AND($C45="Alternative fuel bus",$D45="Nearly full"),$E45*'LV '!H$17,AND($C45="Metro, tram, urban light train",$D45="Almost empty"),$E45*'LV '!C$35,AND($C45="Metro, tram, urban light train",$D45="Average"),$E45*'LV '!C$36,AND($C45="Metro, tram, urban light train",$D45="Nearly full"),$E45*'LV '!C$37,AND($C45="Electric passenger train",$D45="Almost empty"),$E45*'LV '!C$39,AND($C45="Electric passenger train",$D45="Average"),$E45*'LV '!C$40,AND($C45="Electric passenger train",$D45="Nearly full"),$E45*'LV '!C$41,AND($C45="Diesel passenger train",$D45="Almost empty"),$E45*'LV '!C$47,AND($C45="Diesel passenger train",$D45="Average"),$E45*'LV '!C$48,AND($C45="Diesel passenger train",$D45="Nearly full"),$E45*'LV '!C$49,AND($C45="Walking"),$E45*0,AND($C45="Bike"),$E45*0,AND($C45="Plane - domestic flight"),$E45*'LV '!$C69,AND($C45="Plane - international - intra EU"),$E45*'LV '!$C71,AND($C45="Plane - international (extra EU)"),$E45*'LV '!$C73)</f>
        <v>#N/A</v>
      </c>
      <c r="G45" s="31" t="e" cm="1">
        <f t="array" ref="G45">_xlfn.IFS(AND($C45="Fuel car",$D45=1),$E45*'LV '!D$7,AND($C45="Fuel car",$D45=2),$E45*'LV '!D$8,AND($C45="Fuel car",$D45=3),$E45*'LV '!D$9,AND($C45="Fuel car",$D45=4),$E45*'LV '!D$10,AND($C45="Fuel car",$D45=5),$E45*'LV '!D$11,AND($C45="Motorcycle",$D45=1),$E45*'LV '!D$13,AND($C45="Motorcycle",$D45=2),$E45*'LV '!D$14,AND($C45="Electric car",$D45=1),$E45*'LV '!D$16,AND($C45="Electric car",$D45=2),$E45*'LV '!D$17,AND($C45="Electric car",$D45=3),$E45*'LV '!D$18,AND($C45="Electric car",$D45=4),$E45*'LV '!D$19,AND($C45="Electric car",$D45=5),$E45*'LV '!D$20,AND($C45="Hybrid car",$D45=1),$E45*'LV '!D$22,AND($C45="Hybrid car",$D45=2),$E45*'LV '!D$23,AND($C45="Hybrid car",$D45=3),$E45*'LV '!D$24,AND($C45="Hybrid car",$D45=4),$E45*'LV '!D$25,AND($C45="Hybrid car",$D45=5),$E45*'LV '!D$26,AND($C45="Electric motorcycle",$D45=1),$E45*'LV '!D$28,AND($C45="Electric motorcycle",$D45=2),$E45*'LV '!D$29,AND($C45="Electric bike",$D45=1),$E45*'LV '!D$31,AND($C45="Electric scooter",$D45=1),$E45*'LV '!D$33,AND($C45="Bus",$D45="Almost empty"),$E45*'LV '!I$23,AND($C45="Bus",$D45="Average"),$E45*'LV '!I$24,AND($C45="Bus",$D45="Nearly full"),$E45*'LV '!I$25,AND($C45="Electric bus",$D45="Almost empty"),$E45*'LV '!I$7,AND($C45="Electric bus",$D45="Average"),$E45*'LV '!I$8,AND($C45="Electric bus",$D45="Nearly full"),$E45*'LV '!I$9,AND($C45="Diesel bus",$D45="Almost empty"),$E45*'LV '!I$19,AND($C45="Diesel bus",$D45="Average"),$E45*'LV '!I$20,AND($C45="Diesel bus",$D45="Nearly full"),$E45*'LV '!I$21,AND($C45="Hybrid-electric bus",$D45="Almost empty"),$E45*'LV '!I$11,AND($C45="Hybrid-electric bus",$D45="Average"),$E45*'LV '!I$12,AND($C45="Hybrid-electric bus",$D45="Nearly full"),$E45*'LV '!I$13,AND($C45="Alternative fuel bus",$D45="Almost empty"),$E45*'LV '!I$15,AND($C45="Alternative fuel bus",$D45="Average"),$E45*'LV '!I$16,AND($C45="Alternative fuel bus",$D45="Nearly full"),$E45*'LV '!I$17,AND($C45="Metro, tram, urban light train",$D45="Almost empty"),$E45*'LV '!D$35,AND($C45="Metro, tram, urban light train",$D45="Average"),$E45*'LV '!D$36,AND($C45="Metro, tram, urban light train",$D45="Nearly full"),$E45*'LV '!D$37,AND($C45="Electric passenger train",$D45="Almost empty"),$E45*'LV '!D$39,AND($C45="Electric passenger train",$D45="Average"),$E45*'LV '!D$40,AND($C45="Electric passenger train",$D45="Nearly full"),$E45*'LV '!D$41,AND($C45="Diesel passenger train",$D45="Almost empty"),$E45*'LV '!D$47,AND($C45="Diesel passenger train",$D45="Average"),$E45*'LV '!D$48,AND($C45="Diesel passenger train",$D45="Nearly full"),$E45*'LV '!D$49,AND($C45="Walking"),$E45*0,AND($C45="Bike"),$E45*0,AND($C45="Plane - domestic flight"),$E45*'LV '!$C69,AND($C45="Plane - international - intra EU"),$E45*'LV '!$C71,AND($C45="Plane - international (extra EU)"),$E45*'LV '!$C73)</f>
        <v>#N/A</v>
      </c>
      <c r="L45" s="198" t="s">
        <v>256</v>
      </c>
      <c r="M45" s="199"/>
      <c r="N45" s="200"/>
    </row>
    <row r="46" spans="1:14" ht="16" thickBot="1" x14ac:dyDescent="0.25">
      <c r="A46" s="222"/>
      <c r="B46" s="30"/>
      <c r="C46" s="15"/>
      <c r="D46" s="15"/>
      <c r="E46" s="125"/>
      <c r="F46" s="128" t="e" cm="1">
        <f t="array" ref="F46">_xlfn.IFS(AND($C46="Fuel car",$D46=1),$E46*'LV '!C$7,AND($C46="Fuel car",$D46=2),$E46*'LV '!C$8,AND($C46="Fuel car",$D46=3),$E46*'LV '!C$9,AND($C46="Fuel car",$D46=4),$E46*'LV '!C$10,AND($C46="Fuel car",$D46=5),$E46*'LV '!C$11,AND($C46="Motorcycle",$D46=1),$E46*'LV '!C$13,AND($C46="Motorcycle",$D46=2),$E46*'LV '!C$14,AND($C46="Electric car",$D46=1),$E46*'LV '!C$16,AND($C46="Electric car",$D46=2),$E46*'LV '!C$17,AND($C46="Electric car",$D46=3),$E46*'LV '!C$18,AND($C46="Electric car",$D46=4),$E46*'LV '!C$19,AND($C46="Electric car",$D46=5),$E46*'LV '!C$20,AND($C46="Hybrid car",$D46=1),$E46*'LV '!C$22,AND($C46="Hybrid car",$D46=2),$E46*'LV '!C$23,AND($C46="Hybrid car",$D46=3),$E46*'LV '!C$24,AND($C46="Hybrid car",$D46=4),$E46*'LV '!C$25,AND($C46="Hybrid car",$D46=5),$E46*'LV '!C$26,AND($C46="Electric motorcycle",$D46=1),$E46*'LV '!C$28,AND($C46="Electric motorcycle",$D46=2),$E46*'LV '!C$29,AND($C46="Electric bike",$D46=1),$E46*'LV '!C$31,AND($C46="Electric scooter",$D46=1),$E46*'LV '!C$33,AND($C46="Bus",$D46="Almost empty"),$E46*'LV '!H$23,AND($C46="Bus",$D46="Average"),$E46*'LV '!H$24,AND($C46="Bus",$D46="Nearly full"),$E46*'LV '!H$25,AND($C46="Electric bus",$D46="Almost empty"),$E46*'LV '!H$7,AND($C46="Electric bus",$D46="Average"),$E46*'LV '!H$8,AND($C46="Electric bus",$D46="Nearly full"),$E46*'LV '!H$9,AND($C46="Diesel bus",$D46="Almost empty"),$E46*'LV '!H$19,AND($C46="Diesel bus",$D46="Average"),$E46*'LV '!H$20,AND($C46="Diesel bus",$D46="Nearly full"),$E46*'LV '!H$21,AND($C46="Hybrid-electric bus",$D46="Almost empty"),$E46*'LV '!H$11,AND($C46="Hybrid-electric bus",$D46="Average"),$E46*'LV '!H$12,AND($C46="Hybrid-electric bus",$D46="Nearly full"),$E46*'LV '!H$13,AND($C46="Alternative fuel bus",$D46="Almost empty"),$E46*'LV '!H$15,AND($C46="Alternative fuel bus",$D46="Average"),$E46*'LV '!H$16,AND($C46="Alternative fuel bus",$D46="Nearly full"),$E46*'LV '!H$17,AND($C46="Metro, tram, urban light train",$D46="Almost empty"),$E46*'LV '!C$35,AND($C46="Metro, tram, urban light train",$D46="Average"),$E46*'LV '!C$36,AND($C46="Metro, tram, urban light train",$D46="Nearly full"),$E46*'LV '!C$37,AND($C46="Electric passenger train",$D46="Almost empty"),$E46*'LV '!C$39,AND($C46="Electric passenger train",$D46="Average"),$E46*'LV '!C$40,AND($C46="Electric passenger train",$D46="Nearly full"),$E46*'LV '!C$41,AND($C46="Diesel passenger train",$D46="Almost empty"),$E46*'LV '!C$47,AND($C46="Diesel passenger train",$D46="Average"),$E46*'LV '!C$48,AND($C46="Diesel passenger train",$D46="Nearly full"),$E46*'LV '!C$49,AND($C46="Walking"),$E46*0,AND($C46="Bike"),$E46*0,AND($C46="Plane - domestic flight"),$E46*'LV '!$C70,AND($C46="Plane - international - intra EU"),$E46*'LV '!$C72,AND($C46="Plane - international (extra EU)"),$E46*'LV '!$C74)</f>
        <v>#N/A</v>
      </c>
      <c r="G46" s="31" t="e" cm="1">
        <f t="array" ref="G46">_xlfn.IFS(AND($C46="Fuel car",$D46=1),$E46*'LV '!D$7,AND($C46="Fuel car",$D46=2),$E46*'LV '!D$8,AND($C46="Fuel car",$D46=3),$E46*'LV '!D$9,AND($C46="Fuel car",$D46=4),$E46*'LV '!D$10,AND($C46="Fuel car",$D46=5),$E46*'LV '!D$11,AND($C46="Motorcycle",$D46=1),$E46*'LV '!D$13,AND($C46="Motorcycle",$D46=2),$E46*'LV '!D$14,AND($C46="Electric car",$D46=1),$E46*'LV '!D$16,AND($C46="Electric car",$D46=2),$E46*'LV '!D$17,AND($C46="Electric car",$D46=3),$E46*'LV '!D$18,AND($C46="Electric car",$D46=4),$E46*'LV '!D$19,AND($C46="Electric car",$D46=5),$E46*'LV '!D$20,AND($C46="Hybrid car",$D46=1),$E46*'LV '!D$22,AND($C46="Hybrid car",$D46=2),$E46*'LV '!D$23,AND($C46="Hybrid car",$D46=3),$E46*'LV '!D$24,AND($C46="Hybrid car",$D46=4),$E46*'LV '!D$25,AND($C46="Hybrid car",$D46=5),$E46*'LV '!D$26,AND($C46="Electric motorcycle",$D46=1),$E46*'LV '!D$28,AND($C46="Electric motorcycle",$D46=2),$E46*'LV '!D$29,AND($C46="Electric bike",$D46=1),$E46*'LV '!D$31,AND($C46="Electric scooter",$D46=1),$E46*'LV '!D$33,AND($C46="Bus",$D46="Almost empty"),$E46*'LV '!I$23,AND($C46="Bus",$D46="Average"),$E46*'LV '!I$24,AND($C46="Bus",$D46="Nearly full"),$E46*'LV '!I$25,AND($C46="Electric bus",$D46="Almost empty"),$E46*'LV '!I$7,AND($C46="Electric bus",$D46="Average"),$E46*'LV '!I$8,AND($C46="Electric bus",$D46="Nearly full"),$E46*'LV '!I$9,AND($C46="Diesel bus",$D46="Almost empty"),$E46*'LV '!I$19,AND($C46="Diesel bus",$D46="Average"),$E46*'LV '!I$20,AND($C46="Diesel bus",$D46="Nearly full"),$E46*'LV '!I$21,AND($C46="Hybrid-electric bus",$D46="Almost empty"),$E46*'LV '!I$11,AND($C46="Hybrid-electric bus",$D46="Average"),$E46*'LV '!I$12,AND($C46="Hybrid-electric bus",$D46="Nearly full"),$E46*'LV '!I$13,AND($C46="Alternative fuel bus",$D46="Almost empty"),$E46*'LV '!I$15,AND($C46="Alternative fuel bus",$D46="Average"),$E46*'LV '!I$16,AND($C46="Alternative fuel bus",$D46="Nearly full"),$E46*'LV '!I$17,AND($C46="Metro, tram, urban light train",$D46="Almost empty"),$E46*'LV '!D$35,AND($C46="Metro, tram, urban light train",$D46="Average"),$E46*'LV '!D$36,AND($C46="Metro, tram, urban light train",$D46="Nearly full"),$E46*'LV '!D$37,AND($C46="Electric passenger train",$D46="Almost empty"),$E46*'LV '!D$39,AND($C46="Electric passenger train",$D46="Average"),$E46*'LV '!D$40,AND($C46="Electric passenger train",$D46="Nearly full"),$E46*'LV '!D$41,AND($C46="Diesel passenger train",$D46="Almost empty"),$E46*'LV '!D$47,AND($C46="Diesel passenger train",$D46="Average"),$E46*'LV '!D$48,AND($C46="Diesel passenger train",$D46="Nearly full"),$E46*'LV '!D$49,AND($C46="Walking"),$E46*0,AND($C46="Bike"),$E46*0,AND($C46="Plane - domestic flight"),$E46*'LV '!$C70,AND($C46="Plane - international - intra EU"),$E46*'LV '!$C72,AND($C46="Plane - international (extra EU)"),$E46*'LV '!$C74)</f>
        <v>#N/A</v>
      </c>
      <c r="L46" s="246"/>
      <c r="M46" s="247"/>
      <c r="N46" s="248"/>
    </row>
    <row r="47" spans="1:14" ht="20" thickBot="1" x14ac:dyDescent="0.25">
      <c r="A47" s="222"/>
      <c r="B47" s="30"/>
      <c r="C47" s="15"/>
      <c r="D47" s="15"/>
      <c r="E47" s="125"/>
      <c r="F47" s="128" t="e" cm="1">
        <f t="array" ref="F47">_xlfn.IFS(AND($C47="Fuel car",$D47=1),$E47*'LV '!C$7,AND($C47="Fuel car",$D47=2),$E47*'LV '!C$8,AND($C47="Fuel car",$D47=3),$E47*'LV '!C$9,AND($C47="Fuel car",$D47=4),$E47*'LV '!C$10,AND($C47="Fuel car",$D47=5),$E47*'LV '!C$11,AND($C47="Motorcycle",$D47=1),$E47*'LV '!C$13,AND($C47="Motorcycle",$D47=2),$E47*'LV '!C$14,AND($C47="Electric car",$D47=1),$E47*'LV '!C$16,AND($C47="Electric car",$D47=2),$E47*'LV '!C$17,AND($C47="Electric car",$D47=3),$E47*'LV '!C$18,AND($C47="Electric car",$D47=4),$E47*'LV '!C$19,AND($C47="Electric car",$D47=5),$E47*'LV '!C$20,AND($C47="Hybrid car",$D47=1),$E47*'LV '!C$22,AND($C47="Hybrid car",$D47=2),$E47*'LV '!C$23,AND($C47="Hybrid car",$D47=3),$E47*'LV '!C$24,AND($C47="Hybrid car",$D47=4),$E47*'LV '!C$25,AND($C47="Hybrid car",$D47=5),$E47*'LV '!C$26,AND($C47="Electric motorcycle",$D47=1),$E47*'LV '!C$28,AND($C47="Electric motorcycle",$D47=2),$E47*'LV '!C$29,AND($C47="Electric bike",$D47=1),$E47*'LV '!C$31,AND($C47="Electric scooter",$D47=1),$E47*'LV '!C$33,AND($C47="Bus",$D47="Almost empty"),$E47*'LV '!H$23,AND($C47="Bus",$D47="Average"),$E47*'LV '!H$24,AND($C47="Bus",$D47="Nearly full"),$E47*'LV '!H$25,AND($C47="Electric bus",$D47="Almost empty"),$E47*'LV '!H$7,AND($C47="Electric bus",$D47="Average"),$E47*'LV '!H$8,AND($C47="Electric bus",$D47="Nearly full"),$E47*'LV '!H$9,AND($C47="Diesel bus",$D47="Almost empty"),$E47*'LV '!H$19,AND($C47="Diesel bus",$D47="Average"),$E47*'LV '!H$20,AND($C47="Diesel bus",$D47="Nearly full"),$E47*'LV '!H$21,AND($C47="Hybrid-electric bus",$D47="Almost empty"),$E47*'LV '!H$11,AND($C47="Hybrid-electric bus",$D47="Average"),$E47*'LV '!H$12,AND($C47="Hybrid-electric bus",$D47="Nearly full"),$E47*'LV '!H$13,AND($C47="Alternative fuel bus",$D47="Almost empty"),$E47*'LV '!H$15,AND($C47="Alternative fuel bus",$D47="Average"),$E47*'LV '!H$16,AND($C47="Alternative fuel bus",$D47="Nearly full"),$E47*'LV '!H$17,AND($C47="Metro, tram, urban light train",$D47="Almost empty"),$E47*'LV '!C$35,AND($C47="Metro, tram, urban light train",$D47="Average"),$E47*'LV '!C$36,AND($C47="Metro, tram, urban light train",$D47="Nearly full"),$E47*'LV '!C$37,AND($C47="Electric passenger train",$D47="Almost empty"),$E47*'LV '!C$39,AND($C47="Electric passenger train",$D47="Average"),$E47*'LV '!C$40,AND($C47="Electric passenger train",$D47="Nearly full"),$E47*'LV '!C$41,AND($C47="Diesel passenger train",$D47="Almost empty"),$E47*'LV '!C$47,AND($C47="Diesel passenger train",$D47="Average"),$E47*'LV '!C$48,AND($C47="Diesel passenger train",$D47="Nearly full"),$E47*'LV '!C$49,AND($C47="Walking"),$E47*0,AND($C47="Bike"),$E47*0,AND($C47="Plane - domestic flight"),$E47*'LV '!$C71,AND($C47="Plane - international - intra EU"),$E47*'LV '!$C73,AND($C47="Plane - international (extra EU)"),$E47*'LV '!$C75)</f>
        <v>#N/A</v>
      </c>
      <c r="G47" s="31" t="e" cm="1">
        <f t="array" ref="G47">_xlfn.IFS(AND($C47="Fuel car",$D47=1),$E47*'LV '!D$7,AND($C47="Fuel car",$D47=2),$E47*'LV '!D$8,AND($C47="Fuel car",$D47=3),$E47*'LV '!D$9,AND($C47="Fuel car",$D47=4),$E47*'LV '!D$10,AND($C47="Fuel car",$D47=5),$E47*'LV '!D$11,AND($C47="Motorcycle",$D47=1),$E47*'LV '!D$13,AND($C47="Motorcycle",$D47=2),$E47*'LV '!D$14,AND($C47="Electric car",$D47=1),$E47*'LV '!D$16,AND($C47="Electric car",$D47=2),$E47*'LV '!D$17,AND($C47="Electric car",$D47=3),$E47*'LV '!D$18,AND($C47="Electric car",$D47=4),$E47*'LV '!D$19,AND($C47="Electric car",$D47=5),$E47*'LV '!D$20,AND($C47="Hybrid car",$D47=1),$E47*'LV '!D$22,AND($C47="Hybrid car",$D47=2),$E47*'LV '!D$23,AND($C47="Hybrid car",$D47=3),$E47*'LV '!D$24,AND($C47="Hybrid car",$D47=4),$E47*'LV '!D$25,AND($C47="Hybrid car",$D47=5),$E47*'LV '!D$26,AND($C47="Electric motorcycle",$D47=1),$E47*'LV '!D$28,AND($C47="Electric motorcycle",$D47=2),$E47*'LV '!D$29,AND($C47="Electric bike",$D47=1),$E47*'LV '!D$31,AND($C47="Electric scooter",$D47=1),$E47*'LV '!D$33,AND($C47="Bus",$D47="Almost empty"),$E47*'LV '!I$23,AND($C47="Bus",$D47="Average"),$E47*'LV '!I$24,AND($C47="Bus",$D47="Nearly full"),$E47*'LV '!I$25,AND($C47="Electric bus",$D47="Almost empty"),$E47*'LV '!I$7,AND($C47="Electric bus",$D47="Average"),$E47*'LV '!I$8,AND($C47="Electric bus",$D47="Nearly full"),$E47*'LV '!I$9,AND($C47="Diesel bus",$D47="Almost empty"),$E47*'LV '!I$19,AND($C47="Diesel bus",$D47="Average"),$E47*'LV '!I$20,AND($C47="Diesel bus",$D47="Nearly full"),$E47*'LV '!I$21,AND($C47="Hybrid-electric bus",$D47="Almost empty"),$E47*'LV '!I$11,AND($C47="Hybrid-electric bus",$D47="Average"),$E47*'LV '!I$12,AND($C47="Hybrid-electric bus",$D47="Nearly full"),$E47*'LV '!I$13,AND($C47="Alternative fuel bus",$D47="Almost empty"),$E47*'LV '!I$15,AND($C47="Alternative fuel bus",$D47="Average"),$E47*'LV '!I$16,AND($C47="Alternative fuel bus",$D47="Nearly full"),$E47*'LV '!I$17,AND($C47="Metro, tram, urban light train",$D47="Almost empty"),$E47*'LV '!D$35,AND($C47="Metro, tram, urban light train",$D47="Average"),$E47*'LV '!D$36,AND($C47="Metro, tram, urban light train",$D47="Nearly full"),$E47*'LV '!D$37,AND($C47="Electric passenger train",$D47="Almost empty"),$E47*'LV '!D$39,AND($C47="Electric passenger train",$D47="Average"),$E47*'LV '!D$40,AND($C47="Electric passenger train",$D47="Nearly full"),$E47*'LV '!D$41,AND($C47="Diesel passenger train",$D47="Almost empty"),$E47*'LV '!D$47,AND($C47="Diesel passenger train",$D47="Average"),$E47*'LV '!D$48,AND($C47="Diesel passenger train",$D47="Nearly full"),$E47*'LV '!D$49,AND($C47="Walking"),$E47*0,AND($C47="Bike"),$E47*0,AND($C47="Plane - domestic flight"),$E47*'LV '!$C71,AND($C47="Plane - international - intra EU"),$E47*'LV '!$C73,AND($C47="Plane - international (extra EU)"),$E47*'LV '!$C75)</f>
        <v>#N/A</v>
      </c>
      <c r="L47" s="238" t="s">
        <v>56</v>
      </c>
      <c r="M47" s="239"/>
      <c r="N47" s="240"/>
    </row>
    <row r="48" spans="1:14" ht="16" thickBot="1" x14ac:dyDescent="0.25">
      <c r="A48" s="222"/>
      <c r="B48" s="30"/>
      <c r="C48" s="15"/>
      <c r="D48" s="15"/>
      <c r="E48" s="125"/>
      <c r="F48" s="128" t="e" cm="1">
        <f t="array" ref="F48">_xlfn.IFS(AND($C48="Fuel car",$D48=1),$E48*'LV '!C$7,AND($C48="Fuel car",$D48=2),$E48*'LV '!C$8,AND($C48="Fuel car",$D48=3),$E48*'LV '!C$9,AND($C48="Fuel car",$D48=4),$E48*'LV '!C$10,AND($C48="Fuel car",$D48=5),$E48*'LV '!C$11,AND($C48="Motorcycle",$D48=1),$E48*'LV '!C$13,AND($C48="Motorcycle",$D48=2),$E48*'LV '!C$14,AND($C48="Electric car",$D48=1),$E48*'LV '!C$16,AND($C48="Electric car",$D48=2),$E48*'LV '!C$17,AND($C48="Electric car",$D48=3),$E48*'LV '!C$18,AND($C48="Electric car",$D48=4),$E48*'LV '!C$19,AND($C48="Electric car",$D48=5),$E48*'LV '!C$20,AND($C48="Hybrid car",$D48=1),$E48*'LV '!C$22,AND($C48="Hybrid car",$D48=2),$E48*'LV '!C$23,AND($C48="Hybrid car",$D48=3),$E48*'LV '!C$24,AND($C48="Hybrid car",$D48=4),$E48*'LV '!C$25,AND($C48="Hybrid car",$D48=5),$E48*'LV '!C$26,AND($C48="Electric motorcycle",$D48=1),$E48*'LV '!C$28,AND($C48="Electric motorcycle",$D48=2),$E48*'LV '!C$29,AND($C48="Electric bike",$D48=1),$E48*'LV '!C$31,AND($C48="Electric scooter",$D48=1),$E48*'LV '!C$33,AND($C48="Bus",$D48="Almost empty"),$E48*'LV '!H$23,AND($C48="Bus",$D48="Average"),$E48*'LV '!H$24,AND($C48="Bus",$D48="Nearly full"),$E48*'LV '!H$25,AND($C48="Electric bus",$D48="Almost empty"),$E48*'LV '!H$7,AND($C48="Electric bus",$D48="Average"),$E48*'LV '!H$8,AND($C48="Electric bus",$D48="Nearly full"),$E48*'LV '!H$9,AND($C48="Diesel bus",$D48="Almost empty"),$E48*'LV '!H$19,AND($C48="Diesel bus",$D48="Average"),$E48*'LV '!H$20,AND($C48="Diesel bus",$D48="Nearly full"),$E48*'LV '!H$21,AND($C48="Hybrid-electric bus",$D48="Almost empty"),$E48*'LV '!H$11,AND($C48="Hybrid-electric bus",$D48="Average"),$E48*'LV '!H$12,AND($C48="Hybrid-electric bus",$D48="Nearly full"),$E48*'LV '!H$13,AND($C48="Alternative fuel bus",$D48="Almost empty"),$E48*'LV '!H$15,AND($C48="Alternative fuel bus",$D48="Average"),$E48*'LV '!H$16,AND($C48="Alternative fuel bus",$D48="Nearly full"),$E48*'LV '!H$17,AND($C48="Metro, tram, urban light train",$D48="Almost empty"),$E48*'LV '!C$35,AND($C48="Metro, tram, urban light train",$D48="Average"),$E48*'LV '!C$36,AND($C48="Metro, tram, urban light train",$D48="Nearly full"),$E48*'LV '!C$37,AND($C48="Electric passenger train",$D48="Almost empty"),$E48*'LV '!C$39,AND($C48="Electric passenger train",$D48="Average"),$E48*'LV '!C$40,AND($C48="Electric passenger train",$D48="Nearly full"),$E48*'LV '!C$41,AND($C48="Diesel passenger train",$D48="Almost empty"),$E48*'LV '!C$47,AND($C48="Diesel passenger train",$D48="Average"),$E48*'LV '!C$48,AND($C48="Diesel passenger train",$D48="Nearly full"),$E48*'LV '!C$49,AND($C48="Walking"),$E48*0,AND($C48="Bike"),$E48*0,AND($C48="Plane - domestic flight"),$E48*'LV '!$C72,AND($C48="Plane - international - intra EU"),$E48*'LV '!$C74,AND($C48="Plane - international (extra EU)"),$E48*'LV '!$C76)</f>
        <v>#N/A</v>
      </c>
      <c r="G48" s="31" t="e" cm="1">
        <f t="array" ref="G48">_xlfn.IFS(AND($C48="Fuel car",$D48=1),$E48*'LV '!D$7,AND($C48="Fuel car",$D48=2),$E48*'LV '!D$8,AND($C48="Fuel car",$D48=3),$E48*'LV '!D$9,AND($C48="Fuel car",$D48=4),$E48*'LV '!D$10,AND($C48="Fuel car",$D48=5),$E48*'LV '!D$11,AND($C48="Motorcycle",$D48=1),$E48*'LV '!D$13,AND($C48="Motorcycle",$D48=2),$E48*'LV '!D$14,AND($C48="Electric car",$D48=1),$E48*'LV '!D$16,AND($C48="Electric car",$D48=2),$E48*'LV '!D$17,AND($C48="Electric car",$D48=3),$E48*'LV '!D$18,AND($C48="Electric car",$D48=4),$E48*'LV '!D$19,AND($C48="Electric car",$D48=5),$E48*'LV '!D$20,AND($C48="Hybrid car",$D48=1),$E48*'LV '!D$22,AND($C48="Hybrid car",$D48=2),$E48*'LV '!D$23,AND($C48="Hybrid car",$D48=3),$E48*'LV '!D$24,AND($C48="Hybrid car",$D48=4),$E48*'LV '!D$25,AND($C48="Hybrid car",$D48=5),$E48*'LV '!D$26,AND($C48="Electric motorcycle",$D48=1),$E48*'LV '!D$28,AND($C48="Electric motorcycle",$D48=2),$E48*'LV '!D$29,AND($C48="Electric bike",$D48=1),$E48*'LV '!D$31,AND($C48="Electric scooter",$D48=1),$E48*'LV '!D$33,AND($C48="Bus",$D48="Almost empty"),$E48*'LV '!I$23,AND($C48="Bus",$D48="Average"),$E48*'LV '!I$24,AND($C48="Bus",$D48="Nearly full"),$E48*'LV '!I$25,AND($C48="Electric bus",$D48="Almost empty"),$E48*'LV '!I$7,AND($C48="Electric bus",$D48="Average"),$E48*'LV '!I$8,AND($C48="Electric bus",$D48="Nearly full"),$E48*'LV '!I$9,AND($C48="Diesel bus",$D48="Almost empty"),$E48*'LV '!I$19,AND($C48="Diesel bus",$D48="Average"),$E48*'LV '!I$20,AND($C48="Diesel bus",$D48="Nearly full"),$E48*'LV '!I$21,AND($C48="Hybrid-electric bus",$D48="Almost empty"),$E48*'LV '!I$11,AND($C48="Hybrid-electric bus",$D48="Average"),$E48*'LV '!I$12,AND($C48="Hybrid-electric bus",$D48="Nearly full"),$E48*'LV '!I$13,AND($C48="Alternative fuel bus",$D48="Almost empty"),$E48*'LV '!I$15,AND($C48="Alternative fuel bus",$D48="Average"),$E48*'LV '!I$16,AND($C48="Alternative fuel bus",$D48="Nearly full"),$E48*'LV '!I$17,AND($C48="Metro, tram, urban light train",$D48="Almost empty"),$E48*'LV '!D$35,AND($C48="Metro, tram, urban light train",$D48="Average"),$E48*'LV '!D$36,AND($C48="Metro, tram, urban light train",$D48="Nearly full"),$E48*'LV '!D$37,AND($C48="Electric passenger train",$D48="Almost empty"),$E48*'LV '!D$39,AND($C48="Electric passenger train",$D48="Average"),$E48*'LV '!D$40,AND($C48="Electric passenger train",$D48="Nearly full"),$E48*'LV '!D$41,AND($C48="Diesel passenger train",$D48="Almost empty"),$E48*'LV '!D$47,AND($C48="Diesel passenger train",$D48="Average"),$E48*'LV '!D$48,AND($C48="Diesel passenger train",$D48="Nearly full"),$E48*'LV '!D$49,AND($C48="Walking"),$E48*0,AND($C48="Bike"),$E48*0,AND($C48="Plane - domestic flight"),$E48*'LV '!$C72,AND($C48="Plane - international - intra EU"),$E48*'LV '!$C74,AND($C48="Plane - international (extra EU)"),$E48*'LV '!$C76)</f>
        <v>#N/A</v>
      </c>
      <c r="H48" s="196" t="s">
        <v>67</v>
      </c>
      <c r="I48" s="197"/>
      <c r="L48" s="249"/>
      <c r="M48" s="250"/>
      <c r="N48" s="251"/>
    </row>
    <row r="49" spans="1:14" x14ac:dyDescent="0.2">
      <c r="A49" s="222"/>
      <c r="B49" s="30"/>
      <c r="C49" s="15"/>
      <c r="D49" s="15"/>
      <c r="E49" s="125"/>
      <c r="F49" s="128" t="e" cm="1">
        <f t="array" ref="F49">_xlfn.IFS(AND($C49="Fuel car",$D49=1),$E49*'LV '!C$7,AND($C49="Fuel car",$D49=2),$E49*'LV '!C$8,AND($C49="Fuel car",$D49=3),$E49*'LV '!C$9,AND($C49="Fuel car",$D49=4),$E49*'LV '!C$10,AND($C49="Fuel car",$D49=5),$E49*'LV '!C$11,AND($C49="Motorcycle",$D49=1),$E49*'LV '!C$13,AND($C49="Motorcycle",$D49=2),$E49*'LV '!C$14,AND($C49="Electric car",$D49=1),$E49*'LV '!C$16,AND($C49="Electric car",$D49=2),$E49*'LV '!C$17,AND($C49="Electric car",$D49=3),$E49*'LV '!C$18,AND($C49="Electric car",$D49=4),$E49*'LV '!C$19,AND($C49="Electric car",$D49=5),$E49*'LV '!C$20,AND($C49="Hybrid car",$D49=1),$E49*'LV '!C$22,AND($C49="Hybrid car",$D49=2),$E49*'LV '!C$23,AND($C49="Hybrid car",$D49=3),$E49*'LV '!C$24,AND($C49="Hybrid car",$D49=4),$E49*'LV '!C$25,AND($C49="Hybrid car",$D49=5),$E49*'LV '!C$26,AND($C49="Electric motorcycle",$D49=1),$E49*'LV '!C$28,AND($C49="Electric motorcycle",$D49=2),$E49*'LV '!C$29,AND($C49="Electric bike",$D49=1),$E49*'LV '!C$31,AND($C49="Electric scooter",$D49=1),$E49*'LV '!C$33,AND($C49="Bus",$D49="Almost empty"),$E49*'LV '!H$23,AND($C49="Bus",$D49="Average"),$E49*'LV '!H$24,AND($C49="Bus",$D49="Nearly full"),$E49*'LV '!H$25,AND($C49="Electric bus",$D49="Almost empty"),$E49*'LV '!H$7,AND($C49="Electric bus",$D49="Average"),$E49*'LV '!H$8,AND($C49="Electric bus",$D49="Nearly full"),$E49*'LV '!H$9,AND($C49="Diesel bus",$D49="Almost empty"),$E49*'LV '!H$19,AND($C49="Diesel bus",$D49="Average"),$E49*'LV '!H$20,AND($C49="Diesel bus",$D49="Nearly full"),$E49*'LV '!H$21,AND($C49="Hybrid-electric bus",$D49="Almost empty"),$E49*'LV '!H$11,AND($C49="Hybrid-electric bus",$D49="Average"),$E49*'LV '!H$12,AND($C49="Hybrid-electric bus",$D49="Nearly full"),$E49*'LV '!H$13,AND($C49="Alternative fuel bus",$D49="Almost empty"),$E49*'LV '!H$15,AND($C49="Alternative fuel bus",$D49="Average"),$E49*'LV '!H$16,AND($C49="Alternative fuel bus",$D49="Nearly full"),$E49*'LV '!H$17,AND($C49="Metro, tram, urban light train",$D49="Almost empty"),$E49*'LV '!C$35,AND($C49="Metro, tram, urban light train",$D49="Average"),$E49*'LV '!C$36,AND($C49="Metro, tram, urban light train",$D49="Nearly full"),$E49*'LV '!C$37,AND($C49="Electric passenger train",$D49="Almost empty"),$E49*'LV '!C$39,AND($C49="Electric passenger train",$D49="Average"),$E49*'LV '!C$40,AND($C49="Electric passenger train",$D49="Nearly full"),$E49*'LV '!C$41,AND($C49="Diesel passenger train",$D49="Almost empty"),$E49*'LV '!C$47,AND($C49="Diesel passenger train",$D49="Average"),$E49*'LV '!C$48,AND($C49="Diesel passenger train",$D49="Nearly full"),$E49*'LV '!C$49,AND($C49="Walking"),$E49*0,AND($C49="Bike"),$E49*0,AND($C49="Plane - domestic flight"),$E49*'LV '!$C73,AND($C49="Plane - international - intra EU"),$E49*'LV '!$C75,AND($C49="Plane - international (extra EU)"),$E49*'LV '!$C77)</f>
        <v>#N/A</v>
      </c>
      <c r="G49" s="31" t="e" cm="1">
        <f t="array" ref="G49">_xlfn.IFS(AND($C49="Fuel car",$D49=1),$E49*'LV '!D$7,AND($C49="Fuel car",$D49=2),$E49*'LV '!D$8,AND($C49="Fuel car",$D49=3),$E49*'LV '!D$9,AND($C49="Fuel car",$D49=4),$E49*'LV '!D$10,AND($C49="Fuel car",$D49=5),$E49*'LV '!D$11,AND($C49="Motorcycle",$D49=1),$E49*'LV '!D$13,AND($C49="Motorcycle",$D49=2),$E49*'LV '!D$14,AND($C49="Electric car",$D49=1),$E49*'LV '!D$16,AND($C49="Electric car",$D49=2),$E49*'LV '!D$17,AND($C49="Electric car",$D49=3),$E49*'LV '!D$18,AND($C49="Electric car",$D49=4),$E49*'LV '!D$19,AND($C49="Electric car",$D49=5),$E49*'LV '!D$20,AND($C49="Hybrid car",$D49=1),$E49*'LV '!D$22,AND($C49="Hybrid car",$D49=2),$E49*'LV '!D$23,AND($C49="Hybrid car",$D49=3),$E49*'LV '!D$24,AND($C49="Hybrid car",$D49=4),$E49*'LV '!D$25,AND($C49="Hybrid car",$D49=5),$E49*'LV '!D$26,AND($C49="Electric motorcycle",$D49=1),$E49*'LV '!D$28,AND($C49="Electric motorcycle",$D49=2),$E49*'LV '!D$29,AND($C49="Electric bike",$D49=1),$E49*'LV '!D$31,AND($C49="Electric scooter",$D49=1),$E49*'LV '!D$33,AND($C49="Bus",$D49="Almost empty"),$E49*'LV '!I$23,AND($C49="Bus",$D49="Average"),$E49*'LV '!I$24,AND($C49="Bus",$D49="Nearly full"),$E49*'LV '!I$25,AND($C49="Electric bus",$D49="Almost empty"),$E49*'LV '!I$7,AND($C49="Electric bus",$D49="Average"),$E49*'LV '!I$8,AND($C49="Electric bus",$D49="Nearly full"),$E49*'LV '!I$9,AND($C49="Diesel bus",$D49="Almost empty"),$E49*'LV '!I$19,AND($C49="Diesel bus",$D49="Average"),$E49*'LV '!I$20,AND($C49="Diesel bus",$D49="Nearly full"),$E49*'LV '!I$21,AND($C49="Hybrid-electric bus",$D49="Almost empty"),$E49*'LV '!I$11,AND($C49="Hybrid-electric bus",$D49="Average"),$E49*'LV '!I$12,AND($C49="Hybrid-electric bus",$D49="Nearly full"),$E49*'LV '!I$13,AND($C49="Alternative fuel bus",$D49="Almost empty"),$E49*'LV '!I$15,AND($C49="Alternative fuel bus",$D49="Average"),$E49*'LV '!I$16,AND($C49="Alternative fuel bus",$D49="Nearly full"),$E49*'LV '!I$17,AND($C49="Metro, tram, urban light train",$D49="Almost empty"),$E49*'LV '!D$35,AND($C49="Metro, tram, urban light train",$D49="Average"),$E49*'LV '!D$36,AND($C49="Metro, tram, urban light train",$D49="Nearly full"),$E49*'LV '!D$37,AND($C49="Electric passenger train",$D49="Almost empty"),$E49*'LV '!D$39,AND($C49="Electric passenger train",$D49="Average"),$E49*'LV '!D$40,AND($C49="Electric passenger train",$D49="Nearly full"),$E49*'LV '!D$41,AND($C49="Diesel passenger train",$D49="Almost empty"),$E49*'LV '!D$47,AND($C49="Diesel passenger train",$D49="Average"),$E49*'LV '!D$48,AND($C49="Diesel passenger train",$D49="Nearly full"),$E49*'LV '!D$49,AND($C49="Walking"),$E49*0,AND($C49="Bike"),$E49*0,AND($C49="Plane - domestic flight"),$E49*'LV '!$C73,AND($C49="Plane - international - intra EU"),$E49*'LV '!$C75,AND($C49="Plane - international (extra EU)"),$E49*'LV '!$C77)</f>
        <v>#N/A</v>
      </c>
      <c r="H49" s="244" t="s">
        <v>74</v>
      </c>
      <c r="I49" s="141"/>
      <c r="L49" s="252"/>
      <c r="M49" s="253"/>
      <c r="N49" s="254"/>
    </row>
    <row r="50" spans="1:14" ht="16" thickBot="1" x14ac:dyDescent="0.25">
      <c r="A50" s="222"/>
      <c r="B50" s="51"/>
      <c r="C50" s="15"/>
      <c r="D50" s="15"/>
      <c r="E50" s="126"/>
      <c r="F50" s="128" t="e" cm="1">
        <f t="array" ref="F50">_xlfn.IFS(AND($C50="Fuel car",$D50=1),$E50*'LV '!C$7,AND($C50="Fuel car",$D50=2),$E50*'LV '!C$8,AND($C50="Fuel car",$D50=3),$E50*'LV '!C$9,AND($C50="Fuel car",$D50=4),$E50*'LV '!C$10,AND($C50="Fuel car",$D50=5),$E50*'LV '!C$11,AND($C50="Motorcycle",$D50=1),$E50*'LV '!C$13,AND($C50="Motorcycle",$D50=2),$E50*'LV '!C$14,AND($C50="Electric car",$D50=1),$E50*'LV '!C$16,AND($C50="Electric car",$D50=2),$E50*'LV '!C$17,AND($C50="Electric car",$D50=3),$E50*'LV '!C$18,AND($C50="Electric car",$D50=4),$E50*'LV '!C$19,AND($C50="Electric car",$D50=5),$E50*'LV '!C$20,AND($C50="Hybrid car",$D50=1),$E50*'LV '!C$22,AND($C50="Hybrid car",$D50=2),$E50*'LV '!C$23,AND($C50="Hybrid car",$D50=3),$E50*'LV '!C$24,AND($C50="Hybrid car",$D50=4),$E50*'LV '!C$25,AND($C50="Hybrid car",$D50=5),$E50*'LV '!C$26,AND($C50="Electric motorcycle",$D50=1),$E50*'LV '!C$28,AND($C50="Electric motorcycle",$D50=2),$E50*'LV '!C$29,AND($C50="Electric bike",$D50=1),$E50*'LV '!C$31,AND($C50="Electric scooter",$D50=1),$E50*'LV '!C$33,AND($C50="Bus",$D50="Almost empty"),$E50*'LV '!H$23,AND($C50="Bus",$D50="Average"),$E50*'LV '!H$24,AND($C50="Bus",$D50="Nearly full"),$E50*'LV '!H$25,AND($C50="Electric bus",$D50="Almost empty"),$E50*'LV '!H$7,AND($C50="Electric bus",$D50="Average"),$E50*'LV '!H$8,AND($C50="Electric bus",$D50="Nearly full"),$E50*'LV '!H$9,AND($C50="Diesel bus",$D50="Almost empty"),$E50*'LV '!H$19,AND($C50="Diesel bus",$D50="Average"),$E50*'LV '!H$20,AND($C50="Diesel bus",$D50="Nearly full"),$E50*'LV '!H$21,AND($C50="Hybrid-electric bus",$D50="Almost empty"),$E50*'LV '!H$11,AND($C50="Hybrid-electric bus",$D50="Average"),$E50*'LV '!H$12,AND($C50="Hybrid-electric bus",$D50="Nearly full"),$E50*'LV '!H$13,AND($C50="Alternative fuel bus",$D50="Almost empty"),$E50*'LV '!H$15,AND($C50="Alternative fuel bus",$D50="Average"),$E50*'LV '!H$16,AND($C50="Alternative fuel bus",$D50="Nearly full"),$E50*'LV '!H$17,AND($C50="Metro, tram, urban light train",$D50="Almost empty"),$E50*'LV '!C$35,AND($C50="Metro, tram, urban light train",$D50="Average"),$E50*'LV '!C$36,AND($C50="Metro, tram, urban light train",$D50="Nearly full"),$E50*'LV '!C$37,AND($C50="Electric passenger train",$D50="Almost empty"),$E50*'LV '!C$39,AND($C50="Electric passenger train",$D50="Average"),$E50*'LV '!C$40,AND($C50="Electric passenger train",$D50="Nearly full"),$E50*'LV '!C$41,AND($C50="Diesel passenger train",$D50="Almost empty"),$E50*'LV '!C$47,AND($C50="Diesel passenger train",$D50="Average"),$E50*'LV '!C$48,AND($C50="Diesel passenger train",$D50="Nearly full"),$E50*'LV '!C$49,AND($C50="Walking"),$E50*0,AND($C50="Bike"),$E50*0,AND($C50="Plane - domestic flight"),$E50*'LV '!$C74,AND($C50="Plane - international - intra EU"),$E50*'LV '!$C76,AND($C50="Plane - international (extra EU)"),$E50*'LV '!$C78)</f>
        <v>#N/A</v>
      </c>
      <c r="G50" s="31" t="e" cm="1">
        <f t="array" ref="G50">_xlfn.IFS(AND($C50="Fuel car",$D50=1),$E50*'LV '!D$7,AND($C50="Fuel car",$D50=2),$E50*'LV '!D$8,AND($C50="Fuel car",$D50=3),$E50*'LV '!D$9,AND($C50="Fuel car",$D50=4),$E50*'LV '!D$10,AND($C50="Fuel car",$D50=5),$E50*'LV '!D$11,AND($C50="Motorcycle",$D50=1),$E50*'LV '!D$13,AND($C50="Motorcycle",$D50=2),$E50*'LV '!D$14,AND($C50="Electric car",$D50=1),$E50*'LV '!D$16,AND($C50="Electric car",$D50=2),$E50*'LV '!D$17,AND($C50="Electric car",$D50=3),$E50*'LV '!D$18,AND($C50="Electric car",$D50=4),$E50*'LV '!D$19,AND($C50="Electric car",$D50=5),$E50*'LV '!D$20,AND($C50="Hybrid car",$D50=1),$E50*'LV '!D$22,AND($C50="Hybrid car",$D50=2),$E50*'LV '!D$23,AND($C50="Hybrid car",$D50=3),$E50*'LV '!D$24,AND($C50="Hybrid car",$D50=4),$E50*'LV '!D$25,AND($C50="Hybrid car",$D50=5),$E50*'LV '!D$26,AND($C50="Electric motorcycle",$D50=1),$E50*'LV '!D$28,AND($C50="Electric motorcycle",$D50=2),$E50*'LV '!D$29,AND($C50="Electric bike",$D50=1),$E50*'LV '!D$31,AND($C50="Electric scooter",$D50=1),$E50*'LV '!D$33,AND($C50="Bus",$D50="Almost empty"),$E50*'LV '!I$23,AND($C50="Bus",$D50="Average"),$E50*'LV '!I$24,AND($C50="Bus",$D50="Nearly full"),$E50*'LV '!I$25,AND($C50="Electric bus",$D50="Almost empty"),$E50*'LV '!I$7,AND($C50="Electric bus",$D50="Average"),$E50*'LV '!I$8,AND($C50="Electric bus",$D50="Nearly full"),$E50*'LV '!I$9,AND($C50="Diesel bus",$D50="Almost empty"),$E50*'LV '!I$19,AND($C50="Diesel bus",$D50="Average"),$E50*'LV '!I$20,AND($C50="Diesel bus",$D50="Nearly full"),$E50*'LV '!I$21,AND($C50="Hybrid-electric bus",$D50="Almost empty"),$E50*'LV '!I$11,AND($C50="Hybrid-electric bus",$D50="Average"),$E50*'LV '!I$12,AND($C50="Hybrid-electric bus",$D50="Nearly full"),$E50*'LV '!I$13,AND($C50="Alternative fuel bus",$D50="Almost empty"),$E50*'LV '!I$15,AND($C50="Alternative fuel bus",$D50="Average"),$E50*'LV '!I$16,AND($C50="Alternative fuel bus",$D50="Nearly full"),$E50*'LV '!I$17,AND($C50="Metro, tram, urban light train",$D50="Almost empty"),$E50*'LV '!D$35,AND($C50="Metro, tram, urban light train",$D50="Average"),$E50*'LV '!D$36,AND($C50="Metro, tram, urban light train",$D50="Nearly full"),$E50*'LV '!D$37,AND($C50="Electric passenger train",$D50="Almost empty"),$E50*'LV '!D$39,AND($C50="Electric passenger train",$D50="Average"),$E50*'LV '!D$40,AND($C50="Electric passenger train",$D50="Nearly full"),$E50*'LV '!D$41,AND($C50="Diesel passenger train",$D50="Almost empty"),$E50*'LV '!D$47,AND($C50="Diesel passenger train",$D50="Average"),$E50*'LV '!D$48,AND($C50="Diesel passenger train",$D50="Nearly full"),$E50*'LV '!D$49,AND($C50="Walking"),$E50*0,AND($C50="Bike"),$E50*0,AND($C50="Plane - domestic flight"),$E50*'LV '!$C74,AND($C50="Plane - international - intra EU"),$E50*'LV '!$C76,AND($C50="Plane - international (extra EU)"),$E50*'LV '!$C78)</f>
        <v>#N/A</v>
      </c>
      <c r="H50" s="245"/>
      <c r="I50" s="142"/>
      <c r="L50" s="252"/>
      <c r="M50" s="253"/>
      <c r="N50" s="254"/>
    </row>
    <row r="51" spans="1:14" ht="33" thickBot="1" x14ac:dyDescent="0.25">
      <c r="A51" s="222"/>
      <c r="B51" s="53"/>
      <c r="C51" s="32"/>
      <c r="D51" s="34"/>
      <c r="E51" s="113"/>
      <c r="F51" s="129" t="e" cm="1">
        <f t="array" ref="F51">_xlfn.IFS(AND($C51="Fuel car",$D51=1),$E51*'LV '!C$7,AND($C51="Fuel car",$D51=2),$E51*'LV '!C$8,AND($C51="Fuel car",$D51=3),$E51*'LV '!C$9,AND($C51="Fuel car",$D51=4),$E51*'LV '!C$10,AND($C51="Fuel car",$D51=5),$E51*'LV '!C$11,AND($C51="Motorcycle",$D51=1),$E51*'LV '!C$13,AND($C51="Motorcycle",$D51=2),$E51*'LV '!C$14,AND($C51="Electric car",$D51=1),$E51*'LV '!C$16,AND($C51="Electric car",$D51=2),$E51*'LV '!C$17,AND($C51="Electric car",$D51=3),$E51*'LV '!C$18,AND($C51="Electric car",$D51=4),$E51*'LV '!C$19,AND($C51="Electric car",$D51=5),$E51*'LV '!C$20,AND($C51="Hybrid car",$D51=1),$E51*'LV '!C$22,AND($C51="Hybrid car",$D51=2),$E51*'LV '!C$23,AND($C51="Hybrid car",$D51=3),$E51*'LV '!C$24,AND($C51="Hybrid car",$D51=4),$E51*'LV '!C$25,AND($C51="Hybrid car",$D51=5),$E51*'LV '!C$26,AND($C51="Electric motorcycle",$D51=1),$E51*'LV '!C$28,AND($C51="Electric motorcycle",$D51=2),$E51*'LV '!C$29,AND($C51="Electric bike",$D51=1),$E51*'LV '!C$31,AND($C51="Electric scooter",$D51=1),$E51*'LV '!C$33,AND($C51="Bus",$D51="Almost empty"),$E51*'LV '!H$23,AND($C51="Bus",$D51="Average"),$E51*'LV '!H$24,AND($C51="Bus",$D51="Nearly full"),$E51*'LV '!H$25,AND($C51="Electric bus",$D51="Almost empty"),$E51*'LV '!H$7,AND($C51="Electric bus",$D51="Average"),$E51*'LV '!H$8,AND($C51="Electric bus",$D51="Nearly full"),$E51*'LV '!H$9,AND($C51="Diesel bus",$D51="Almost empty"),$E51*'LV '!H$19,AND($C51="Diesel bus",$D51="Average"),$E51*'LV '!H$20,AND($C51="Diesel bus",$D51="Nearly full"),$E51*'LV '!H$21,AND($C51="Hybrid-electric bus",$D51="Almost empty"),$E51*'LV '!H$11,AND($C51="Hybrid-electric bus",$D51="Average"),$E51*'LV '!H$12,AND($C51="Hybrid-electric bus",$D51="Nearly full"),$E51*'LV '!H$13,AND($C51="Alternative fuel bus",$D51="Almost empty"),$E51*'LV '!H$15,AND($C51="Alternative fuel bus",$D51="Average"),$E51*'LV '!H$16,AND($C51="Alternative fuel bus",$D51="Nearly full"),$E51*'LV '!H$17,AND($C51="Metro, tram, urban light train",$D51="Almost empty"),$E51*'LV '!C$35,AND($C51="Metro, tram, urban light train",$D51="Average"),$E51*'LV '!C$36,AND($C51="Metro, tram, urban light train",$D51="Nearly full"),$E51*'LV '!C$37,AND($C51="Electric passenger train",$D51="Almost empty"),$E51*'LV '!C$39,AND($C51="Electric passenger train",$D51="Average"),$E51*'LV '!C$40,AND($C51="Electric passenger train",$D51="Nearly full"),$E51*'LV '!C$41,AND($C51="Diesel passenger train",$D51="Almost empty"),$E51*'LV '!C$47,AND($C51="Diesel passenger train",$D51="Average"),$E51*'LV '!C$48,AND($C51="Diesel passenger train",$D51="Nearly full"),$E51*'LV '!C$49,AND($C51="Walking"),$E51*0,AND($C51="Bike"),$E51*0,AND($C51="Plane - domestic flight"),$E51*'LV '!$C75,AND($C51="Plane - international - intra EU"),$E51*'LV '!$C77,AND($C51="Plane - international (extra EU)"),$E51*'LV '!$C79)</f>
        <v>#N/A</v>
      </c>
      <c r="G51" s="35" t="e" cm="1">
        <f t="array" ref="G51">_xlfn.IFS(AND($C51="Fuel car",$D51=1),$E51*'LV '!D$7,AND($C51="Fuel car",$D51=2),$E51*'LV '!D$8,AND($C51="Fuel car",$D51=3),$E51*'LV '!D$9,AND($C51="Fuel car",$D51=4),$E51*'LV '!D$10,AND($C51="Fuel car",$D51=5),$E51*'LV '!D$11,AND($C51="Motorcycle",$D51=1),$E51*'LV '!D$13,AND($C51="Motorcycle",$D51=2),$E51*'LV '!D$14,AND($C51="Electric car",$D51=1),$E51*'LV '!D$16,AND($C51="Electric car",$D51=2),$E51*'LV '!D$17,AND($C51="Electric car",$D51=3),$E51*'LV '!D$18,AND($C51="Electric car",$D51=4),$E51*'LV '!D$19,AND($C51="Electric car",$D51=5),$E51*'LV '!D$20,AND($C51="Hybrid car",$D51=1),$E51*'LV '!D$22,AND($C51="Hybrid car",$D51=2),$E51*'LV '!D$23,AND($C51="Hybrid car",$D51=3),$E51*'LV '!D$24,AND($C51="Hybrid car",$D51=4),$E51*'LV '!D$25,AND($C51="Hybrid car",$D51=5),$E51*'LV '!D$26,AND($C51="Electric motorcycle",$D51=1),$E51*'LV '!D$28,AND($C51="Electric motorcycle",$D51=2),$E51*'LV '!D$29,AND($C51="Electric bike",$D51=1),$E51*'LV '!D$31,AND($C51="Electric scooter",$D51=1),$E51*'LV '!D$33,AND($C51="Bus",$D51="Almost empty"),$E51*'LV '!I$23,AND($C51="Bus",$D51="Average"),$E51*'LV '!I$24,AND($C51="Bus",$D51="Nearly full"),$E51*'LV '!I$25,AND($C51="Electric bus",$D51="Almost empty"),$E51*'LV '!I$7,AND($C51="Electric bus",$D51="Average"),$E51*'LV '!I$8,AND($C51="Electric bus",$D51="Nearly full"),$E51*'LV '!I$9,AND($C51="Diesel bus",$D51="Almost empty"),$E51*'LV '!I$19,AND($C51="Diesel bus",$D51="Average"),$E51*'LV '!I$20,AND($C51="Diesel bus",$D51="Nearly full"),$E51*'LV '!I$21,AND($C51="Hybrid-electric bus",$D51="Almost empty"),$E51*'LV '!I$11,AND($C51="Hybrid-electric bus",$D51="Average"),$E51*'LV '!I$12,AND($C51="Hybrid-electric bus",$D51="Nearly full"),$E51*'LV '!I$13,AND($C51="Alternative fuel bus",$D51="Almost empty"),$E51*'LV '!I$15,AND($C51="Alternative fuel bus",$D51="Average"),$E51*'LV '!I$16,AND($C51="Alternative fuel bus",$D51="Nearly full"),$E51*'LV '!I$17,AND($C51="Metro, tram, urban light train",$D51="Almost empty"),$E51*'LV '!D$35,AND($C51="Metro, tram, urban light train",$D51="Average"),$E51*'LV '!D$36,AND($C51="Metro, tram, urban light train",$D51="Nearly full"),$E51*'LV '!D$37,AND($C51="Electric passenger train",$D51="Almost empty"),$E51*'LV '!D$39,AND($C51="Electric passenger train",$D51="Average"),$E51*'LV '!D$40,AND($C51="Electric passenger train",$D51="Nearly full"),$E51*'LV '!D$41,AND($C51="Diesel passenger train",$D51="Almost empty"),$E51*'LV '!D$47,AND($C51="Diesel passenger train",$D51="Average"),$E51*'LV '!D$48,AND($C51="Diesel passenger train",$D51="Nearly full"),$E51*'LV '!D$49,AND($C51="Walking"),$E51*0,AND($C51="Bike"),$E51*0,AND($C51="Plane - domestic flight"),$E51*'LV '!$C75,AND($C51="Plane - international - intra EU"),$E51*'LV '!$C77,AND($C51="Plane - international (extra EU)"),$E51*'LV '!$C79)</f>
        <v>#N/A</v>
      </c>
      <c r="H51" s="144" t="s">
        <v>75</v>
      </c>
      <c r="I51" s="49" t="e">
        <f>F52/I49</f>
        <v>#DIV/0!</v>
      </c>
      <c r="L51" s="252"/>
      <c r="M51" s="253"/>
      <c r="N51" s="254"/>
    </row>
    <row r="52" spans="1:14" ht="17" thickBot="1" x14ac:dyDescent="0.25">
      <c r="A52" s="222"/>
      <c r="B52" s="241" t="s">
        <v>57</v>
      </c>
      <c r="C52" s="242"/>
      <c r="D52" s="242"/>
      <c r="E52" s="243"/>
      <c r="F52" s="36">
        <f>SUMIF(F29:F51,"&gt;=0")</f>
        <v>0</v>
      </c>
      <c r="G52" s="37">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_xlfn.IFS(AND(D57&lt;='LV '!L4),"A+",AND(D57&lt;='LV '!M4,D57&gt;'LV '!L4),"A",AND(D57&lt;='LV '!N4,D57&gt;'LV '!M4),"B",AND(D57&lt;='LV '!O4,D57&gt;'LV '!N4),"C",AND(D57&lt;='LV '!P4,D57&gt;'LV '!O4),"D",AND(D57&lt;='LV '!Q4,D57&gt;'LV '!P4),"E",AND(D57&lt;='LV '!R4,D57&gt;'LV '!Q4),"F",AND(D57&gt;'LV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_xlfn.IFS(D58="#","#",AND(D58&lt;='LV '!L5),"A+",AND(D58&lt;='LV '!M5,D58&gt;'LV '!L5),"A",AND(D58&lt;='LV '!N5,D58&gt;'LV '!M5),"B",AND(D58&lt;='LV '!O5,D58&gt;'LV '!N5),"C",AND(D58&lt;='LV '!P5,D58&gt;'LV '!O5),"D",AND(D58&lt;='LV '!Q5,D58&gt;'LV '!P5),"E",AND(D58&lt;='LV '!R5,D58&gt;'LV '!Q5),"F",AND(D58&gt;'LV '!R5),"G")</f>
        <v>#</v>
      </c>
    </row>
    <row r="59" spans="1:14" ht="32" x14ac:dyDescent="0.2">
      <c r="A59" s="262"/>
      <c r="B59" s="264"/>
      <c r="C59" s="21" t="s">
        <v>88</v>
      </c>
      <c r="D59" s="47" t="e">
        <f>IF(ISNUMBER(D58), D57 + D58, D57)</f>
        <v>#DIV/0!</v>
      </c>
      <c r="E59" s="277"/>
      <c r="G59" s="264"/>
      <c r="H59" t="s">
        <v>88</v>
      </c>
      <c r="I59" s="56" t="e" cm="1">
        <f t="array" ref="I59">_xlfn.IFS(AND(D59&lt;='LV '!L6),"A+",AND(D59&lt;='LV '!M6,D59&gt;'LV '!L6),"A",AND(D59&lt;='LV '!N6,D59&gt;'LV '!M6),"B",AND(D59&lt;='LV '!O6,D59&gt;'LV '!N6),"C",AND(D59&lt;='LV '!P6,D59&gt;'LV '!O6),"D",AND(D59&lt;='LV '!Q6,D59&gt;'LV '!P6),"E",AND(D59&lt;='LV '!R6,D59&gt;'LV '!Q6),"F",AND(D59&gt;'LV '!R6),"G")</f>
        <v>#DIV/0!</v>
      </c>
    </row>
    <row r="60" spans="1:14" ht="16" x14ac:dyDescent="0.2">
      <c r="A60" s="262"/>
      <c r="B60" s="264"/>
      <c r="C60" s="21" t="s">
        <v>89</v>
      </c>
      <c r="D60" s="99">
        <f>I30</f>
        <v>0</v>
      </c>
      <c r="E60" s="277"/>
      <c r="G60" s="264"/>
      <c r="H60" t="s">
        <v>89</v>
      </c>
      <c r="I60" s="56" t="str" cm="1">
        <f t="array" ref="I60">_xlfn.IFS(AND(D60&lt;='LV '!L7),"A+",AND(D60&lt;='LV '!M7,D60&gt;'LV '!L7),"A",AND(D60&lt;='LV '!N7,D60&gt;'LV '!M7),"B",AND(D60&lt;='LV '!O7,D60&gt;'LV '!N7),"C",AND(D60&lt;='LV '!P7,D60&gt;'LV '!O7),"D",AND(D60&lt;='LV '!Q7,D60&gt;'LV '!P7),"E",AND(D60&lt;='LV '!R7,D60&gt;'LV '!Q7),"F",AND(D60&gt;'LV '!R7),"G")</f>
        <v>A+</v>
      </c>
    </row>
    <row r="61" spans="1:14" ht="16" thickBot="1" x14ac:dyDescent="0.25">
      <c r="A61" s="262"/>
      <c r="B61" s="265"/>
      <c r="C61" s="16" t="s">
        <v>57</v>
      </c>
      <c r="D61" s="58" t="e">
        <f>SUM(D59:D60)</f>
        <v>#DIV/0!</v>
      </c>
      <c r="E61" s="261"/>
      <c r="G61" s="265"/>
      <c r="H61" s="16" t="s">
        <v>57</v>
      </c>
      <c r="I61" s="1" t="e" cm="1">
        <f t="array" ref="I61">_xlfn.IFS(AND(D61&lt;='LV '!L8),"A+",AND(D61&lt;='LV '!M8,D61&gt;'LV '!L8),"A",AND(D61&lt;='LV '!N8,D61&gt;'LV '!M8),"B",AND(D61&lt;='LV '!O8,D61&gt;'LV '!N8),"C",AND(D61&lt;='LV '!P8,D61&gt;'LV '!O8),"D",AND(D61&lt;='LV '!Q8,D61&gt;'LV '!P8),"E",AND(D61&lt;='LV '!R8,D61&gt;'LV '!Q8),"F",AND(D61&gt;'LV '!R8),"G")</f>
        <v>#DIV/0!</v>
      </c>
    </row>
    <row r="62" spans="1:14" ht="32" x14ac:dyDescent="0.2">
      <c r="A62" s="262"/>
      <c r="B62" s="263" t="s">
        <v>90</v>
      </c>
      <c r="C62" s="57" t="s">
        <v>85</v>
      </c>
      <c r="D62" s="100" t="e">
        <f>I16</f>
        <v>#DIV/0!</v>
      </c>
      <c r="E62" s="266" t="s">
        <v>91</v>
      </c>
      <c r="G62" s="263" t="s">
        <v>90</v>
      </c>
      <c r="H62" s="46" t="s">
        <v>85</v>
      </c>
      <c r="I62" s="55" t="e" cm="1">
        <f t="array" ref="I62">_xlfn.IFS(AND(D62&lt;='LV '!L9),"A+",AND(D62&lt;='LV '!M9,D62&gt;'LV '!L9),"A",AND(D62&lt;='LV '!N9,D62&gt;'LV '!M9),"B",AND(D62&lt;='LV '!O9,D62&gt;'LV '!N9),"C",AND(D62&lt;='LV '!P9,D62&gt;'LV '!O9),"D",AND(D62&lt;='LV '!Q9,D62&gt;'LV '!P9),"E",AND(D62&lt;='LV '!R9,D62&gt;'LV '!Q9),"F",AND(D62&gt;'LV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_xlfn.IFS(D63="#","#",AND(D63&lt;='LV '!L10),"A+",AND(D63&lt;='LV '!M10,D63&gt;'LV '!L10),"A",AND(D63&lt;='LV '!N10,D63&gt;'LV '!M10),"B",AND(D63&lt;='LV '!O10,D63&gt;'LV '!N10),"C",AND(D63&lt;='LV '!P10,D63&gt;'LV '!O10),"D",AND(D63&lt;='LV '!Q10,D63&gt;'LV '!P10),"E",AND(D63&lt;='LV '!R10,D63&gt;'LV '!Q10),"F",AND(D63&gt;'LV '!R10),"G")</f>
        <v>#</v>
      </c>
    </row>
    <row r="64" spans="1:14" ht="32" x14ac:dyDescent="0.2">
      <c r="A64" s="262"/>
      <c r="B64" s="264"/>
      <c r="C64" s="21" t="s">
        <v>92</v>
      </c>
      <c r="D64" s="47" t="e">
        <f>IF(ISNUMBER(D63), D62 + D63, D62)</f>
        <v>#DIV/0!</v>
      </c>
      <c r="E64" s="202"/>
      <c r="G64" s="264"/>
      <c r="H64" t="s">
        <v>92</v>
      </c>
      <c r="I64" s="56" t="e" cm="1">
        <f t="array" ref="I64">_xlfn.IFS(AND(D64&lt;='LV '!L11),"A+",AND(D64&lt;='LV '!M11,D64&gt;'LV '!L11),"A",AND(D64&lt;='LV '!N11,D64&gt;'LV '!M11),"B",AND(D64&lt;='LV '!O11,D64&gt;'LV '!N11),"C",AND(D64&lt;='LV '!P11,D64&gt;'LV '!O11),"D",AND(D64&lt;='LV '!Q11,D64&gt;'LV '!P11),"E",AND(D64&lt;='LV '!R11,D64&gt;'LV '!Q11),"F",AND(D64&gt;'LV '!R11),"G")</f>
        <v>#DIV/0!</v>
      </c>
    </row>
    <row r="65" spans="1:9" x14ac:dyDescent="0.2">
      <c r="A65" s="262"/>
      <c r="B65" s="264"/>
      <c r="C65" t="s">
        <v>89</v>
      </c>
      <c r="D65" s="99">
        <f>I31</f>
        <v>0</v>
      </c>
      <c r="E65" s="202"/>
      <c r="G65" s="264"/>
      <c r="H65" t="s">
        <v>89</v>
      </c>
      <c r="I65" s="56" t="str" cm="1">
        <f t="array" ref="I65">_xlfn.IFS(AND(D65&lt;='LV '!L12),"A+",AND(D65&lt;='LV '!M12,D65&gt;'LV '!L12),"A",AND(D65&lt;='LV '!N12,D65&gt;'LV '!M12),"B",AND(D65&lt;='LV '!O12,D65&gt;'LV '!N12),"C",AND(D65&lt;='LV '!P12,D65&gt;'LV '!O12),"D",AND(D65&lt;='LV '!Q12,D65&gt;'LV '!P12),"E",AND(D65&lt;='LV '!R12,D65&gt;'LV '!Q12),"F",AND(D65&gt;'LV '!R12),"G")</f>
        <v>A+</v>
      </c>
    </row>
    <row r="66" spans="1:9" ht="16" thickBot="1" x14ac:dyDescent="0.25">
      <c r="A66" s="262"/>
      <c r="B66" s="265"/>
      <c r="C66" s="16" t="s">
        <v>57</v>
      </c>
      <c r="D66" s="16" t="e">
        <f>SUM(D64:D65)</f>
        <v>#DIV/0!</v>
      </c>
      <c r="E66" s="267"/>
      <c r="G66" s="265"/>
      <c r="H66" s="16" t="s">
        <v>57</v>
      </c>
      <c r="I66" s="1" t="e" cm="1">
        <f t="array" ref="I66">_xlfn.IFS(AND(D66&lt;='LV '!L13),"A+",AND(D66&lt;='LV '!M13,D66&gt;'LV '!L13),"A",AND(D66&lt;='LV '!N13,D66&gt;'LV '!M13),"B",AND(D66&lt;='LV '!O13,D66&gt;'LV '!N13),"C",AND(D66&lt;='LV '!P13,D66&gt;'LV '!O13),"D",AND(D66&lt;='LV '!Q13,D66&gt;'LV '!P13),"E",AND(D66&lt;='LV '!R13,D66&gt;'LV '!Q13),"F",AND(D66&gt;'LV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43" priority="7" operator="equal">
      <formula>"A+"</formula>
    </cfRule>
    <cfRule type="containsText" dxfId="242" priority="8" operator="containsText" text="A">
      <formula>NOT(ISERROR(SEARCH("A",I57)))</formula>
    </cfRule>
    <cfRule type="containsText" dxfId="241" priority="9" operator="containsText" text="B">
      <formula>NOT(ISERROR(SEARCH("B",I57)))</formula>
    </cfRule>
    <cfRule type="containsText" dxfId="240" priority="10" operator="containsText" text="C">
      <formula>NOT(ISERROR(SEARCH("C",I57)))</formula>
    </cfRule>
    <cfRule type="containsText" dxfId="239" priority="11" operator="containsText" text="D">
      <formula>NOT(ISERROR(SEARCH("D",I57)))</formula>
    </cfRule>
    <cfRule type="containsText" dxfId="238" priority="12" operator="containsText" text="E">
      <formula>NOT(ISERROR(SEARCH("E",I57)))</formula>
    </cfRule>
    <cfRule type="containsText" dxfId="237" priority="13" operator="containsText" text="F">
      <formula>NOT(ISERROR(SEARCH("F",I57)))</formula>
    </cfRule>
    <cfRule type="containsText" dxfId="236" priority="14" operator="containsText" text="G">
      <formula>NOT(ISERROR(SEARCH("G",I57)))</formula>
    </cfRule>
  </conditionalFormatting>
  <conditionalFormatting sqref="K5:K15">
    <cfRule type="expression" dxfId="35" priority="2" stopIfTrue="1">
      <formula>$O$19="No"</formula>
    </cfRule>
  </conditionalFormatting>
  <conditionalFormatting sqref="L5:L15">
    <cfRule type="expression" dxfId="34"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6A69B9A0-CE8C-764F-8E55-B28A36E53F16}">
      <formula1>AND(Q19="Yes", ISNUMBER(L5))</formula1>
    </dataValidation>
    <dataValidation type="custom" operator="lessThan" allowBlank="1" showErrorMessage="1" errorTitle="Error" error="You can only enter values if you have selected HOME PV. The value must be a number." sqref="K5:K15" xr:uid="{9527411A-99AD-7841-B4D8-0899664935E4}">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B5C24C69-0229-4DA8-9054-028BFBFAF9E9}">
          <x14:formula1>
            <xm:f>DATA!$J$3:$J$10</xm:f>
          </x14:formula1>
          <xm:sqref>D29:D51</xm:sqref>
        </x14:dataValidation>
        <x14:dataValidation type="list" allowBlank="1" showInputMessage="1" showErrorMessage="1" xr:uid="{5D77A277-166D-0B49-AB04-DC85890C2173}">
          <x14:formula1>
            <xm:f>DATA!$B$15:$B$23</xm:f>
          </x14:formula1>
          <xm:sqref>J2</xm:sqref>
        </x14:dataValidation>
        <x14:dataValidation type="list" allowBlank="1" showInputMessage="1" showErrorMessage="1" xr:uid="{20091FEC-0DCB-494A-809D-5AF615937714}">
          <x14:formula1>
            <xm:f>DATA!$H$3:$H$23</xm:f>
          </x14:formula1>
          <xm:sqref>C29:C51</xm:sqref>
        </x14:dataValidation>
        <x14:dataValidation type="list" allowBlank="1" showInputMessage="1" showErrorMessage="1" xr:uid="{3DC84DF0-6093-4C44-B459-0DC6FE5D7E65}">
          <x14:formula1>
            <xm:f>DATA!$B$3:$B$13</xm:f>
          </x14:formula1>
          <xm:sqref>H2</xm:sqref>
        </x14:dataValidation>
        <x14:dataValidation type="list" allowBlank="1" showInputMessage="1" showErrorMessage="1" xr:uid="{C02A0A06-FEB5-DA41-A9F6-6EB5BD3B50B9}">
          <x14:formula1>
            <xm:f>DATA!$L$4:$L$5</xm:f>
          </x14:formula1>
          <xm:sqref>O18:O19 Q19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40C5-9450-472F-9382-EE3DCB80BEF2}">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1640625" customWidth="1"/>
    <col min="5" max="5" width="18.5" customWidth="1"/>
    <col min="6" max="6" width="17"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110</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IF($O$18="Yes",(E5/$F$2)*DATA!$C$9,(E5/$F$2)*DATA!F21)+IF(ISBLANK(K5),0,K5/$F$2)*DATA!$C$9-IF(ISBLANK(L5),0,L5/$F$2)*DATA!F$21</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IF($O$18="Yes",(E6/$F$2)*DATA!$C$9,(E6/$F$2)*DATA!F22)+IF(ISBLANK(K6),0,K6/$F$2)*DATA!$C$9-IF(ISBLANK(L6),0,L6/$F$2)*DATA!F$21</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IF($O$18="Yes",(E7/$F$2)*DATA!$C$9,(E7/$F$2)*DATA!F23)+IF(ISBLANK(K7),0,K7/$F$2)*DATA!$C$9-IF(ISBLANK(L7),0,L7/$F$2)*DATA!F$21</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IF($O$18="Yes",(E8/$F$2)*DATA!$C$9,(E8/$F$2)*DATA!F24)+IF(ISBLANK(K8),0,K8/$F$2)*DATA!$C$9-IF(ISBLANK(L8),0,L8/$F$2)*DATA!F$21</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IF($O$18="Yes",(E9/$F$2)*DATA!$C$9,(E9/$F$2)*DATA!F25)+IF(ISBLANK(K9),0,K9/$F$2)*DATA!$C$9-IF(ISBLANK(L9),0,L9/$F$2)*DATA!F$21</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IF($O$18="Yes",(E10/$F$2)*DATA!$C$9,(E10/$F$2)*DATA!F26)+IF(ISBLANK(K10),0,K10/$F$2)*DATA!$C$9-IF(ISBLANK(L10),0,L10/$F$2)*DATA!F$21</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IF($O$18="Yes",(E11/$F$2)*DATA!$C$9,(E11/$F$2)*DATA!F27)+IF(ISBLANK(K11),0,K11/$F$2)*DATA!$C$9-IF(ISBLANK(L11),0,L11/$F$2)*DATA!F$21</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IF($O$18="Yes",(E12/$F$2)*DATA!$C$9,(E12/$F$2)*DATA!F28)+IF(ISBLANK(K12),0,K12/$F$2)*DATA!$C$9-IF(ISBLANK(L12),0,L12/$F$2)*DATA!F$21</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IF($O$18="Yes",(E13/$F$2)*DATA!$C$9,(E13/$F$2)*DATA!F29)+IF(ISBLANK(K13),0,K13/$F$2)*DATA!$C$9-IF(ISBLANK(L13),0,L13/$F$2)*DATA!F$21</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IF($O$18="Yes",(E14/$F$2)*DATA!$C$9,(E14/$F$2)*DATA!F30)+IF(ISBLANK(K14),0,K14/$F$2)*DATA!$C$9-IF(ISBLANK(L14),0,L14/$F$2)*DATA!F$21</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IF($O$18="Yes",(E15/$F$2)*DATA!$C$9,(E15/$F$2)*DATA!F31)+IF(ISBLANK(K15),0,K15/$F$2)*DATA!$C$9-IF(ISBLANK(L15),0,L15/$F$2)*DATA!F$21</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car",$D29=1),$E29*'LU '!C$7,AND($C29="Fuel car",$D29=2),$E29*'LU '!C$8,AND($C29="Fuel car",$D29=3),$E29*'LU '!C$9,AND($C29="Fuel car",$D29=4),$E29*'LU '!C$10,AND($C29="Fuel car",$D29=5),$E29*'LU '!C$11,AND($C29="Motorcycle",$D29=1),$E29*'LU '!C$13,AND($C29="Motorcycle",$D29=2),$E29*'LU '!C$14,AND($C29="Electric car",$D29=1),$E29*'LU '!C$16,AND($C29="Electric car",$D29=2),$E29*'LU '!C$17,AND($C29="Electric car",$D29=3),$E29*'LU '!C$18,AND($C29="Electric car",$D29=4),$E29*'LU '!C$19,AND($C29="Electric car",$D29=5),$E29*'LU '!C$20,AND($C29="Hybrid car",$D29=1),$E29*'LU '!C$22,AND($C29="Hybrid car",$D29=2),$E29*'LU '!C$23,AND($C29="Hybrid car",$D29=3),$E29*'LU '!C$24,AND($C29="Hybrid car",$D29=4),$E29*'LU '!C$25,AND($C29="Hybrid car",$D29=5),$E29*'LU '!C$26,AND($C29="Electric motorcycle",$D29=1),$E29*'LU '!C$28,AND($C29="Electric motorcycle",$D29=2),$E29*'LU '!C$29,AND($C29="Electric bike",$D29=1),$E29*'LU '!C$31,AND($C29="Electric scooter",$D29=1),$E29*'LU '!C$33,AND($C29="Bus",$D29="Almost empty"),$E29*'LU '!H$23,AND($C29="Bus",$D29="Average"),$E29*'LU '!H$24,AND($C29="Bus",$D29="Nearly full"),$E29*'LU '!H$25,AND($C29="Electric bus",$D29="Almost empty"),$E29*'LU '!H$7,AND($C29="Electric bus",$D29="Average"),$E29*'LU '!H$8,AND($C29="Electric bus",$D29="Nearly full"),$E29*'LU '!H$9,AND($C29="Diesel bus",$D29="Almost empty"),$E29*'LU '!H$19,AND($C29="Diesel bus",$D29="Average"),$E29*'LU '!H$20,AND($C29="Diesel bus",$D29="Nearly full"),$E29*'LU '!H$21,AND($C29="Hybrid-electric bus",$D29="Almost empty"),$E29*'LU '!H$11,AND($C29="Hybrid-electric bus",$D29="Average"),$E29*'LU '!H$12,AND($C29="Hybrid-electric bus",$D29="Nearly full"),$E29*'LU '!H$13,AND($C29="Alternative fuel bus",$D29="Almost empty"),$E29*'LU '!H$15,AND($C29="Alternative fuel bus",$D29="Average"),$E29*'LU '!H$16,AND($C29="Alternative fuel bus",$D29="Nearly full"),$E29*'LU '!H$17,AND($C29="Metro, tram, urban light train",$D29="Almost empty"),$E29*'LU '!C$35,AND($C29="Metro, tram, urban light train",$D29="Average"),$E29*'LU '!C$36,AND($C29="Metro, tram, urban light train",$D29="Nearly full"),$E29*'LU '!C$37,AND($C29="Electric passenger train",$D29="Almost empty"),$E29*'LU '!C$39,AND($C29="Electric passenger train",$D29="Average"),$E29*'LU '!C$40,AND($C29="Electric passenger train",$D29="Nearly full"),$E29*'LU '!C$41,AND($C29="Diesel passenger train",$D29="Almost empty"),$E29*'LU '!C$47,AND($C29="Diesel passenger train",$D29="Average"),$E29*'LU '!C$48,AND($C29="Diesel passenger train",$D29="Nearly full"),$E29*'LU '!C$49,AND($C29="Walking"),$E29*0,AND($C29="Bike"),$E29*0,AND($C29="Plane - domestic flight"),$E29*'LU '!$C53,AND($C29="Plane - international - intra EU"),$E29*'LU '!$C55,AND($C29="Plane - international (extra EU)"),$E29*'LU '!$C57)</f>
        <v>#N/A</v>
      </c>
      <c r="G29" s="104" t="e" cm="1">
        <f t="array" ref="G29">_xlfn.IFS(AND($C29="Fuel car",$D29=1),$E29*'LU '!D$7,AND($C29="Fuel car",$D29=2),$E29*'LU '!D$8,AND($C29="Fuel car",$D29=3),$E29*'LU '!D$9,AND($C29="Fuel car",$D29=4),$E29*'LU '!D$10,AND($C29="Fuel car",$D29=5),$E29*'LU '!D$11,AND($C29="Motorcycle",$D29=1),$E29*'LU '!D$13,AND($C29="Motorcycle",$D29=2),$E29*'LU '!D$14,AND($C29="Electric car",$D29=1),$E29*'LU '!D$16,AND($C29="Electric car",$D29=2),$E29*'LU '!D$17,AND($C29="Electric car",$D29=3),$E29*'LU '!D$18,AND($C29="Electric car",$D29=4),$E29*'LU '!D$19,AND($C29="Electric car",$D29=5),$E29*'LU '!D$20,AND($C29="Hybrid car",$D29=1),$E29*'LU '!D$22,AND($C29="Hybrid car",$D29=2),$E29*'LU '!D$23,AND($C29="Hybrid car",$D29=3),$E29*'LU '!D$24,AND($C29="Hybrid car",$D29=4),$E29*'LU '!D$25,AND($C29="Hybrid car",$D29=5),$E29*'LU '!D$26,AND($C29="Electric motorcycle",$D29=1),$E29*'LU '!D$28,AND($C29="Electric motorcycle",$D29=2),$E29*'LU '!D$29,AND($C29="Electric bike",$D29=1),$E29*'LU '!D$31,AND($C29="Electric scooter",$D29=1),$E29*'LU '!D$33,AND($C29="Bus",$D29="Almost empty"),$E29*'LU '!I$23,AND($C29="Bus",$D29="Average"),$E29*'LU '!I$24,AND($C29="Bus",$D29="Nearly full"),$E29*'LU '!I$25,AND($C29="Electric bus",$D29="Almost empty"),$E29*'LU '!I$7,AND($C29="Electric bus",$D29="Average"),$E29*'LU '!I$8,AND($C29="Electric bus",$D29="Nearly full"),$E29*'LU '!I$9,AND($C29="Diesel bus",$D29="Almost empty"),$E29*'LU '!I$19,AND($C29="Diesel bus",$D29="Average"),$E29*'LU '!I$20,AND($C29="Diesel bus",$D29="Nearly full"),$E29*'LU '!I$21,AND($C29="Hybrid-electric bus",$D29="Almost empty"),$E29*'LU '!I$11,AND($C29="Hybrid-electric bus",$D29="Average"),$E29*'LU '!I$12,AND($C29="Hybrid-electric bus",$D29="Nearly full"),$E29*'LU '!I$13,AND($C29="Alternative fuel bus",$D29="Almost empty"),$E29*'LU '!I$15,AND($C29="Alternative fuel bus",$D29="Average"),$E29*'LU '!I$16,AND($C29="Alternative fuel bus",$D29="Nearly full"),$E29*'LU '!I$17,AND($C29="Metro, tram, urban light train",$D29="Almost empty"),$E29*'LU '!D$35,AND($C29="Metro, tram, urban light train",$D29="Average"),$E29*'LU '!D$36,AND($C29="Metro, tram, urban light train",$D29="Nearly full"),$E29*'LU '!D$37,AND($C29="Electric passenger train",$D29="Almost empty"),$E29*'LU '!D$39,AND($C29="Electric passenger train",$D29="Average"),$E29*'LU '!D$40,AND($C29="Electric passenger train",$D29="Nearly full"),$E29*'LU '!D$41,AND($C29="Diesel passenger train",$D29="Almost empty"),$E29*'LU '!D$47,AND($C29="Diesel passenger train",$D29="Average"),$E29*'LU '!D$48,AND($C29="Diesel passenger train",$D29="Nearly full"),$E29*'LU '!D$49,AND($C29="Walking"),$E29*0,AND($C29="Bike"),$E29*0,AND($C29="Plane - domestic flight"),$E29*'LU '!$C53,AND($C29="Plane - international - intra EU"),$E29*'LU '!$C55,AND($C29="Plane - international (extra EU)"),$E29*'LU '!$C57)</f>
        <v>#N/A</v>
      </c>
      <c r="H29" s="151"/>
      <c r="I29" s="152">
        <f>H29/10*E29</f>
        <v>0</v>
      </c>
      <c r="J29" s="146" t="e" cm="1">
        <f t="array" ref="J29">_xlfn.IFS(C29="Fuel car",C29*DATA!$C$17,C29="Electric car",C29*DATA!$F$21,C29="Hybrid car",I29*(0.5*DATA!$C$17+0.5*DATA!$F$21))</f>
        <v>#N/A</v>
      </c>
      <c r="L29" s="218"/>
      <c r="M29" s="219"/>
      <c r="N29" s="220"/>
    </row>
    <row r="30" spans="1:17" ht="32" customHeight="1" x14ac:dyDescent="0.2">
      <c r="A30" s="222"/>
      <c r="B30" s="30"/>
      <c r="C30" s="15"/>
      <c r="D30" s="15"/>
      <c r="E30" s="125"/>
      <c r="F30" s="128" t="e" cm="1">
        <f t="array" ref="F30">_xlfn.IFS(AND($C30="Fuel car",$D30=1),$E30*'LU '!C$7,AND($C30="Fuel car",$D30=2),$E30*'LU '!C$8,AND($C30="Fuel car",$D30=3),$E30*'LU '!C$9,AND($C30="Fuel car",$D30=4),$E30*'LU '!C$10,AND($C30="Fuel car",$D30=5),$E30*'LU '!C$11,AND($C30="Motorcycle",$D30=1),$E30*'LU '!C$13,AND($C30="Motorcycle",$D30=2),$E30*'LU '!C$14,AND($C30="Electric car",$D30=1),$E30*'LU '!C$16,AND($C30="Electric car",$D30=2),$E30*'LU '!C$17,AND($C30="Electric car",$D30=3),$E30*'LU '!C$18,AND($C30="Electric car",$D30=4),$E30*'LU '!C$19,AND($C30="Electric car",$D30=5),$E30*'LU '!C$20,AND($C30="Hybrid car",$D30=1),$E30*'LU '!C$22,AND($C30="Hybrid car",$D30=2),$E30*'LU '!C$23,AND($C30="Hybrid car",$D30=3),$E30*'LU '!C$24,AND($C30="Hybrid car",$D30=4),$E30*'LU '!C$25,AND($C30="Hybrid car",$D30=5),$E30*'LU '!C$26,AND($C30="Electric motorcycle",$D30=1),$E30*'LU '!C$28,AND($C30="Electric motorcycle",$D30=2),$E30*'LU '!C$29,AND($C30="Electric bike",$D30=1),$E30*'LU '!C$31,AND($C30="Electric scooter",$D30=1),$E30*'LU '!C$33,AND($C30="Bus",$D30="Almost empty"),$E30*'LU '!H$23,AND($C30="Bus",$D30="Average"),$E30*'LU '!H$24,AND($C30="Bus",$D30="Nearly full"),$E30*'LU '!H$25,AND($C30="Electric bus",$D30="Almost empty"),$E30*'LU '!H$7,AND($C30="Electric bus",$D30="Average"),$E30*'LU '!H$8,AND($C30="Electric bus",$D30="Nearly full"),$E30*'LU '!H$9,AND($C30="Diesel bus",$D30="Almost empty"),$E30*'LU '!H$19,AND($C30="Diesel bus",$D30="Average"),$E30*'LU '!H$20,AND($C30="Diesel bus",$D30="Nearly full"),$E30*'LU '!H$21,AND($C30="Hybrid-electric bus",$D30="Almost empty"),$E30*'LU '!H$11,AND($C30="Hybrid-electric bus",$D30="Average"),$E30*'LU '!H$12,AND($C30="Hybrid-electric bus",$D30="Nearly full"),$E30*'LU '!H$13,AND($C30="Alternative fuel bus",$D30="Almost empty"),$E30*'LU '!H$15,AND($C30="Alternative fuel bus",$D30="Average"),$E30*'LU '!H$16,AND($C30="Alternative fuel bus",$D30="Nearly full"),$E30*'LU '!H$17,AND($C30="Metro, tram, urban light train",$D30="Almost empty"),$E30*'LU '!C$35,AND($C30="Metro, tram, urban light train",$D30="Average"),$E30*'LU '!C$36,AND($C30="Metro, tram, urban light train",$D30="Nearly full"),$E30*'LU '!C$37,AND($C30="Electric passenger train",$D30="Almost empty"),$E30*'LU '!C$39,AND($C30="Electric passenger train",$D30="Average"),$E30*'LU '!C$40,AND($C30="Electric passenger train",$D30="Nearly full"),$E30*'LU '!C$41,AND($C30="Diesel passenger train",$D30="Almost empty"),$E30*'LU '!C$47,AND($C30="Diesel passenger train",$D30="Average"),$E30*'LU '!C$48,AND($C30="Diesel passenger train",$D30="Nearly full"),$E30*'LU '!C$49,AND($C30="Walking"),$E30*0,AND($C30="Bike"),$E30*0,AND($C30="Plane - domestic flight"),$E30*'LU '!$C54,AND($C30="Plane - international - intra EU"),$E30*'LU '!$C56,AND($C30="Plane - international (extra EU)"),$E30*'LU '!$C58)</f>
        <v>#N/A</v>
      </c>
      <c r="G30" s="31" t="e" cm="1">
        <f t="array" ref="G30">_xlfn.IFS(AND($C30="Fuel car",$D30=1),$E30*'LU '!D$7,AND($C30="Fuel car",$D30=2),$E30*'LU '!D$8,AND($C30="Fuel car",$D30=3),$E30*'LU '!D$9,AND($C30="Fuel car",$D30=4),$E30*'LU '!D$10,AND($C30="Fuel car",$D30=5),$E30*'LU '!D$11,AND($C30="Motorcycle",$D30=1),$E30*'LU '!D$13,AND($C30="Motorcycle",$D30=2),$E30*'LU '!D$14,AND($C30="Electric car",$D30=1),$E30*'LU '!D$16,AND($C30="Electric car",$D30=2),$E30*'LU '!D$17,AND($C30="Electric car",$D30=3),$E30*'LU '!D$18,AND($C30="Electric car",$D30=4),$E30*'LU '!D$19,AND($C30="Electric car",$D30=5),$E30*'LU '!D$20,AND($C30="Hybrid car",$D30=1),$E30*'LU '!D$22,AND($C30="Hybrid car",$D30=2),$E30*'LU '!D$23,AND($C30="Hybrid car",$D30=3),$E30*'LU '!D$24,AND($C30="Hybrid car",$D30=4),$E30*'LU '!D$25,AND($C30="Hybrid car",$D30=5),$E30*'LU '!D$26,AND($C30="Electric motorcycle",$D30=1),$E30*'LU '!D$28,AND($C30="Electric motorcycle",$D30=2),$E30*'LU '!D$29,AND($C30="Electric bike",$D30=1),$E30*'LU '!D$31,AND($C30="Electric scooter",$D30=1),$E30*'LU '!D$33,AND($C30="Bus",$D30="Almost empty"),$E30*'LU '!I$23,AND($C30="Bus",$D30="Average"),$E30*'LU '!I$24,AND($C30="Bus",$D30="Nearly full"),$E30*'LU '!I$25,AND($C30="Electric bus",$D30="Almost empty"),$E30*'LU '!I$7,AND($C30="Electric bus",$D30="Average"),$E30*'LU '!I$8,AND($C30="Electric bus",$D30="Nearly full"),$E30*'LU '!I$9,AND($C30="Diesel bus",$D30="Almost empty"),$E30*'LU '!I$19,AND($C30="Diesel bus",$D30="Average"),$E30*'LU '!I$20,AND($C30="Diesel bus",$D30="Nearly full"),$E30*'LU '!I$21,AND($C30="Hybrid-electric bus",$D30="Almost empty"),$E30*'LU '!I$11,AND($C30="Hybrid-electric bus",$D30="Average"),$E30*'LU '!I$12,AND($C30="Hybrid-electric bus",$D30="Nearly full"),$E30*'LU '!I$13,AND($C30="Alternative fuel bus",$D30="Almost empty"),$E30*'LU '!I$15,AND($C30="Alternative fuel bus",$D30="Average"),$E30*'LU '!I$16,AND($C30="Alternative fuel bus",$D30="Nearly full"),$E30*'LU '!I$17,AND($C30="Metro, tram, urban light train",$D30="Almost empty"),$E30*'LU '!D$35,AND($C30="Metro, tram, urban light train",$D30="Average"),$E30*'LU '!D$36,AND($C30="Metro, tram, urban light train",$D30="Nearly full"),$E30*'LU '!D$37,AND($C30="Electric passenger train",$D30="Almost empty"),$E30*'LU '!D$39,AND($C30="Electric passenger train",$D30="Average"),$E30*'LU '!D$40,AND($C30="Electric passenger train",$D30="Nearly full"),$E30*'LU '!D$41,AND($C30="Diesel passenger train",$D30="Almost empty"),$E30*'LU '!D$47,AND($C30="Diesel passenger train",$D30="Average"),$E30*'LU '!D$48,AND($C30="Diesel passenger train",$D30="Nearly full"),$E30*'LU '!D$49,AND($C30="Walking"),$E30*0,AND($C30="Bike"),$E30*0,AND($C30="Plane - domestic flight"),$E30*'LU '!$C54,AND($C30="Plane - international - intra EU"),$E30*'LU '!$C56,AND($C30="Plane - international (extra EU)"),$E30*'LU '!$C58)</f>
        <v>#N/A</v>
      </c>
      <c r="H30" s="145"/>
      <c r="I30" s="148">
        <f t="shared" ref="I30:I43" si="6">H30/10*E30</f>
        <v>0</v>
      </c>
      <c r="J30" s="146" t="e" cm="1">
        <f t="array" ref="J30">_xlfn.IFS(C30="Fuel car",C30*DATA!$C$17,C30="Electric car",C30*DATA!$F$21,C30="Hybrid car",I30*(0.5*DATA!$C$17+0.5*DATA!$F$21))</f>
        <v>#N/A</v>
      </c>
      <c r="L30" s="215" t="s">
        <v>76</v>
      </c>
      <c r="M30" s="216"/>
      <c r="N30" s="217"/>
    </row>
    <row r="31" spans="1:17" x14ac:dyDescent="0.2">
      <c r="A31" s="222"/>
      <c r="B31" s="30"/>
      <c r="C31" s="15"/>
      <c r="D31" s="15"/>
      <c r="E31" s="125"/>
      <c r="F31" s="128" t="e" cm="1">
        <f t="array" ref="F31">_xlfn.IFS(AND($C31="Fuel car",$D31=1),$E31*'LU '!C$7,AND($C31="Fuel car",$D31=2),$E31*'LU '!C$8,AND($C31="Fuel car",$D31=3),$E31*'LU '!C$9,AND($C31="Fuel car",$D31=4),$E31*'LU '!C$10,AND($C31="Fuel car",$D31=5),$E31*'LU '!C$11,AND($C31="Motorcycle",$D31=1),$E31*'LU '!C$13,AND($C31="Motorcycle",$D31=2),$E31*'LU '!C$14,AND($C31="Electric car",$D31=1),$E31*'LU '!C$16,AND($C31="Electric car",$D31=2),$E31*'LU '!C$17,AND($C31="Electric car",$D31=3),$E31*'LU '!C$18,AND($C31="Electric car",$D31=4),$E31*'LU '!C$19,AND($C31="Electric car",$D31=5),$E31*'LU '!C$20,AND($C31="Hybrid car",$D31=1),$E31*'LU '!C$22,AND($C31="Hybrid car",$D31=2),$E31*'LU '!C$23,AND($C31="Hybrid car",$D31=3),$E31*'LU '!C$24,AND($C31="Hybrid car",$D31=4),$E31*'LU '!C$25,AND($C31="Hybrid car",$D31=5),$E31*'LU '!C$26,AND($C31="Electric motorcycle",$D31=1),$E31*'LU '!C$28,AND($C31="Electric motorcycle",$D31=2),$E31*'LU '!C$29,AND($C31="Electric bike",$D31=1),$E31*'LU '!C$31,AND($C31="Electric scooter",$D31=1),$E31*'LU '!C$33,AND($C31="Bus",$D31="Almost empty"),$E31*'LU '!H$23,AND($C31="Bus",$D31="Average"),$E31*'LU '!H$24,AND($C31="Bus",$D31="Nearly full"),$E31*'LU '!H$25,AND($C31="Electric bus",$D31="Almost empty"),$E31*'LU '!H$7,AND($C31="Electric bus",$D31="Average"),$E31*'LU '!H$8,AND($C31="Electric bus",$D31="Nearly full"),$E31*'LU '!H$9,AND($C31="Diesel bus",$D31="Almost empty"),$E31*'LU '!H$19,AND($C31="Diesel bus",$D31="Average"),$E31*'LU '!H$20,AND($C31="Diesel bus",$D31="Nearly full"),$E31*'LU '!H$21,AND($C31="Hybrid-electric bus",$D31="Almost empty"),$E31*'LU '!H$11,AND($C31="Hybrid-electric bus",$D31="Average"),$E31*'LU '!H$12,AND($C31="Hybrid-electric bus",$D31="Nearly full"),$E31*'LU '!H$13,AND($C31="Alternative fuel bus",$D31="Almost empty"),$E31*'LU '!H$15,AND($C31="Alternative fuel bus",$D31="Average"),$E31*'LU '!H$16,AND($C31="Alternative fuel bus",$D31="Nearly full"),$E31*'LU '!H$17,AND($C31="Metro, tram, urban light train",$D31="Almost empty"),$E31*'LU '!C$35,AND($C31="Metro, tram, urban light train",$D31="Average"),$E31*'LU '!C$36,AND($C31="Metro, tram, urban light train",$D31="Nearly full"),$E31*'LU '!C$37,AND($C31="Electric passenger train",$D31="Almost empty"),$E31*'LU '!C$39,AND($C31="Electric passenger train",$D31="Average"),$E31*'LU '!C$40,AND($C31="Electric passenger train",$D31="Nearly full"),$E31*'LU '!C$41,AND($C31="Diesel passenger train",$D31="Almost empty"),$E31*'LU '!C$47,AND($C31="Diesel passenger train",$D31="Average"),$E31*'LU '!C$48,AND($C31="Diesel passenger train",$D31="Nearly full"),$E31*'LU '!C$49,AND($C31="Walking"),$E31*0,AND($C31="Bike"),$E31*0,AND($C31="Plane - domestic flight"),$E31*'LU '!$C55,AND($C31="Plane - international - intra EU"),$E31*'LU '!$C57,AND($C31="Plane - international (extra EU)"),$E31*'LU '!$C59)</f>
        <v>#N/A</v>
      </c>
      <c r="G31" s="31" t="e" cm="1">
        <f t="array" ref="G31">_xlfn.IFS(AND($C31="Fuel car",$D31=1),$E31*'LU '!D$7,AND($C31="Fuel car",$D31=2),$E31*'LU '!D$8,AND($C31="Fuel car",$D31=3),$E31*'LU '!D$9,AND($C31="Fuel car",$D31=4),$E31*'LU '!D$10,AND($C31="Fuel car",$D31=5),$E31*'LU '!D$11,AND($C31="Motorcycle",$D31=1),$E31*'LU '!D$13,AND($C31="Motorcycle",$D31=2),$E31*'LU '!D$14,AND($C31="Electric car",$D31=1),$E31*'LU '!D$16,AND($C31="Electric car",$D31=2),$E31*'LU '!D$17,AND($C31="Electric car",$D31=3),$E31*'LU '!D$18,AND($C31="Electric car",$D31=4),$E31*'LU '!D$19,AND($C31="Electric car",$D31=5),$E31*'LU '!D$20,AND($C31="Hybrid car",$D31=1),$E31*'LU '!D$22,AND($C31="Hybrid car",$D31=2),$E31*'LU '!D$23,AND($C31="Hybrid car",$D31=3),$E31*'LU '!D$24,AND($C31="Hybrid car",$D31=4),$E31*'LU '!D$25,AND($C31="Hybrid car",$D31=5),$E31*'LU '!D$26,AND($C31="Electric motorcycle",$D31=1),$E31*'LU '!D$28,AND($C31="Electric motorcycle",$D31=2),$E31*'LU '!D$29,AND($C31="Electric bike",$D31=1),$E31*'LU '!D$31,AND($C31="Electric scooter",$D31=1),$E31*'LU '!D$33,AND($C31="Bus",$D31="Almost empty"),$E31*'LU '!I$23,AND($C31="Bus",$D31="Average"),$E31*'LU '!I$24,AND($C31="Bus",$D31="Nearly full"),$E31*'LU '!I$25,AND($C31="Electric bus",$D31="Almost empty"),$E31*'LU '!I$7,AND($C31="Electric bus",$D31="Average"),$E31*'LU '!I$8,AND($C31="Electric bus",$D31="Nearly full"),$E31*'LU '!I$9,AND($C31="Diesel bus",$D31="Almost empty"),$E31*'LU '!I$19,AND($C31="Diesel bus",$D31="Average"),$E31*'LU '!I$20,AND($C31="Diesel bus",$D31="Nearly full"),$E31*'LU '!I$21,AND($C31="Hybrid-electric bus",$D31="Almost empty"),$E31*'LU '!I$11,AND($C31="Hybrid-electric bus",$D31="Average"),$E31*'LU '!I$12,AND($C31="Hybrid-electric bus",$D31="Nearly full"),$E31*'LU '!I$13,AND($C31="Alternative fuel bus",$D31="Almost empty"),$E31*'LU '!I$15,AND($C31="Alternative fuel bus",$D31="Average"),$E31*'LU '!I$16,AND($C31="Alternative fuel bus",$D31="Nearly full"),$E31*'LU '!I$17,AND($C31="Metro, tram, urban light train",$D31="Almost empty"),$E31*'LU '!D$35,AND($C31="Metro, tram, urban light train",$D31="Average"),$E31*'LU '!D$36,AND($C31="Metro, tram, urban light train",$D31="Nearly full"),$E31*'LU '!D$37,AND($C31="Electric passenger train",$D31="Almost empty"),$E31*'LU '!D$39,AND($C31="Electric passenger train",$D31="Average"),$E31*'LU '!D$40,AND($C31="Electric passenger train",$D31="Nearly full"),$E31*'LU '!D$41,AND($C31="Diesel passenger train",$D31="Almost empty"),$E31*'LU '!D$47,AND($C31="Diesel passenger train",$D31="Average"),$E31*'LU '!D$48,AND($C31="Diesel passenger train",$D31="Nearly full"),$E31*'LU '!D$49,AND($C31="Walking"),$E31*0,AND($C31="Bike"),$E31*0,AND($C31="Plane - domestic flight"),$E31*'LU '!$C55,AND($C31="Plane - international - intra EU"),$E31*'LU '!$C57,AND($C31="Plane - international (extra EU)"),$E31*'LU '!$C59)</f>
        <v>#N/A</v>
      </c>
      <c r="H31" s="145"/>
      <c r="I31" s="148">
        <f t="shared" si="6"/>
        <v>0</v>
      </c>
      <c r="J31" s="146" t="e" cm="1">
        <f t="array" ref="J31">_xlfn.IFS(C31="Fuel car",C31*DATA!$C$17,C31="Electric car",C31*DATA!$F$21,C31="Hybrid car",I31*(0.5*DATA!$C$17+0.5*DATA!$F$21))</f>
        <v>#N/A</v>
      </c>
      <c r="L31" s="223"/>
      <c r="M31" s="224"/>
      <c r="N31" s="225"/>
    </row>
    <row r="32" spans="1:17" ht="16" thickBot="1" x14ac:dyDescent="0.25">
      <c r="A32" s="222"/>
      <c r="B32" s="30"/>
      <c r="C32" s="15"/>
      <c r="D32" s="15"/>
      <c r="E32" s="125"/>
      <c r="F32" s="128" t="e" cm="1">
        <f t="array" ref="F32">_xlfn.IFS(AND($C32="Fuel car",$D32=1),$E32*'LU '!C$7,AND($C32="Fuel car",$D32=2),$E32*'LU '!C$8,AND($C32="Fuel car",$D32=3),$E32*'LU '!C$9,AND($C32="Fuel car",$D32=4),$E32*'LU '!C$10,AND($C32="Fuel car",$D32=5),$E32*'LU '!C$11,AND($C32="Motorcycle",$D32=1),$E32*'LU '!C$13,AND($C32="Motorcycle",$D32=2),$E32*'LU '!C$14,AND($C32="Electric car",$D32=1),$E32*'LU '!C$16,AND($C32="Electric car",$D32=2),$E32*'LU '!C$17,AND($C32="Electric car",$D32=3),$E32*'LU '!C$18,AND($C32="Electric car",$D32=4),$E32*'LU '!C$19,AND($C32="Electric car",$D32=5),$E32*'LU '!C$20,AND($C32="Hybrid car",$D32=1),$E32*'LU '!C$22,AND($C32="Hybrid car",$D32=2),$E32*'LU '!C$23,AND($C32="Hybrid car",$D32=3),$E32*'LU '!C$24,AND($C32="Hybrid car",$D32=4),$E32*'LU '!C$25,AND($C32="Hybrid car",$D32=5),$E32*'LU '!C$26,AND($C32="Electric motorcycle",$D32=1),$E32*'LU '!C$28,AND($C32="Electric motorcycle",$D32=2),$E32*'LU '!C$29,AND($C32="Electric bike",$D32=1),$E32*'LU '!C$31,AND($C32="Electric scooter",$D32=1),$E32*'LU '!C$33,AND($C32="Bus",$D32="Almost empty"),$E32*'LU '!H$23,AND($C32="Bus",$D32="Average"),$E32*'LU '!H$24,AND($C32="Bus",$D32="Nearly full"),$E32*'LU '!H$25,AND($C32="Electric bus",$D32="Almost empty"),$E32*'LU '!H$7,AND($C32="Electric bus",$D32="Average"),$E32*'LU '!H$8,AND($C32="Electric bus",$D32="Nearly full"),$E32*'LU '!H$9,AND($C32="Diesel bus",$D32="Almost empty"),$E32*'LU '!H$19,AND($C32="Diesel bus",$D32="Average"),$E32*'LU '!H$20,AND($C32="Diesel bus",$D32="Nearly full"),$E32*'LU '!H$21,AND($C32="Hybrid-electric bus",$D32="Almost empty"),$E32*'LU '!H$11,AND($C32="Hybrid-electric bus",$D32="Average"),$E32*'LU '!H$12,AND($C32="Hybrid-electric bus",$D32="Nearly full"),$E32*'LU '!H$13,AND($C32="Alternative fuel bus",$D32="Almost empty"),$E32*'LU '!H$15,AND($C32="Alternative fuel bus",$D32="Average"),$E32*'LU '!H$16,AND($C32="Alternative fuel bus",$D32="Nearly full"),$E32*'LU '!H$17,AND($C32="Metro, tram, urban light train",$D32="Almost empty"),$E32*'LU '!C$35,AND($C32="Metro, tram, urban light train",$D32="Average"),$E32*'LU '!C$36,AND($C32="Metro, tram, urban light train",$D32="Nearly full"),$E32*'LU '!C$37,AND($C32="Electric passenger train",$D32="Almost empty"),$E32*'LU '!C$39,AND($C32="Electric passenger train",$D32="Average"),$E32*'LU '!C$40,AND($C32="Electric passenger train",$D32="Nearly full"),$E32*'LU '!C$41,AND($C32="Diesel passenger train",$D32="Almost empty"),$E32*'LU '!C$47,AND($C32="Diesel passenger train",$D32="Average"),$E32*'LU '!C$48,AND($C32="Diesel passenger train",$D32="Nearly full"),$E32*'LU '!C$49,AND($C32="Walking"),$E32*0,AND($C32="Bike"),$E32*0,AND($C32="Plane - domestic flight"),$E32*'LU '!$C56,AND($C32="Plane - international - intra EU"),$E32*'LU '!$C58,AND($C32="Plane - international (extra EU)"),$E32*'LU '!$C60)</f>
        <v>#N/A</v>
      </c>
      <c r="G32" s="31" t="e" cm="1">
        <f t="array" ref="G32">_xlfn.IFS(AND($C32="Fuel car",$D32=1),$E32*'LU '!D$7,AND($C32="Fuel car",$D32=2),$E32*'LU '!D$8,AND($C32="Fuel car",$D32=3),$E32*'LU '!D$9,AND($C32="Fuel car",$D32=4),$E32*'LU '!D$10,AND($C32="Fuel car",$D32=5),$E32*'LU '!D$11,AND($C32="Motorcycle",$D32=1),$E32*'LU '!D$13,AND($C32="Motorcycle",$D32=2),$E32*'LU '!D$14,AND($C32="Electric car",$D32=1),$E32*'LU '!D$16,AND($C32="Electric car",$D32=2),$E32*'LU '!D$17,AND($C32="Electric car",$D32=3),$E32*'LU '!D$18,AND($C32="Electric car",$D32=4),$E32*'LU '!D$19,AND($C32="Electric car",$D32=5),$E32*'LU '!D$20,AND($C32="Hybrid car",$D32=1),$E32*'LU '!D$22,AND($C32="Hybrid car",$D32=2),$E32*'LU '!D$23,AND($C32="Hybrid car",$D32=3),$E32*'LU '!D$24,AND($C32="Hybrid car",$D32=4),$E32*'LU '!D$25,AND($C32="Hybrid car",$D32=5),$E32*'LU '!D$26,AND($C32="Electric motorcycle",$D32=1),$E32*'LU '!D$28,AND($C32="Electric motorcycle",$D32=2),$E32*'LU '!D$29,AND($C32="Electric bike",$D32=1),$E32*'LU '!D$31,AND($C32="Electric scooter",$D32=1),$E32*'LU '!D$33,AND($C32="Bus",$D32="Almost empty"),$E32*'LU '!I$23,AND($C32="Bus",$D32="Average"),$E32*'LU '!I$24,AND($C32="Bus",$D32="Nearly full"),$E32*'LU '!I$25,AND($C32="Electric bus",$D32="Almost empty"),$E32*'LU '!I$7,AND($C32="Electric bus",$D32="Average"),$E32*'LU '!I$8,AND($C32="Electric bus",$D32="Nearly full"),$E32*'LU '!I$9,AND($C32="Diesel bus",$D32="Almost empty"),$E32*'LU '!I$19,AND($C32="Diesel bus",$D32="Average"),$E32*'LU '!I$20,AND($C32="Diesel bus",$D32="Nearly full"),$E32*'LU '!I$21,AND($C32="Hybrid-electric bus",$D32="Almost empty"),$E32*'LU '!I$11,AND($C32="Hybrid-electric bus",$D32="Average"),$E32*'LU '!I$12,AND($C32="Hybrid-electric bus",$D32="Nearly full"),$E32*'LU '!I$13,AND($C32="Alternative fuel bus",$D32="Almost empty"),$E32*'LU '!I$15,AND($C32="Alternative fuel bus",$D32="Average"),$E32*'LU '!I$16,AND($C32="Alternative fuel bus",$D32="Nearly full"),$E32*'LU '!I$17,AND($C32="Metro, tram, urban light train",$D32="Almost empty"),$E32*'LU '!D$35,AND($C32="Metro, tram, urban light train",$D32="Average"),$E32*'LU '!D$36,AND($C32="Metro, tram, urban light train",$D32="Nearly full"),$E32*'LU '!D$37,AND($C32="Electric passenger train",$D32="Almost empty"),$E32*'LU '!D$39,AND($C32="Electric passenger train",$D32="Average"),$E32*'LU '!D$40,AND($C32="Electric passenger train",$D32="Nearly full"),$E32*'LU '!D$41,AND($C32="Diesel passenger train",$D32="Almost empty"),$E32*'LU '!D$47,AND($C32="Diesel passenger train",$D32="Average"),$E32*'LU '!D$48,AND($C32="Diesel passenger train",$D32="Nearly full"),$E32*'LU '!D$49,AND($C32="Walking"),$E32*0,AND($C32="Bike"),$E32*0,AND($C32="Plane - domestic flight"),$E32*'LU '!$C56,AND($C32="Plane - international - intra EU"),$E32*'LU '!$C58,AND($C32="Plane - international (extra EU)"),$E32*'LU '!$C60)</f>
        <v>#N/A</v>
      </c>
      <c r="H32" s="145"/>
      <c r="I32" s="148">
        <f t="shared" si="6"/>
        <v>0</v>
      </c>
      <c r="J32" s="146" t="e" cm="1">
        <f t="array" ref="J32">_xlfn.IFS(C32="Fuel car",C32*DATA!$C$17,C32="Electric car",C32*DATA!$F$21,C32="Hybrid car",I32*(0.5*DATA!$C$17+0.5*DATA!$F$21))</f>
        <v>#N/A</v>
      </c>
      <c r="L32" s="218"/>
      <c r="M32" s="219"/>
      <c r="N32" s="220"/>
    </row>
    <row r="33" spans="1:14" ht="14.5" customHeight="1" x14ac:dyDescent="0.2">
      <c r="A33" s="222"/>
      <c r="B33" s="30"/>
      <c r="C33" s="15"/>
      <c r="D33" s="15"/>
      <c r="E33" s="125"/>
      <c r="F33" s="128" t="e" cm="1">
        <f t="array" ref="F33">_xlfn.IFS(AND($C33="Fuel car",$D33=1),$E33*'LU '!C$7,AND($C33="Fuel car",$D33=2),$E33*'LU '!C$8,AND($C33="Fuel car",$D33=3),$E33*'LU '!C$9,AND($C33="Fuel car",$D33=4),$E33*'LU '!C$10,AND($C33="Fuel car",$D33=5),$E33*'LU '!C$11,AND($C33="Motorcycle",$D33=1),$E33*'LU '!C$13,AND($C33="Motorcycle",$D33=2),$E33*'LU '!C$14,AND($C33="Electric car",$D33=1),$E33*'LU '!C$16,AND($C33="Electric car",$D33=2),$E33*'LU '!C$17,AND($C33="Electric car",$D33=3),$E33*'LU '!C$18,AND($C33="Electric car",$D33=4),$E33*'LU '!C$19,AND($C33="Electric car",$D33=5),$E33*'LU '!C$20,AND($C33="Hybrid car",$D33=1),$E33*'LU '!C$22,AND($C33="Hybrid car",$D33=2),$E33*'LU '!C$23,AND($C33="Hybrid car",$D33=3),$E33*'LU '!C$24,AND($C33="Hybrid car",$D33=4),$E33*'LU '!C$25,AND($C33="Hybrid car",$D33=5),$E33*'LU '!C$26,AND($C33="Electric motorcycle",$D33=1),$E33*'LU '!C$28,AND($C33="Electric motorcycle",$D33=2),$E33*'LU '!C$29,AND($C33="Electric bike",$D33=1),$E33*'LU '!C$31,AND($C33="Electric scooter",$D33=1),$E33*'LU '!C$33,AND($C33="Bus",$D33="Almost empty"),$E33*'LU '!H$23,AND($C33="Bus",$D33="Average"),$E33*'LU '!H$24,AND($C33="Bus",$D33="Nearly full"),$E33*'LU '!H$25,AND($C33="Electric bus",$D33="Almost empty"),$E33*'LU '!H$7,AND($C33="Electric bus",$D33="Average"),$E33*'LU '!H$8,AND($C33="Electric bus",$D33="Nearly full"),$E33*'LU '!H$9,AND($C33="Diesel bus",$D33="Almost empty"),$E33*'LU '!H$19,AND($C33="Diesel bus",$D33="Average"),$E33*'LU '!H$20,AND($C33="Diesel bus",$D33="Nearly full"),$E33*'LU '!H$21,AND($C33="Hybrid-electric bus",$D33="Almost empty"),$E33*'LU '!H$11,AND($C33="Hybrid-electric bus",$D33="Average"),$E33*'LU '!H$12,AND($C33="Hybrid-electric bus",$D33="Nearly full"),$E33*'LU '!H$13,AND($C33="Alternative fuel bus",$D33="Almost empty"),$E33*'LU '!H$15,AND($C33="Alternative fuel bus",$D33="Average"),$E33*'LU '!H$16,AND($C33="Alternative fuel bus",$D33="Nearly full"),$E33*'LU '!H$17,AND($C33="Metro, tram, urban light train",$D33="Almost empty"),$E33*'LU '!C$35,AND($C33="Metro, tram, urban light train",$D33="Average"),$E33*'LU '!C$36,AND($C33="Metro, tram, urban light train",$D33="Nearly full"),$E33*'LU '!C$37,AND($C33="Electric passenger train",$D33="Almost empty"),$E33*'LU '!C$39,AND($C33="Electric passenger train",$D33="Average"),$E33*'LU '!C$40,AND($C33="Electric passenger train",$D33="Nearly full"),$E33*'LU '!C$41,AND($C33="Diesel passenger train",$D33="Almost empty"),$E33*'LU '!C$47,AND($C33="Diesel passenger train",$D33="Average"),$E33*'LU '!C$48,AND($C33="Diesel passenger train",$D33="Nearly full"),$E33*'LU '!C$49,AND($C33="Walking"),$E33*0,AND($C33="Bike"),$E33*0,AND($C33="Plane - domestic flight"),$E33*'LU '!$C57,AND($C33="Plane - international - intra EU"),$E33*'LU '!$C59,AND($C33="Plane - international (extra EU)"),$E33*'LU '!$C61)</f>
        <v>#N/A</v>
      </c>
      <c r="G33" s="31" t="e" cm="1">
        <f t="array" ref="G33">_xlfn.IFS(AND($C33="Fuel car",$D33=1),$E33*'LU '!D$7,AND($C33="Fuel car",$D33=2),$E33*'LU '!D$8,AND($C33="Fuel car",$D33=3),$E33*'LU '!D$9,AND($C33="Fuel car",$D33=4),$E33*'LU '!D$10,AND($C33="Fuel car",$D33=5),$E33*'LU '!D$11,AND($C33="Motorcycle",$D33=1),$E33*'LU '!D$13,AND($C33="Motorcycle",$D33=2),$E33*'LU '!D$14,AND($C33="Electric car",$D33=1),$E33*'LU '!D$16,AND($C33="Electric car",$D33=2),$E33*'LU '!D$17,AND($C33="Electric car",$D33=3),$E33*'LU '!D$18,AND($C33="Electric car",$D33=4),$E33*'LU '!D$19,AND($C33="Electric car",$D33=5),$E33*'LU '!D$20,AND($C33="Hybrid car",$D33=1),$E33*'LU '!D$22,AND($C33="Hybrid car",$D33=2),$E33*'LU '!D$23,AND($C33="Hybrid car",$D33=3),$E33*'LU '!D$24,AND($C33="Hybrid car",$D33=4),$E33*'LU '!D$25,AND($C33="Hybrid car",$D33=5),$E33*'LU '!D$26,AND($C33="Electric motorcycle",$D33=1),$E33*'LU '!D$28,AND($C33="Electric motorcycle",$D33=2),$E33*'LU '!D$29,AND($C33="Electric bike",$D33=1),$E33*'LU '!D$31,AND($C33="Electric scooter",$D33=1),$E33*'LU '!D$33,AND($C33="Bus",$D33="Almost empty"),$E33*'LU '!I$23,AND($C33="Bus",$D33="Average"),$E33*'LU '!I$24,AND($C33="Bus",$D33="Nearly full"),$E33*'LU '!I$25,AND($C33="Electric bus",$D33="Almost empty"),$E33*'LU '!I$7,AND($C33="Electric bus",$D33="Average"),$E33*'LU '!I$8,AND($C33="Electric bus",$D33="Nearly full"),$E33*'LU '!I$9,AND($C33="Diesel bus",$D33="Almost empty"),$E33*'LU '!I$19,AND($C33="Diesel bus",$D33="Average"),$E33*'LU '!I$20,AND($C33="Diesel bus",$D33="Nearly full"),$E33*'LU '!I$21,AND($C33="Hybrid-electric bus",$D33="Almost empty"),$E33*'LU '!I$11,AND($C33="Hybrid-electric bus",$D33="Average"),$E33*'LU '!I$12,AND($C33="Hybrid-electric bus",$D33="Nearly full"),$E33*'LU '!I$13,AND($C33="Alternative fuel bus",$D33="Almost empty"),$E33*'LU '!I$15,AND($C33="Alternative fuel bus",$D33="Average"),$E33*'LU '!I$16,AND($C33="Alternative fuel bus",$D33="Nearly full"),$E33*'LU '!I$17,AND($C33="Metro, tram, urban light train",$D33="Almost empty"),$E33*'LU '!D$35,AND($C33="Metro, tram, urban light train",$D33="Average"),$E33*'LU '!D$36,AND($C33="Metro, tram, urban light train",$D33="Nearly full"),$E33*'LU '!D$37,AND($C33="Electric passenger train",$D33="Almost empty"),$E33*'LU '!D$39,AND($C33="Electric passenger train",$D33="Average"),$E33*'LU '!D$40,AND($C33="Electric passenger train",$D33="Nearly full"),$E33*'LU '!D$41,AND($C33="Diesel passenger train",$D33="Almost empty"),$E33*'LU '!D$47,AND($C33="Diesel passenger train",$D33="Average"),$E33*'LU '!D$48,AND($C33="Diesel passenger train",$D33="Nearly full"),$E33*'LU '!D$49,AND($C33="Walking"),$E33*0,AND($C33="Bike"),$E33*0,AND($C33="Plane - domestic flight"),$E33*'LU '!$C57,AND($C33="Plane - international - intra EU"),$E33*'LU '!$C59,AND($C33="Plane - international (extra EU)"),$E33*'LU '!$C61)</f>
        <v>#N/A</v>
      </c>
      <c r="H33" s="145"/>
      <c r="I33" s="148">
        <f t="shared" si="6"/>
        <v>0</v>
      </c>
      <c r="J33" s="146" t="e" cm="1">
        <f t="array" ref="J33">_xlfn.IFS(C33="Fuel car",C33*DATA!$C$17,C33="Electric car",C33*DATA!$F$21,C33="Hybrid car",I33*(0.5*DATA!$C$17+0.5*DATA!$F$21))</f>
        <v>#N/A</v>
      </c>
      <c r="L33" s="223" t="s">
        <v>78</v>
      </c>
      <c r="M33" s="224"/>
      <c r="N33" s="225"/>
    </row>
    <row r="34" spans="1:14" x14ac:dyDescent="0.2">
      <c r="A34" s="222"/>
      <c r="B34" s="30"/>
      <c r="C34" s="15"/>
      <c r="D34" s="15"/>
      <c r="E34" s="125"/>
      <c r="F34" s="128" t="e" cm="1">
        <f t="array" ref="F34">_xlfn.IFS(AND($C34="Fuel car",$D34=1),$E34*'LU '!C$7,AND($C34="Fuel car",$D34=2),$E34*'LU '!C$8,AND($C34="Fuel car",$D34=3),$E34*'LU '!C$9,AND($C34="Fuel car",$D34=4),$E34*'LU '!C$10,AND($C34="Fuel car",$D34=5),$E34*'LU '!C$11,AND($C34="Motorcycle",$D34=1),$E34*'LU '!C$13,AND($C34="Motorcycle",$D34=2),$E34*'LU '!C$14,AND($C34="Electric car",$D34=1),$E34*'LU '!C$16,AND($C34="Electric car",$D34=2),$E34*'LU '!C$17,AND($C34="Electric car",$D34=3),$E34*'LU '!C$18,AND($C34="Electric car",$D34=4),$E34*'LU '!C$19,AND($C34="Electric car",$D34=5),$E34*'LU '!C$20,AND($C34="Hybrid car",$D34=1),$E34*'LU '!C$22,AND($C34="Hybrid car",$D34=2),$E34*'LU '!C$23,AND($C34="Hybrid car",$D34=3),$E34*'LU '!C$24,AND($C34="Hybrid car",$D34=4),$E34*'LU '!C$25,AND($C34="Hybrid car",$D34=5),$E34*'LU '!C$26,AND($C34="Electric motorcycle",$D34=1),$E34*'LU '!C$28,AND($C34="Electric motorcycle",$D34=2),$E34*'LU '!C$29,AND($C34="Electric bike",$D34=1),$E34*'LU '!C$31,AND($C34="Electric scooter",$D34=1),$E34*'LU '!C$33,AND($C34="Bus",$D34="Almost empty"),$E34*'LU '!H$23,AND($C34="Bus",$D34="Average"),$E34*'LU '!H$24,AND($C34="Bus",$D34="Nearly full"),$E34*'LU '!H$25,AND($C34="Electric bus",$D34="Almost empty"),$E34*'LU '!H$7,AND($C34="Electric bus",$D34="Average"),$E34*'LU '!H$8,AND($C34="Electric bus",$D34="Nearly full"),$E34*'LU '!H$9,AND($C34="Diesel bus",$D34="Almost empty"),$E34*'LU '!H$19,AND($C34="Diesel bus",$D34="Average"),$E34*'LU '!H$20,AND($C34="Diesel bus",$D34="Nearly full"),$E34*'LU '!H$21,AND($C34="Hybrid-electric bus",$D34="Almost empty"),$E34*'LU '!H$11,AND($C34="Hybrid-electric bus",$D34="Average"),$E34*'LU '!H$12,AND($C34="Hybrid-electric bus",$D34="Nearly full"),$E34*'LU '!H$13,AND($C34="Alternative fuel bus",$D34="Almost empty"),$E34*'LU '!H$15,AND($C34="Alternative fuel bus",$D34="Average"),$E34*'LU '!H$16,AND($C34="Alternative fuel bus",$D34="Nearly full"),$E34*'LU '!H$17,AND($C34="Metro, tram, urban light train",$D34="Almost empty"),$E34*'LU '!C$35,AND($C34="Metro, tram, urban light train",$D34="Average"),$E34*'LU '!C$36,AND($C34="Metro, tram, urban light train",$D34="Nearly full"),$E34*'LU '!C$37,AND($C34="Electric passenger train",$D34="Almost empty"),$E34*'LU '!C$39,AND($C34="Electric passenger train",$D34="Average"),$E34*'LU '!C$40,AND($C34="Electric passenger train",$D34="Nearly full"),$E34*'LU '!C$41,AND($C34="Diesel passenger train",$D34="Almost empty"),$E34*'LU '!C$47,AND($C34="Diesel passenger train",$D34="Average"),$E34*'LU '!C$48,AND($C34="Diesel passenger train",$D34="Nearly full"),$E34*'LU '!C$49,AND($C34="Walking"),$E34*0,AND($C34="Bike"),$E34*0,AND($C34="Plane - domestic flight"),$E34*'LU '!$C58,AND($C34="Plane - international - intra EU"),$E34*'LU '!$C60,AND($C34="Plane - international (extra EU)"),$E34*'LU '!$C62)</f>
        <v>#N/A</v>
      </c>
      <c r="G34" s="31" t="e" cm="1">
        <f t="array" ref="G34">_xlfn.IFS(AND($C34="Fuel car",$D34=1),$E34*'LU '!D$7,AND($C34="Fuel car",$D34=2),$E34*'LU '!D$8,AND($C34="Fuel car",$D34=3),$E34*'LU '!D$9,AND($C34="Fuel car",$D34=4),$E34*'LU '!D$10,AND($C34="Fuel car",$D34=5),$E34*'LU '!D$11,AND($C34="Motorcycle",$D34=1),$E34*'LU '!D$13,AND($C34="Motorcycle",$D34=2),$E34*'LU '!D$14,AND($C34="Electric car",$D34=1),$E34*'LU '!D$16,AND($C34="Electric car",$D34=2),$E34*'LU '!D$17,AND($C34="Electric car",$D34=3),$E34*'LU '!D$18,AND($C34="Electric car",$D34=4),$E34*'LU '!D$19,AND($C34="Electric car",$D34=5),$E34*'LU '!D$20,AND($C34="Hybrid car",$D34=1),$E34*'LU '!D$22,AND($C34="Hybrid car",$D34=2),$E34*'LU '!D$23,AND($C34="Hybrid car",$D34=3),$E34*'LU '!D$24,AND($C34="Hybrid car",$D34=4),$E34*'LU '!D$25,AND($C34="Hybrid car",$D34=5),$E34*'LU '!D$26,AND($C34="Electric motorcycle",$D34=1),$E34*'LU '!D$28,AND($C34="Electric motorcycle",$D34=2),$E34*'LU '!D$29,AND($C34="Electric bike",$D34=1),$E34*'LU '!D$31,AND($C34="Electric scooter",$D34=1),$E34*'LU '!D$33,AND($C34="Bus",$D34="Almost empty"),$E34*'LU '!I$23,AND($C34="Bus",$D34="Average"),$E34*'LU '!I$24,AND($C34="Bus",$D34="Nearly full"),$E34*'LU '!I$25,AND($C34="Electric bus",$D34="Almost empty"),$E34*'LU '!I$7,AND($C34="Electric bus",$D34="Average"),$E34*'LU '!I$8,AND($C34="Electric bus",$D34="Nearly full"),$E34*'LU '!I$9,AND($C34="Diesel bus",$D34="Almost empty"),$E34*'LU '!I$19,AND($C34="Diesel bus",$D34="Average"),$E34*'LU '!I$20,AND($C34="Diesel bus",$D34="Nearly full"),$E34*'LU '!I$21,AND($C34="Hybrid-electric bus",$D34="Almost empty"),$E34*'LU '!I$11,AND($C34="Hybrid-electric bus",$D34="Average"),$E34*'LU '!I$12,AND($C34="Hybrid-electric bus",$D34="Nearly full"),$E34*'LU '!I$13,AND($C34="Alternative fuel bus",$D34="Almost empty"),$E34*'LU '!I$15,AND($C34="Alternative fuel bus",$D34="Average"),$E34*'LU '!I$16,AND($C34="Alternative fuel bus",$D34="Nearly full"),$E34*'LU '!I$17,AND($C34="Metro, tram, urban light train",$D34="Almost empty"),$E34*'LU '!D$35,AND($C34="Metro, tram, urban light train",$D34="Average"),$E34*'LU '!D$36,AND($C34="Metro, tram, urban light train",$D34="Nearly full"),$E34*'LU '!D$37,AND($C34="Electric passenger train",$D34="Almost empty"),$E34*'LU '!D$39,AND($C34="Electric passenger train",$D34="Average"),$E34*'LU '!D$40,AND($C34="Electric passenger train",$D34="Nearly full"),$E34*'LU '!D$41,AND($C34="Diesel passenger train",$D34="Almost empty"),$E34*'LU '!D$47,AND($C34="Diesel passenger train",$D34="Average"),$E34*'LU '!D$48,AND($C34="Diesel passenger train",$D34="Nearly full"),$E34*'LU '!D$49,AND($C34="Walking"),$E34*0,AND($C34="Bike"),$E34*0,AND($C34="Plane - domestic flight"),$E34*'LU '!$C58,AND($C34="Plane - international - intra EU"),$E34*'LU '!$C60,AND($C34="Plane - international (extra EU)"),$E34*'LU '!$C62)</f>
        <v>#N/A</v>
      </c>
      <c r="H34" s="145"/>
      <c r="I34" s="148">
        <f t="shared" si="6"/>
        <v>0</v>
      </c>
      <c r="J34" s="146" t="e" cm="1">
        <f t="array" ref="J34">_xlfn.IFS(C34="Fuel car",C34*DATA!$C$17,C34="Electric car",C34*DATA!$F$21,C34="Hybrid car",I34*(0.5*DATA!$C$17+0.5*DATA!$F$21))</f>
        <v>#N/A</v>
      </c>
      <c r="L34" s="223"/>
      <c r="M34" s="224"/>
      <c r="N34" s="225"/>
    </row>
    <row r="35" spans="1:14" ht="14.5" customHeight="1" x14ac:dyDescent="0.2">
      <c r="A35" s="222"/>
      <c r="B35" s="30"/>
      <c r="C35" s="15"/>
      <c r="D35" s="15"/>
      <c r="E35" s="125"/>
      <c r="F35" s="128" t="e" cm="1">
        <f t="array" ref="F35">_xlfn.IFS(AND($C35="Fuel car",$D35=1),$E35*'LU '!C$7,AND($C35="Fuel car",$D35=2),$E35*'LU '!C$8,AND($C35="Fuel car",$D35=3),$E35*'LU '!C$9,AND($C35="Fuel car",$D35=4),$E35*'LU '!C$10,AND($C35="Fuel car",$D35=5),$E35*'LU '!C$11,AND($C35="Motorcycle",$D35=1),$E35*'LU '!C$13,AND($C35="Motorcycle",$D35=2),$E35*'LU '!C$14,AND($C35="Electric car",$D35=1),$E35*'LU '!C$16,AND($C35="Electric car",$D35=2),$E35*'LU '!C$17,AND($C35="Electric car",$D35=3),$E35*'LU '!C$18,AND($C35="Electric car",$D35=4),$E35*'LU '!C$19,AND($C35="Electric car",$D35=5),$E35*'LU '!C$20,AND($C35="Hybrid car",$D35=1),$E35*'LU '!C$22,AND($C35="Hybrid car",$D35=2),$E35*'LU '!C$23,AND($C35="Hybrid car",$D35=3),$E35*'LU '!C$24,AND($C35="Hybrid car",$D35=4),$E35*'LU '!C$25,AND($C35="Hybrid car",$D35=5),$E35*'LU '!C$26,AND($C35="Electric motorcycle",$D35=1),$E35*'LU '!C$28,AND($C35="Electric motorcycle",$D35=2),$E35*'LU '!C$29,AND($C35="Electric bike",$D35=1),$E35*'LU '!C$31,AND($C35="Electric scooter",$D35=1),$E35*'LU '!C$33,AND($C35="Bus",$D35="Almost empty"),$E35*'LU '!H$23,AND($C35="Bus",$D35="Average"),$E35*'LU '!H$24,AND($C35="Bus",$D35="Nearly full"),$E35*'LU '!H$25,AND($C35="Electric bus",$D35="Almost empty"),$E35*'LU '!H$7,AND($C35="Electric bus",$D35="Average"),$E35*'LU '!H$8,AND($C35="Electric bus",$D35="Nearly full"),$E35*'LU '!H$9,AND($C35="Diesel bus",$D35="Almost empty"),$E35*'LU '!H$19,AND($C35="Diesel bus",$D35="Average"),$E35*'LU '!H$20,AND($C35="Diesel bus",$D35="Nearly full"),$E35*'LU '!H$21,AND($C35="Hybrid-electric bus",$D35="Almost empty"),$E35*'LU '!H$11,AND($C35="Hybrid-electric bus",$D35="Average"),$E35*'LU '!H$12,AND($C35="Hybrid-electric bus",$D35="Nearly full"),$E35*'LU '!H$13,AND($C35="Alternative fuel bus",$D35="Almost empty"),$E35*'LU '!H$15,AND($C35="Alternative fuel bus",$D35="Average"),$E35*'LU '!H$16,AND($C35="Alternative fuel bus",$D35="Nearly full"),$E35*'LU '!H$17,AND($C35="Metro, tram, urban light train",$D35="Almost empty"),$E35*'LU '!C$35,AND($C35="Metro, tram, urban light train",$D35="Average"),$E35*'LU '!C$36,AND($C35="Metro, tram, urban light train",$D35="Nearly full"),$E35*'LU '!C$37,AND($C35="Electric passenger train",$D35="Almost empty"),$E35*'LU '!C$39,AND($C35="Electric passenger train",$D35="Average"),$E35*'LU '!C$40,AND($C35="Electric passenger train",$D35="Nearly full"),$E35*'LU '!C$41,AND($C35="Diesel passenger train",$D35="Almost empty"),$E35*'LU '!C$47,AND($C35="Diesel passenger train",$D35="Average"),$E35*'LU '!C$48,AND($C35="Diesel passenger train",$D35="Nearly full"),$E35*'LU '!C$49,AND($C35="Walking"),$E35*0,AND($C35="Bike"),$E35*0,AND($C35="Plane - domestic flight"),$E35*'LU '!$C59,AND($C35="Plane - international - intra EU"),$E35*'LU '!$C61,AND($C35="Plane - international (extra EU)"),$E35*'LU '!$C63)</f>
        <v>#N/A</v>
      </c>
      <c r="G35" s="31" t="e" cm="1">
        <f t="array" ref="G35">_xlfn.IFS(AND($C35="Fuel car",$D35=1),$E35*'LU '!D$7,AND($C35="Fuel car",$D35=2),$E35*'LU '!D$8,AND($C35="Fuel car",$D35=3),$E35*'LU '!D$9,AND($C35="Fuel car",$D35=4),$E35*'LU '!D$10,AND($C35="Fuel car",$D35=5),$E35*'LU '!D$11,AND($C35="Motorcycle",$D35=1),$E35*'LU '!D$13,AND($C35="Motorcycle",$D35=2),$E35*'LU '!D$14,AND($C35="Electric car",$D35=1),$E35*'LU '!D$16,AND($C35="Electric car",$D35=2),$E35*'LU '!D$17,AND($C35="Electric car",$D35=3),$E35*'LU '!D$18,AND($C35="Electric car",$D35=4),$E35*'LU '!D$19,AND($C35="Electric car",$D35=5),$E35*'LU '!D$20,AND($C35="Hybrid car",$D35=1),$E35*'LU '!D$22,AND($C35="Hybrid car",$D35=2),$E35*'LU '!D$23,AND($C35="Hybrid car",$D35=3),$E35*'LU '!D$24,AND($C35="Hybrid car",$D35=4),$E35*'LU '!D$25,AND($C35="Hybrid car",$D35=5),$E35*'LU '!D$26,AND($C35="Electric motorcycle",$D35=1),$E35*'LU '!D$28,AND($C35="Electric motorcycle",$D35=2),$E35*'LU '!D$29,AND($C35="Electric bike",$D35=1),$E35*'LU '!D$31,AND($C35="Electric scooter",$D35=1),$E35*'LU '!D$33,AND($C35="Bus",$D35="Almost empty"),$E35*'LU '!I$23,AND($C35="Bus",$D35="Average"),$E35*'LU '!I$24,AND($C35="Bus",$D35="Nearly full"),$E35*'LU '!I$25,AND($C35="Electric bus",$D35="Almost empty"),$E35*'LU '!I$7,AND($C35="Electric bus",$D35="Average"),$E35*'LU '!I$8,AND($C35="Electric bus",$D35="Nearly full"),$E35*'LU '!I$9,AND($C35="Diesel bus",$D35="Almost empty"),$E35*'LU '!I$19,AND($C35="Diesel bus",$D35="Average"),$E35*'LU '!I$20,AND($C35="Diesel bus",$D35="Nearly full"),$E35*'LU '!I$21,AND($C35="Hybrid-electric bus",$D35="Almost empty"),$E35*'LU '!I$11,AND($C35="Hybrid-electric bus",$D35="Average"),$E35*'LU '!I$12,AND($C35="Hybrid-electric bus",$D35="Nearly full"),$E35*'LU '!I$13,AND($C35="Alternative fuel bus",$D35="Almost empty"),$E35*'LU '!I$15,AND($C35="Alternative fuel bus",$D35="Average"),$E35*'LU '!I$16,AND($C35="Alternative fuel bus",$D35="Nearly full"),$E35*'LU '!I$17,AND($C35="Metro, tram, urban light train",$D35="Almost empty"),$E35*'LU '!D$35,AND($C35="Metro, tram, urban light train",$D35="Average"),$E35*'LU '!D$36,AND($C35="Metro, tram, urban light train",$D35="Nearly full"),$E35*'LU '!D$37,AND($C35="Electric passenger train",$D35="Almost empty"),$E35*'LU '!D$39,AND($C35="Electric passenger train",$D35="Average"),$E35*'LU '!D$40,AND($C35="Electric passenger train",$D35="Nearly full"),$E35*'LU '!D$41,AND($C35="Diesel passenger train",$D35="Almost empty"),$E35*'LU '!D$47,AND($C35="Diesel passenger train",$D35="Average"),$E35*'LU '!D$48,AND($C35="Diesel passenger train",$D35="Nearly full"),$E35*'LU '!D$49,AND($C35="Walking"),$E35*0,AND($C35="Bike"),$E35*0,AND($C35="Plane - domestic flight"),$E35*'LU '!$C59,AND($C35="Plane - international - intra EU"),$E35*'LU '!$C61,AND($C35="Plane - international (extra EU)"),$E35*'LU '!$C63)</f>
        <v>#N/A</v>
      </c>
      <c r="H35" s="145"/>
      <c r="I35" s="148">
        <f t="shared" si="6"/>
        <v>0</v>
      </c>
      <c r="J35" s="146" t="e" cm="1">
        <f t="array" ref="J35">_xlfn.IFS(C35="Fuel car",C35*DATA!$C$17,C35="Electric car",C35*DATA!$F$21,C35="Hybrid car",I35*(0.5*DATA!$C$17+0.5*DATA!$F$21))</f>
        <v>#N/A</v>
      </c>
      <c r="L35" s="223"/>
      <c r="M35" s="224"/>
      <c r="N35" s="225"/>
    </row>
    <row r="36" spans="1:14" ht="16" thickBot="1" x14ac:dyDescent="0.25">
      <c r="A36" s="222"/>
      <c r="B36" s="30"/>
      <c r="C36" s="15"/>
      <c r="D36" s="15"/>
      <c r="E36" s="125"/>
      <c r="F36" s="128" t="e" cm="1">
        <f t="array" ref="F36">_xlfn.IFS(AND($C36="Fuel car",$D36=1),$E36*'LU '!C$7,AND($C36="Fuel car",$D36=2),$E36*'LU '!C$8,AND($C36="Fuel car",$D36=3),$E36*'LU '!C$9,AND($C36="Fuel car",$D36=4),$E36*'LU '!C$10,AND($C36="Fuel car",$D36=5),$E36*'LU '!C$11,AND($C36="Motorcycle",$D36=1),$E36*'LU '!C$13,AND($C36="Motorcycle",$D36=2),$E36*'LU '!C$14,AND($C36="Electric car",$D36=1),$E36*'LU '!C$16,AND($C36="Electric car",$D36=2),$E36*'LU '!C$17,AND($C36="Electric car",$D36=3),$E36*'LU '!C$18,AND($C36="Electric car",$D36=4),$E36*'LU '!C$19,AND($C36="Electric car",$D36=5),$E36*'LU '!C$20,AND($C36="Hybrid car",$D36=1),$E36*'LU '!C$22,AND($C36="Hybrid car",$D36=2),$E36*'LU '!C$23,AND($C36="Hybrid car",$D36=3),$E36*'LU '!C$24,AND($C36="Hybrid car",$D36=4),$E36*'LU '!C$25,AND($C36="Hybrid car",$D36=5),$E36*'LU '!C$26,AND($C36="Electric motorcycle",$D36=1),$E36*'LU '!C$28,AND($C36="Electric motorcycle",$D36=2),$E36*'LU '!C$29,AND($C36="Electric bike",$D36=1),$E36*'LU '!C$31,AND($C36="Electric scooter",$D36=1),$E36*'LU '!C$33,AND($C36="Bus",$D36="Almost empty"),$E36*'LU '!H$23,AND($C36="Bus",$D36="Average"),$E36*'LU '!H$24,AND($C36="Bus",$D36="Nearly full"),$E36*'LU '!H$25,AND($C36="Electric bus",$D36="Almost empty"),$E36*'LU '!H$7,AND($C36="Electric bus",$D36="Average"),$E36*'LU '!H$8,AND($C36="Electric bus",$D36="Nearly full"),$E36*'LU '!H$9,AND($C36="Diesel bus",$D36="Almost empty"),$E36*'LU '!H$19,AND($C36="Diesel bus",$D36="Average"),$E36*'LU '!H$20,AND($C36="Diesel bus",$D36="Nearly full"),$E36*'LU '!H$21,AND($C36="Hybrid-electric bus",$D36="Almost empty"),$E36*'LU '!H$11,AND($C36="Hybrid-electric bus",$D36="Average"),$E36*'LU '!H$12,AND($C36="Hybrid-electric bus",$D36="Nearly full"),$E36*'LU '!H$13,AND($C36="Alternative fuel bus",$D36="Almost empty"),$E36*'LU '!H$15,AND($C36="Alternative fuel bus",$D36="Average"),$E36*'LU '!H$16,AND($C36="Alternative fuel bus",$D36="Nearly full"),$E36*'LU '!H$17,AND($C36="Metro, tram, urban light train",$D36="Almost empty"),$E36*'LU '!C$35,AND($C36="Metro, tram, urban light train",$D36="Average"),$E36*'LU '!C$36,AND($C36="Metro, tram, urban light train",$D36="Nearly full"),$E36*'LU '!C$37,AND($C36="Electric passenger train",$D36="Almost empty"),$E36*'LU '!C$39,AND($C36="Electric passenger train",$D36="Average"),$E36*'LU '!C$40,AND($C36="Electric passenger train",$D36="Nearly full"),$E36*'LU '!C$41,AND($C36="Diesel passenger train",$D36="Almost empty"),$E36*'LU '!C$47,AND($C36="Diesel passenger train",$D36="Average"),$E36*'LU '!C$48,AND($C36="Diesel passenger train",$D36="Nearly full"),$E36*'LU '!C$49,AND($C36="Walking"),$E36*0,AND($C36="Bike"),$E36*0,AND($C36="Plane - domestic flight"),$E36*'LU '!$C60,AND($C36="Plane - international - intra EU"),$E36*'LU '!$C62,AND($C36="Plane - international (extra EU)"),$E36*'LU '!$C64)</f>
        <v>#N/A</v>
      </c>
      <c r="G36" s="31" t="e" cm="1">
        <f t="array" ref="G36">_xlfn.IFS(AND($C36="Fuel car",$D36=1),$E36*'LU '!D$7,AND($C36="Fuel car",$D36=2),$E36*'LU '!D$8,AND($C36="Fuel car",$D36=3),$E36*'LU '!D$9,AND($C36="Fuel car",$D36=4),$E36*'LU '!D$10,AND($C36="Fuel car",$D36=5),$E36*'LU '!D$11,AND($C36="Motorcycle",$D36=1),$E36*'LU '!D$13,AND($C36="Motorcycle",$D36=2),$E36*'LU '!D$14,AND($C36="Electric car",$D36=1),$E36*'LU '!D$16,AND($C36="Electric car",$D36=2),$E36*'LU '!D$17,AND($C36="Electric car",$D36=3),$E36*'LU '!D$18,AND($C36="Electric car",$D36=4),$E36*'LU '!D$19,AND($C36="Electric car",$D36=5),$E36*'LU '!D$20,AND($C36="Hybrid car",$D36=1),$E36*'LU '!D$22,AND($C36="Hybrid car",$D36=2),$E36*'LU '!D$23,AND($C36="Hybrid car",$D36=3),$E36*'LU '!D$24,AND($C36="Hybrid car",$D36=4),$E36*'LU '!D$25,AND($C36="Hybrid car",$D36=5),$E36*'LU '!D$26,AND($C36="Electric motorcycle",$D36=1),$E36*'LU '!D$28,AND($C36="Electric motorcycle",$D36=2),$E36*'LU '!D$29,AND($C36="Electric bike",$D36=1),$E36*'LU '!D$31,AND($C36="Electric scooter",$D36=1),$E36*'LU '!D$33,AND($C36="Bus",$D36="Almost empty"),$E36*'LU '!I$23,AND($C36="Bus",$D36="Average"),$E36*'LU '!I$24,AND($C36="Bus",$D36="Nearly full"),$E36*'LU '!I$25,AND($C36="Electric bus",$D36="Almost empty"),$E36*'LU '!I$7,AND($C36="Electric bus",$D36="Average"),$E36*'LU '!I$8,AND($C36="Electric bus",$D36="Nearly full"),$E36*'LU '!I$9,AND($C36="Diesel bus",$D36="Almost empty"),$E36*'LU '!I$19,AND($C36="Diesel bus",$D36="Average"),$E36*'LU '!I$20,AND($C36="Diesel bus",$D36="Nearly full"),$E36*'LU '!I$21,AND($C36="Hybrid-electric bus",$D36="Almost empty"),$E36*'LU '!I$11,AND($C36="Hybrid-electric bus",$D36="Average"),$E36*'LU '!I$12,AND($C36="Hybrid-electric bus",$D36="Nearly full"),$E36*'LU '!I$13,AND($C36="Alternative fuel bus",$D36="Almost empty"),$E36*'LU '!I$15,AND($C36="Alternative fuel bus",$D36="Average"),$E36*'LU '!I$16,AND($C36="Alternative fuel bus",$D36="Nearly full"),$E36*'LU '!I$17,AND($C36="Metro, tram, urban light train",$D36="Almost empty"),$E36*'LU '!D$35,AND($C36="Metro, tram, urban light train",$D36="Average"),$E36*'LU '!D$36,AND($C36="Metro, tram, urban light train",$D36="Nearly full"),$E36*'LU '!D$37,AND($C36="Electric passenger train",$D36="Almost empty"),$E36*'LU '!D$39,AND($C36="Electric passenger train",$D36="Average"),$E36*'LU '!D$40,AND($C36="Electric passenger train",$D36="Nearly full"),$E36*'LU '!D$41,AND($C36="Diesel passenger train",$D36="Almost empty"),$E36*'LU '!D$47,AND($C36="Diesel passenger train",$D36="Average"),$E36*'LU '!D$48,AND($C36="Diesel passenger train",$D36="Nearly full"),$E36*'LU '!D$49,AND($C36="Walking"),$E36*0,AND($C36="Bike"),$E36*0,AND($C36="Plane - domestic flight"),$E36*'LU '!$C60,AND($C36="Plane - international - intra EU"),$E36*'LU '!$C62,AND($C36="Plane - international (extra EU)"),$E36*'LU '!$C64)</f>
        <v>#N/A</v>
      </c>
      <c r="H36" s="145"/>
      <c r="I36" s="148">
        <f t="shared" si="6"/>
        <v>0</v>
      </c>
      <c r="J36" s="146" t="e" cm="1">
        <f t="array" ref="J36">_xlfn.IFS(C36="Fuel car",C36*DATA!$C$17,C36="Electric car",C36*DATA!$F$21,C36="Hybrid car",I36*(0.5*DATA!$C$17+0.5*DATA!$F$21))</f>
        <v>#N/A</v>
      </c>
      <c r="L36" s="218"/>
      <c r="M36" s="219"/>
      <c r="N36" s="220"/>
    </row>
    <row r="37" spans="1:14" ht="14.5" customHeight="1" x14ac:dyDescent="0.2">
      <c r="A37" s="222"/>
      <c r="B37" s="30"/>
      <c r="C37" s="15"/>
      <c r="D37" s="15"/>
      <c r="E37" s="125"/>
      <c r="F37" s="128" t="e" cm="1">
        <f t="array" ref="F37">_xlfn.IFS(AND($C37="Fuel car",$D37=1),$E37*'LU '!C$7,AND($C37="Fuel car",$D37=2),$E37*'LU '!C$8,AND($C37="Fuel car",$D37=3),$E37*'LU '!C$9,AND($C37="Fuel car",$D37=4),$E37*'LU '!C$10,AND($C37="Fuel car",$D37=5),$E37*'LU '!C$11,AND($C37="Motorcycle",$D37=1),$E37*'LU '!C$13,AND($C37="Motorcycle",$D37=2),$E37*'LU '!C$14,AND($C37="Electric car",$D37=1),$E37*'LU '!C$16,AND($C37="Electric car",$D37=2),$E37*'LU '!C$17,AND($C37="Electric car",$D37=3),$E37*'LU '!C$18,AND($C37="Electric car",$D37=4),$E37*'LU '!C$19,AND($C37="Electric car",$D37=5),$E37*'LU '!C$20,AND($C37="Hybrid car",$D37=1),$E37*'LU '!C$22,AND($C37="Hybrid car",$D37=2),$E37*'LU '!C$23,AND($C37="Hybrid car",$D37=3),$E37*'LU '!C$24,AND($C37="Hybrid car",$D37=4),$E37*'LU '!C$25,AND($C37="Hybrid car",$D37=5),$E37*'LU '!C$26,AND($C37="Electric motorcycle",$D37=1),$E37*'LU '!C$28,AND($C37="Electric motorcycle",$D37=2),$E37*'LU '!C$29,AND($C37="Electric bike",$D37=1),$E37*'LU '!C$31,AND($C37="Electric scooter",$D37=1),$E37*'LU '!C$33,AND($C37="Bus",$D37="Almost empty"),$E37*'LU '!H$23,AND($C37="Bus",$D37="Average"),$E37*'LU '!H$24,AND($C37="Bus",$D37="Nearly full"),$E37*'LU '!H$25,AND($C37="Electric bus",$D37="Almost empty"),$E37*'LU '!H$7,AND($C37="Electric bus",$D37="Average"),$E37*'LU '!H$8,AND($C37="Electric bus",$D37="Nearly full"),$E37*'LU '!H$9,AND($C37="Diesel bus",$D37="Almost empty"),$E37*'LU '!H$19,AND($C37="Diesel bus",$D37="Average"),$E37*'LU '!H$20,AND($C37="Diesel bus",$D37="Nearly full"),$E37*'LU '!H$21,AND($C37="Hybrid-electric bus",$D37="Almost empty"),$E37*'LU '!H$11,AND($C37="Hybrid-electric bus",$D37="Average"),$E37*'LU '!H$12,AND($C37="Hybrid-electric bus",$D37="Nearly full"),$E37*'LU '!H$13,AND($C37="Alternative fuel bus",$D37="Almost empty"),$E37*'LU '!H$15,AND($C37="Alternative fuel bus",$D37="Average"),$E37*'LU '!H$16,AND($C37="Alternative fuel bus",$D37="Nearly full"),$E37*'LU '!H$17,AND($C37="Metro, tram, urban light train",$D37="Almost empty"),$E37*'LU '!C$35,AND($C37="Metro, tram, urban light train",$D37="Average"),$E37*'LU '!C$36,AND($C37="Metro, tram, urban light train",$D37="Nearly full"),$E37*'LU '!C$37,AND($C37="Electric passenger train",$D37="Almost empty"),$E37*'LU '!C$39,AND($C37="Electric passenger train",$D37="Average"),$E37*'LU '!C$40,AND($C37="Electric passenger train",$D37="Nearly full"),$E37*'LU '!C$41,AND($C37="Diesel passenger train",$D37="Almost empty"),$E37*'LU '!C$47,AND($C37="Diesel passenger train",$D37="Average"),$E37*'LU '!C$48,AND($C37="Diesel passenger train",$D37="Nearly full"),$E37*'LU '!C$49,AND($C37="Walking"),$E37*0,AND($C37="Bike"),$E37*0,AND($C37="Plane - domestic flight"),$E37*'LU '!$C61,AND($C37="Plane - international - intra EU"),$E37*'LU '!$C63,AND($C37="Plane - international (extra EU)"),$E37*'LU '!$C65)</f>
        <v>#N/A</v>
      </c>
      <c r="G37" s="31" t="e" cm="1">
        <f t="array" ref="G37">_xlfn.IFS(AND($C37="Fuel car",$D37=1),$E37*'LU '!D$7,AND($C37="Fuel car",$D37=2),$E37*'LU '!D$8,AND($C37="Fuel car",$D37=3),$E37*'LU '!D$9,AND($C37="Fuel car",$D37=4),$E37*'LU '!D$10,AND($C37="Fuel car",$D37=5),$E37*'LU '!D$11,AND($C37="Motorcycle",$D37=1),$E37*'LU '!D$13,AND($C37="Motorcycle",$D37=2),$E37*'LU '!D$14,AND($C37="Electric car",$D37=1),$E37*'LU '!D$16,AND($C37="Electric car",$D37=2),$E37*'LU '!D$17,AND($C37="Electric car",$D37=3),$E37*'LU '!D$18,AND($C37="Electric car",$D37=4),$E37*'LU '!D$19,AND($C37="Electric car",$D37=5),$E37*'LU '!D$20,AND($C37="Hybrid car",$D37=1),$E37*'LU '!D$22,AND($C37="Hybrid car",$D37=2),$E37*'LU '!D$23,AND($C37="Hybrid car",$D37=3),$E37*'LU '!D$24,AND($C37="Hybrid car",$D37=4),$E37*'LU '!D$25,AND($C37="Hybrid car",$D37=5),$E37*'LU '!D$26,AND($C37="Electric motorcycle",$D37=1),$E37*'LU '!D$28,AND($C37="Electric motorcycle",$D37=2),$E37*'LU '!D$29,AND($C37="Electric bike",$D37=1),$E37*'LU '!D$31,AND($C37="Electric scooter",$D37=1),$E37*'LU '!D$33,AND($C37="Bus",$D37="Almost empty"),$E37*'LU '!I$23,AND($C37="Bus",$D37="Average"),$E37*'LU '!I$24,AND($C37="Bus",$D37="Nearly full"),$E37*'LU '!I$25,AND($C37="Electric bus",$D37="Almost empty"),$E37*'LU '!I$7,AND($C37="Electric bus",$D37="Average"),$E37*'LU '!I$8,AND($C37="Electric bus",$D37="Nearly full"),$E37*'LU '!I$9,AND($C37="Diesel bus",$D37="Almost empty"),$E37*'LU '!I$19,AND($C37="Diesel bus",$D37="Average"),$E37*'LU '!I$20,AND($C37="Diesel bus",$D37="Nearly full"),$E37*'LU '!I$21,AND($C37="Hybrid-electric bus",$D37="Almost empty"),$E37*'LU '!I$11,AND($C37="Hybrid-electric bus",$D37="Average"),$E37*'LU '!I$12,AND($C37="Hybrid-electric bus",$D37="Nearly full"),$E37*'LU '!I$13,AND($C37="Alternative fuel bus",$D37="Almost empty"),$E37*'LU '!I$15,AND($C37="Alternative fuel bus",$D37="Average"),$E37*'LU '!I$16,AND($C37="Alternative fuel bus",$D37="Nearly full"),$E37*'LU '!I$17,AND($C37="Metro, tram, urban light train",$D37="Almost empty"),$E37*'LU '!D$35,AND($C37="Metro, tram, urban light train",$D37="Average"),$E37*'LU '!D$36,AND($C37="Metro, tram, urban light train",$D37="Nearly full"),$E37*'LU '!D$37,AND($C37="Electric passenger train",$D37="Almost empty"),$E37*'LU '!D$39,AND($C37="Electric passenger train",$D37="Average"),$E37*'LU '!D$40,AND($C37="Electric passenger train",$D37="Nearly full"),$E37*'LU '!D$41,AND($C37="Diesel passenger train",$D37="Almost empty"),$E37*'LU '!D$47,AND($C37="Diesel passenger train",$D37="Average"),$E37*'LU '!D$48,AND($C37="Diesel passenger train",$D37="Nearly full"),$E37*'LU '!D$49,AND($C37="Walking"),$E37*0,AND($C37="Bike"),$E37*0,AND($C37="Plane - domestic flight"),$E37*'LU '!$C61,AND($C37="Plane - international - intra EU"),$E37*'LU '!$C63,AND($C37="Plane - international (extra EU)"),$E37*'LU '!$C65)</f>
        <v>#N/A</v>
      </c>
      <c r="H37" s="145"/>
      <c r="I37" s="148">
        <f t="shared" si="6"/>
        <v>0</v>
      </c>
      <c r="J37" s="146" t="e" cm="1">
        <f t="array" ref="J37">_xlfn.IFS(C37="Fuel car",C37*DATA!$C$17,C37="Electric car",C37*DATA!$F$21,C37="Hybrid car",I37*(0.5*DATA!$C$17+0.5*DATA!$F$21))</f>
        <v>#N/A</v>
      </c>
      <c r="L37" s="215" t="s">
        <v>79</v>
      </c>
      <c r="M37" s="216"/>
      <c r="N37" s="217"/>
    </row>
    <row r="38" spans="1:14" ht="16" thickBot="1" x14ac:dyDescent="0.25">
      <c r="A38" s="222"/>
      <c r="B38" s="30"/>
      <c r="C38" s="15"/>
      <c r="D38" s="15"/>
      <c r="E38" s="125"/>
      <c r="F38" s="128" t="e" cm="1">
        <f t="array" ref="F38">_xlfn.IFS(AND($C38="Fuel car",$D38=1),$E38*'LU '!C$7,AND($C38="Fuel car",$D38=2),$E38*'LU '!C$8,AND($C38="Fuel car",$D38=3),$E38*'LU '!C$9,AND($C38="Fuel car",$D38=4),$E38*'LU '!C$10,AND($C38="Fuel car",$D38=5),$E38*'LU '!C$11,AND($C38="Motorcycle",$D38=1),$E38*'LU '!C$13,AND($C38="Motorcycle",$D38=2),$E38*'LU '!C$14,AND($C38="Electric car",$D38=1),$E38*'LU '!C$16,AND($C38="Electric car",$D38=2),$E38*'LU '!C$17,AND($C38="Electric car",$D38=3),$E38*'LU '!C$18,AND($C38="Electric car",$D38=4),$E38*'LU '!C$19,AND($C38="Electric car",$D38=5),$E38*'LU '!C$20,AND($C38="Hybrid car",$D38=1),$E38*'LU '!C$22,AND($C38="Hybrid car",$D38=2),$E38*'LU '!C$23,AND($C38="Hybrid car",$D38=3),$E38*'LU '!C$24,AND($C38="Hybrid car",$D38=4),$E38*'LU '!C$25,AND($C38="Hybrid car",$D38=5),$E38*'LU '!C$26,AND($C38="Electric motorcycle",$D38=1),$E38*'LU '!C$28,AND($C38="Electric motorcycle",$D38=2),$E38*'LU '!C$29,AND($C38="Electric bike",$D38=1),$E38*'LU '!C$31,AND($C38="Electric scooter",$D38=1),$E38*'LU '!C$33,AND($C38="Bus",$D38="Almost empty"),$E38*'LU '!H$23,AND($C38="Bus",$D38="Average"),$E38*'LU '!H$24,AND($C38="Bus",$D38="Nearly full"),$E38*'LU '!H$25,AND($C38="Electric bus",$D38="Almost empty"),$E38*'LU '!H$7,AND($C38="Electric bus",$D38="Average"),$E38*'LU '!H$8,AND($C38="Electric bus",$D38="Nearly full"),$E38*'LU '!H$9,AND($C38="Diesel bus",$D38="Almost empty"),$E38*'LU '!H$19,AND($C38="Diesel bus",$D38="Average"),$E38*'LU '!H$20,AND($C38="Diesel bus",$D38="Nearly full"),$E38*'LU '!H$21,AND($C38="Hybrid-electric bus",$D38="Almost empty"),$E38*'LU '!H$11,AND($C38="Hybrid-electric bus",$D38="Average"),$E38*'LU '!H$12,AND($C38="Hybrid-electric bus",$D38="Nearly full"),$E38*'LU '!H$13,AND($C38="Alternative fuel bus",$D38="Almost empty"),$E38*'LU '!H$15,AND($C38="Alternative fuel bus",$D38="Average"),$E38*'LU '!H$16,AND($C38="Alternative fuel bus",$D38="Nearly full"),$E38*'LU '!H$17,AND($C38="Metro, tram, urban light train",$D38="Almost empty"),$E38*'LU '!C$35,AND($C38="Metro, tram, urban light train",$D38="Average"),$E38*'LU '!C$36,AND($C38="Metro, tram, urban light train",$D38="Nearly full"),$E38*'LU '!C$37,AND($C38="Electric passenger train",$D38="Almost empty"),$E38*'LU '!C$39,AND($C38="Electric passenger train",$D38="Average"),$E38*'LU '!C$40,AND($C38="Electric passenger train",$D38="Nearly full"),$E38*'LU '!C$41,AND($C38="Diesel passenger train",$D38="Almost empty"),$E38*'LU '!C$47,AND($C38="Diesel passenger train",$D38="Average"),$E38*'LU '!C$48,AND($C38="Diesel passenger train",$D38="Nearly full"),$E38*'LU '!C$49,AND($C38="Walking"),$E38*0,AND($C38="Bike"),$E38*0,AND($C38="Plane - domestic flight"),$E38*'LU '!$C62,AND($C38="Plane - international - intra EU"),$E38*'LU '!$C64,AND($C38="Plane - international (extra EU)"),$E38*'LU '!$C66)</f>
        <v>#N/A</v>
      </c>
      <c r="G38" s="31" t="e" cm="1">
        <f t="array" ref="G38">_xlfn.IFS(AND($C38="Fuel car",$D38=1),$E38*'LU '!D$7,AND($C38="Fuel car",$D38=2),$E38*'LU '!D$8,AND($C38="Fuel car",$D38=3),$E38*'LU '!D$9,AND($C38="Fuel car",$D38=4),$E38*'LU '!D$10,AND($C38="Fuel car",$D38=5),$E38*'LU '!D$11,AND($C38="Motorcycle",$D38=1),$E38*'LU '!D$13,AND($C38="Motorcycle",$D38=2),$E38*'LU '!D$14,AND($C38="Electric car",$D38=1),$E38*'LU '!D$16,AND($C38="Electric car",$D38=2),$E38*'LU '!D$17,AND($C38="Electric car",$D38=3),$E38*'LU '!D$18,AND($C38="Electric car",$D38=4),$E38*'LU '!D$19,AND($C38="Electric car",$D38=5),$E38*'LU '!D$20,AND($C38="Hybrid car",$D38=1),$E38*'LU '!D$22,AND($C38="Hybrid car",$D38=2),$E38*'LU '!D$23,AND($C38="Hybrid car",$D38=3),$E38*'LU '!D$24,AND($C38="Hybrid car",$D38=4),$E38*'LU '!D$25,AND($C38="Hybrid car",$D38=5),$E38*'LU '!D$26,AND($C38="Electric motorcycle",$D38=1),$E38*'LU '!D$28,AND($C38="Electric motorcycle",$D38=2),$E38*'LU '!D$29,AND($C38="Electric bike",$D38=1),$E38*'LU '!D$31,AND($C38="Electric scooter",$D38=1),$E38*'LU '!D$33,AND($C38="Bus",$D38="Almost empty"),$E38*'LU '!I$23,AND($C38="Bus",$D38="Average"),$E38*'LU '!I$24,AND($C38="Bus",$D38="Nearly full"),$E38*'LU '!I$25,AND($C38="Electric bus",$D38="Almost empty"),$E38*'LU '!I$7,AND($C38="Electric bus",$D38="Average"),$E38*'LU '!I$8,AND($C38="Electric bus",$D38="Nearly full"),$E38*'LU '!I$9,AND($C38="Diesel bus",$D38="Almost empty"),$E38*'LU '!I$19,AND($C38="Diesel bus",$D38="Average"),$E38*'LU '!I$20,AND($C38="Diesel bus",$D38="Nearly full"),$E38*'LU '!I$21,AND($C38="Hybrid-electric bus",$D38="Almost empty"),$E38*'LU '!I$11,AND($C38="Hybrid-electric bus",$D38="Average"),$E38*'LU '!I$12,AND($C38="Hybrid-electric bus",$D38="Nearly full"),$E38*'LU '!I$13,AND($C38="Alternative fuel bus",$D38="Almost empty"),$E38*'LU '!I$15,AND($C38="Alternative fuel bus",$D38="Average"),$E38*'LU '!I$16,AND($C38="Alternative fuel bus",$D38="Nearly full"),$E38*'LU '!I$17,AND($C38="Metro, tram, urban light train",$D38="Almost empty"),$E38*'LU '!D$35,AND($C38="Metro, tram, urban light train",$D38="Average"),$E38*'LU '!D$36,AND($C38="Metro, tram, urban light train",$D38="Nearly full"),$E38*'LU '!D$37,AND($C38="Electric passenger train",$D38="Almost empty"),$E38*'LU '!D$39,AND($C38="Electric passenger train",$D38="Average"),$E38*'LU '!D$40,AND($C38="Electric passenger train",$D38="Nearly full"),$E38*'LU '!D$41,AND($C38="Diesel passenger train",$D38="Almost empty"),$E38*'LU '!D$47,AND($C38="Diesel passenger train",$D38="Average"),$E38*'LU '!D$48,AND($C38="Diesel passenger train",$D38="Nearly full"),$E38*'LU '!D$49,AND($C38="Walking"),$E38*0,AND($C38="Bike"),$E38*0,AND($C38="Plane - domestic flight"),$E38*'LU '!$C62,AND($C38="Plane - international - intra EU"),$E38*'LU '!$C64,AND($C38="Plane - international (extra EU)"),$E38*'LU '!$C66)</f>
        <v>#N/A</v>
      </c>
      <c r="H38" s="145"/>
      <c r="I38" s="148">
        <f t="shared" si="6"/>
        <v>0</v>
      </c>
      <c r="J38" s="146" t="e" cm="1">
        <f t="array" ref="J38">_xlfn.IFS(C38="Fuel car",C38*DATA!$C$17,C38="Electric car",C38*DATA!$F$21,C38="Hybrid car",I38*(0.5*DATA!$C$17+0.5*DATA!$F$21))</f>
        <v>#N/A</v>
      </c>
      <c r="L38" s="218"/>
      <c r="M38" s="219"/>
      <c r="N38" s="220"/>
    </row>
    <row r="39" spans="1:14" ht="14.5" customHeight="1" x14ac:dyDescent="0.2">
      <c r="A39" s="222"/>
      <c r="B39" s="30"/>
      <c r="C39" s="15"/>
      <c r="D39" s="15"/>
      <c r="E39" s="125"/>
      <c r="F39" s="128" t="e" cm="1">
        <f t="array" ref="F39">_xlfn.IFS(AND($C39="Fuel car",$D39=1),$E39*'LU '!C$7,AND($C39="Fuel car",$D39=2),$E39*'LU '!C$8,AND($C39="Fuel car",$D39=3),$E39*'LU '!C$9,AND($C39="Fuel car",$D39=4),$E39*'LU '!C$10,AND($C39="Fuel car",$D39=5),$E39*'LU '!C$11,AND($C39="Motorcycle",$D39=1),$E39*'LU '!C$13,AND($C39="Motorcycle",$D39=2),$E39*'LU '!C$14,AND($C39="Electric car",$D39=1),$E39*'LU '!C$16,AND($C39="Electric car",$D39=2),$E39*'LU '!C$17,AND($C39="Electric car",$D39=3),$E39*'LU '!C$18,AND($C39="Electric car",$D39=4),$E39*'LU '!C$19,AND($C39="Electric car",$D39=5),$E39*'LU '!C$20,AND($C39="Hybrid car",$D39=1),$E39*'LU '!C$22,AND($C39="Hybrid car",$D39=2),$E39*'LU '!C$23,AND($C39="Hybrid car",$D39=3),$E39*'LU '!C$24,AND($C39="Hybrid car",$D39=4),$E39*'LU '!C$25,AND($C39="Hybrid car",$D39=5),$E39*'LU '!C$26,AND($C39="Electric motorcycle",$D39=1),$E39*'LU '!C$28,AND($C39="Electric motorcycle",$D39=2),$E39*'LU '!C$29,AND($C39="Electric bike",$D39=1),$E39*'LU '!C$31,AND($C39="Electric scooter",$D39=1),$E39*'LU '!C$33,AND($C39="Bus",$D39="Almost empty"),$E39*'LU '!H$23,AND($C39="Bus",$D39="Average"),$E39*'LU '!H$24,AND($C39="Bus",$D39="Nearly full"),$E39*'LU '!H$25,AND($C39="Electric bus",$D39="Almost empty"),$E39*'LU '!H$7,AND($C39="Electric bus",$D39="Average"),$E39*'LU '!H$8,AND($C39="Electric bus",$D39="Nearly full"),$E39*'LU '!H$9,AND($C39="Diesel bus",$D39="Almost empty"),$E39*'LU '!H$19,AND($C39="Diesel bus",$D39="Average"),$E39*'LU '!H$20,AND($C39="Diesel bus",$D39="Nearly full"),$E39*'LU '!H$21,AND($C39="Hybrid-electric bus",$D39="Almost empty"),$E39*'LU '!H$11,AND($C39="Hybrid-electric bus",$D39="Average"),$E39*'LU '!H$12,AND($C39="Hybrid-electric bus",$D39="Nearly full"),$E39*'LU '!H$13,AND($C39="Alternative fuel bus",$D39="Almost empty"),$E39*'LU '!H$15,AND($C39="Alternative fuel bus",$D39="Average"),$E39*'LU '!H$16,AND($C39="Alternative fuel bus",$D39="Nearly full"),$E39*'LU '!H$17,AND($C39="Metro, tram, urban light train",$D39="Almost empty"),$E39*'LU '!C$35,AND($C39="Metro, tram, urban light train",$D39="Average"),$E39*'LU '!C$36,AND($C39="Metro, tram, urban light train",$D39="Nearly full"),$E39*'LU '!C$37,AND($C39="Electric passenger train",$D39="Almost empty"),$E39*'LU '!C$39,AND($C39="Electric passenger train",$D39="Average"),$E39*'LU '!C$40,AND($C39="Electric passenger train",$D39="Nearly full"),$E39*'LU '!C$41,AND($C39="Diesel passenger train",$D39="Almost empty"),$E39*'LU '!C$47,AND($C39="Diesel passenger train",$D39="Average"),$E39*'LU '!C$48,AND($C39="Diesel passenger train",$D39="Nearly full"),$E39*'LU '!C$49,AND($C39="Walking"),$E39*0,AND($C39="Bike"),$E39*0,AND($C39="Plane - domestic flight"),$E39*'LU '!$C63,AND($C39="Plane - international - intra EU"),$E39*'LU '!$C65,AND($C39="Plane - international (extra EU)"),$E39*'LU '!$C67)</f>
        <v>#N/A</v>
      </c>
      <c r="G39" s="31" t="e" cm="1">
        <f t="array" ref="G39">_xlfn.IFS(AND($C39="Fuel car",$D39=1),$E39*'LU '!D$7,AND($C39="Fuel car",$D39=2),$E39*'LU '!D$8,AND($C39="Fuel car",$D39=3),$E39*'LU '!D$9,AND($C39="Fuel car",$D39=4),$E39*'LU '!D$10,AND($C39="Fuel car",$D39=5),$E39*'LU '!D$11,AND($C39="Motorcycle",$D39=1),$E39*'LU '!D$13,AND($C39="Motorcycle",$D39=2),$E39*'LU '!D$14,AND($C39="Electric car",$D39=1),$E39*'LU '!D$16,AND($C39="Electric car",$D39=2),$E39*'LU '!D$17,AND($C39="Electric car",$D39=3),$E39*'LU '!D$18,AND($C39="Electric car",$D39=4),$E39*'LU '!D$19,AND($C39="Electric car",$D39=5),$E39*'LU '!D$20,AND($C39="Hybrid car",$D39=1),$E39*'LU '!D$22,AND($C39="Hybrid car",$D39=2),$E39*'LU '!D$23,AND($C39="Hybrid car",$D39=3),$E39*'LU '!D$24,AND($C39="Hybrid car",$D39=4),$E39*'LU '!D$25,AND($C39="Hybrid car",$D39=5),$E39*'LU '!D$26,AND($C39="Electric motorcycle",$D39=1),$E39*'LU '!D$28,AND($C39="Electric motorcycle",$D39=2),$E39*'LU '!D$29,AND($C39="Electric bike",$D39=1),$E39*'LU '!D$31,AND($C39="Electric scooter",$D39=1),$E39*'LU '!D$33,AND($C39="Bus",$D39="Almost empty"),$E39*'LU '!I$23,AND($C39="Bus",$D39="Average"),$E39*'LU '!I$24,AND($C39="Bus",$D39="Nearly full"),$E39*'LU '!I$25,AND($C39="Electric bus",$D39="Almost empty"),$E39*'LU '!I$7,AND($C39="Electric bus",$D39="Average"),$E39*'LU '!I$8,AND($C39="Electric bus",$D39="Nearly full"),$E39*'LU '!I$9,AND($C39="Diesel bus",$D39="Almost empty"),$E39*'LU '!I$19,AND($C39="Diesel bus",$D39="Average"),$E39*'LU '!I$20,AND($C39="Diesel bus",$D39="Nearly full"),$E39*'LU '!I$21,AND($C39="Hybrid-electric bus",$D39="Almost empty"),$E39*'LU '!I$11,AND($C39="Hybrid-electric bus",$D39="Average"),$E39*'LU '!I$12,AND($C39="Hybrid-electric bus",$D39="Nearly full"),$E39*'LU '!I$13,AND($C39="Alternative fuel bus",$D39="Almost empty"),$E39*'LU '!I$15,AND($C39="Alternative fuel bus",$D39="Average"),$E39*'LU '!I$16,AND($C39="Alternative fuel bus",$D39="Nearly full"),$E39*'LU '!I$17,AND($C39="Metro, tram, urban light train",$D39="Almost empty"),$E39*'LU '!D$35,AND($C39="Metro, tram, urban light train",$D39="Average"),$E39*'LU '!D$36,AND($C39="Metro, tram, urban light train",$D39="Nearly full"),$E39*'LU '!D$37,AND($C39="Electric passenger train",$D39="Almost empty"),$E39*'LU '!D$39,AND($C39="Electric passenger train",$D39="Average"),$E39*'LU '!D$40,AND($C39="Electric passenger train",$D39="Nearly full"),$E39*'LU '!D$41,AND($C39="Diesel passenger train",$D39="Almost empty"),$E39*'LU '!D$47,AND($C39="Diesel passenger train",$D39="Average"),$E39*'LU '!D$48,AND($C39="Diesel passenger train",$D39="Nearly full"),$E39*'LU '!D$49,AND($C39="Walking"),$E39*0,AND($C39="Bike"),$E39*0,AND($C39="Plane - domestic flight"),$E39*'LU '!$C63,AND($C39="Plane - international - intra EU"),$E39*'LU '!$C65,AND($C39="Plane - international (extra EU)"),$E39*'LU '!$C67)</f>
        <v>#N/A</v>
      </c>
      <c r="H39" s="145"/>
      <c r="I39" s="148">
        <f t="shared" si="6"/>
        <v>0</v>
      </c>
      <c r="J39" s="146" t="e" cm="1">
        <f t="array" ref="J39">_xlfn.IFS(C39="Fuel car",C39*DATA!$C$17,C39="Electric car",C39*DATA!$F$21,C39="Hybrid car",I39*(0.5*DATA!$C$17+0.5*DATA!$F$21))</f>
        <v>#N/A</v>
      </c>
      <c r="L39" s="226" t="s">
        <v>80</v>
      </c>
      <c r="M39" s="227"/>
      <c r="N39" s="228"/>
    </row>
    <row r="40" spans="1:14" x14ac:dyDescent="0.2">
      <c r="A40" s="222"/>
      <c r="B40" s="30"/>
      <c r="C40" s="15"/>
      <c r="D40" s="15"/>
      <c r="E40" s="125"/>
      <c r="F40" s="128" t="e" cm="1">
        <f t="array" ref="F40">_xlfn.IFS(AND($C40="Fuel car",$D40=1),$E40*'LU '!C$7,AND($C40="Fuel car",$D40=2),$E40*'LU '!C$8,AND($C40="Fuel car",$D40=3),$E40*'LU '!C$9,AND($C40="Fuel car",$D40=4),$E40*'LU '!C$10,AND($C40="Fuel car",$D40=5),$E40*'LU '!C$11,AND($C40="Motorcycle",$D40=1),$E40*'LU '!C$13,AND($C40="Motorcycle",$D40=2),$E40*'LU '!C$14,AND($C40="Electric car",$D40=1),$E40*'LU '!C$16,AND($C40="Electric car",$D40=2),$E40*'LU '!C$17,AND($C40="Electric car",$D40=3),$E40*'LU '!C$18,AND($C40="Electric car",$D40=4),$E40*'LU '!C$19,AND($C40="Electric car",$D40=5),$E40*'LU '!C$20,AND($C40="Hybrid car",$D40=1),$E40*'LU '!C$22,AND($C40="Hybrid car",$D40=2),$E40*'LU '!C$23,AND($C40="Hybrid car",$D40=3),$E40*'LU '!C$24,AND($C40="Hybrid car",$D40=4),$E40*'LU '!C$25,AND($C40="Hybrid car",$D40=5),$E40*'LU '!C$26,AND($C40="Electric motorcycle",$D40=1),$E40*'LU '!C$28,AND($C40="Electric motorcycle",$D40=2),$E40*'LU '!C$29,AND($C40="Electric bike",$D40=1),$E40*'LU '!C$31,AND($C40="Electric scooter",$D40=1),$E40*'LU '!C$33,AND($C40="Bus",$D40="Almost empty"),$E40*'LU '!H$23,AND($C40="Bus",$D40="Average"),$E40*'LU '!H$24,AND($C40="Bus",$D40="Nearly full"),$E40*'LU '!H$25,AND($C40="Electric bus",$D40="Almost empty"),$E40*'LU '!H$7,AND($C40="Electric bus",$D40="Average"),$E40*'LU '!H$8,AND($C40="Electric bus",$D40="Nearly full"),$E40*'LU '!H$9,AND($C40="Diesel bus",$D40="Almost empty"),$E40*'LU '!H$19,AND($C40="Diesel bus",$D40="Average"),$E40*'LU '!H$20,AND($C40="Diesel bus",$D40="Nearly full"),$E40*'LU '!H$21,AND($C40="Hybrid-electric bus",$D40="Almost empty"),$E40*'LU '!H$11,AND($C40="Hybrid-electric bus",$D40="Average"),$E40*'LU '!H$12,AND($C40="Hybrid-electric bus",$D40="Nearly full"),$E40*'LU '!H$13,AND($C40="Alternative fuel bus",$D40="Almost empty"),$E40*'LU '!H$15,AND($C40="Alternative fuel bus",$D40="Average"),$E40*'LU '!H$16,AND($C40="Alternative fuel bus",$D40="Nearly full"),$E40*'LU '!H$17,AND($C40="Metro, tram, urban light train",$D40="Almost empty"),$E40*'LU '!C$35,AND($C40="Metro, tram, urban light train",$D40="Average"),$E40*'LU '!C$36,AND($C40="Metro, tram, urban light train",$D40="Nearly full"),$E40*'LU '!C$37,AND($C40="Electric passenger train",$D40="Almost empty"),$E40*'LU '!C$39,AND($C40="Electric passenger train",$D40="Average"),$E40*'LU '!C$40,AND($C40="Electric passenger train",$D40="Nearly full"),$E40*'LU '!C$41,AND($C40="Diesel passenger train",$D40="Almost empty"),$E40*'LU '!C$47,AND($C40="Diesel passenger train",$D40="Average"),$E40*'LU '!C$48,AND($C40="Diesel passenger train",$D40="Nearly full"),$E40*'LU '!C$49,AND($C40="Walking"),$E40*0,AND($C40="Bike"),$E40*0,AND($C40="Plane - domestic flight"),$E40*'LU '!$C64,AND($C40="Plane - international - intra EU"),$E40*'LU '!$C66,AND($C40="Plane - international (extra EU)"),$E40*'LU '!$C68)</f>
        <v>#N/A</v>
      </c>
      <c r="G40" s="31" t="e" cm="1">
        <f t="array" ref="G40">_xlfn.IFS(AND($C40="Fuel car",$D40=1),$E40*'LU '!D$7,AND($C40="Fuel car",$D40=2),$E40*'LU '!D$8,AND($C40="Fuel car",$D40=3),$E40*'LU '!D$9,AND($C40="Fuel car",$D40=4),$E40*'LU '!D$10,AND($C40="Fuel car",$D40=5),$E40*'LU '!D$11,AND($C40="Motorcycle",$D40=1),$E40*'LU '!D$13,AND($C40="Motorcycle",$D40=2),$E40*'LU '!D$14,AND($C40="Electric car",$D40=1),$E40*'LU '!D$16,AND($C40="Electric car",$D40=2),$E40*'LU '!D$17,AND($C40="Electric car",$D40=3),$E40*'LU '!D$18,AND($C40="Electric car",$D40=4),$E40*'LU '!D$19,AND($C40="Electric car",$D40=5),$E40*'LU '!D$20,AND($C40="Hybrid car",$D40=1),$E40*'LU '!D$22,AND($C40="Hybrid car",$D40=2),$E40*'LU '!D$23,AND($C40="Hybrid car",$D40=3),$E40*'LU '!D$24,AND($C40="Hybrid car",$D40=4),$E40*'LU '!D$25,AND($C40="Hybrid car",$D40=5),$E40*'LU '!D$26,AND($C40="Electric motorcycle",$D40=1),$E40*'LU '!D$28,AND($C40="Electric motorcycle",$D40=2),$E40*'LU '!D$29,AND($C40="Electric bike",$D40=1),$E40*'LU '!D$31,AND($C40="Electric scooter",$D40=1),$E40*'LU '!D$33,AND($C40="Bus",$D40="Almost empty"),$E40*'LU '!I$23,AND($C40="Bus",$D40="Average"),$E40*'LU '!I$24,AND($C40="Bus",$D40="Nearly full"),$E40*'LU '!I$25,AND($C40="Electric bus",$D40="Almost empty"),$E40*'LU '!I$7,AND($C40="Electric bus",$D40="Average"),$E40*'LU '!I$8,AND($C40="Electric bus",$D40="Nearly full"),$E40*'LU '!I$9,AND($C40="Diesel bus",$D40="Almost empty"),$E40*'LU '!I$19,AND($C40="Diesel bus",$D40="Average"),$E40*'LU '!I$20,AND($C40="Diesel bus",$D40="Nearly full"),$E40*'LU '!I$21,AND($C40="Hybrid-electric bus",$D40="Almost empty"),$E40*'LU '!I$11,AND($C40="Hybrid-electric bus",$D40="Average"),$E40*'LU '!I$12,AND($C40="Hybrid-electric bus",$D40="Nearly full"),$E40*'LU '!I$13,AND($C40="Alternative fuel bus",$D40="Almost empty"),$E40*'LU '!I$15,AND($C40="Alternative fuel bus",$D40="Average"),$E40*'LU '!I$16,AND($C40="Alternative fuel bus",$D40="Nearly full"),$E40*'LU '!I$17,AND($C40="Metro, tram, urban light train",$D40="Almost empty"),$E40*'LU '!D$35,AND($C40="Metro, tram, urban light train",$D40="Average"),$E40*'LU '!D$36,AND($C40="Metro, tram, urban light train",$D40="Nearly full"),$E40*'LU '!D$37,AND($C40="Electric passenger train",$D40="Almost empty"),$E40*'LU '!D$39,AND($C40="Electric passenger train",$D40="Average"),$E40*'LU '!D$40,AND($C40="Electric passenger train",$D40="Nearly full"),$E40*'LU '!D$41,AND($C40="Diesel passenger train",$D40="Almost empty"),$E40*'LU '!D$47,AND($C40="Diesel passenger train",$D40="Average"),$E40*'LU '!D$48,AND($C40="Diesel passenger train",$D40="Nearly full"),$E40*'LU '!D$49,AND($C40="Walking"),$E40*0,AND($C40="Bike"),$E40*0,AND($C40="Plane - domestic flight"),$E40*'LU '!$C64,AND($C40="Plane - international - intra EU"),$E40*'LU '!$C66,AND($C40="Plane - international (extra EU)"),$E40*'LU '!$C68)</f>
        <v>#N/A</v>
      </c>
      <c r="H40" s="145"/>
      <c r="I40" s="148">
        <f t="shared" si="6"/>
        <v>0</v>
      </c>
      <c r="J40" s="146" t="e" cm="1">
        <f t="array" ref="J40">_xlfn.IFS(C40="Fuel car",C40*DATA!$C$17,C40="Electric car",C40*DATA!$F$21,C40="Hybrid car",I40*(0.5*DATA!$C$17+0.5*DATA!$F$21))</f>
        <v>#N/A</v>
      </c>
      <c r="L40" s="229"/>
      <c r="M40" s="230"/>
      <c r="N40" s="231"/>
    </row>
    <row r="41" spans="1:14" ht="14.5" customHeight="1" x14ac:dyDescent="0.2">
      <c r="A41" s="222"/>
      <c r="B41" s="30"/>
      <c r="C41" s="15"/>
      <c r="D41" s="15"/>
      <c r="E41" s="125"/>
      <c r="F41" s="128" t="e" cm="1">
        <f t="array" ref="F41">_xlfn.IFS(AND($C41="Fuel car",$D41=1),$E41*'LU '!C$7,AND($C41="Fuel car",$D41=2),$E41*'LU '!C$8,AND($C41="Fuel car",$D41=3),$E41*'LU '!C$9,AND($C41="Fuel car",$D41=4),$E41*'LU '!C$10,AND($C41="Fuel car",$D41=5),$E41*'LU '!C$11,AND($C41="Motorcycle",$D41=1),$E41*'LU '!C$13,AND($C41="Motorcycle",$D41=2),$E41*'LU '!C$14,AND($C41="Electric car",$D41=1),$E41*'LU '!C$16,AND($C41="Electric car",$D41=2),$E41*'LU '!C$17,AND($C41="Electric car",$D41=3),$E41*'LU '!C$18,AND($C41="Electric car",$D41=4),$E41*'LU '!C$19,AND($C41="Electric car",$D41=5),$E41*'LU '!C$20,AND($C41="Hybrid car",$D41=1),$E41*'LU '!C$22,AND($C41="Hybrid car",$D41=2),$E41*'LU '!C$23,AND($C41="Hybrid car",$D41=3),$E41*'LU '!C$24,AND($C41="Hybrid car",$D41=4),$E41*'LU '!C$25,AND($C41="Hybrid car",$D41=5),$E41*'LU '!C$26,AND($C41="Electric motorcycle",$D41=1),$E41*'LU '!C$28,AND($C41="Electric motorcycle",$D41=2),$E41*'LU '!C$29,AND($C41="Electric bike",$D41=1),$E41*'LU '!C$31,AND($C41="Electric scooter",$D41=1),$E41*'LU '!C$33,AND($C41="Bus",$D41="Almost empty"),$E41*'LU '!H$23,AND($C41="Bus",$D41="Average"),$E41*'LU '!H$24,AND($C41="Bus",$D41="Nearly full"),$E41*'LU '!H$25,AND($C41="Electric bus",$D41="Almost empty"),$E41*'LU '!H$7,AND($C41="Electric bus",$D41="Average"),$E41*'LU '!H$8,AND($C41="Electric bus",$D41="Nearly full"),$E41*'LU '!H$9,AND($C41="Diesel bus",$D41="Almost empty"),$E41*'LU '!H$19,AND($C41="Diesel bus",$D41="Average"),$E41*'LU '!H$20,AND($C41="Diesel bus",$D41="Nearly full"),$E41*'LU '!H$21,AND($C41="Hybrid-electric bus",$D41="Almost empty"),$E41*'LU '!H$11,AND($C41="Hybrid-electric bus",$D41="Average"),$E41*'LU '!H$12,AND($C41="Hybrid-electric bus",$D41="Nearly full"),$E41*'LU '!H$13,AND($C41="Alternative fuel bus",$D41="Almost empty"),$E41*'LU '!H$15,AND($C41="Alternative fuel bus",$D41="Average"),$E41*'LU '!H$16,AND($C41="Alternative fuel bus",$D41="Nearly full"),$E41*'LU '!H$17,AND($C41="Metro, tram, urban light train",$D41="Almost empty"),$E41*'LU '!C$35,AND($C41="Metro, tram, urban light train",$D41="Average"),$E41*'LU '!C$36,AND($C41="Metro, tram, urban light train",$D41="Nearly full"),$E41*'LU '!C$37,AND($C41="Electric passenger train",$D41="Almost empty"),$E41*'LU '!C$39,AND($C41="Electric passenger train",$D41="Average"),$E41*'LU '!C$40,AND($C41="Electric passenger train",$D41="Nearly full"),$E41*'LU '!C$41,AND($C41="Diesel passenger train",$D41="Almost empty"),$E41*'LU '!C$47,AND($C41="Diesel passenger train",$D41="Average"),$E41*'LU '!C$48,AND($C41="Diesel passenger train",$D41="Nearly full"),$E41*'LU '!C$49,AND($C41="Walking"),$E41*0,AND($C41="Bike"),$E41*0,AND($C41="Plane - domestic flight"),$E41*'LU '!$C65,AND($C41="Plane - international - intra EU"),$E41*'LU '!$C67,AND($C41="Plane - international (extra EU)"),$E41*'LU '!$C69)</f>
        <v>#N/A</v>
      </c>
      <c r="G41" s="31" t="e" cm="1">
        <f t="array" ref="G41">_xlfn.IFS(AND($C41="Fuel car",$D41=1),$E41*'LU '!D$7,AND($C41="Fuel car",$D41=2),$E41*'LU '!D$8,AND($C41="Fuel car",$D41=3),$E41*'LU '!D$9,AND($C41="Fuel car",$D41=4),$E41*'LU '!D$10,AND($C41="Fuel car",$D41=5),$E41*'LU '!D$11,AND($C41="Motorcycle",$D41=1),$E41*'LU '!D$13,AND($C41="Motorcycle",$D41=2),$E41*'LU '!D$14,AND($C41="Electric car",$D41=1),$E41*'LU '!D$16,AND($C41="Electric car",$D41=2),$E41*'LU '!D$17,AND($C41="Electric car",$D41=3),$E41*'LU '!D$18,AND($C41="Electric car",$D41=4),$E41*'LU '!D$19,AND($C41="Electric car",$D41=5),$E41*'LU '!D$20,AND($C41="Hybrid car",$D41=1),$E41*'LU '!D$22,AND($C41="Hybrid car",$D41=2),$E41*'LU '!D$23,AND($C41="Hybrid car",$D41=3),$E41*'LU '!D$24,AND($C41="Hybrid car",$D41=4),$E41*'LU '!D$25,AND($C41="Hybrid car",$D41=5),$E41*'LU '!D$26,AND($C41="Electric motorcycle",$D41=1),$E41*'LU '!D$28,AND($C41="Electric motorcycle",$D41=2),$E41*'LU '!D$29,AND($C41="Electric bike",$D41=1),$E41*'LU '!D$31,AND($C41="Electric scooter",$D41=1),$E41*'LU '!D$33,AND($C41="Bus",$D41="Almost empty"),$E41*'LU '!I$23,AND($C41="Bus",$D41="Average"),$E41*'LU '!I$24,AND($C41="Bus",$D41="Nearly full"),$E41*'LU '!I$25,AND($C41="Electric bus",$D41="Almost empty"),$E41*'LU '!I$7,AND($C41="Electric bus",$D41="Average"),$E41*'LU '!I$8,AND($C41="Electric bus",$D41="Nearly full"),$E41*'LU '!I$9,AND($C41="Diesel bus",$D41="Almost empty"),$E41*'LU '!I$19,AND($C41="Diesel bus",$D41="Average"),$E41*'LU '!I$20,AND($C41="Diesel bus",$D41="Nearly full"),$E41*'LU '!I$21,AND($C41="Hybrid-electric bus",$D41="Almost empty"),$E41*'LU '!I$11,AND($C41="Hybrid-electric bus",$D41="Average"),$E41*'LU '!I$12,AND($C41="Hybrid-electric bus",$D41="Nearly full"),$E41*'LU '!I$13,AND($C41="Alternative fuel bus",$D41="Almost empty"),$E41*'LU '!I$15,AND($C41="Alternative fuel bus",$D41="Average"),$E41*'LU '!I$16,AND($C41="Alternative fuel bus",$D41="Nearly full"),$E41*'LU '!I$17,AND($C41="Metro, tram, urban light train",$D41="Almost empty"),$E41*'LU '!D$35,AND($C41="Metro, tram, urban light train",$D41="Average"),$E41*'LU '!D$36,AND($C41="Metro, tram, urban light train",$D41="Nearly full"),$E41*'LU '!D$37,AND($C41="Electric passenger train",$D41="Almost empty"),$E41*'LU '!D$39,AND($C41="Electric passenger train",$D41="Average"),$E41*'LU '!D$40,AND($C41="Electric passenger train",$D41="Nearly full"),$E41*'LU '!D$41,AND($C41="Diesel passenger train",$D41="Almost empty"),$E41*'LU '!D$47,AND($C41="Diesel passenger train",$D41="Average"),$E41*'LU '!D$48,AND($C41="Diesel passenger train",$D41="Nearly full"),$E41*'LU '!D$49,AND($C41="Walking"),$E41*0,AND($C41="Bike"),$E41*0,AND($C41="Plane - domestic flight"),$E41*'LU '!$C65,AND($C41="Plane - international - intra EU"),$E41*'LU '!$C67,AND($C41="Plane - international (extra EU)"),$E41*'LU '!$C69)</f>
        <v>#N/A</v>
      </c>
      <c r="H41" s="145"/>
      <c r="I41" s="148">
        <f t="shared" si="6"/>
        <v>0</v>
      </c>
      <c r="J41" s="146" t="e" cm="1">
        <f t="array" ref="J41">_xlfn.IFS(C41="Fuel car",C41*DATA!$C$17,C41="Electric car",C41*DATA!$F$21,C41="Hybrid car",I41*(0.5*DATA!$C$17+0.5*DATA!$F$21))</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car",$D42=1),$E42*'LU '!C$7,AND($C42="Fuel car",$D42=2),$E42*'LU '!C$8,AND($C42="Fuel car",$D42=3),$E42*'LU '!C$9,AND($C42="Fuel car",$D42=4),$E42*'LU '!C$10,AND($C42="Fuel car",$D42=5),$E42*'LU '!C$11,AND($C42="Motorcycle",$D42=1),$E42*'LU '!C$13,AND($C42="Motorcycle",$D42=2),$E42*'LU '!C$14,AND($C42="Electric car",$D42=1),$E42*'LU '!C$16,AND($C42="Electric car",$D42=2),$E42*'LU '!C$17,AND($C42="Electric car",$D42=3),$E42*'LU '!C$18,AND($C42="Electric car",$D42=4),$E42*'LU '!C$19,AND($C42="Electric car",$D42=5),$E42*'LU '!C$20,AND($C42="Hybrid car",$D42=1),$E42*'LU '!C$22,AND($C42="Hybrid car",$D42=2),$E42*'LU '!C$23,AND($C42="Hybrid car",$D42=3),$E42*'LU '!C$24,AND($C42="Hybrid car",$D42=4),$E42*'LU '!C$25,AND($C42="Hybrid car",$D42=5),$E42*'LU '!C$26,AND($C42="Electric motorcycle",$D42=1),$E42*'LU '!C$28,AND($C42="Electric motorcycle",$D42=2),$E42*'LU '!C$29,AND($C42="Electric bike",$D42=1),$E42*'LU '!C$31,AND($C42="Electric scooter",$D42=1),$E42*'LU '!C$33,AND($C42="Bus",$D42="Almost empty"),$E42*'LU '!H$23,AND($C42="Bus",$D42="Average"),$E42*'LU '!H$24,AND($C42="Bus",$D42="Nearly full"),$E42*'LU '!H$25,AND($C42="Electric bus",$D42="Almost empty"),$E42*'LU '!H$7,AND($C42="Electric bus",$D42="Average"),$E42*'LU '!H$8,AND($C42="Electric bus",$D42="Nearly full"),$E42*'LU '!H$9,AND($C42="Diesel bus",$D42="Almost empty"),$E42*'LU '!H$19,AND($C42="Diesel bus",$D42="Average"),$E42*'LU '!H$20,AND($C42="Diesel bus",$D42="Nearly full"),$E42*'LU '!H$21,AND($C42="Hybrid-electric bus",$D42="Almost empty"),$E42*'LU '!H$11,AND($C42="Hybrid-electric bus",$D42="Average"),$E42*'LU '!H$12,AND($C42="Hybrid-electric bus",$D42="Nearly full"),$E42*'LU '!H$13,AND($C42="Alternative fuel bus",$D42="Almost empty"),$E42*'LU '!H$15,AND($C42="Alternative fuel bus",$D42="Average"),$E42*'LU '!H$16,AND($C42="Alternative fuel bus",$D42="Nearly full"),$E42*'LU '!H$17,AND($C42="Metro, tram, urban light train",$D42="Almost empty"),$E42*'LU '!C$35,AND($C42="Metro, tram, urban light train",$D42="Average"),$E42*'LU '!C$36,AND($C42="Metro, tram, urban light train",$D42="Nearly full"),$E42*'LU '!C$37,AND($C42="Electric passenger train",$D42="Almost empty"),$E42*'LU '!C$39,AND($C42="Electric passenger train",$D42="Average"),$E42*'LU '!C$40,AND($C42="Electric passenger train",$D42="Nearly full"),$E42*'LU '!C$41,AND($C42="Diesel passenger train",$D42="Almost empty"),$E42*'LU '!C$47,AND($C42="Diesel passenger train",$D42="Average"),$E42*'LU '!C$48,AND($C42="Diesel passenger train",$D42="Nearly full"),$E42*'LU '!C$49,AND($C42="Walking"),$E42*0,AND($C42="Bike"),$E42*0,AND($C42="Plane - domestic flight"),$E42*'LU '!$C66,AND($C42="Plane - international - intra EU"),$E42*'LU '!$C68,AND($C42="Plane - international (extra EU)"),$E42*'LU '!$C70)</f>
        <v>#N/A</v>
      </c>
      <c r="G42" s="31" t="e" cm="1">
        <f t="array" ref="G42">_xlfn.IFS(AND($C42="Fuel car",$D42=1),$E42*'LU '!D$7,AND($C42="Fuel car",$D42=2),$E42*'LU '!D$8,AND($C42="Fuel car",$D42=3),$E42*'LU '!D$9,AND($C42="Fuel car",$D42=4),$E42*'LU '!D$10,AND($C42="Fuel car",$D42=5),$E42*'LU '!D$11,AND($C42="Motorcycle",$D42=1),$E42*'LU '!D$13,AND($C42="Motorcycle",$D42=2),$E42*'LU '!D$14,AND($C42="Electric car",$D42=1),$E42*'LU '!D$16,AND($C42="Electric car",$D42=2),$E42*'LU '!D$17,AND($C42="Electric car",$D42=3),$E42*'LU '!D$18,AND($C42="Electric car",$D42=4),$E42*'LU '!D$19,AND($C42="Electric car",$D42=5),$E42*'LU '!D$20,AND($C42="Hybrid car",$D42=1),$E42*'LU '!D$22,AND($C42="Hybrid car",$D42=2),$E42*'LU '!D$23,AND($C42="Hybrid car",$D42=3),$E42*'LU '!D$24,AND($C42="Hybrid car",$D42=4),$E42*'LU '!D$25,AND($C42="Hybrid car",$D42=5),$E42*'LU '!D$26,AND($C42="Electric motorcycle",$D42=1),$E42*'LU '!D$28,AND($C42="Electric motorcycle",$D42=2),$E42*'LU '!D$29,AND($C42="Electric bike",$D42=1),$E42*'LU '!D$31,AND($C42="Electric scooter",$D42=1),$E42*'LU '!D$33,AND($C42="Bus",$D42="Almost empty"),$E42*'LU '!I$23,AND($C42="Bus",$D42="Average"),$E42*'LU '!I$24,AND($C42="Bus",$D42="Nearly full"),$E42*'LU '!I$25,AND($C42="Electric bus",$D42="Almost empty"),$E42*'LU '!I$7,AND($C42="Electric bus",$D42="Average"),$E42*'LU '!I$8,AND($C42="Electric bus",$D42="Nearly full"),$E42*'LU '!I$9,AND($C42="Diesel bus",$D42="Almost empty"),$E42*'LU '!I$19,AND($C42="Diesel bus",$D42="Average"),$E42*'LU '!I$20,AND($C42="Diesel bus",$D42="Nearly full"),$E42*'LU '!I$21,AND($C42="Hybrid-electric bus",$D42="Almost empty"),$E42*'LU '!I$11,AND($C42="Hybrid-electric bus",$D42="Average"),$E42*'LU '!I$12,AND($C42="Hybrid-electric bus",$D42="Nearly full"),$E42*'LU '!I$13,AND($C42="Alternative fuel bus",$D42="Almost empty"),$E42*'LU '!I$15,AND($C42="Alternative fuel bus",$D42="Average"),$E42*'LU '!I$16,AND($C42="Alternative fuel bus",$D42="Nearly full"),$E42*'LU '!I$17,AND($C42="Metro, tram, urban light train",$D42="Almost empty"),$E42*'LU '!D$35,AND($C42="Metro, tram, urban light train",$D42="Average"),$E42*'LU '!D$36,AND($C42="Metro, tram, urban light train",$D42="Nearly full"),$E42*'LU '!D$37,AND($C42="Electric passenger train",$D42="Almost empty"),$E42*'LU '!D$39,AND($C42="Electric passenger train",$D42="Average"),$E42*'LU '!D$40,AND($C42="Electric passenger train",$D42="Nearly full"),$E42*'LU '!D$41,AND($C42="Diesel passenger train",$D42="Almost empty"),$E42*'LU '!D$47,AND($C42="Diesel passenger train",$D42="Average"),$E42*'LU '!D$48,AND($C42="Diesel passenger train",$D42="Nearly full"),$E42*'LU '!D$49,AND($C42="Walking"),$E42*0,AND($C42="Bike"),$E42*0,AND($C42="Plane - domestic flight"),$E42*'LU '!$C66,AND($C42="Plane - international - intra EU"),$E42*'LU '!$C68,AND($C42="Plane - international (extra EU)"),$E42*'LU '!$C70)</f>
        <v>#N/A</v>
      </c>
      <c r="H42" s="145"/>
      <c r="I42" s="148">
        <f t="shared" si="6"/>
        <v>0</v>
      </c>
      <c r="J42" s="146" t="e" cm="1">
        <f t="array" ref="J42">_xlfn.IFS(C42="Fuel car",C42*DATA!$C$17,C42="Electric car",C42*DATA!$F$21,C42="Hybrid car",I42*(0.5*DATA!$C$17+0.5*DATA!$F$21))</f>
        <v>#N/A</v>
      </c>
      <c r="L42" s="235"/>
      <c r="M42" s="236"/>
      <c r="N42" s="237"/>
    </row>
    <row r="43" spans="1:14" ht="14.5" customHeight="1" thickBot="1" x14ac:dyDescent="0.25">
      <c r="A43" s="222"/>
      <c r="B43" s="30"/>
      <c r="C43" s="15"/>
      <c r="D43" s="15"/>
      <c r="E43" s="125"/>
      <c r="F43" s="128" t="e" cm="1">
        <f t="array" ref="F43">_xlfn.IFS(AND($C43="Fuel car",$D43=1),$E43*'LU '!C$7,AND($C43="Fuel car",$D43=2),$E43*'LU '!C$8,AND($C43="Fuel car",$D43=3),$E43*'LU '!C$9,AND($C43="Fuel car",$D43=4),$E43*'LU '!C$10,AND($C43="Fuel car",$D43=5),$E43*'LU '!C$11,AND($C43="Motorcycle",$D43=1),$E43*'LU '!C$13,AND($C43="Motorcycle",$D43=2),$E43*'LU '!C$14,AND($C43="Electric car",$D43=1),$E43*'LU '!C$16,AND($C43="Electric car",$D43=2),$E43*'LU '!C$17,AND($C43="Electric car",$D43=3),$E43*'LU '!C$18,AND($C43="Electric car",$D43=4),$E43*'LU '!C$19,AND($C43="Electric car",$D43=5),$E43*'LU '!C$20,AND($C43="Hybrid car",$D43=1),$E43*'LU '!C$22,AND($C43="Hybrid car",$D43=2),$E43*'LU '!C$23,AND($C43="Hybrid car",$D43=3),$E43*'LU '!C$24,AND($C43="Hybrid car",$D43=4),$E43*'LU '!C$25,AND($C43="Hybrid car",$D43=5),$E43*'LU '!C$26,AND($C43="Electric motorcycle",$D43=1),$E43*'LU '!C$28,AND($C43="Electric motorcycle",$D43=2),$E43*'LU '!C$29,AND($C43="Electric bike",$D43=1),$E43*'LU '!C$31,AND($C43="Electric scooter",$D43=1),$E43*'LU '!C$33,AND($C43="Bus",$D43="Almost empty"),$E43*'LU '!H$23,AND($C43="Bus",$D43="Average"),$E43*'LU '!H$24,AND($C43="Bus",$D43="Nearly full"),$E43*'LU '!H$25,AND($C43="Electric bus",$D43="Almost empty"),$E43*'LU '!H$7,AND($C43="Electric bus",$D43="Average"),$E43*'LU '!H$8,AND($C43="Electric bus",$D43="Nearly full"),$E43*'LU '!H$9,AND($C43="Diesel bus",$D43="Almost empty"),$E43*'LU '!H$19,AND($C43="Diesel bus",$D43="Average"),$E43*'LU '!H$20,AND($C43="Diesel bus",$D43="Nearly full"),$E43*'LU '!H$21,AND($C43="Hybrid-electric bus",$D43="Almost empty"),$E43*'LU '!H$11,AND($C43="Hybrid-electric bus",$D43="Average"),$E43*'LU '!H$12,AND($C43="Hybrid-electric bus",$D43="Nearly full"),$E43*'LU '!H$13,AND($C43="Alternative fuel bus",$D43="Almost empty"),$E43*'LU '!H$15,AND($C43="Alternative fuel bus",$D43="Average"),$E43*'LU '!H$16,AND($C43="Alternative fuel bus",$D43="Nearly full"),$E43*'LU '!H$17,AND($C43="Metro, tram, urban light train",$D43="Almost empty"),$E43*'LU '!C$35,AND($C43="Metro, tram, urban light train",$D43="Average"),$E43*'LU '!C$36,AND($C43="Metro, tram, urban light train",$D43="Nearly full"),$E43*'LU '!C$37,AND($C43="Electric passenger train",$D43="Almost empty"),$E43*'LU '!C$39,AND($C43="Electric passenger train",$D43="Average"),$E43*'LU '!C$40,AND($C43="Electric passenger train",$D43="Nearly full"),$E43*'LU '!C$41,AND($C43="Diesel passenger train",$D43="Almost empty"),$E43*'LU '!C$47,AND($C43="Diesel passenger train",$D43="Average"),$E43*'LU '!C$48,AND($C43="Diesel passenger train",$D43="Nearly full"),$E43*'LU '!C$49,AND($C43="Walking"),$E43*0,AND($C43="Bike"),$E43*0,AND($C43="Plane - domestic flight"),$E43*'LU '!$C67,AND($C43="Plane - international - intra EU"),$E43*'LU '!$C69,AND($C43="Plane - international (extra EU)"),$E43*'LU '!$C71)</f>
        <v>#N/A</v>
      </c>
      <c r="G43" s="31" t="e" cm="1">
        <f t="array" ref="G43">_xlfn.IFS(AND($C43="Fuel car",$D43=1),$E43*'LU '!D$7,AND($C43="Fuel car",$D43=2),$E43*'LU '!D$8,AND($C43="Fuel car",$D43=3),$E43*'LU '!D$9,AND($C43="Fuel car",$D43=4),$E43*'LU '!D$10,AND($C43="Fuel car",$D43=5),$E43*'LU '!D$11,AND($C43="Motorcycle",$D43=1),$E43*'LU '!D$13,AND($C43="Motorcycle",$D43=2),$E43*'LU '!D$14,AND($C43="Electric car",$D43=1),$E43*'LU '!D$16,AND($C43="Electric car",$D43=2),$E43*'LU '!D$17,AND($C43="Electric car",$D43=3),$E43*'LU '!D$18,AND($C43="Electric car",$D43=4),$E43*'LU '!D$19,AND($C43="Electric car",$D43=5),$E43*'LU '!D$20,AND($C43="Hybrid car",$D43=1),$E43*'LU '!D$22,AND($C43="Hybrid car",$D43=2),$E43*'LU '!D$23,AND($C43="Hybrid car",$D43=3),$E43*'LU '!D$24,AND($C43="Hybrid car",$D43=4),$E43*'LU '!D$25,AND($C43="Hybrid car",$D43=5),$E43*'LU '!D$26,AND($C43="Electric motorcycle",$D43=1),$E43*'LU '!D$28,AND($C43="Electric motorcycle",$D43=2),$E43*'LU '!D$29,AND($C43="Electric bike",$D43=1),$E43*'LU '!D$31,AND($C43="Electric scooter",$D43=1),$E43*'LU '!D$33,AND($C43="Bus",$D43="Almost empty"),$E43*'LU '!I$23,AND($C43="Bus",$D43="Average"),$E43*'LU '!I$24,AND($C43="Bus",$D43="Nearly full"),$E43*'LU '!I$25,AND($C43="Electric bus",$D43="Almost empty"),$E43*'LU '!I$7,AND($C43="Electric bus",$D43="Average"),$E43*'LU '!I$8,AND($C43="Electric bus",$D43="Nearly full"),$E43*'LU '!I$9,AND($C43="Diesel bus",$D43="Almost empty"),$E43*'LU '!I$19,AND($C43="Diesel bus",$D43="Average"),$E43*'LU '!I$20,AND($C43="Diesel bus",$D43="Nearly full"),$E43*'LU '!I$21,AND($C43="Hybrid-electric bus",$D43="Almost empty"),$E43*'LU '!I$11,AND($C43="Hybrid-electric bus",$D43="Average"),$E43*'LU '!I$12,AND($C43="Hybrid-electric bus",$D43="Nearly full"),$E43*'LU '!I$13,AND($C43="Alternative fuel bus",$D43="Almost empty"),$E43*'LU '!I$15,AND($C43="Alternative fuel bus",$D43="Average"),$E43*'LU '!I$16,AND($C43="Alternative fuel bus",$D43="Nearly full"),$E43*'LU '!I$17,AND($C43="Metro, tram, urban light train",$D43="Almost empty"),$E43*'LU '!D$35,AND($C43="Metro, tram, urban light train",$D43="Average"),$E43*'LU '!D$36,AND($C43="Metro, tram, urban light train",$D43="Nearly full"),$E43*'LU '!D$37,AND($C43="Electric passenger train",$D43="Almost empty"),$E43*'LU '!D$39,AND($C43="Electric passenger train",$D43="Average"),$E43*'LU '!D$40,AND($C43="Electric passenger train",$D43="Nearly full"),$E43*'LU '!D$41,AND($C43="Diesel passenger train",$D43="Almost empty"),$E43*'LU '!D$47,AND($C43="Diesel passenger train",$D43="Average"),$E43*'LU '!D$48,AND($C43="Diesel passenger train",$D43="Nearly full"),$E43*'LU '!D$49,AND($C43="Walking"),$E43*0,AND($C43="Bike"),$E43*0,AND($C43="Plane - domestic flight"),$E43*'LU '!$C67,AND($C43="Plane - international - intra EU"),$E43*'LU '!$C69,AND($C43="Plane - international (extra EU)"),$E43*'LU '!$C71)</f>
        <v>#N/A</v>
      </c>
      <c r="H43" s="109"/>
      <c r="I43" s="154">
        <f t="shared" si="6"/>
        <v>0</v>
      </c>
      <c r="J43" s="147" t="e" cm="1">
        <f t="array" ref="J43">_xlfn.IFS(C43="Fuel car",C43*DATA!$C$17,C43="Electric car",C43*DATA!$F$21,C43="Hybrid car",I43*(0.5*DATA!$C$17+0.5*DATA!$F$21))</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car",$D44=1),$E44*'LU '!C$7,AND($C44="Fuel car",$D44=2),$E44*'LU '!C$8,AND($C44="Fuel car",$D44=3),$E44*'LU '!C$9,AND($C44="Fuel car",$D44=4),$E44*'LU '!C$10,AND($C44="Fuel car",$D44=5),$E44*'LU '!C$11,AND($C44="Motorcycle",$D44=1),$E44*'LU '!C$13,AND($C44="Motorcycle",$D44=2),$E44*'LU '!C$14,AND($C44="Electric car",$D44=1),$E44*'LU '!C$16,AND($C44="Electric car",$D44=2),$E44*'LU '!C$17,AND($C44="Electric car",$D44=3),$E44*'LU '!C$18,AND($C44="Electric car",$D44=4),$E44*'LU '!C$19,AND($C44="Electric car",$D44=5),$E44*'LU '!C$20,AND($C44="Hybrid car",$D44=1),$E44*'LU '!C$22,AND($C44="Hybrid car",$D44=2),$E44*'LU '!C$23,AND($C44="Hybrid car",$D44=3),$E44*'LU '!C$24,AND($C44="Hybrid car",$D44=4),$E44*'LU '!C$25,AND($C44="Hybrid car",$D44=5),$E44*'LU '!C$26,AND($C44="Electric motorcycle",$D44=1),$E44*'LU '!C$28,AND($C44="Electric motorcycle",$D44=2),$E44*'LU '!C$29,AND($C44="Electric bike",$D44=1),$E44*'LU '!C$31,AND($C44="Electric scooter",$D44=1),$E44*'LU '!C$33,AND($C44="Bus",$D44="Almost empty"),$E44*'LU '!H$23,AND($C44="Bus",$D44="Average"),$E44*'LU '!H$24,AND($C44="Bus",$D44="Nearly full"),$E44*'LU '!H$25,AND($C44="Electric bus",$D44="Almost empty"),$E44*'LU '!H$7,AND($C44="Electric bus",$D44="Average"),$E44*'LU '!H$8,AND($C44="Electric bus",$D44="Nearly full"),$E44*'LU '!H$9,AND($C44="Diesel bus",$D44="Almost empty"),$E44*'LU '!H$19,AND($C44="Diesel bus",$D44="Average"),$E44*'LU '!H$20,AND($C44="Diesel bus",$D44="Nearly full"),$E44*'LU '!H$21,AND($C44="Hybrid-electric bus",$D44="Almost empty"),$E44*'LU '!H$11,AND($C44="Hybrid-electric bus",$D44="Average"),$E44*'LU '!H$12,AND($C44="Hybrid-electric bus",$D44="Nearly full"),$E44*'LU '!H$13,AND($C44="Alternative fuel bus",$D44="Almost empty"),$E44*'LU '!H$15,AND($C44="Alternative fuel bus",$D44="Average"),$E44*'LU '!H$16,AND($C44="Alternative fuel bus",$D44="Nearly full"),$E44*'LU '!H$17,AND($C44="Metro, tram, urban light train",$D44="Almost empty"),$E44*'LU '!C$35,AND($C44="Metro, tram, urban light train",$D44="Average"),$E44*'LU '!C$36,AND($C44="Metro, tram, urban light train",$D44="Nearly full"),$E44*'LU '!C$37,AND($C44="Electric passenger train",$D44="Almost empty"),$E44*'LU '!C$39,AND($C44="Electric passenger train",$D44="Average"),$E44*'LU '!C$40,AND($C44="Electric passenger train",$D44="Nearly full"),$E44*'LU '!C$41,AND($C44="Diesel passenger train",$D44="Almost empty"),$E44*'LU '!C$47,AND($C44="Diesel passenger train",$D44="Average"),$E44*'LU '!C$48,AND($C44="Diesel passenger train",$D44="Nearly full"),$E44*'LU '!C$49,AND($C44="Walking"),$E44*0,AND($C44="Bike"),$E44*0,AND($C44="Plane - domestic flight"),$E44*'LU '!$C68,AND($C44="Plane - international - intra EU"),$E44*'LU '!$C70,AND($C44="Plane - international (extra EU)"),$E44*'LU '!$C72)</f>
        <v>#N/A</v>
      </c>
      <c r="G44" s="31" t="e" cm="1">
        <f t="array" ref="G44">_xlfn.IFS(AND($C44="Fuel car",$D44=1),$E44*'LU '!D$7,AND($C44="Fuel car",$D44=2),$E44*'LU '!D$8,AND($C44="Fuel car",$D44=3),$E44*'LU '!D$9,AND($C44="Fuel car",$D44=4),$E44*'LU '!D$10,AND($C44="Fuel car",$D44=5),$E44*'LU '!D$11,AND($C44="Motorcycle",$D44=1),$E44*'LU '!D$13,AND($C44="Motorcycle",$D44=2),$E44*'LU '!D$14,AND($C44="Electric car",$D44=1),$E44*'LU '!D$16,AND($C44="Electric car",$D44=2),$E44*'LU '!D$17,AND($C44="Electric car",$D44=3),$E44*'LU '!D$18,AND($C44="Electric car",$D44=4),$E44*'LU '!D$19,AND($C44="Electric car",$D44=5),$E44*'LU '!D$20,AND($C44="Hybrid car",$D44=1),$E44*'LU '!D$22,AND($C44="Hybrid car",$D44=2),$E44*'LU '!D$23,AND($C44="Hybrid car",$D44=3),$E44*'LU '!D$24,AND($C44="Hybrid car",$D44=4),$E44*'LU '!D$25,AND($C44="Hybrid car",$D44=5),$E44*'LU '!D$26,AND($C44="Electric motorcycle",$D44=1),$E44*'LU '!D$28,AND($C44="Electric motorcycle",$D44=2),$E44*'LU '!D$29,AND($C44="Electric bike",$D44=1),$E44*'LU '!D$31,AND($C44="Electric scooter",$D44=1),$E44*'LU '!D$33,AND($C44="Bus",$D44="Almost empty"),$E44*'LU '!I$23,AND($C44="Bus",$D44="Average"),$E44*'LU '!I$24,AND($C44="Bus",$D44="Nearly full"),$E44*'LU '!I$25,AND($C44="Electric bus",$D44="Almost empty"),$E44*'LU '!I$7,AND($C44="Electric bus",$D44="Average"),$E44*'LU '!I$8,AND($C44="Electric bus",$D44="Nearly full"),$E44*'LU '!I$9,AND($C44="Diesel bus",$D44="Almost empty"),$E44*'LU '!I$19,AND($C44="Diesel bus",$D44="Average"),$E44*'LU '!I$20,AND($C44="Diesel bus",$D44="Nearly full"),$E44*'LU '!I$21,AND($C44="Hybrid-electric bus",$D44="Almost empty"),$E44*'LU '!I$11,AND($C44="Hybrid-electric bus",$D44="Average"),$E44*'LU '!I$12,AND($C44="Hybrid-electric bus",$D44="Nearly full"),$E44*'LU '!I$13,AND($C44="Alternative fuel bus",$D44="Almost empty"),$E44*'LU '!I$15,AND($C44="Alternative fuel bus",$D44="Average"),$E44*'LU '!I$16,AND($C44="Alternative fuel bus",$D44="Nearly full"),$E44*'LU '!I$17,AND($C44="Metro, tram, urban light train",$D44="Almost empty"),$E44*'LU '!D$35,AND($C44="Metro, tram, urban light train",$D44="Average"),$E44*'LU '!D$36,AND($C44="Metro, tram, urban light train",$D44="Nearly full"),$E44*'LU '!D$37,AND($C44="Electric passenger train",$D44="Almost empty"),$E44*'LU '!D$39,AND($C44="Electric passenger train",$D44="Average"),$E44*'LU '!D$40,AND($C44="Electric passenger train",$D44="Nearly full"),$E44*'LU '!D$41,AND($C44="Diesel passenger train",$D44="Almost empty"),$E44*'LU '!D$47,AND($C44="Diesel passenger train",$D44="Average"),$E44*'LU '!D$48,AND($C44="Diesel passenger train",$D44="Nearly full"),$E44*'LU '!D$49,AND($C44="Walking"),$E44*0,AND($C44="Bike"),$E44*0,AND($C44="Plane - domestic flight"),$E44*'LU '!$C68,AND($C44="Plane - international - intra EU"),$E44*'LU '!$C70,AND($C44="Plane - international (extra EU)"),$E44*'LU '!$C72)</f>
        <v>#N/A</v>
      </c>
      <c r="L44" s="218"/>
      <c r="M44" s="219"/>
      <c r="N44" s="220"/>
    </row>
    <row r="45" spans="1:14" ht="14.5" customHeight="1" x14ac:dyDescent="0.2">
      <c r="A45" s="222"/>
      <c r="B45" s="30"/>
      <c r="C45" s="15"/>
      <c r="D45" s="15"/>
      <c r="E45" s="125"/>
      <c r="F45" s="128" t="e" cm="1">
        <f t="array" ref="F45">_xlfn.IFS(AND($C45="Fuel car",$D45=1),$E45*'LU '!C$7,AND($C45="Fuel car",$D45=2),$E45*'LU '!C$8,AND($C45="Fuel car",$D45=3),$E45*'LU '!C$9,AND($C45="Fuel car",$D45=4),$E45*'LU '!C$10,AND($C45="Fuel car",$D45=5),$E45*'LU '!C$11,AND($C45="Motorcycle",$D45=1),$E45*'LU '!C$13,AND($C45="Motorcycle",$D45=2),$E45*'LU '!C$14,AND($C45="Electric car",$D45=1),$E45*'LU '!C$16,AND($C45="Electric car",$D45=2),$E45*'LU '!C$17,AND($C45="Electric car",$D45=3),$E45*'LU '!C$18,AND($C45="Electric car",$D45=4),$E45*'LU '!C$19,AND($C45="Electric car",$D45=5),$E45*'LU '!C$20,AND($C45="Hybrid car",$D45=1),$E45*'LU '!C$22,AND($C45="Hybrid car",$D45=2),$E45*'LU '!C$23,AND($C45="Hybrid car",$D45=3),$E45*'LU '!C$24,AND($C45="Hybrid car",$D45=4),$E45*'LU '!C$25,AND($C45="Hybrid car",$D45=5),$E45*'LU '!C$26,AND($C45="Electric motorcycle",$D45=1),$E45*'LU '!C$28,AND($C45="Electric motorcycle",$D45=2),$E45*'LU '!C$29,AND($C45="Electric bike",$D45=1),$E45*'LU '!C$31,AND($C45="Electric scooter",$D45=1),$E45*'LU '!C$33,AND($C45="Bus",$D45="Almost empty"),$E45*'LU '!H$23,AND($C45="Bus",$D45="Average"),$E45*'LU '!H$24,AND($C45="Bus",$D45="Nearly full"),$E45*'LU '!H$25,AND($C45="Electric bus",$D45="Almost empty"),$E45*'LU '!H$7,AND($C45="Electric bus",$D45="Average"),$E45*'LU '!H$8,AND($C45="Electric bus",$D45="Nearly full"),$E45*'LU '!H$9,AND($C45="Diesel bus",$D45="Almost empty"),$E45*'LU '!H$19,AND($C45="Diesel bus",$D45="Average"),$E45*'LU '!H$20,AND($C45="Diesel bus",$D45="Nearly full"),$E45*'LU '!H$21,AND($C45="Hybrid-electric bus",$D45="Almost empty"),$E45*'LU '!H$11,AND($C45="Hybrid-electric bus",$D45="Average"),$E45*'LU '!H$12,AND($C45="Hybrid-electric bus",$D45="Nearly full"),$E45*'LU '!H$13,AND($C45="Alternative fuel bus",$D45="Almost empty"),$E45*'LU '!H$15,AND($C45="Alternative fuel bus",$D45="Average"),$E45*'LU '!H$16,AND($C45="Alternative fuel bus",$D45="Nearly full"),$E45*'LU '!H$17,AND($C45="Metro, tram, urban light train",$D45="Almost empty"),$E45*'LU '!C$35,AND($C45="Metro, tram, urban light train",$D45="Average"),$E45*'LU '!C$36,AND($C45="Metro, tram, urban light train",$D45="Nearly full"),$E45*'LU '!C$37,AND($C45="Electric passenger train",$D45="Almost empty"),$E45*'LU '!C$39,AND($C45="Electric passenger train",$D45="Average"),$E45*'LU '!C$40,AND($C45="Electric passenger train",$D45="Nearly full"),$E45*'LU '!C$41,AND($C45="Diesel passenger train",$D45="Almost empty"),$E45*'LU '!C$47,AND($C45="Diesel passenger train",$D45="Average"),$E45*'LU '!C$48,AND($C45="Diesel passenger train",$D45="Nearly full"),$E45*'LU '!C$49,AND($C45="Walking"),$E45*0,AND($C45="Bike"),$E45*0,AND($C45="Plane - domestic flight"),$E45*'LU '!$C69,AND($C45="Plane - international - intra EU"),$E45*'LU '!$C71,AND($C45="Plane - international (extra EU)"),$E45*'LU '!$C73)</f>
        <v>#N/A</v>
      </c>
      <c r="G45" s="31" t="e" cm="1">
        <f t="array" ref="G45">_xlfn.IFS(AND($C45="Fuel car",$D45=1),$E45*'LU '!D$7,AND($C45="Fuel car",$D45=2),$E45*'LU '!D$8,AND($C45="Fuel car",$D45=3),$E45*'LU '!D$9,AND($C45="Fuel car",$D45=4),$E45*'LU '!D$10,AND($C45="Fuel car",$D45=5),$E45*'LU '!D$11,AND($C45="Motorcycle",$D45=1),$E45*'LU '!D$13,AND($C45="Motorcycle",$D45=2),$E45*'LU '!D$14,AND($C45="Electric car",$D45=1),$E45*'LU '!D$16,AND($C45="Electric car",$D45=2),$E45*'LU '!D$17,AND($C45="Electric car",$D45=3),$E45*'LU '!D$18,AND($C45="Electric car",$D45=4),$E45*'LU '!D$19,AND($C45="Electric car",$D45=5),$E45*'LU '!D$20,AND($C45="Hybrid car",$D45=1),$E45*'LU '!D$22,AND($C45="Hybrid car",$D45=2),$E45*'LU '!D$23,AND($C45="Hybrid car",$D45=3),$E45*'LU '!D$24,AND($C45="Hybrid car",$D45=4),$E45*'LU '!D$25,AND($C45="Hybrid car",$D45=5),$E45*'LU '!D$26,AND($C45="Electric motorcycle",$D45=1),$E45*'LU '!D$28,AND($C45="Electric motorcycle",$D45=2),$E45*'LU '!D$29,AND($C45="Electric bike",$D45=1),$E45*'LU '!D$31,AND($C45="Electric scooter",$D45=1),$E45*'LU '!D$33,AND($C45="Bus",$D45="Almost empty"),$E45*'LU '!I$23,AND($C45="Bus",$D45="Average"),$E45*'LU '!I$24,AND($C45="Bus",$D45="Nearly full"),$E45*'LU '!I$25,AND($C45="Electric bus",$D45="Almost empty"),$E45*'LU '!I$7,AND($C45="Electric bus",$D45="Average"),$E45*'LU '!I$8,AND($C45="Electric bus",$D45="Nearly full"),$E45*'LU '!I$9,AND($C45="Diesel bus",$D45="Almost empty"),$E45*'LU '!I$19,AND($C45="Diesel bus",$D45="Average"),$E45*'LU '!I$20,AND($C45="Diesel bus",$D45="Nearly full"),$E45*'LU '!I$21,AND($C45="Hybrid-electric bus",$D45="Almost empty"),$E45*'LU '!I$11,AND($C45="Hybrid-electric bus",$D45="Average"),$E45*'LU '!I$12,AND($C45="Hybrid-electric bus",$D45="Nearly full"),$E45*'LU '!I$13,AND($C45="Alternative fuel bus",$D45="Almost empty"),$E45*'LU '!I$15,AND($C45="Alternative fuel bus",$D45="Average"),$E45*'LU '!I$16,AND($C45="Alternative fuel bus",$D45="Nearly full"),$E45*'LU '!I$17,AND($C45="Metro, tram, urban light train",$D45="Almost empty"),$E45*'LU '!D$35,AND($C45="Metro, tram, urban light train",$D45="Average"),$E45*'LU '!D$36,AND($C45="Metro, tram, urban light train",$D45="Nearly full"),$E45*'LU '!D$37,AND($C45="Electric passenger train",$D45="Almost empty"),$E45*'LU '!D$39,AND($C45="Electric passenger train",$D45="Average"),$E45*'LU '!D$40,AND($C45="Electric passenger train",$D45="Nearly full"),$E45*'LU '!D$41,AND($C45="Diesel passenger train",$D45="Almost empty"),$E45*'LU '!D$47,AND($C45="Diesel passenger train",$D45="Average"),$E45*'LU '!D$48,AND($C45="Diesel passenger train",$D45="Nearly full"),$E45*'LU '!D$49,AND($C45="Walking"),$E45*0,AND($C45="Bike"),$E45*0,AND($C45="Plane - domestic flight"),$E45*'LU '!$C69,AND($C45="Plane - international - intra EU"),$E45*'LU '!$C71,AND($C45="Plane - international (extra EU)"),$E45*'LU '!$C73)</f>
        <v>#N/A</v>
      </c>
      <c r="L45" s="198" t="s">
        <v>256</v>
      </c>
      <c r="M45" s="199"/>
      <c r="N45" s="200"/>
    </row>
    <row r="46" spans="1:14" ht="16" thickBot="1" x14ac:dyDescent="0.25">
      <c r="A46" s="222"/>
      <c r="B46" s="30"/>
      <c r="C46" s="15"/>
      <c r="D46" s="15"/>
      <c r="E46" s="125"/>
      <c r="F46" s="128" t="e" cm="1">
        <f t="array" ref="F46">_xlfn.IFS(AND($C46="Fuel car",$D46=1),$E46*'LU '!C$7,AND($C46="Fuel car",$D46=2),$E46*'LU '!C$8,AND($C46="Fuel car",$D46=3),$E46*'LU '!C$9,AND($C46="Fuel car",$D46=4),$E46*'LU '!C$10,AND($C46="Fuel car",$D46=5),$E46*'LU '!C$11,AND($C46="Motorcycle",$D46=1),$E46*'LU '!C$13,AND($C46="Motorcycle",$D46=2),$E46*'LU '!C$14,AND($C46="Electric car",$D46=1),$E46*'LU '!C$16,AND($C46="Electric car",$D46=2),$E46*'LU '!C$17,AND($C46="Electric car",$D46=3),$E46*'LU '!C$18,AND($C46="Electric car",$D46=4),$E46*'LU '!C$19,AND($C46="Electric car",$D46=5),$E46*'LU '!C$20,AND($C46="Hybrid car",$D46=1),$E46*'LU '!C$22,AND($C46="Hybrid car",$D46=2),$E46*'LU '!C$23,AND($C46="Hybrid car",$D46=3),$E46*'LU '!C$24,AND($C46="Hybrid car",$D46=4),$E46*'LU '!C$25,AND($C46="Hybrid car",$D46=5),$E46*'LU '!C$26,AND($C46="Electric motorcycle",$D46=1),$E46*'LU '!C$28,AND($C46="Electric motorcycle",$D46=2),$E46*'LU '!C$29,AND($C46="Electric bike",$D46=1),$E46*'LU '!C$31,AND($C46="Electric scooter",$D46=1),$E46*'LU '!C$33,AND($C46="Bus",$D46="Almost empty"),$E46*'LU '!H$23,AND($C46="Bus",$D46="Average"),$E46*'LU '!H$24,AND($C46="Bus",$D46="Nearly full"),$E46*'LU '!H$25,AND($C46="Electric bus",$D46="Almost empty"),$E46*'LU '!H$7,AND($C46="Electric bus",$D46="Average"),$E46*'LU '!H$8,AND($C46="Electric bus",$D46="Nearly full"),$E46*'LU '!H$9,AND($C46="Diesel bus",$D46="Almost empty"),$E46*'LU '!H$19,AND($C46="Diesel bus",$D46="Average"),$E46*'LU '!H$20,AND($C46="Diesel bus",$D46="Nearly full"),$E46*'LU '!H$21,AND($C46="Hybrid-electric bus",$D46="Almost empty"),$E46*'LU '!H$11,AND($C46="Hybrid-electric bus",$D46="Average"),$E46*'LU '!H$12,AND($C46="Hybrid-electric bus",$D46="Nearly full"),$E46*'LU '!H$13,AND($C46="Alternative fuel bus",$D46="Almost empty"),$E46*'LU '!H$15,AND($C46="Alternative fuel bus",$D46="Average"),$E46*'LU '!H$16,AND($C46="Alternative fuel bus",$D46="Nearly full"),$E46*'LU '!H$17,AND($C46="Metro, tram, urban light train",$D46="Almost empty"),$E46*'LU '!C$35,AND($C46="Metro, tram, urban light train",$D46="Average"),$E46*'LU '!C$36,AND($C46="Metro, tram, urban light train",$D46="Nearly full"),$E46*'LU '!C$37,AND($C46="Electric passenger train",$D46="Almost empty"),$E46*'LU '!C$39,AND($C46="Electric passenger train",$D46="Average"),$E46*'LU '!C$40,AND($C46="Electric passenger train",$D46="Nearly full"),$E46*'LU '!C$41,AND($C46="Diesel passenger train",$D46="Almost empty"),$E46*'LU '!C$47,AND($C46="Diesel passenger train",$D46="Average"),$E46*'LU '!C$48,AND($C46="Diesel passenger train",$D46="Nearly full"),$E46*'LU '!C$49,AND($C46="Walking"),$E46*0,AND($C46="Bike"),$E46*0,AND($C46="Plane - domestic flight"),$E46*'LU '!$C70,AND($C46="Plane - international - intra EU"),$E46*'LU '!$C72,AND($C46="Plane - international (extra EU)"),$E46*'LU '!$C74)</f>
        <v>#N/A</v>
      </c>
      <c r="G46" s="31" t="e" cm="1">
        <f t="array" ref="G46">_xlfn.IFS(AND($C46="Fuel car",$D46=1),$E46*'LU '!D$7,AND($C46="Fuel car",$D46=2),$E46*'LU '!D$8,AND($C46="Fuel car",$D46=3),$E46*'LU '!D$9,AND($C46="Fuel car",$D46=4),$E46*'LU '!D$10,AND($C46="Fuel car",$D46=5),$E46*'LU '!D$11,AND($C46="Motorcycle",$D46=1),$E46*'LU '!D$13,AND($C46="Motorcycle",$D46=2),$E46*'LU '!D$14,AND($C46="Electric car",$D46=1),$E46*'LU '!D$16,AND($C46="Electric car",$D46=2),$E46*'LU '!D$17,AND($C46="Electric car",$D46=3),$E46*'LU '!D$18,AND($C46="Electric car",$D46=4),$E46*'LU '!D$19,AND($C46="Electric car",$D46=5),$E46*'LU '!D$20,AND($C46="Hybrid car",$D46=1),$E46*'LU '!D$22,AND($C46="Hybrid car",$D46=2),$E46*'LU '!D$23,AND($C46="Hybrid car",$D46=3),$E46*'LU '!D$24,AND($C46="Hybrid car",$D46=4),$E46*'LU '!D$25,AND($C46="Hybrid car",$D46=5),$E46*'LU '!D$26,AND($C46="Electric motorcycle",$D46=1),$E46*'LU '!D$28,AND($C46="Electric motorcycle",$D46=2),$E46*'LU '!D$29,AND($C46="Electric bike",$D46=1),$E46*'LU '!D$31,AND($C46="Electric scooter",$D46=1),$E46*'LU '!D$33,AND($C46="Bus",$D46="Almost empty"),$E46*'LU '!I$23,AND($C46="Bus",$D46="Average"),$E46*'LU '!I$24,AND($C46="Bus",$D46="Nearly full"),$E46*'LU '!I$25,AND($C46="Electric bus",$D46="Almost empty"),$E46*'LU '!I$7,AND($C46="Electric bus",$D46="Average"),$E46*'LU '!I$8,AND($C46="Electric bus",$D46="Nearly full"),$E46*'LU '!I$9,AND($C46="Diesel bus",$D46="Almost empty"),$E46*'LU '!I$19,AND($C46="Diesel bus",$D46="Average"),$E46*'LU '!I$20,AND($C46="Diesel bus",$D46="Nearly full"),$E46*'LU '!I$21,AND($C46="Hybrid-electric bus",$D46="Almost empty"),$E46*'LU '!I$11,AND($C46="Hybrid-electric bus",$D46="Average"),$E46*'LU '!I$12,AND($C46="Hybrid-electric bus",$D46="Nearly full"),$E46*'LU '!I$13,AND($C46="Alternative fuel bus",$D46="Almost empty"),$E46*'LU '!I$15,AND($C46="Alternative fuel bus",$D46="Average"),$E46*'LU '!I$16,AND($C46="Alternative fuel bus",$D46="Nearly full"),$E46*'LU '!I$17,AND($C46="Metro, tram, urban light train",$D46="Almost empty"),$E46*'LU '!D$35,AND($C46="Metro, tram, urban light train",$D46="Average"),$E46*'LU '!D$36,AND($C46="Metro, tram, urban light train",$D46="Nearly full"),$E46*'LU '!D$37,AND($C46="Electric passenger train",$D46="Almost empty"),$E46*'LU '!D$39,AND($C46="Electric passenger train",$D46="Average"),$E46*'LU '!D$40,AND($C46="Electric passenger train",$D46="Nearly full"),$E46*'LU '!D$41,AND($C46="Diesel passenger train",$D46="Almost empty"),$E46*'LU '!D$47,AND($C46="Diesel passenger train",$D46="Average"),$E46*'LU '!D$48,AND($C46="Diesel passenger train",$D46="Nearly full"),$E46*'LU '!D$49,AND($C46="Walking"),$E46*0,AND($C46="Bike"),$E46*0,AND($C46="Plane - domestic flight"),$E46*'LU '!$C70,AND($C46="Plane - international - intra EU"),$E46*'LU '!$C72,AND($C46="Plane - international (extra EU)"),$E46*'LU '!$C74)</f>
        <v>#N/A</v>
      </c>
      <c r="L46" s="246"/>
      <c r="M46" s="247"/>
      <c r="N46" s="248"/>
    </row>
    <row r="47" spans="1:14" ht="20" thickBot="1" x14ac:dyDescent="0.25">
      <c r="A47" s="222"/>
      <c r="B47" s="30"/>
      <c r="C47" s="15"/>
      <c r="D47" s="15"/>
      <c r="E47" s="125"/>
      <c r="F47" s="128" t="e" cm="1">
        <f t="array" ref="F47">_xlfn.IFS(AND($C47="Fuel car",$D47=1),$E47*'LU '!C$7,AND($C47="Fuel car",$D47=2),$E47*'LU '!C$8,AND($C47="Fuel car",$D47=3),$E47*'LU '!C$9,AND($C47="Fuel car",$D47=4),$E47*'LU '!C$10,AND($C47="Fuel car",$D47=5),$E47*'LU '!C$11,AND($C47="Motorcycle",$D47=1),$E47*'LU '!C$13,AND($C47="Motorcycle",$D47=2),$E47*'LU '!C$14,AND($C47="Electric car",$D47=1),$E47*'LU '!C$16,AND($C47="Electric car",$D47=2),$E47*'LU '!C$17,AND($C47="Electric car",$D47=3),$E47*'LU '!C$18,AND($C47="Electric car",$D47=4),$E47*'LU '!C$19,AND($C47="Electric car",$D47=5),$E47*'LU '!C$20,AND($C47="Hybrid car",$D47=1),$E47*'LU '!C$22,AND($C47="Hybrid car",$D47=2),$E47*'LU '!C$23,AND($C47="Hybrid car",$D47=3),$E47*'LU '!C$24,AND($C47="Hybrid car",$D47=4),$E47*'LU '!C$25,AND($C47="Hybrid car",$D47=5),$E47*'LU '!C$26,AND($C47="Electric motorcycle",$D47=1),$E47*'LU '!C$28,AND($C47="Electric motorcycle",$D47=2),$E47*'LU '!C$29,AND($C47="Electric bike",$D47=1),$E47*'LU '!C$31,AND($C47="Electric scooter",$D47=1),$E47*'LU '!C$33,AND($C47="Bus",$D47="Almost empty"),$E47*'LU '!H$23,AND($C47="Bus",$D47="Average"),$E47*'LU '!H$24,AND($C47="Bus",$D47="Nearly full"),$E47*'LU '!H$25,AND($C47="Electric bus",$D47="Almost empty"),$E47*'LU '!H$7,AND($C47="Electric bus",$D47="Average"),$E47*'LU '!H$8,AND($C47="Electric bus",$D47="Nearly full"),$E47*'LU '!H$9,AND($C47="Diesel bus",$D47="Almost empty"),$E47*'LU '!H$19,AND($C47="Diesel bus",$D47="Average"),$E47*'LU '!H$20,AND($C47="Diesel bus",$D47="Nearly full"),$E47*'LU '!H$21,AND($C47="Hybrid-electric bus",$D47="Almost empty"),$E47*'LU '!H$11,AND($C47="Hybrid-electric bus",$D47="Average"),$E47*'LU '!H$12,AND($C47="Hybrid-electric bus",$D47="Nearly full"),$E47*'LU '!H$13,AND($C47="Alternative fuel bus",$D47="Almost empty"),$E47*'LU '!H$15,AND($C47="Alternative fuel bus",$D47="Average"),$E47*'LU '!H$16,AND($C47="Alternative fuel bus",$D47="Nearly full"),$E47*'LU '!H$17,AND($C47="Metro, tram, urban light train",$D47="Almost empty"),$E47*'LU '!C$35,AND($C47="Metro, tram, urban light train",$D47="Average"),$E47*'LU '!C$36,AND($C47="Metro, tram, urban light train",$D47="Nearly full"),$E47*'LU '!C$37,AND($C47="Electric passenger train",$D47="Almost empty"),$E47*'LU '!C$39,AND($C47="Electric passenger train",$D47="Average"),$E47*'LU '!C$40,AND($C47="Electric passenger train",$D47="Nearly full"),$E47*'LU '!C$41,AND($C47="Diesel passenger train",$D47="Almost empty"),$E47*'LU '!C$47,AND($C47="Diesel passenger train",$D47="Average"),$E47*'LU '!C$48,AND($C47="Diesel passenger train",$D47="Nearly full"),$E47*'LU '!C$49,AND($C47="Walking"),$E47*0,AND($C47="Bike"),$E47*0,AND($C47="Plane - domestic flight"),$E47*'LU '!$C71,AND($C47="Plane - international - intra EU"),$E47*'LU '!$C73,AND($C47="Plane - international (extra EU)"),$E47*'LU '!$C75)</f>
        <v>#N/A</v>
      </c>
      <c r="G47" s="31" t="e" cm="1">
        <f t="array" ref="G47">_xlfn.IFS(AND($C47="Fuel car",$D47=1),$E47*'LU '!D$7,AND($C47="Fuel car",$D47=2),$E47*'LU '!D$8,AND($C47="Fuel car",$D47=3),$E47*'LU '!D$9,AND($C47="Fuel car",$D47=4),$E47*'LU '!D$10,AND($C47="Fuel car",$D47=5),$E47*'LU '!D$11,AND($C47="Motorcycle",$D47=1),$E47*'LU '!D$13,AND($C47="Motorcycle",$D47=2),$E47*'LU '!D$14,AND($C47="Electric car",$D47=1),$E47*'LU '!D$16,AND($C47="Electric car",$D47=2),$E47*'LU '!D$17,AND($C47="Electric car",$D47=3),$E47*'LU '!D$18,AND($C47="Electric car",$D47=4),$E47*'LU '!D$19,AND($C47="Electric car",$D47=5),$E47*'LU '!D$20,AND($C47="Hybrid car",$D47=1),$E47*'LU '!D$22,AND($C47="Hybrid car",$D47=2),$E47*'LU '!D$23,AND($C47="Hybrid car",$D47=3),$E47*'LU '!D$24,AND($C47="Hybrid car",$D47=4),$E47*'LU '!D$25,AND($C47="Hybrid car",$D47=5),$E47*'LU '!D$26,AND($C47="Electric motorcycle",$D47=1),$E47*'LU '!D$28,AND($C47="Electric motorcycle",$D47=2),$E47*'LU '!D$29,AND($C47="Electric bike",$D47=1),$E47*'LU '!D$31,AND($C47="Electric scooter",$D47=1),$E47*'LU '!D$33,AND($C47="Bus",$D47="Almost empty"),$E47*'LU '!I$23,AND($C47="Bus",$D47="Average"),$E47*'LU '!I$24,AND($C47="Bus",$D47="Nearly full"),$E47*'LU '!I$25,AND($C47="Electric bus",$D47="Almost empty"),$E47*'LU '!I$7,AND($C47="Electric bus",$D47="Average"),$E47*'LU '!I$8,AND($C47="Electric bus",$D47="Nearly full"),$E47*'LU '!I$9,AND($C47="Diesel bus",$D47="Almost empty"),$E47*'LU '!I$19,AND($C47="Diesel bus",$D47="Average"),$E47*'LU '!I$20,AND($C47="Diesel bus",$D47="Nearly full"),$E47*'LU '!I$21,AND($C47="Hybrid-electric bus",$D47="Almost empty"),$E47*'LU '!I$11,AND($C47="Hybrid-electric bus",$D47="Average"),$E47*'LU '!I$12,AND($C47="Hybrid-electric bus",$D47="Nearly full"),$E47*'LU '!I$13,AND($C47="Alternative fuel bus",$D47="Almost empty"),$E47*'LU '!I$15,AND($C47="Alternative fuel bus",$D47="Average"),$E47*'LU '!I$16,AND($C47="Alternative fuel bus",$D47="Nearly full"),$E47*'LU '!I$17,AND($C47="Metro, tram, urban light train",$D47="Almost empty"),$E47*'LU '!D$35,AND($C47="Metro, tram, urban light train",$D47="Average"),$E47*'LU '!D$36,AND($C47="Metro, tram, urban light train",$D47="Nearly full"),$E47*'LU '!D$37,AND($C47="Electric passenger train",$D47="Almost empty"),$E47*'LU '!D$39,AND($C47="Electric passenger train",$D47="Average"),$E47*'LU '!D$40,AND($C47="Electric passenger train",$D47="Nearly full"),$E47*'LU '!D$41,AND($C47="Diesel passenger train",$D47="Almost empty"),$E47*'LU '!D$47,AND($C47="Diesel passenger train",$D47="Average"),$E47*'LU '!D$48,AND($C47="Diesel passenger train",$D47="Nearly full"),$E47*'LU '!D$49,AND($C47="Walking"),$E47*0,AND($C47="Bike"),$E47*0,AND($C47="Plane - domestic flight"),$E47*'LU '!$C71,AND($C47="Plane - international - intra EU"),$E47*'LU '!$C73,AND($C47="Plane - international (extra EU)"),$E47*'LU '!$C75)</f>
        <v>#N/A</v>
      </c>
      <c r="L47" s="238" t="s">
        <v>56</v>
      </c>
      <c r="M47" s="239"/>
      <c r="N47" s="240"/>
    </row>
    <row r="48" spans="1:14" ht="16" thickBot="1" x14ac:dyDescent="0.25">
      <c r="A48" s="222"/>
      <c r="B48" s="30"/>
      <c r="C48" s="15"/>
      <c r="D48" s="15"/>
      <c r="E48" s="125"/>
      <c r="F48" s="128" t="e" cm="1">
        <f t="array" ref="F48">_xlfn.IFS(AND($C48="Fuel car",$D48=1),$E48*'LU '!C$7,AND($C48="Fuel car",$D48=2),$E48*'LU '!C$8,AND($C48="Fuel car",$D48=3),$E48*'LU '!C$9,AND($C48="Fuel car",$D48=4),$E48*'LU '!C$10,AND($C48="Fuel car",$D48=5),$E48*'LU '!C$11,AND($C48="Motorcycle",$D48=1),$E48*'LU '!C$13,AND($C48="Motorcycle",$D48=2),$E48*'LU '!C$14,AND($C48="Electric car",$D48=1),$E48*'LU '!C$16,AND($C48="Electric car",$D48=2),$E48*'LU '!C$17,AND($C48="Electric car",$D48=3),$E48*'LU '!C$18,AND($C48="Electric car",$D48=4),$E48*'LU '!C$19,AND($C48="Electric car",$D48=5),$E48*'LU '!C$20,AND($C48="Hybrid car",$D48=1),$E48*'LU '!C$22,AND($C48="Hybrid car",$D48=2),$E48*'LU '!C$23,AND($C48="Hybrid car",$D48=3),$E48*'LU '!C$24,AND($C48="Hybrid car",$D48=4),$E48*'LU '!C$25,AND($C48="Hybrid car",$D48=5),$E48*'LU '!C$26,AND($C48="Electric motorcycle",$D48=1),$E48*'LU '!C$28,AND($C48="Electric motorcycle",$D48=2),$E48*'LU '!C$29,AND($C48="Electric bike",$D48=1),$E48*'LU '!C$31,AND($C48="Electric scooter",$D48=1),$E48*'LU '!C$33,AND($C48="Bus",$D48="Almost empty"),$E48*'LU '!H$23,AND($C48="Bus",$D48="Average"),$E48*'LU '!H$24,AND($C48="Bus",$D48="Nearly full"),$E48*'LU '!H$25,AND($C48="Electric bus",$D48="Almost empty"),$E48*'LU '!H$7,AND($C48="Electric bus",$D48="Average"),$E48*'LU '!H$8,AND($C48="Electric bus",$D48="Nearly full"),$E48*'LU '!H$9,AND($C48="Diesel bus",$D48="Almost empty"),$E48*'LU '!H$19,AND($C48="Diesel bus",$D48="Average"),$E48*'LU '!H$20,AND($C48="Diesel bus",$D48="Nearly full"),$E48*'LU '!H$21,AND($C48="Hybrid-electric bus",$D48="Almost empty"),$E48*'LU '!H$11,AND($C48="Hybrid-electric bus",$D48="Average"),$E48*'LU '!H$12,AND($C48="Hybrid-electric bus",$D48="Nearly full"),$E48*'LU '!H$13,AND($C48="Alternative fuel bus",$D48="Almost empty"),$E48*'LU '!H$15,AND($C48="Alternative fuel bus",$D48="Average"),$E48*'LU '!H$16,AND($C48="Alternative fuel bus",$D48="Nearly full"),$E48*'LU '!H$17,AND($C48="Metro, tram, urban light train",$D48="Almost empty"),$E48*'LU '!C$35,AND($C48="Metro, tram, urban light train",$D48="Average"),$E48*'LU '!C$36,AND($C48="Metro, tram, urban light train",$D48="Nearly full"),$E48*'LU '!C$37,AND($C48="Electric passenger train",$D48="Almost empty"),$E48*'LU '!C$39,AND($C48="Electric passenger train",$D48="Average"),$E48*'LU '!C$40,AND($C48="Electric passenger train",$D48="Nearly full"),$E48*'LU '!C$41,AND($C48="Diesel passenger train",$D48="Almost empty"),$E48*'LU '!C$47,AND($C48="Diesel passenger train",$D48="Average"),$E48*'LU '!C$48,AND($C48="Diesel passenger train",$D48="Nearly full"),$E48*'LU '!C$49,AND($C48="Walking"),$E48*0,AND($C48="Bike"),$E48*0,AND($C48="Plane - domestic flight"),$E48*'LU '!$C72,AND($C48="Plane - international - intra EU"),$E48*'LU '!$C74,AND($C48="Plane - international (extra EU)"),$E48*'LU '!$C76)</f>
        <v>#N/A</v>
      </c>
      <c r="G48" s="31" t="e" cm="1">
        <f t="array" ref="G48">_xlfn.IFS(AND($C48="Fuel car",$D48=1),$E48*'LU '!D$7,AND($C48="Fuel car",$D48=2),$E48*'LU '!D$8,AND($C48="Fuel car",$D48=3),$E48*'LU '!D$9,AND($C48="Fuel car",$D48=4),$E48*'LU '!D$10,AND($C48="Fuel car",$D48=5),$E48*'LU '!D$11,AND($C48="Motorcycle",$D48=1),$E48*'LU '!D$13,AND($C48="Motorcycle",$D48=2),$E48*'LU '!D$14,AND($C48="Electric car",$D48=1),$E48*'LU '!D$16,AND($C48="Electric car",$D48=2),$E48*'LU '!D$17,AND($C48="Electric car",$D48=3),$E48*'LU '!D$18,AND($C48="Electric car",$D48=4),$E48*'LU '!D$19,AND($C48="Electric car",$D48=5),$E48*'LU '!D$20,AND($C48="Hybrid car",$D48=1),$E48*'LU '!D$22,AND($C48="Hybrid car",$D48=2),$E48*'LU '!D$23,AND($C48="Hybrid car",$D48=3),$E48*'LU '!D$24,AND($C48="Hybrid car",$D48=4),$E48*'LU '!D$25,AND($C48="Hybrid car",$D48=5),$E48*'LU '!D$26,AND($C48="Electric motorcycle",$D48=1),$E48*'LU '!D$28,AND($C48="Electric motorcycle",$D48=2),$E48*'LU '!D$29,AND($C48="Electric bike",$D48=1),$E48*'LU '!D$31,AND($C48="Electric scooter",$D48=1),$E48*'LU '!D$33,AND($C48="Bus",$D48="Almost empty"),$E48*'LU '!I$23,AND($C48="Bus",$D48="Average"),$E48*'LU '!I$24,AND($C48="Bus",$D48="Nearly full"),$E48*'LU '!I$25,AND($C48="Electric bus",$D48="Almost empty"),$E48*'LU '!I$7,AND($C48="Electric bus",$D48="Average"),$E48*'LU '!I$8,AND($C48="Electric bus",$D48="Nearly full"),$E48*'LU '!I$9,AND($C48="Diesel bus",$D48="Almost empty"),$E48*'LU '!I$19,AND($C48="Diesel bus",$D48="Average"),$E48*'LU '!I$20,AND($C48="Diesel bus",$D48="Nearly full"),$E48*'LU '!I$21,AND($C48="Hybrid-electric bus",$D48="Almost empty"),$E48*'LU '!I$11,AND($C48="Hybrid-electric bus",$D48="Average"),$E48*'LU '!I$12,AND($C48="Hybrid-electric bus",$D48="Nearly full"),$E48*'LU '!I$13,AND($C48="Alternative fuel bus",$D48="Almost empty"),$E48*'LU '!I$15,AND($C48="Alternative fuel bus",$D48="Average"),$E48*'LU '!I$16,AND($C48="Alternative fuel bus",$D48="Nearly full"),$E48*'LU '!I$17,AND($C48="Metro, tram, urban light train",$D48="Almost empty"),$E48*'LU '!D$35,AND($C48="Metro, tram, urban light train",$D48="Average"),$E48*'LU '!D$36,AND($C48="Metro, tram, urban light train",$D48="Nearly full"),$E48*'LU '!D$37,AND($C48="Electric passenger train",$D48="Almost empty"),$E48*'LU '!D$39,AND($C48="Electric passenger train",$D48="Average"),$E48*'LU '!D$40,AND($C48="Electric passenger train",$D48="Nearly full"),$E48*'LU '!D$41,AND($C48="Diesel passenger train",$D48="Almost empty"),$E48*'LU '!D$47,AND($C48="Diesel passenger train",$D48="Average"),$E48*'LU '!D$48,AND($C48="Diesel passenger train",$D48="Nearly full"),$E48*'LU '!D$49,AND($C48="Walking"),$E48*0,AND($C48="Bike"),$E48*0,AND($C48="Plane - domestic flight"),$E48*'LU '!$C72,AND($C48="Plane - international - intra EU"),$E48*'LU '!$C74,AND($C48="Plane - international (extra EU)"),$E48*'LU '!$C76)</f>
        <v>#N/A</v>
      </c>
      <c r="H48" s="196" t="s">
        <v>67</v>
      </c>
      <c r="I48" s="197"/>
      <c r="L48" s="249"/>
      <c r="M48" s="250"/>
      <c r="N48" s="251"/>
    </row>
    <row r="49" spans="1:14" x14ac:dyDescent="0.2">
      <c r="A49" s="222"/>
      <c r="B49" s="30"/>
      <c r="C49" s="15"/>
      <c r="D49" s="15"/>
      <c r="E49" s="125"/>
      <c r="F49" s="128" t="e" cm="1">
        <f t="array" ref="F49">_xlfn.IFS(AND($C49="Fuel car",$D49=1),$E49*'LU '!C$7,AND($C49="Fuel car",$D49=2),$E49*'LU '!C$8,AND($C49="Fuel car",$D49=3),$E49*'LU '!C$9,AND($C49="Fuel car",$D49=4),$E49*'LU '!C$10,AND($C49="Fuel car",$D49=5),$E49*'LU '!C$11,AND($C49="Motorcycle",$D49=1),$E49*'LU '!C$13,AND($C49="Motorcycle",$D49=2),$E49*'LU '!C$14,AND($C49="Electric car",$D49=1),$E49*'LU '!C$16,AND($C49="Electric car",$D49=2),$E49*'LU '!C$17,AND($C49="Electric car",$D49=3),$E49*'LU '!C$18,AND($C49="Electric car",$D49=4),$E49*'LU '!C$19,AND($C49="Electric car",$D49=5),$E49*'LU '!C$20,AND($C49="Hybrid car",$D49=1),$E49*'LU '!C$22,AND($C49="Hybrid car",$D49=2),$E49*'LU '!C$23,AND($C49="Hybrid car",$D49=3),$E49*'LU '!C$24,AND($C49="Hybrid car",$D49=4),$E49*'LU '!C$25,AND($C49="Hybrid car",$D49=5),$E49*'LU '!C$26,AND($C49="Electric motorcycle",$D49=1),$E49*'LU '!C$28,AND($C49="Electric motorcycle",$D49=2),$E49*'LU '!C$29,AND($C49="Electric bike",$D49=1),$E49*'LU '!C$31,AND($C49="Electric scooter",$D49=1),$E49*'LU '!C$33,AND($C49="Bus",$D49="Almost empty"),$E49*'LU '!H$23,AND($C49="Bus",$D49="Average"),$E49*'LU '!H$24,AND($C49="Bus",$D49="Nearly full"),$E49*'LU '!H$25,AND($C49="Electric bus",$D49="Almost empty"),$E49*'LU '!H$7,AND($C49="Electric bus",$D49="Average"),$E49*'LU '!H$8,AND($C49="Electric bus",$D49="Nearly full"),$E49*'LU '!H$9,AND($C49="Diesel bus",$D49="Almost empty"),$E49*'LU '!H$19,AND($C49="Diesel bus",$D49="Average"),$E49*'LU '!H$20,AND($C49="Diesel bus",$D49="Nearly full"),$E49*'LU '!H$21,AND($C49="Hybrid-electric bus",$D49="Almost empty"),$E49*'LU '!H$11,AND($C49="Hybrid-electric bus",$D49="Average"),$E49*'LU '!H$12,AND($C49="Hybrid-electric bus",$D49="Nearly full"),$E49*'LU '!H$13,AND($C49="Alternative fuel bus",$D49="Almost empty"),$E49*'LU '!H$15,AND($C49="Alternative fuel bus",$D49="Average"),$E49*'LU '!H$16,AND($C49="Alternative fuel bus",$D49="Nearly full"),$E49*'LU '!H$17,AND($C49="Metro, tram, urban light train",$D49="Almost empty"),$E49*'LU '!C$35,AND($C49="Metro, tram, urban light train",$D49="Average"),$E49*'LU '!C$36,AND($C49="Metro, tram, urban light train",$D49="Nearly full"),$E49*'LU '!C$37,AND($C49="Electric passenger train",$D49="Almost empty"),$E49*'LU '!C$39,AND($C49="Electric passenger train",$D49="Average"),$E49*'LU '!C$40,AND($C49="Electric passenger train",$D49="Nearly full"),$E49*'LU '!C$41,AND($C49="Diesel passenger train",$D49="Almost empty"),$E49*'LU '!C$47,AND($C49="Diesel passenger train",$D49="Average"),$E49*'LU '!C$48,AND($C49="Diesel passenger train",$D49="Nearly full"),$E49*'LU '!C$49,AND($C49="Walking"),$E49*0,AND($C49="Bike"),$E49*0,AND($C49="Plane - domestic flight"),$E49*'LU '!$C73,AND($C49="Plane - international - intra EU"),$E49*'LU '!$C75,AND($C49="Plane - international (extra EU)"),$E49*'LU '!$C77)</f>
        <v>#N/A</v>
      </c>
      <c r="G49" s="31" t="e" cm="1">
        <f t="array" ref="G49">_xlfn.IFS(AND($C49="Fuel car",$D49=1),$E49*'LU '!D$7,AND($C49="Fuel car",$D49=2),$E49*'LU '!D$8,AND($C49="Fuel car",$D49=3),$E49*'LU '!D$9,AND($C49="Fuel car",$D49=4),$E49*'LU '!D$10,AND($C49="Fuel car",$D49=5),$E49*'LU '!D$11,AND($C49="Motorcycle",$D49=1),$E49*'LU '!D$13,AND($C49="Motorcycle",$D49=2),$E49*'LU '!D$14,AND($C49="Electric car",$D49=1),$E49*'LU '!D$16,AND($C49="Electric car",$D49=2),$E49*'LU '!D$17,AND($C49="Electric car",$D49=3),$E49*'LU '!D$18,AND($C49="Electric car",$D49=4),$E49*'LU '!D$19,AND($C49="Electric car",$D49=5),$E49*'LU '!D$20,AND($C49="Hybrid car",$D49=1),$E49*'LU '!D$22,AND($C49="Hybrid car",$D49=2),$E49*'LU '!D$23,AND($C49="Hybrid car",$D49=3),$E49*'LU '!D$24,AND($C49="Hybrid car",$D49=4),$E49*'LU '!D$25,AND($C49="Hybrid car",$D49=5),$E49*'LU '!D$26,AND($C49="Electric motorcycle",$D49=1),$E49*'LU '!D$28,AND($C49="Electric motorcycle",$D49=2),$E49*'LU '!D$29,AND($C49="Electric bike",$D49=1),$E49*'LU '!D$31,AND($C49="Electric scooter",$D49=1),$E49*'LU '!D$33,AND($C49="Bus",$D49="Almost empty"),$E49*'LU '!I$23,AND($C49="Bus",$D49="Average"),$E49*'LU '!I$24,AND($C49="Bus",$D49="Nearly full"),$E49*'LU '!I$25,AND($C49="Electric bus",$D49="Almost empty"),$E49*'LU '!I$7,AND($C49="Electric bus",$D49="Average"),$E49*'LU '!I$8,AND($C49="Electric bus",$D49="Nearly full"),$E49*'LU '!I$9,AND($C49="Diesel bus",$D49="Almost empty"),$E49*'LU '!I$19,AND($C49="Diesel bus",$D49="Average"),$E49*'LU '!I$20,AND($C49="Diesel bus",$D49="Nearly full"),$E49*'LU '!I$21,AND($C49="Hybrid-electric bus",$D49="Almost empty"),$E49*'LU '!I$11,AND($C49="Hybrid-electric bus",$D49="Average"),$E49*'LU '!I$12,AND($C49="Hybrid-electric bus",$D49="Nearly full"),$E49*'LU '!I$13,AND($C49="Alternative fuel bus",$D49="Almost empty"),$E49*'LU '!I$15,AND($C49="Alternative fuel bus",$D49="Average"),$E49*'LU '!I$16,AND($C49="Alternative fuel bus",$D49="Nearly full"),$E49*'LU '!I$17,AND($C49="Metro, tram, urban light train",$D49="Almost empty"),$E49*'LU '!D$35,AND($C49="Metro, tram, urban light train",$D49="Average"),$E49*'LU '!D$36,AND($C49="Metro, tram, urban light train",$D49="Nearly full"),$E49*'LU '!D$37,AND($C49="Electric passenger train",$D49="Almost empty"),$E49*'LU '!D$39,AND($C49="Electric passenger train",$D49="Average"),$E49*'LU '!D$40,AND($C49="Electric passenger train",$D49="Nearly full"),$E49*'LU '!D$41,AND($C49="Diesel passenger train",$D49="Almost empty"),$E49*'LU '!D$47,AND($C49="Diesel passenger train",$D49="Average"),$E49*'LU '!D$48,AND($C49="Diesel passenger train",$D49="Nearly full"),$E49*'LU '!D$49,AND($C49="Walking"),$E49*0,AND($C49="Bike"),$E49*0,AND($C49="Plane - domestic flight"),$E49*'LU '!$C73,AND($C49="Plane - international - intra EU"),$E49*'LU '!$C75,AND($C49="Plane - international (extra EU)"),$E49*'LU '!$C77)</f>
        <v>#N/A</v>
      </c>
      <c r="H49" s="244" t="s">
        <v>74</v>
      </c>
      <c r="I49" s="141"/>
      <c r="L49" s="252"/>
      <c r="M49" s="253"/>
      <c r="N49" s="254"/>
    </row>
    <row r="50" spans="1:14" ht="16" thickBot="1" x14ac:dyDescent="0.25">
      <c r="A50" s="222"/>
      <c r="B50" s="51"/>
      <c r="C50" s="15"/>
      <c r="D50" s="15"/>
      <c r="E50" s="126"/>
      <c r="F50" s="128" t="e" cm="1">
        <f t="array" ref="F50">_xlfn.IFS(AND($C50="Fuel car",$D50=1),$E50*'LU '!C$7,AND($C50="Fuel car",$D50=2),$E50*'LU '!C$8,AND($C50="Fuel car",$D50=3),$E50*'LU '!C$9,AND($C50="Fuel car",$D50=4),$E50*'LU '!C$10,AND($C50="Fuel car",$D50=5),$E50*'LU '!C$11,AND($C50="Motorcycle",$D50=1),$E50*'LU '!C$13,AND($C50="Motorcycle",$D50=2),$E50*'LU '!C$14,AND($C50="Electric car",$D50=1),$E50*'LU '!C$16,AND($C50="Electric car",$D50=2),$E50*'LU '!C$17,AND($C50="Electric car",$D50=3),$E50*'LU '!C$18,AND($C50="Electric car",$D50=4),$E50*'LU '!C$19,AND($C50="Electric car",$D50=5),$E50*'LU '!C$20,AND($C50="Hybrid car",$D50=1),$E50*'LU '!C$22,AND($C50="Hybrid car",$D50=2),$E50*'LU '!C$23,AND($C50="Hybrid car",$D50=3),$E50*'LU '!C$24,AND($C50="Hybrid car",$D50=4),$E50*'LU '!C$25,AND($C50="Hybrid car",$D50=5),$E50*'LU '!C$26,AND($C50="Electric motorcycle",$D50=1),$E50*'LU '!C$28,AND($C50="Electric motorcycle",$D50=2),$E50*'LU '!C$29,AND($C50="Electric bike",$D50=1),$E50*'LU '!C$31,AND($C50="Electric scooter",$D50=1),$E50*'LU '!C$33,AND($C50="Bus",$D50="Almost empty"),$E50*'LU '!H$23,AND($C50="Bus",$D50="Average"),$E50*'LU '!H$24,AND($C50="Bus",$D50="Nearly full"),$E50*'LU '!H$25,AND($C50="Electric bus",$D50="Almost empty"),$E50*'LU '!H$7,AND($C50="Electric bus",$D50="Average"),$E50*'LU '!H$8,AND($C50="Electric bus",$D50="Nearly full"),$E50*'LU '!H$9,AND($C50="Diesel bus",$D50="Almost empty"),$E50*'LU '!H$19,AND($C50="Diesel bus",$D50="Average"),$E50*'LU '!H$20,AND($C50="Diesel bus",$D50="Nearly full"),$E50*'LU '!H$21,AND($C50="Hybrid-electric bus",$D50="Almost empty"),$E50*'LU '!H$11,AND($C50="Hybrid-electric bus",$D50="Average"),$E50*'LU '!H$12,AND($C50="Hybrid-electric bus",$D50="Nearly full"),$E50*'LU '!H$13,AND($C50="Alternative fuel bus",$D50="Almost empty"),$E50*'LU '!H$15,AND($C50="Alternative fuel bus",$D50="Average"),$E50*'LU '!H$16,AND($C50="Alternative fuel bus",$D50="Nearly full"),$E50*'LU '!H$17,AND($C50="Metro, tram, urban light train",$D50="Almost empty"),$E50*'LU '!C$35,AND($C50="Metro, tram, urban light train",$D50="Average"),$E50*'LU '!C$36,AND($C50="Metro, tram, urban light train",$D50="Nearly full"),$E50*'LU '!C$37,AND($C50="Electric passenger train",$D50="Almost empty"),$E50*'LU '!C$39,AND($C50="Electric passenger train",$D50="Average"),$E50*'LU '!C$40,AND($C50="Electric passenger train",$D50="Nearly full"),$E50*'LU '!C$41,AND($C50="Diesel passenger train",$D50="Almost empty"),$E50*'LU '!C$47,AND($C50="Diesel passenger train",$D50="Average"),$E50*'LU '!C$48,AND($C50="Diesel passenger train",$D50="Nearly full"),$E50*'LU '!C$49,AND($C50="Walking"),$E50*0,AND($C50="Bike"),$E50*0,AND($C50="Plane - domestic flight"),$E50*'LU '!$C74,AND($C50="Plane - international - intra EU"),$E50*'LU '!$C76,AND($C50="Plane - international (extra EU)"),$E50*'LU '!$C78)</f>
        <v>#N/A</v>
      </c>
      <c r="G50" s="31" t="e" cm="1">
        <f t="array" ref="G50">_xlfn.IFS(AND($C50="Fuel car",$D50=1),$E50*'LU '!D$7,AND($C50="Fuel car",$D50=2),$E50*'LU '!D$8,AND($C50="Fuel car",$D50=3),$E50*'LU '!D$9,AND($C50="Fuel car",$D50=4),$E50*'LU '!D$10,AND($C50="Fuel car",$D50=5),$E50*'LU '!D$11,AND($C50="Motorcycle",$D50=1),$E50*'LU '!D$13,AND($C50="Motorcycle",$D50=2),$E50*'LU '!D$14,AND($C50="Electric car",$D50=1),$E50*'LU '!D$16,AND($C50="Electric car",$D50=2),$E50*'LU '!D$17,AND($C50="Electric car",$D50=3),$E50*'LU '!D$18,AND($C50="Electric car",$D50=4),$E50*'LU '!D$19,AND($C50="Electric car",$D50=5),$E50*'LU '!D$20,AND($C50="Hybrid car",$D50=1),$E50*'LU '!D$22,AND($C50="Hybrid car",$D50=2),$E50*'LU '!D$23,AND($C50="Hybrid car",$D50=3),$E50*'LU '!D$24,AND($C50="Hybrid car",$D50=4),$E50*'LU '!D$25,AND($C50="Hybrid car",$D50=5),$E50*'LU '!D$26,AND($C50="Electric motorcycle",$D50=1),$E50*'LU '!D$28,AND($C50="Electric motorcycle",$D50=2),$E50*'LU '!D$29,AND($C50="Electric bike",$D50=1),$E50*'LU '!D$31,AND($C50="Electric scooter",$D50=1),$E50*'LU '!D$33,AND($C50="Bus",$D50="Almost empty"),$E50*'LU '!I$23,AND($C50="Bus",$D50="Average"),$E50*'LU '!I$24,AND($C50="Bus",$D50="Nearly full"),$E50*'LU '!I$25,AND($C50="Electric bus",$D50="Almost empty"),$E50*'LU '!I$7,AND($C50="Electric bus",$D50="Average"),$E50*'LU '!I$8,AND($C50="Electric bus",$D50="Nearly full"),$E50*'LU '!I$9,AND($C50="Diesel bus",$D50="Almost empty"),$E50*'LU '!I$19,AND($C50="Diesel bus",$D50="Average"),$E50*'LU '!I$20,AND($C50="Diesel bus",$D50="Nearly full"),$E50*'LU '!I$21,AND($C50="Hybrid-electric bus",$D50="Almost empty"),$E50*'LU '!I$11,AND($C50="Hybrid-electric bus",$D50="Average"),$E50*'LU '!I$12,AND($C50="Hybrid-electric bus",$D50="Nearly full"),$E50*'LU '!I$13,AND($C50="Alternative fuel bus",$D50="Almost empty"),$E50*'LU '!I$15,AND($C50="Alternative fuel bus",$D50="Average"),$E50*'LU '!I$16,AND($C50="Alternative fuel bus",$D50="Nearly full"),$E50*'LU '!I$17,AND($C50="Metro, tram, urban light train",$D50="Almost empty"),$E50*'LU '!D$35,AND($C50="Metro, tram, urban light train",$D50="Average"),$E50*'LU '!D$36,AND($C50="Metro, tram, urban light train",$D50="Nearly full"),$E50*'LU '!D$37,AND($C50="Electric passenger train",$D50="Almost empty"),$E50*'LU '!D$39,AND($C50="Electric passenger train",$D50="Average"),$E50*'LU '!D$40,AND($C50="Electric passenger train",$D50="Nearly full"),$E50*'LU '!D$41,AND($C50="Diesel passenger train",$D50="Almost empty"),$E50*'LU '!D$47,AND($C50="Diesel passenger train",$D50="Average"),$E50*'LU '!D$48,AND($C50="Diesel passenger train",$D50="Nearly full"),$E50*'LU '!D$49,AND($C50="Walking"),$E50*0,AND($C50="Bike"),$E50*0,AND($C50="Plane - domestic flight"),$E50*'LU '!$C74,AND($C50="Plane - international - intra EU"),$E50*'LU '!$C76,AND($C50="Plane - international (extra EU)"),$E50*'LU '!$C78)</f>
        <v>#N/A</v>
      </c>
      <c r="H50" s="245"/>
      <c r="I50" s="142"/>
      <c r="L50" s="252"/>
      <c r="M50" s="253"/>
      <c r="N50" s="254"/>
    </row>
    <row r="51" spans="1:14" ht="33" thickBot="1" x14ac:dyDescent="0.25">
      <c r="A51" s="222"/>
      <c r="B51" s="53"/>
      <c r="C51" s="32"/>
      <c r="D51" s="34"/>
      <c r="E51" s="113"/>
      <c r="F51" s="129" t="e" cm="1">
        <f t="array" ref="F51">_xlfn.IFS(AND($C51="Fuel car",$D51=1),$E51*'LU '!C$7,AND($C51="Fuel car",$D51=2),$E51*'LU '!C$8,AND($C51="Fuel car",$D51=3),$E51*'LU '!C$9,AND($C51="Fuel car",$D51=4),$E51*'LU '!C$10,AND($C51="Fuel car",$D51=5),$E51*'LU '!C$11,AND($C51="Motorcycle",$D51=1),$E51*'LU '!C$13,AND($C51="Motorcycle",$D51=2),$E51*'LU '!C$14,AND($C51="Electric car",$D51=1),$E51*'LU '!C$16,AND($C51="Electric car",$D51=2),$E51*'LU '!C$17,AND($C51="Electric car",$D51=3),$E51*'LU '!C$18,AND($C51="Electric car",$D51=4),$E51*'LU '!C$19,AND($C51="Electric car",$D51=5),$E51*'LU '!C$20,AND($C51="Hybrid car",$D51=1),$E51*'LU '!C$22,AND($C51="Hybrid car",$D51=2),$E51*'LU '!C$23,AND($C51="Hybrid car",$D51=3),$E51*'LU '!C$24,AND($C51="Hybrid car",$D51=4),$E51*'LU '!C$25,AND($C51="Hybrid car",$D51=5),$E51*'LU '!C$26,AND($C51="Electric motorcycle",$D51=1),$E51*'LU '!C$28,AND($C51="Electric motorcycle",$D51=2),$E51*'LU '!C$29,AND($C51="Electric bike",$D51=1),$E51*'LU '!C$31,AND($C51="Electric scooter",$D51=1),$E51*'LU '!C$33,AND($C51="Bus",$D51="Almost empty"),$E51*'LU '!H$23,AND($C51="Bus",$D51="Average"),$E51*'LU '!H$24,AND($C51="Bus",$D51="Nearly full"),$E51*'LU '!H$25,AND($C51="Electric bus",$D51="Almost empty"),$E51*'LU '!H$7,AND($C51="Electric bus",$D51="Average"),$E51*'LU '!H$8,AND($C51="Electric bus",$D51="Nearly full"),$E51*'LU '!H$9,AND($C51="Diesel bus",$D51="Almost empty"),$E51*'LU '!H$19,AND($C51="Diesel bus",$D51="Average"),$E51*'LU '!H$20,AND($C51="Diesel bus",$D51="Nearly full"),$E51*'LU '!H$21,AND($C51="Hybrid-electric bus",$D51="Almost empty"),$E51*'LU '!H$11,AND($C51="Hybrid-electric bus",$D51="Average"),$E51*'LU '!H$12,AND($C51="Hybrid-electric bus",$D51="Nearly full"),$E51*'LU '!H$13,AND($C51="Alternative fuel bus",$D51="Almost empty"),$E51*'LU '!H$15,AND($C51="Alternative fuel bus",$D51="Average"),$E51*'LU '!H$16,AND($C51="Alternative fuel bus",$D51="Nearly full"),$E51*'LU '!H$17,AND($C51="Metro, tram, urban light train",$D51="Almost empty"),$E51*'LU '!C$35,AND($C51="Metro, tram, urban light train",$D51="Average"),$E51*'LU '!C$36,AND($C51="Metro, tram, urban light train",$D51="Nearly full"),$E51*'LU '!C$37,AND($C51="Electric passenger train",$D51="Almost empty"),$E51*'LU '!C$39,AND($C51="Electric passenger train",$D51="Average"),$E51*'LU '!C$40,AND($C51="Electric passenger train",$D51="Nearly full"),$E51*'LU '!C$41,AND($C51="Diesel passenger train",$D51="Almost empty"),$E51*'LU '!C$47,AND($C51="Diesel passenger train",$D51="Average"),$E51*'LU '!C$48,AND($C51="Diesel passenger train",$D51="Nearly full"),$E51*'LU '!C$49,AND($C51="Walking"),$E51*0,AND($C51="Bike"),$E51*0,AND($C51="Plane - domestic flight"),$E51*'LU '!$C75,AND($C51="Plane - international - intra EU"),$E51*'LU '!$C77,AND($C51="Plane - international (extra EU)"),$E51*'LU '!$C79)</f>
        <v>#N/A</v>
      </c>
      <c r="G51" s="35" t="e" cm="1">
        <f t="array" ref="G51">_xlfn.IFS(AND($C51="Fuel car",$D51=1),$E51*'LU '!D$7,AND($C51="Fuel car",$D51=2),$E51*'LU '!D$8,AND($C51="Fuel car",$D51=3),$E51*'LU '!D$9,AND($C51="Fuel car",$D51=4),$E51*'LU '!D$10,AND($C51="Fuel car",$D51=5),$E51*'LU '!D$11,AND($C51="Motorcycle",$D51=1),$E51*'LU '!D$13,AND($C51="Motorcycle",$D51=2),$E51*'LU '!D$14,AND($C51="Electric car",$D51=1),$E51*'LU '!D$16,AND($C51="Electric car",$D51=2),$E51*'LU '!D$17,AND($C51="Electric car",$D51=3),$E51*'LU '!D$18,AND($C51="Electric car",$D51=4),$E51*'LU '!D$19,AND($C51="Electric car",$D51=5),$E51*'LU '!D$20,AND($C51="Hybrid car",$D51=1),$E51*'LU '!D$22,AND($C51="Hybrid car",$D51=2),$E51*'LU '!D$23,AND($C51="Hybrid car",$D51=3),$E51*'LU '!D$24,AND($C51="Hybrid car",$D51=4),$E51*'LU '!D$25,AND($C51="Hybrid car",$D51=5),$E51*'LU '!D$26,AND($C51="Electric motorcycle",$D51=1),$E51*'LU '!D$28,AND($C51="Electric motorcycle",$D51=2),$E51*'LU '!D$29,AND($C51="Electric bike",$D51=1),$E51*'LU '!D$31,AND($C51="Electric scooter",$D51=1),$E51*'LU '!D$33,AND($C51="Bus",$D51="Almost empty"),$E51*'LU '!I$23,AND($C51="Bus",$D51="Average"),$E51*'LU '!I$24,AND($C51="Bus",$D51="Nearly full"),$E51*'LU '!I$25,AND($C51="Electric bus",$D51="Almost empty"),$E51*'LU '!I$7,AND($C51="Electric bus",$D51="Average"),$E51*'LU '!I$8,AND($C51="Electric bus",$D51="Nearly full"),$E51*'LU '!I$9,AND($C51="Diesel bus",$D51="Almost empty"),$E51*'LU '!I$19,AND($C51="Diesel bus",$D51="Average"),$E51*'LU '!I$20,AND($C51="Diesel bus",$D51="Nearly full"),$E51*'LU '!I$21,AND($C51="Hybrid-electric bus",$D51="Almost empty"),$E51*'LU '!I$11,AND($C51="Hybrid-electric bus",$D51="Average"),$E51*'LU '!I$12,AND($C51="Hybrid-electric bus",$D51="Nearly full"),$E51*'LU '!I$13,AND($C51="Alternative fuel bus",$D51="Almost empty"),$E51*'LU '!I$15,AND($C51="Alternative fuel bus",$D51="Average"),$E51*'LU '!I$16,AND($C51="Alternative fuel bus",$D51="Nearly full"),$E51*'LU '!I$17,AND($C51="Metro, tram, urban light train",$D51="Almost empty"),$E51*'LU '!D$35,AND($C51="Metro, tram, urban light train",$D51="Average"),$E51*'LU '!D$36,AND($C51="Metro, tram, urban light train",$D51="Nearly full"),$E51*'LU '!D$37,AND($C51="Electric passenger train",$D51="Almost empty"),$E51*'LU '!D$39,AND($C51="Electric passenger train",$D51="Average"),$E51*'LU '!D$40,AND($C51="Electric passenger train",$D51="Nearly full"),$E51*'LU '!D$41,AND($C51="Diesel passenger train",$D51="Almost empty"),$E51*'LU '!D$47,AND($C51="Diesel passenger train",$D51="Average"),$E51*'LU '!D$48,AND($C51="Diesel passenger train",$D51="Nearly full"),$E51*'LU '!D$49,AND($C51="Walking"),$E51*0,AND($C51="Bike"),$E51*0,AND($C51="Plane - domestic flight"),$E51*'LU '!$C75,AND($C51="Plane - international - intra EU"),$E51*'LU '!$C77,AND($C51="Plane - international (extra EU)"),$E51*'LU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_xlfn.IFS(AND(D57&lt;='LU '!L4),"A+",AND(D57&lt;='LU '!M4,D57&gt;'LU '!L4),"A",AND(D57&lt;='LU '!N4,D57&gt;'LU '!M4),"B",AND(D57&lt;='LU '!O4,D57&gt;'LU '!N4),"C",AND(D57&lt;='LU '!P4,D57&gt;'LU '!O4),"D",AND(D57&lt;='LU '!Q4,D57&gt;'LU '!P4),"E",AND(D57&lt;='LU '!R4,D57&gt;'LU '!Q4),"F",AND(D57&gt;'LU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_xlfn.IFS(D58="#","#",AND(D58&lt;='LU '!L5),"A+",AND(D58&lt;='LU '!M5,D58&gt;'LU '!L5),"A",AND(D58&lt;='LU '!N5,D58&gt;'LU '!M5),"B",AND(D58&lt;='LU '!O5,D58&gt;'LU '!N5),"C",AND(D58&lt;='LU '!P5,D58&gt;'LU '!O5),"D",AND(D58&lt;='LU '!Q5,D58&gt;'LU '!P5),"E",AND(D58&lt;='LU '!R5,D58&gt;'LU '!Q5),"F",AND(D58&gt;'LU '!R5),"G")</f>
        <v>#</v>
      </c>
    </row>
    <row r="59" spans="1:14" ht="32" x14ac:dyDescent="0.2">
      <c r="A59" s="262"/>
      <c r="B59" s="264"/>
      <c r="C59" s="21" t="s">
        <v>88</v>
      </c>
      <c r="D59" s="47" t="e">
        <f>IF(ISNUMBER(D58), D57 + D58, D57)</f>
        <v>#DIV/0!</v>
      </c>
      <c r="E59" s="277"/>
      <c r="G59" s="264"/>
      <c r="H59" t="s">
        <v>88</v>
      </c>
      <c r="I59" s="56" t="e" cm="1">
        <f t="array" ref="I59">_xlfn.IFS(AND(D59&lt;='LU '!L6),"A+",AND(D59&lt;='LU '!M6,D59&gt;'LU '!L6),"A",AND(D59&lt;='LU '!N6,D59&gt;'LU '!M6),"B",AND(D59&lt;='LU '!O6,D59&gt;'LU '!N6),"C",AND(D59&lt;='LU '!P6,D59&gt;'LU '!O6),"D",AND(D59&lt;='LU '!Q6,D59&gt;'LU '!P6),"E",AND(D59&lt;='LU '!R6,D59&gt;'LU '!Q6),"F",AND(D59&gt;'LU '!R6),"G")</f>
        <v>#DIV/0!</v>
      </c>
    </row>
    <row r="60" spans="1:14" ht="16" x14ac:dyDescent="0.2">
      <c r="A60" s="262"/>
      <c r="B60" s="264"/>
      <c r="C60" s="21" t="s">
        <v>89</v>
      </c>
      <c r="D60" s="99">
        <f>I30</f>
        <v>0</v>
      </c>
      <c r="E60" s="277"/>
      <c r="G60" s="264"/>
      <c r="H60" t="s">
        <v>89</v>
      </c>
      <c r="I60" s="56" t="str" cm="1">
        <f t="array" ref="I60">_xlfn.IFS(AND(D60&lt;='LU '!L7),"A+",AND(D60&lt;='LU '!M7,D60&gt;'LU '!L7),"A",AND(D60&lt;='LU '!N7,D60&gt;'LU '!M7),"B",AND(D60&lt;='LU '!O7,D60&gt;'LU '!N7),"C",AND(D60&lt;='LU '!P7,D60&gt;'LU '!O7),"D",AND(D60&lt;='LU '!Q7,D60&gt;'LU '!P7),"E",AND(D60&lt;='LU '!R7,D60&gt;'LU '!Q7),"F",AND(D60&gt;'LU '!R7),"G")</f>
        <v>A+</v>
      </c>
    </row>
    <row r="61" spans="1:14" ht="16" thickBot="1" x14ac:dyDescent="0.25">
      <c r="A61" s="262"/>
      <c r="B61" s="265"/>
      <c r="C61" s="16" t="s">
        <v>57</v>
      </c>
      <c r="D61" s="58" t="e">
        <f>SUM(D59:D60)</f>
        <v>#DIV/0!</v>
      </c>
      <c r="E61" s="261"/>
      <c r="G61" s="265"/>
      <c r="H61" s="16" t="s">
        <v>57</v>
      </c>
      <c r="I61" s="1" t="e" cm="1">
        <f t="array" ref="I61">_xlfn.IFS(AND(D61&lt;='LU '!L8),"A+",AND(D61&lt;='LU '!M8,D61&gt;'LU '!L8),"A",AND(D61&lt;='LU '!N8,D61&gt;'LU '!M8),"B",AND(D61&lt;='LU '!O8,D61&gt;'LU '!N8),"C",AND(D61&lt;='LU '!P8,D61&gt;'LU '!O8),"D",AND(D61&lt;='LU '!Q8,D61&gt;'LU '!P8),"E",AND(D61&lt;='LU '!R8,D61&gt;'LU '!Q8),"F",AND(D61&gt;'LU '!R8),"G")</f>
        <v>#DIV/0!</v>
      </c>
    </row>
    <row r="62" spans="1:14" ht="32" x14ac:dyDescent="0.2">
      <c r="A62" s="262"/>
      <c r="B62" s="263" t="s">
        <v>90</v>
      </c>
      <c r="C62" s="57" t="s">
        <v>85</v>
      </c>
      <c r="D62" s="100" t="e">
        <f>I16</f>
        <v>#DIV/0!</v>
      </c>
      <c r="E62" s="266" t="s">
        <v>91</v>
      </c>
      <c r="G62" s="263" t="s">
        <v>90</v>
      </c>
      <c r="H62" s="46" t="s">
        <v>85</v>
      </c>
      <c r="I62" s="55" t="e" cm="1">
        <f t="array" ref="I62">_xlfn.IFS(AND(D62&lt;='LU '!L9),"A+",AND(D62&lt;='LU '!M9,D62&gt;'LU '!L9),"A",AND(D62&lt;='LU '!N9,D62&gt;'LU '!M9),"B",AND(D62&lt;='LU '!O9,D62&gt;'LU '!N9),"C",AND(D62&lt;='LU '!P9,D62&gt;'LU '!O9),"D",AND(D62&lt;='LU '!Q9,D62&gt;'LU '!P9),"E",AND(D62&lt;='LU '!R9,D62&gt;'LU '!Q9),"F",AND(D62&gt;'LU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_xlfn.IFS(D63="#","#",AND(D63&lt;='LU '!L10),"A+",AND(D63&lt;='LU '!M10,D63&gt;'LU '!L10),"A",AND(D63&lt;='LU '!N10,D63&gt;'LU '!M10),"B",AND(D63&lt;='LU '!O10,D63&gt;'LU '!N10),"C",AND(D63&lt;='LU '!P10,D63&gt;'LU '!O10),"D",AND(D63&lt;='LU '!Q10,D63&gt;'LU '!P10),"E",AND(D63&lt;='LU '!R10,D63&gt;'LU '!Q10),"F",AND(D63&gt;'LU '!R10),"G")</f>
        <v>#</v>
      </c>
    </row>
    <row r="64" spans="1:14" ht="32" x14ac:dyDescent="0.2">
      <c r="A64" s="262"/>
      <c r="B64" s="264"/>
      <c r="C64" s="21" t="s">
        <v>92</v>
      </c>
      <c r="D64" s="47" t="e">
        <f>IF(ISNUMBER(D63), D62 + D63, D62)</f>
        <v>#DIV/0!</v>
      </c>
      <c r="E64" s="202"/>
      <c r="G64" s="264"/>
      <c r="H64" t="s">
        <v>92</v>
      </c>
      <c r="I64" s="56" t="e" cm="1">
        <f t="array" ref="I64">_xlfn.IFS(AND(D64&lt;='LU '!L11),"A+",AND(D64&lt;='LU '!M11,D64&gt;'LU '!L11),"A",AND(D64&lt;='LU '!N11,D64&gt;'LU '!M11),"B",AND(D64&lt;='LU '!O11,D64&gt;'LU '!N11),"C",AND(D64&lt;='LU '!P11,D64&gt;'LU '!O11),"D",AND(D64&lt;='LU '!Q11,D64&gt;'LU '!P11),"E",AND(D64&lt;='LU '!R11,D64&gt;'LU '!Q11),"F",AND(D64&gt;'LU '!R11),"G")</f>
        <v>#DIV/0!</v>
      </c>
    </row>
    <row r="65" spans="1:9" x14ac:dyDescent="0.2">
      <c r="A65" s="262"/>
      <c r="B65" s="264"/>
      <c r="C65" t="s">
        <v>89</v>
      </c>
      <c r="D65" s="99">
        <f>I31</f>
        <v>0</v>
      </c>
      <c r="E65" s="202"/>
      <c r="G65" s="264"/>
      <c r="H65" t="s">
        <v>89</v>
      </c>
      <c r="I65" s="56" t="str" cm="1">
        <f t="array" ref="I65">_xlfn.IFS(AND(D65&lt;='LU '!L12),"A+",AND(D65&lt;='LU '!M12,D65&gt;'LU '!L12),"A",AND(D65&lt;='LU '!N12,D65&gt;'LU '!M12),"B",AND(D65&lt;='LU '!O12,D65&gt;'LU '!N12),"C",AND(D65&lt;='LU '!P12,D65&gt;'LU '!O12),"D",AND(D65&lt;='LU '!Q12,D65&gt;'LU '!P12),"E",AND(D65&lt;='LU '!R12,D65&gt;'LU '!Q12),"F",AND(D65&gt;'LU '!R12),"G")</f>
        <v>A+</v>
      </c>
    </row>
    <row r="66" spans="1:9" ht="16" thickBot="1" x14ac:dyDescent="0.25">
      <c r="A66" s="262"/>
      <c r="B66" s="265"/>
      <c r="C66" s="16" t="s">
        <v>57</v>
      </c>
      <c r="D66" s="16" t="e">
        <f>SUM(D64:D65)</f>
        <v>#DIV/0!</v>
      </c>
      <c r="E66" s="267"/>
      <c r="G66" s="265"/>
      <c r="H66" s="16" t="s">
        <v>57</v>
      </c>
      <c r="I66" s="1" t="e" cm="1">
        <f t="array" ref="I66">_xlfn.IFS(AND(D66&lt;='LU '!L13),"A+",AND(D66&lt;='LU '!M13,D66&gt;'LU '!L13),"A",AND(D66&lt;='LU '!N13,D66&gt;'LU '!M13),"B",AND(D66&lt;='LU '!O13,D66&gt;'LU '!N13),"C",AND(D66&lt;='LU '!P13,D66&gt;'LU '!O13),"D",AND(D66&lt;='LU '!Q13,D66&gt;'LU '!P13),"E",AND(D66&lt;='LU '!R13,D66&gt;'LU '!Q13),"F",AND(D66&gt;'LU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33" priority="7" operator="equal">
      <formula>"A+"</formula>
    </cfRule>
    <cfRule type="containsText" dxfId="232" priority="8" operator="containsText" text="A">
      <formula>NOT(ISERROR(SEARCH("A",I57)))</formula>
    </cfRule>
    <cfRule type="containsText" dxfId="231" priority="9" operator="containsText" text="B">
      <formula>NOT(ISERROR(SEARCH("B",I57)))</formula>
    </cfRule>
    <cfRule type="containsText" dxfId="230" priority="10" operator="containsText" text="C">
      <formula>NOT(ISERROR(SEARCH("C",I57)))</formula>
    </cfRule>
    <cfRule type="containsText" dxfId="229" priority="11" operator="containsText" text="D">
      <formula>NOT(ISERROR(SEARCH("D",I57)))</formula>
    </cfRule>
    <cfRule type="containsText" dxfId="228" priority="12" operator="containsText" text="E">
      <formula>NOT(ISERROR(SEARCH("E",I57)))</formula>
    </cfRule>
    <cfRule type="containsText" dxfId="227" priority="13" operator="containsText" text="F">
      <formula>NOT(ISERROR(SEARCH("F",I57)))</formula>
    </cfRule>
    <cfRule type="containsText" dxfId="226" priority="14" operator="containsText" text="G">
      <formula>NOT(ISERROR(SEARCH("G",I57)))</formula>
    </cfRule>
  </conditionalFormatting>
  <conditionalFormatting sqref="K5:K15">
    <cfRule type="expression" dxfId="37" priority="2" stopIfTrue="1">
      <formula>$O$19="No"</formula>
    </cfRule>
  </conditionalFormatting>
  <conditionalFormatting sqref="L5:L15">
    <cfRule type="expression" dxfId="36"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0A424401-5C20-904A-A793-83475046D5CF}">
      <formula1>AND(Q19="Yes", ISNUMBER(L5))</formula1>
    </dataValidation>
    <dataValidation type="custom" operator="lessThan" allowBlank="1" showErrorMessage="1" errorTitle="Error" error="You can only enter values if you have selected HOME PV. The value must be a number." sqref="K5:K15" xr:uid="{F06E3C34-5A88-514F-8278-9E518614DE36}">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115E0192-FA5C-4BD1-8BBF-C271201BD0AE}">
          <x14:formula1>
            <xm:f>DATA!$J$3:$J$10</xm:f>
          </x14:formula1>
          <xm:sqref>D29:D51</xm:sqref>
        </x14:dataValidation>
        <x14:dataValidation type="list" allowBlank="1" showInputMessage="1" showErrorMessage="1" xr:uid="{40026EE6-BF80-9141-B153-51217EECCF4D}">
          <x14:formula1>
            <xm:f>DATA!$B$15:$B$23</xm:f>
          </x14:formula1>
          <xm:sqref>J2</xm:sqref>
        </x14:dataValidation>
        <x14:dataValidation type="list" allowBlank="1" showInputMessage="1" showErrorMessage="1" xr:uid="{7F5053AF-8AD6-4751-BE8E-9659B9048304}">
          <x14:formula1>
            <xm:f>DATA!$H$3:$H$23</xm:f>
          </x14:formula1>
          <xm:sqref>C29:C51</xm:sqref>
        </x14:dataValidation>
        <x14:dataValidation type="list" allowBlank="1" showInputMessage="1" showErrorMessage="1" xr:uid="{2C8B9135-0792-6342-8721-BCD6EDE30375}">
          <x14:formula1>
            <xm:f>DATA!$B$3:$B$13</xm:f>
          </x14:formula1>
          <xm:sqref>H2</xm:sqref>
        </x14:dataValidation>
        <x14:dataValidation type="list" allowBlank="1" showInputMessage="1" showErrorMessage="1" xr:uid="{EC0A478B-1D0F-CA42-A17D-7303EB3F6D4C}">
          <x14:formula1>
            <xm:f>DATA!$L$4:$L$5</xm:f>
          </x14:formula1>
          <xm:sqref>O18:O19 Q19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250A9-F550-49BD-94B2-5F44DAE57B25}">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33203125" customWidth="1"/>
    <col min="5" max="5" width="20" customWidth="1"/>
    <col min="6" max="6" width="19.6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111</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IF($O$18="Yes",(E5/$F$2)*DATA!$C$9,(E5/$F$2)*DATA!F22)+IF(ISBLANK(K5),0,K5/$F$2)*DATA!$C$9-IF(ISBLANK(L5),0,L5/$F$2)*DATA!F$22</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IF($O$18="Yes",(E6/$F$2)*DATA!$C$9,(E6/$F$2)*DATA!F23)+IF(ISBLANK(K6),0,K6/$F$2)*DATA!$C$9-IF(ISBLANK(L6),0,L6/$F$2)*DATA!F$22</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IF($O$18="Yes",(E7/$F$2)*DATA!$C$9,(E7/$F$2)*DATA!F24)+IF(ISBLANK(K7),0,K7/$F$2)*DATA!$C$9-IF(ISBLANK(L7),0,L7/$F$2)*DATA!F$22</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IF($O$18="Yes",(E8/$F$2)*DATA!$C$9,(E8/$F$2)*DATA!F25)+IF(ISBLANK(K8),0,K8/$F$2)*DATA!$C$9-IF(ISBLANK(L8),0,L8/$F$2)*DATA!F$22</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IF($O$18="Yes",(E9/$F$2)*DATA!$C$9,(E9/$F$2)*DATA!F26)+IF(ISBLANK(K9),0,K9/$F$2)*DATA!$C$9-IF(ISBLANK(L9),0,L9/$F$2)*DATA!F$22</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IF($O$18="Yes",(E10/$F$2)*DATA!$C$9,(E10/$F$2)*DATA!F27)+IF(ISBLANK(K10),0,K10/$F$2)*DATA!$C$9-IF(ISBLANK(L10),0,L10/$F$2)*DATA!F$22</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IF($O$18="Yes",(E11/$F$2)*DATA!$C$9,(E11/$F$2)*DATA!F28)+IF(ISBLANK(K11),0,K11/$F$2)*DATA!$C$9-IF(ISBLANK(L11),0,L11/$F$2)*DATA!F$22</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IF($O$18="Yes",(E12/$F$2)*DATA!$C$9,(E12/$F$2)*DATA!F29)+IF(ISBLANK(K12),0,K12/$F$2)*DATA!$C$9-IF(ISBLANK(L12),0,L12/$F$2)*DATA!F$22</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IF($O$18="Yes",(E13/$F$2)*DATA!$C$9,(E13/$F$2)*DATA!F30)+IF(ISBLANK(K13),0,K13/$F$2)*DATA!$C$9-IF(ISBLANK(L13),0,L13/$F$2)*DATA!F$22</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IF($O$18="Yes",(E14/$F$2)*DATA!$C$9,(E14/$F$2)*DATA!F31)+IF(ISBLANK(K14),0,K14/$F$2)*DATA!$C$9-IF(ISBLANK(L14),0,L14/$F$2)*DATA!F$22</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IF($O$18="Yes",(E15/$F$2)*DATA!$C$9,(E15/$F$2)*DATA!F32)+IF(ISBLANK(K15),0,K15/$F$2)*DATA!$C$9-IF(ISBLANK(L15),0,L15/$F$2)*DATA!F$22</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car",$D29=1),$E29*'MT '!C$7,AND($C29="Fuel car",$D29=2),$E29*'MT '!C$8,AND($C29="Fuel car",$D29=3),$E29*'MT '!C$9,AND($C29="Fuel car",$D29=4),$E29*'MT '!C$10,AND($C29="Fuel car",$D29=5),$E29*'MT '!C$11,AND($C29="Motorcycle",$D29=1),$E29*'MT '!C$13,AND($C29="Motorcycle",$D29=2),$E29*'MT '!C$14,AND($C29="Electric car",$D29=1),$E29*'MT '!C$16,AND($C29="Electric car",$D29=2),$E29*'MT '!C$17,AND($C29="Electric car",$D29=3),$E29*'MT '!C$18,AND($C29="Electric car",$D29=4),$E29*'MT '!C$19,AND($C29="Electric car",$D29=5),$E29*'MT '!C$20,AND($C29="Hybrid car",$D29=1),$E29*'MT '!C$22,AND($C29="Hybrid car",$D29=2),$E29*'MT '!C$23,AND($C29="Hybrid car",$D29=3),$E29*'MT '!C$24,AND($C29="Hybrid car",$D29=4),$E29*'MT '!C$25,AND($C29="Hybrid car",$D29=5),$E29*'MT '!C$26,AND($C29="Electric motorcycle",$D29=1),$E29*'MT '!C$28,AND($C29="Electric motorcycle",$D29=2),$E29*'MT '!C$29,AND($C29="Electric bike",$D29=1),$E29*'MT '!C$31,AND($C29="Electric scooter",$D29=1),$E29*'MT '!C$33,AND($C29="Bus",$D29="Almost empty"),$E29*'MT '!H$23,AND($C29="Bus",$D29="Average"),$E29*'MT '!H$24,AND($C29="Bus",$D29="Nearly full"),$E29*'MT '!H$25,AND($C29="Electric bus",$D29="Almost empty"),$E29*'MT '!H$7,AND($C29="Electric bus",$D29="Average"),$E29*'MT '!H$8,AND($C29="Electric bus",$D29="Nearly full"),$E29*'MT '!H$9,AND($C29="Diesel bus",$D29="Almost empty"),$E29*'MT '!H$19,AND($C29="Diesel bus",$D29="Average"),$E29*'MT '!H$20,AND($C29="Diesel bus",$D29="Nearly full"),$E29*'MT '!H$21,AND($C29="Hybrid-electric bus",$D29="Almost empty"),$E29*'MT '!H$11,AND($C29="Hybrid-electric bus",$D29="Average"),$E29*'MT '!H$12,AND($C29="Hybrid-electric bus",$D29="Nearly full"),$E29*'MT '!H$13,AND($C29="Alternative fuel bus",$D29="Almost empty"),$E29*'MT '!H$15,AND($C29="Alternative fuel bus",$D29="Average"),$E29*'MT '!H$16,AND($C29="Alternative fuel bus",$D29="Nearly full"),$E29*'MT '!H$17,AND($C29="Metro, tram, urban light train",$D29="Almost empty"),$E29*'MT '!C$35,AND($C29="Metro, tram, urban light train",$D29="Average"),$E29*'MT '!C$36,AND($C29="Metro, tram, urban light train",$D29="Nearly full"),$E29*'MT '!C$37,AND($C29="Electric passenger train",$D29="Almost empty"),$E29*'MT '!C$39,AND($C29="Electric passenger train",$D29="Average"),$E29*'MT '!C$40,AND($C29="Electric passenger train",$D29="Nearly full"),$E29*'MT '!C$41,AND($C29="Diesel passenger train",$D29="Almost empty"),$E29*'MT '!C$47,AND($C29="Diesel passenger train",$D29="Average"),$E29*'MT '!C$48,AND($C29="Diesel passenger train",$D29="Nearly full"),$E29*'MT '!C$49,AND($C29="Walking"),$E29*0,AND($C29="Bike"),$E29*0,AND($C29="Plane - domestic flight"),$E29*'MT '!$C53,AND($C29="Plane - international - intra EU"),$E29*'MT '!$C55,AND($C29="Plane - international (extra EU)"),$E29*'MT '!$C57)</f>
        <v>#N/A</v>
      </c>
      <c r="G29" s="104" t="e" cm="1">
        <f t="array" ref="G29">_xlfn.IFS(AND($C29="Fuel car",$D29=1),$E29*'MT '!D$7,AND($C29="Fuel car",$D29=2),$E29*'MT '!D$8,AND($C29="Fuel car",$D29=3),$E29*'MT '!D$9,AND($C29="Fuel car",$D29=4),$E29*'MT '!D$10,AND($C29="Fuel car",$D29=5),$E29*'MT '!D$11,AND($C29="Motorcycle",$D29=1),$E29*'MT '!D$13,AND($C29="Motorcycle",$D29=2),$E29*'MT '!D$14,AND($C29="Electric car",$D29=1),$E29*'MT '!D$16,AND($C29="Electric car",$D29=2),$E29*'MT '!D$17,AND($C29="Electric car",$D29=3),$E29*'MT '!D$18,AND($C29="Electric car",$D29=4),$E29*'MT '!D$19,AND($C29="Electric car",$D29=5),$E29*'MT '!D$20,AND($C29="Hybrid car",$D29=1),$E29*'MT '!D$22,AND($C29="Hybrid car",$D29=2),$E29*'MT '!D$23,AND($C29="Hybrid car",$D29=3),$E29*'MT '!D$24,AND($C29="Hybrid car",$D29=4),$E29*'MT '!D$25,AND($C29="Hybrid car",$D29=5),$E29*'MT '!D$26,AND($C29="Electric motorcycle",$D29=1),$E29*'MT '!D$28,AND($C29="Electric motorcycle",$D29=2),$E29*'MT '!D$29,AND($C29="Electric bike",$D29=1),$E29*'MT '!D$31,AND($C29="Electric scooter",$D29=1),$E29*'MT '!D$33,AND($C29="Bus",$D29="Almost empty"),$E29*'MT '!I$23,AND($C29="Bus",$D29="Average"),$E29*'MT '!I$24,AND($C29="Bus",$D29="Nearly full"),$E29*'MT '!I$25,AND($C29="Electric bus",$D29="Almost empty"),$E29*'MT '!I$7,AND($C29="Electric bus",$D29="Average"),$E29*'MT '!I$8,AND($C29="Electric bus",$D29="Nearly full"),$E29*'MT '!I$9,AND($C29="Diesel bus",$D29="Almost empty"),$E29*'MT '!I$19,AND($C29="Diesel bus",$D29="Average"),$E29*'MT '!I$20,AND($C29="Diesel bus",$D29="Nearly full"),$E29*'MT '!I$21,AND($C29="Hybrid-electric bus",$D29="Almost empty"),$E29*'MT '!I$11,AND($C29="Hybrid-electric bus",$D29="Average"),$E29*'MT '!I$12,AND($C29="Hybrid-electric bus",$D29="Nearly full"),$E29*'MT '!I$13,AND($C29="Alternative fuel bus",$D29="Almost empty"),$E29*'MT '!I$15,AND($C29="Alternative fuel bus",$D29="Average"),$E29*'MT '!I$16,AND($C29="Alternative fuel bus",$D29="Nearly full"),$E29*'MT '!I$17,AND($C29="Metro, tram, urban light train",$D29="Almost empty"),$E29*'MT '!D$35,AND($C29="Metro, tram, urban light train",$D29="Average"),$E29*'MT '!D$36,AND($C29="Metro, tram, urban light train",$D29="Nearly full"),$E29*'MT '!D$37,AND($C29="Electric passenger train",$D29="Almost empty"),$E29*'MT '!D$39,AND($C29="Electric passenger train",$D29="Average"),$E29*'MT '!D$40,AND($C29="Electric passenger train",$D29="Nearly full"),$E29*'MT '!D$41,AND($C29="Diesel passenger train",$D29="Almost empty"),$E29*'MT '!D$47,AND($C29="Diesel passenger train",$D29="Average"),$E29*'MT '!D$48,AND($C29="Diesel passenger train",$D29="Nearly full"),$E29*'MT '!D$49,AND($C29="Walking"),$E29*0,AND($C29="Bike"),$E29*0,AND($C29="Plane - domestic flight"),$E29*'MT '!$C53,AND($C29="Plane - international - intra EU"),$E29*'MT '!$C55,AND($C29="Plane - international (extra EU)"),$E29*'MT '!$C57)</f>
        <v>#N/A</v>
      </c>
      <c r="H29" s="151"/>
      <c r="I29" s="152">
        <f>H29/10*E29</f>
        <v>0</v>
      </c>
      <c r="J29" s="146" t="e" cm="1">
        <f t="array" ref="J29">_xlfn.IFS(C29="Fuel car",C29*DATA!$C$17,C29="Electric car",C29*DATA!$F$22,C29="Hybrid car",I29*(0.5*DATA!$C$17+0.5*DATA!$F$22))</f>
        <v>#N/A</v>
      </c>
      <c r="L29" s="218"/>
      <c r="M29" s="219"/>
      <c r="N29" s="220"/>
    </row>
    <row r="30" spans="1:17" ht="32" customHeight="1" x14ac:dyDescent="0.2">
      <c r="A30" s="222"/>
      <c r="B30" s="30"/>
      <c r="C30" s="15"/>
      <c r="D30" s="15"/>
      <c r="E30" s="125"/>
      <c r="F30" s="128" t="e" cm="1">
        <f t="array" ref="F30">_xlfn.IFS(AND($C30="Fuel car",$D30=1),$E30*'MT '!C$7,AND($C30="Fuel car",$D30=2),$E30*'MT '!C$8,AND($C30="Fuel car",$D30=3),$E30*'MT '!C$9,AND($C30="Fuel car",$D30=4),$E30*'MT '!C$10,AND($C30="Fuel car",$D30=5),$E30*'MT '!C$11,AND($C30="Motorcycle",$D30=1),$E30*'MT '!C$13,AND($C30="Motorcycle",$D30=2),$E30*'MT '!C$14,AND($C30="Electric car",$D30=1),$E30*'MT '!C$16,AND($C30="Electric car",$D30=2),$E30*'MT '!C$17,AND($C30="Electric car",$D30=3),$E30*'MT '!C$18,AND($C30="Electric car",$D30=4),$E30*'MT '!C$19,AND($C30="Electric car",$D30=5),$E30*'MT '!C$20,AND($C30="Hybrid car",$D30=1),$E30*'MT '!C$22,AND($C30="Hybrid car",$D30=2),$E30*'MT '!C$23,AND($C30="Hybrid car",$D30=3),$E30*'MT '!C$24,AND($C30="Hybrid car",$D30=4),$E30*'MT '!C$25,AND($C30="Hybrid car",$D30=5),$E30*'MT '!C$26,AND($C30="Electric motorcycle",$D30=1),$E30*'MT '!C$28,AND($C30="Electric motorcycle",$D30=2),$E30*'MT '!C$29,AND($C30="Electric bike",$D30=1),$E30*'MT '!C$31,AND($C30="Electric scooter",$D30=1),$E30*'MT '!C$33,AND($C30="Bus",$D30="Almost empty"),$E30*'MT '!H$23,AND($C30="Bus",$D30="Average"),$E30*'MT '!H$24,AND($C30="Bus",$D30="Nearly full"),$E30*'MT '!H$25,AND($C30="Electric bus",$D30="Almost empty"),$E30*'MT '!H$7,AND($C30="Electric bus",$D30="Average"),$E30*'MT '!H$8,AND($C30="Electric bus",$D30="Nearly full"),$E30*'MT '!H$9,AND($C30="Diesel bus",$D30="Almost empty"),$E30*'MT '!H$19,AND($C30="Diesel bus",$D30="Average"),$E30*'MT '!H$20,AND($C30="Diesel bus",$D30="Nearly full"),$E30*'MT '!H$21,AND($C30="Hybrid-electric bus",$D30="Almost empty"),$E30*'MT '!H$11,AND($C30="Hybrid-electric bus",$D30="Average"),$E30*'MT '!H$12,AND($C30="Hybrid-electric bus",$D30="Nearly full"),$E30*'MT '!H$13,AND($C30="Alternative fuel bus",$D30="Almost empty"),$E30*'MT '!H$15,AND($C30="Alternative fuel bus",$D30="Average"),$E30*'MT '!H$16,AND($C30="Alternative fuel bus",$D30="Nearly full"),$E30*'MT '!H$17,AND($C30="Metro, tram, urban light train",$D30="Almost empty"),$E30*'MT '!C$35,AND($C30="Metro, tram, urban light train",$D30="Average"),$E30*'MT '!C$36,AND($C30="Metro, tram, urban light train",$D30="Nearly full"),$E30*'MT '!C$37,AND($C30="Electric passenger train",$D30="Almost empty"),$E30*'MT '!C$39,AND($C30="Electric passenger train",$D30="Average"),$E30*'MT '!C$40,AND($C30="Electric passenger train",$D30="Nearly full"),$E30*'MT '!C$41,AND($C30="Diesel passenger train",$D30="Almost empty"),$E30*'MT '!C$47,AND($C30="Diesel passenger train",$D30="Average"),$E30*'MT '!C$48,AND($C30="Diesel passenger train",$D30="Nearly full"),$E30*'MT '!C$49,AND($C30="Walking"),$E30*0,AND($C30="Bike"),$E30*0,AND($C30="Plane - domestic flight"),$E30*'MT '!$C54,AND($C30="Plane - international - intra EU"),$E30*'MT '!$C56,AND($C30="Plane - international (extra EU)"),$E30*'MT '!$C58)</f>
        <v>#N/A</v>
      </c>
      <c r="G30" s="31" t="e" cm="1">
        <f t="array" ref="G30">_xlfn.IFS(AND($C30="Fuel car",$D30=1),$E30*'MT '!D$7,AND($C30="Fuel car",$D30=2),$E30*'MT '!D$8,AND($C30="Fuel car",$D30=3),$E30*'MT '!D$9,AND($C30="Fuel car",$D30=4),$E30*'MT '!D$10,AND($C30="Fuel car",$D30=5),$E30*'MT '!D$11,AND($C30="Motorcycle",$D30=1),$E30*'MT '!D$13,AND($C30="Motorcycle",$D30=2),$E30*'MT '!D$14,AND($C30="Electric car",$D30=1),$E30*'MT '!D$16,AND($C30="Electric car",$D30=2),$E30*'MT '!D$17,AND($C30="Electric car",$D30=3),$E30*'MT '!D$18,AND($C30="Electric car",$D30=4),$E30*'MT '!D$19,AND($C30="Electric car",$D30=5),$E30*'MT '!D$20,AND($C30="Hybrid car",$D30=1),$E30*'MT '!D$22,AND($C30="Hybrid car",$D30=2),$E30*'MT '!D$23,AND($C30="Hybrid car",$D30=3),$E30*'MT '!D$24,AND($C30="Hybrid car",$D30=4),$E30*'MT '!D$25,AND($C30="Hybrid car",$D30=5),$E30*'MT '!D$26,AND($C30="Electric motorcycle",$D30=1),$E30*'MT '!D$28,AND($C30="Electric motorcycle",$D30=2),$E30*'MT '!D$29,AND($C30="Electric bike",$D30=1),$E30*'MT '!D$31,AND($C30="Electric scooter",$D30=1),$E30*'MT '!D$33,AND($C30="Bus",$D30="Almost empty"),$E30*'MT '!I$23,AND($C30="Bus",$D30="Average"),$E30*'MT '!I$24,AND($C30="Bus",$D30="Nearly full"),$E30*'MT '!I$25,AND($C30="Electric bus",$D30="Almost empty"),$E30*'MT '!I$7,AND($C30="Electric bus",$D30="Average"),$E30*'MT '!I$8,AND($C30="Electric bus",$D30="Nearly full"),$E30*'MT '!I$9,AND($C30="Diesel bus",$D30="Almost empty"),$E30*'MT '!I$19,AND($C30="Diesel bus",$D30="Average"),$E30*'MT '!I$20,AND($C30="Diesel bus",$D30="Nearly full"),$E30*'MT '!I$21,AND($C30="Hybrid-electric bus",$D30="Almost empty"),$E30*'MT '!I$11,AND($C30="Hybrid-electric bus",$D30="Average"),$E30*'MT '!I$12,AND($C30="Hybrid-electric bus",$D30="Nearly full"),$E30*'MT '!I$13,AND($C30="Alternative fuel bus",$D30="Almost empty"),$E30*'MT '!I$15,AND($C30="Alternative fuel bus",$D30="Average"),$E30*'MT '!I$16,AND($C30="Alternative fuel bus",$D30="Nearly full"),$E30*'MT '!I$17,AND($C30="Metro, tram, urban light train",$D30="Almost empty"),$E30*'MT '!D$35,AND($C30="Metro, tram, urban light train",$D30="Average"),$E30*'MT '!D$36,AND($C30="Metro, tram, urban light train",$D30="Nearly full"),$E30*'MT '!D$37,AND($C30="Electric passenger train",$D30="Almost empty"),$E30*'MT '!D$39,AND($C30="Electric passenger train",$D30="Average"),$E30*'MT '!D$40,AND($C30="Electric passenger train",$D30="Nearly full"),$E30*'MT '!D$41,AND($C30="Diesel passenger train",$D30="Almost empty"),$E30*'MT '!D$47,AND($C30="Diesel passenger train",$D30="Average"),$E30*'MT '!D$48,AND($C30="Diesel passenger train",$D30="Nearly full"),$E30*'MT '!D$49,AND($C30="Walking"),$E30*0,AND($C30="Bike"),$E30*0,AND($C30="Plane - domestic flight"),$E30*'MT '!$C54,AND($C30="Plane - international - intra EU"),$E30*'MT '!$C56,AND($C30="Plane - international (extra EU)"),$E30*'MT '!$C58)</f>
        <v>#N/A</v>
      </c>
      <c r="H30" s="145"/>
      <c r="I30" s="148">
        <f t="shared" ref="I30:I43" si="6">H30/10*E30</f>
        <v>0</v>
      </c>
      <c r="J30" s="146" t="e" cm="1">
        <f t="array" ref="J30">_xlfn.IFS(C30="Fuel car",C30*DATA!$C$17,C30="Electric car",C30*DATA!$F$22,C30="Hybrid car",I30*(0.5*DATA!$C$17+0.5*DATA!$F$22))</f>
        <v>#N/A</v>
      </c>
      <c r="L30" s="215" t="s">
        <v>76</v>
      </c>
      <c r="M30" s="216"/>
      <c r="N30" s="217"/>
    </row>
    <row r="31" spans="1:17" x14ac:dyDescent="0.2">
      <c r="A31" s="222"/>
      <c r="B31" s="30"/>
      <c r="C31" s="15"/>
      <c r="D31" s="15"/>
      <c r="E31" s="125"/>
      <c r="F31" s="128" t="e" cm="1">
        <f t="array" ref="F31">_xlfn.IFS(AND($C31="Fuel car",$D31=1),$E31*'MT '!C$7,AND($C31="Fuel car",$D31=2),$E31*'MT '!C$8,AND($C31="Fuel car",$D31=3),$E31*'MT '!C$9,AND($C31="Fuel car",$D31=4),$E31*'MT '!C$10,AND($C31="Fuel car",$D31=5),$E31*'MT '!C$11,AND($C31="Motorcycle",$D31=1),$E31*'MT '!C$13,AND($C31="Motorcycle",$D31=2),$E31*'MT '!C$14,AND($C31="Electric car",$D31=1),$E31*'MT '!C$16,AND($C31="Electric car",$D31=2),$E31*'MT '!C$17,AND($C31="Electric car",$D31=3),$E31*'MT '!C$18,AND($C31="Electric car",$D31=4),$E31*'MT '!C$19,AND($C31="Electric car",$D31=5),$E31*'MT '!C$20,AND($C31="Hybrid car",$D31=1),$E31*'MT '!C$22,AND($C31="Hybrid car",$D31=2),$E31*'MT '!C$23,AND($C31="Hybrid car",$D31=3),$E31*'MT '!C$24,AND($C31="Hybrid car",$D31=4),$E31*'MT '!C$25,AND($C31="Hybrid car",$D31=5),$E31*'MT '!C$26,AND($C31="Electric motorcycle",$D31=1),$E31*'MT '!C$28,AND($C31="Electric motorcycle",$D31=2),$E31*'MT '!C$29,AND($C31="Electric bike",$D31=1),$E31*'MT '!C$31,AND($C31="Electric scooter",$D31=1),$E31*'MT '!C$33,AND($C31="Bus",$D31="Almost empty"),$E31*'MT '!H$23,AND($C31="Bus",$D31="Average"),$E31*'MT '!H$24,AND($C31="Bus",$D31="Nearly full"),$E31*'MT '!H$25,AND($C31="Electric bus",$D31="Almost empty"),$E31*'MT '!H$7,AND($C31="Electric bus",$D31="Average"),$E31*'MT '!H$8,AND($C31="Electric bus",$D31="Nearly full"),$E31*'MT '!H$9,AND($C31="Diesel bus",$D31="Almost empty"),$E31*'MT '!H$19,AND($C31="Diesel bus",$D31="Average"),$E31*'MT '!H$20,AND($C31="Diesel bus",$D31="Nearly full"),$E31*'MT '!H$21,AND($C31="Hybrid-electric bus",$D31="Almost empty"),$E31*'MT '!H$11,AND($C31="Hybrid-electric bus",$D31="Average"),$E31*'MT '!H$12,AND($C31="Hybrid-electric bus",$D31="Nearly full"),$E31*'MT '!H$13,AND($C31="Alternative fuel bus",$D31="Almost empty"),$E31*'MT '!H$15,AND($C31="Alternative fuel bus",$D31="Average"),$E31*'MT '!H$16,AND($C31="Alternative fuel bus",$D31="Nearly full"),$E31*'MT '!H$17,AND($C31="Metro, tram, urban light train",$D31="Almost empty"),$E31*'MT '!C$35,AND($C31="Metro, tram, urban light train",$D31="Average"),$E31*'MT '!C$36,AND($C31="Metro, tram, urban light train",$D31="Nearly full"),$E31*'MT '!C$37,AND($C31="Electric passenger train",$D31="Almost empty"),$E31*'MT '!C$39,AND($C31="Electric passenger train",$D31="Average"),$E31*'MT '!C$40,AND($C31="Electric passenger train",$D31="Nearly full"),$E31*'MT '!C$41,AND($C31="Diesel passenger train",$D31="Almost empty"),$E31*'MT '!C$47,AND($C31="Diesel passenger train",$D31="Average"),$E31*'MT '!C$48,AND($C31="Diesel passenger train",$D31="Nearly full"),$E31*'MT '!C$49,AND($C31="Walking"),$E31*0,AND($C31="Bike"),$E31*0,AND($C31="Plane - domestic flight"),$E31*'MT '!$C55,AND($C31="Plane - international - intra EU"),$E31*'MT '!$C57,AND($C31="Plane - international (extra EU)"),$E31*'MT '!$C59)</f>
        <v>#N/A</v>
      </c>
      <c r="G31" s="31" t="e" cm="1">
        <f t="array" ref="G31">_xlfn.IFS(AND($C31="Fuel car",$D31=1),$E31*'MT '!D$7,AND($C31="Fuel car",$D31=2),$E31*'MT '!D$8,AND($C31="Fuel car",$D31=3),$E31*'MT '!D$9,AND($C31="Fuel car",$D31=4),$E31*'MT '!D$10,AND($C31="Fuel car",$D31=5),$E31*'MT '!D$11,AND($C31="Motorcycle",$D31=1),$E31*'MT '!D$13,AND($C31="Motorcycle",$D31=2),$E31*'MT '!D$14,AND($C31="Electric car",$D31=1),$E31*'MT '!D$16,AND($C31="Electric car",$D31=2),$E31*'MT '!D$17,AND($C31="Electric car",$D31=3),$E31*'MT '!D$18,AND($C31="Electric car",$D31=4),$E31*'MT '!D$19,AND($C31="Electric car",$D31=5),$E31*'MT '!D$20,AND($C31="Hybrid car",$D31=1),$E31*'MT '!D$22,AND($C31="Hybrid car",$D31=2),$E31*'MT '!D$23,AND($C31="Hybrid car",$D31=3),$E31*'MT '!D$24,AND($C31="Hybrid car",$D31=4),$E31*'MT '!D$25,AND($C31="Hybrid car",$D31=5),$E31*'MT '!D$26,AND($C31="Electric motorcycle",$D31=1),$E31*'MT '!D$28,AND($C31="Electric motorcycle",$D31=2),$E31*'MT '!D$29,AND($C31="Electric bike",$D31=1),$E31*'MT '!D$31,AND($C31="Electric scooter",$D31=1),$E31*'MT '!D$33,AND($C31="Bus",$D31="Almost empty"),$E31*'MT '!I$23,AND($C31="Bus",$D31="Average"),$E31*'MT '!I$24,AND($C31="Bus",$D31="Nearly full"),$E31*'MT '!I$25,AND($C31="Electric bus",$D31="Almost empty"),$E31*'MT '!I$7,AND($C31="Electric bus",$D31="Average"),$E31*'MT '!I$8,AND($C31="Electric bus",$D31="Nearly full"),$E31*'MT '!I$9,AND($C31="Diesel bus",$D31="Almost empty"),$E31*'MT '!I$19,AND($C31="Diesel bus",$D31="Average"),$E31*'MT '!I$20,AND($C31="Diesel bus",$D31="Nearly full"),$E31*'MT '!I$21,AND($C31="Hybrid-electric bus",$D31="Almost empty"),$E31*'MT '!I$11,AND($C31="Hybrid-electric bus",$D31="Average"),$E31*'MT '!I$12,AND($C31="Hybrid-electric bus",$D31="Nearly full"),$E31*'MT '!I$13,AND($C31="Alternative fuel bus",$D31="Almost empty"),$E31*'MT '!I$15,AND($C31="Alternative fuel bus",$D31="Average"),$E31*'MT '!I$16,AND($C31="Alternative fuel bus",$D31="Nearly full"),$E31*'MT '!I$17,AND($C31="Metro, tram, urban light train",$D31="Almost empty"),$E31*'MT '!D$35,AND($C31="Metro, tram, urban light train",$D31="Average"),$E31*'MT '!D$36,AND($C31="Metro, tram, urban light train",$D31="Nearly full"),$E31*'MT '!D$37,AND($C31="Electric passenger train",$D31="Almost empty"),$E31*'MT '!D$39,AND($C31="Electric passenger train",$D31="Average"),$E31*'MT '!D$40,AND($C31="Electric passenger train",$D31="Nearly full"),$E31*'MT '!D$41,AND($C31="Diesel passenger train",$D31="Almost empty"),$E31*'MT '!D$47,AND($C31="Diesel passenger train",$D31="Average"),$E31*'MT '!D$48,AND($C31="Diesel passenger train",$D31="Nearly full"),$E31*'MT '!D$49,AND($C31="Walking"),$E31*0,AND($C31="Bike"),$E31*0,AND($C31="Plane - domestic flight"),$E31*'MT '!$C55,AND($C31="Plane - international - intra EU"),$E31*'MT '!$C57,AND($C31="Plane - international (extra EU)"),$E31*'MT '!$C59)</f>
        <v>#N/A</v>
      </c>
      <c r="H31" s="145"/>
      <c r="I31" s="148">
        <f t="shared" si="6"/>
        <v>0</v>
      </c>
      <c r="J31" s="146" t="e" cm="1">
        <f t="array" ref="J31">_xlfn.IFS(C31="Fuel car",C31*DATA!$C$17,C31="Electric car",C31*DATA!$F$22,C31="Hybrid car",I31*(0.5*DATA!$C$17+0.5*DATA!$F$22))</f>
        <v>#N/A</v>
      </c>
      <c r="L31" s="223"/>
      <c r="M31" s="224"/>
      <c r="N31" s="225"/>
    </row>
    <row r="32" spans="1:17" ht="16" thickBot="1" x14ac:dyDescent="0.25">
      <c r="A32" s="222"/>
      <c r="B32" s="30"/>
      <c r="C32" s="15"/>
      <c r="D32" s="15"/>
      <c r="E32" s="125"/>
      <c r="F32" s="128" t="e" cm="1">
        <f t="array" ref="F32">_xlfn.IFS(AND($C32="Fuel car",$D32=1),$E32*'MT '!C$7,AND($C32="Fuel car",$D32=2),$E32*'MT '!C$8,AND($C32="Fuel car",$D32=3),$E32*'MT '!C$9,AND($C32="Fuel car",$D32=4),$E32*'MT '!C$10,AND($C32="Fuel car",$D32=5),$E32*'MT '!C$11,AND($C32="Motorcycle",$D32=1),$E32*'MT '!C$13,AND($C32="Motorcycle",$D32=2),$E32*'MT '!C$14,AND($C32="Electric car",$D32=1),$E32*'MT '!C$16,AND($C32="Electric car",$D32=2),$E32*'MT '!C$17,AND($C32="Electric car",$D32=3),$E32*'MT '!C$18,AND($C32="Electric car",$D32=4),$E32*'MT '!C$19,AND($C32="Electric car",$D32=5),$E32*'MT '!C$20,AND($C32="Hybrid car",$D32=1),$E32*'MT '!C$22,AND($C32="Hybrid car",$D32=2),$E32*'MT '!C$23,AND($C32="Hybrid car",$D32=3),$E32*'MT '!C$24,AND($C32="Hybrid car",$D32=4),$E32*'MT '!C$25,AND($C32="Hybrid car",$D32=5),$E32*'MT '!C$26,AND($C32="Electric motorcycle",$D32=1),$E32*'MT '!C$28,AND($C32="Electric motorcycle",$D32=2),$E32*'MT '!C$29,AND($C32="Electric bike",$D32=1),$E32*'MT '!C$31,AND($C32="Electric scooter",$D32=1),$E32*'MT '!C$33,AND($C32="Bus",$D32="Almost empty"),$E32*'MT '!H$23,AND($C32="Bus",$D32="Average"),$E32*'MT '!H$24,AND($C32="Bus",$D32="Nearly full"),$E32*'MT '!H$25,AND($C32="Electric bus",$D32="Almost empty"),$E32*'MT '!H$7,AND($C32="Electric bus",$D32="Average"),$E32*'MT '!H$8,AND($C32="Electric bus",$D32="Nearly full"),$E32*'MT '!H$9,AND($C32="Diesel bus",$D32="Almost empty"),$E32*'MT '!H$19,AND($C32="Diesel bus",$D32="Average"),$E32*'MT '!H$20,AND($C32="Diesel bus",$D32="Nearly full"),$E32*'MT '!H$21,AND($C32="Hybrid-electric bus",$D32="Almost empty"),$E32*'MT '!H$11,AND($C32="Hybrid-electric bus",$D32="Average"),$E32*'MT '!H$12,AND($C32="Hybrid-electric bus",$D32="Nearly full"),$E32*'MT '!H$13,AND($C32="Alternative fuel bus",$D32="Almost empty"),$E32*'MT '!H$15,AND($C32="Alternative fuel bus",$D32="Average"),$E32*'MT '!H$16,AND($C32="Alternative fuel bus",$D32="Nearly full"),$E32*'MT '!H$17,AND($C32="Metro, tram, urban light train",$D32="Almost empty"),$E32*'MT '!C$35,AND($C32="Metro, tram, urban light train",$D32="Average"),$E32*'MT '!C$36,AND($C32="Metro, tram, urban light train",$D32="Nearly full"),$E32*'MT '!C$37,AND($C32="Electric passenger train",$D32="Almost empty"),$E32*'MT '!C$39,AND($C32="Electric passenger train",$D32="Average"),$E32*'MT '!C$40,AND($C32="Electric passenger train",$D32="Nearly full"),$E32*'MT '!C$41,AND($C32="Diesel passenger train",$D32="Almost empty"),$E32*'MT '!C$47,AND($C32="Diesel passenger train",$D32="Average"),$E32*'MT '!C$48,AND($C32="Diesel passenger train",$D32="Nearly full"),$E32*'MT '!C$49,AND($C32="Walking"),$E32*0,AND($C32="Bike"),$E32*0,AND($C32="Plane - domestic flight"),$E32*'MT '!$C56,AND($C32="Plane - international - intra EU"),$E32*'MT '!$C58,AND($C32="Plane - international (extra EU)"),$E32*'MT '!$C60)</f>
        <v>#N/A</v>
      </c>
      <c r="G32" s="31" t="e" cm="1">
        <f t="array" ref="G32">_xlfn.IFS(AND($C32="Fuel car",$D32=1),$E32*'MT '!D$7,AND($C32="Fuel car",$D32=2),$E32*'MT '!D$8,AND($C32="Fuel car",$D32=3),$E32*'MT '!D$9,AND($C32="Fuel car",$D32=4),$E32*'MT '!D$10,AND($C32="Fuel car",$D32=5),$E32*'MT '!D$11,AND($C32="Motorcycle",$D32=1),$E32*'MT '!D$13,AND($C32="Motorcycle",$D32=2),$E32*'MT '!D$14,AND($C32="Electric car",$D32=1),$E32*'MT '!D$16,AND($C32="Electric car",$D32=2),$E32*'MT '!D$17,AND($C32="Electric car",$D32=3),$E32*'MT '!D$18,AND($C32="Electric car",$D32=4),$E32*'MT '!D$19,AND($C32="Electric car",$D32=5),$E32*'MT '!D$20,AND($C32="Hybrid car",$D32=1),$E32*'MT '!D$22,AND($C32="Hybrid car",$D32=2),$E32*'MT '!D$23,AND($C32="Hybrid car",$D32=3),$E32*'MT '!D$24,AND($C32="Hybrid car",$D32=4),$E32*'MT '!D$25,AND($C32="Hybrid car",$D32=5),$E32*'MT '!D$26,AND($C32="Electric motorcycle",$D32=1),$E32*'MT '!D$28,AND($C32="Electric motorcycle",$D32=2),$E32*'MT '!D$29,AND($C32="Electric bike",$D32=1),$E32*'MT '!D$31,AND($C32="Electric scooter",$D32=1),$E32*'MT '!D$33,AND($C32="Bus",$D32="Almost empty"),$E32*'MT '!I$23,AND($C32="Bus",$D32="Average"),$E32*'MT '!I$24,AND($C32="Bus",$D32="Nearly full"),$E32*'MT '!I$25,AND($C32="Electric bus",$D32="Almost empty"),$E32*'MT '!I$7,AND($C32="Electric bus",$D32="Average"),$E32*'MT '!I$8,AND($C32="Electric bus",$D32="Nearly full"),$E32*'MT '!I$9,AND($C32="Diesel bus",$D32="Almost empty"),$E32*'MT '!I$19,AND($C32="Diesel bus",$D32="Average"),$E32*'MT '!I$20,AND($C32="Diesel bus",$D32="Nearly full"),$E32*'MT '!I$21,AND($C32="Hybrid-electric bus",$D32="Almost empty"),$E32*'MT '!I$11,AND($C32="Hybrid-electric bus",$D32="Average"),$E32*'MT '!I$12,AND($C32="Hybrid-electric bus",$D32="Nearly full"),$E32*'MT '!I$13,AND($C32="Alternative fuel bus",$D32="Almost empty"),$E32*'MT '!I$15,AND($C32="Alternative fuel bus",$D32="Average"),$E32*'MT '!I$16,AND($C32="Alternative fuel bus",$D32="Nearly full"),$E32*'MT '!I$17,AND($C32="Metro, tram, urban light train",$D32="Almost empty"),$E32*'MT '!D$35,AND($C32="Metro, tram, urban light train",$D32="Average"),$E32*'MT '!D$36,AND($C32="Metro, tram, urban light train",$D32="Nearly full"),$E32*'MT '!D$37,AND($C32="Electric passenger train",$D32="Almost empty"),$E32*'MT '!D$39,AND($C32="Electric passenger train",$D32="Average"),$E32*'MT '!D$40,AND($C32="Electric passenger train",$D32="Nearly full"),$E32*'MT '!D$41,AND($C32="Diesel passenger train",$D32="Almost empty"),$E32*'MT '!D$47,AND($C32="Diesel passenger train",$D32="Average"),$E32*'MT '!D$48,AND($C32="Diesel passenger train",$D32="Nearly full"),$E32*'MT '!D$49,AND($C32="Walking"),$E32*0,AND($C32="Bike"),$E32*0,AND($C32="Plane - domestic flight"),$E32*'MT '!$C56,AND($C32="Plane - international - intra EU"),$E32*'MT '!$C58,AND($C32="Plane - international (extra EU)"),$E32*'MT '!$C60)</f>
        <v>#N/A</v>
      </c>
      <c r="H32" s="145"/>
      <c r="I32" s="148">
        <f t="shared" si="6"/>
        <v>0</v>
      </c>
      <c r="J32" s="146" t="e" cm="1">
        <f t="array" ref="J32">_xlfn.IFS(C32="Fuel car",C32*DATA!$C$17,C32="Electric car",C32*DATA!$F$22,C32="Hybrid car",I32*(0.5*DATA!$C$17+0.5*DATA!$F$22))</f>
        <v>#N/A</v>
      </c>
      <c r="L32" s="218"/>
      <c r="M32" s="219"/>
      <c r="N32" s="220"/>
    </row>
    <row r="33" spans="1:14" ht="14.5" customHeight="1" x14ac:dyDescent="0.2">
      <c r="A33" s="222"/>
      <c r="B33" s="30"/>
      <c r="C33" s="15"/>
      <c r="D33" s="15"/>
      <c r="E33" s="125"/>
      <c r="F33" s="128" t="e" cm="1">
        <f t="array" ref="F33">_xlfn.IFS(AND($C33="Fuel car",$D33=1),$E33*'MT '!C$7,AND($C33="Fuel car",$D33=2),$E33*'MT '!C$8,AND($C33="Fuel car",$D33=3),$E33*'MT '!C$9,AND($C33="Fuel car",$D33=4),$E33*'MT '!C$10,AND($C33="Fuel car",$D33=5),$E33*'MT '!C$11,AND($C33="Motorcycle",$D33=1),$E33*'MT '!C$13,AND($C33="Motorcycle",$D33=2),$E33*'MT '!C$14,AND($C33="Electric car",$D33=1),$E33*'MT '!C$16,AND($C33="Electric car",$D33=2),$E33*'MT '!C$17,AND($C33="Electric car",$D33=3),$E33*'MT '!C$18,AND($C33="Electric car",$D33=4),$E33*'MT '!C$19,AND($C33="Electric car",$D33=5),$E33*'MT '!C$20,AND($C33="Hybrid car",$D33=1),$E33*'MT '!C$22,AND($C33="Hybrid car",$D33=2),$E33*'MT '!C$23,AND($C33="Hybrid car",$D33=3),$E33*'MT '!C$24,AND($C33="Hybrid car",$D33=4),$E33*'MT '!C$25,AND($C33="Hybrid car",$D33=5),$E33*'MT '!C$26,AND($C33="Electric motorcycle",$D33=1),$E33*'MT '!C$28,AND($C33="Electric motorcycle",$D33=2),$E33*'MT '!C$29,AND($C33="Electric bike",$D33=1),$E33*'MT '!C$31,AND($C33="Electric scooter",$D33=1),$E33*'MT '!C$33,AND($C33="Bus",$D33="Almost empty"),$E33*'MT '!H$23,AND($C33="Bus",$D33="Average"),$E33*'MT '!H$24,AND($C33="Bus",$D33="Nearly full"),$E33*'MT '!H$25,AND($C33="Electric bus",$D33="Almost empty"),$E33*'MT '!H$7,AND($C33="Electric bus",$D33="Average"),$E33*'MT '!H$8,AND($C33="Electric bus",$D33="Nearly full"),$E33*'MT '!H$9,AND($C33="Diesel bus",$D33="Almost empty"),$E33*'MT '!H$19,AND($C33="Diesel bus",$D33="Average"),$E33*'MT '!H$20,AND($C33="Diesel bus",$D33="Nearly full"),$E33*'MT '!H$21,AND($C33="Hybrid-electric bus",$D33="Almost empty"),$E33*'MT '!H$11,AND($C33="Hybrid-electric bus",$D33="Average"),$E33*'MT '!H$12,AND($C33="Hybrid-electric bus",$D33="Nearly full"),$E33*'MT '!H$13,AND($C33="Alternative fuel bus",$D33="Almost empty"),$E33*'MT '!H$15,AND($C33="Alternative fuel bus",$D33="Average"),$E33*'MT '!H$16,AND($C33="Alternative fuel bus",$D33="Nearly full"),$E33*'MT '!H$17,AND($C33="Metro, tram, urban light train",$D33="Almost empty"),$E33*'MT '!C$35,AND($C33="Metro, tram, urban light train",$D33="Average"),$E33*'MT '!C$36,AND($C33="Metro, tram, urban light train",$D33="Nearly full"),$E33*'MT '!C$37,AND($C33="Electric passenger train",$D33="Almost empty"),$E33*'MT '!C$39,AND($C33="Electric passenger train",$D33="Average"),$E33*'MT '!C$40,AND($C33="Electric passenger train",$D33="Nearly full"),$E33*'MT '!C$41,AND($C33="Diesel passenger train",$D33="Almost empty"),$E33*'MT '!C$47,AND($C33="Diesel passenger train",$D33="Average"),$E33*'MT '!C$48,AND($C33="Diesel passenger train",$D33="Nearly full"),$E33*'MT '!C$49,AND($C33="Walking"),$E33*0,AND($C33="Bike"),$E33*0,AND($C33="Plane - domestic flight"),$E33*'MT '!$C57,AND($C33="Plane - international - intra EU"),$E33*'MT '!$C59,AND($C33="Plane - international (extra EU)"),$E33*'MT '!$C61)</f>
        <v>#N/A</v>
      </c>
      <c r="G33" s="31" t="e" cm="1">
        <f t="array" ref="G33">_xlfn.IFS(AND($C33="Fuel car",$D33=1),$E33*'MT '!D$7,AND($C33="Fuel car",$D33=2),$E33*'MT '!D$8,AND($C33="Fuel car",$D33=3),$E33*'MT '!D$9,AND($C33="Fuel car",$D33=4),$E33*'MT '!D$10,AND($C33="Fuel car",$D33=5),$E33*'MT '!D$11,AND($C33="Motorcycle",$D33=1),$E33*'MT '!D$13,AND($C33="Motorcycle",$D33=2),$E33*'MT '!D$14,AND($C33="Electric car",$D33=1),$E33*'MT '!D$16,AND($C33="Electric car",$D33=2),$E33*'MT '!D$17,AND($C33="Electric car",$D33=3),$E33*'MT '!D$18,AND($C33="Electric car",$D33=4),$E33*'MT '!D$19,AND($C33="Electric car",$D33=5),$E33*'MT '!D$20,AND($C33="Hybrid car",$D33=1),$E33*'MT '!D$22,AND($C33="Hybrid car",$D33=2),$E33*'MT '!D$23,AND($C33="Hybrid car",$D33=3),$E33*'MT '!D$24,AND($C33="Hybrid car",$D33=4),$E33*'MT '!D$25,AND($C33="Hybrid car",$D33=5),$E33*'MT '!D$26,AND($C33="Electric motorcycle",$D33=1),$E33*'MT '!D$28,AND($C33="Electric motorcycle",$D33=2),$E33*'MT '!D$29,AND($C33="Electric bike",$D33=1),$E33*'MT '!D$31,AND($C33="Electric scooter",$D33=1),$E33*'MT '!D$33,AND($C33="Bus",$D33="Almost empty"),$E33*'MT '!I$23,AND($C33="Bus",$D33="Average"),$E33*'MT '!I$24,AND($C33="Bus",$D33="Nearly full"),$E33*'MT '!I$25,AND($C33="Electric bus",$D33="Almost empty"),$E33*'MT '!I$7,AND($C33="Electric bus",$D33="Average"),$E33*'MT '!I$8,AND($C33="Electric bus",$D33="Nearly full"),$E33*'MT '!I$9,AND($C33="Diesel bus",$D33="Almost empty"),$E33*'MT '!I$19,AND($C33="Diesel bus",$D33="Average"),$E33*'MT '!I$20,AND($C33="Diesel bus",$D33="Nearly full"),$E33*'MT '!I$21,AND($C33="Hybrid-electric bus",$D33="Almost empty"),$E33*'MT '!I$11,AND($C33="Hybrid-electric bus",$D33="Average"),$E33*'MT '!I$12,AND($C33="Hybrid-electric bus",$D33="Nearly full"),$E33*'MT '!I$13,AND($C33="Alternative fuel bus",$D33="Almost empty"),$E33*'MT '!I$15,AND($C33="Alternative fuel bus",$D33="Average"),$E33*'MT '!I$16,AND($C33="Alternative fuel bus",$D33="Nearly full"),$E33*'MT '!I$17,AND($C33="Metro, tram, urban light train",$D33="Almost empty"),$E33*'MT '!D$35,AND($C33="Metro, tram, urban light train",$D33="Average"),$E33*'MT '!D$36,AND($C33="Metro, tram, urban light train",$D33="Nearly full"),$E33*'MT '!D$37,AND($C33="Electric passenger train",$D33="Almost empty"),$E33*'MT '!D$39,AND($C33="Electric passenger train",$D33="Average"),$E33*'MT '!D$40,AND($C33="Electric passenger train",$D33="Nearly full"),$E33*'MT '!D$41,AND($C33="Diesel passenger train",$D33="Almost empty"),$E33*'MT '!D$47,AND($C33="Diesel passenger train",$D33="Average"),$E33*'MT '!D$48,AND($C33="Diesel passenger train",$D33="Nearly full"),$E33*'MT '!D$49,AND($C33="Walking"),$E33*0,AND($C33="Bike"),$E33*0,AND($C33="Plane - domestic flight"),$E33*'MT '!$C57,AND($C33="Plane - international - intra EU"),$E33*'MT '!$C59,AND($C33="Plane - international (extra EU)"),$E33*'MT '!$C61)</f>
        <v>#N/A</v>
      </c>
      <c r="H33" s="145"/>
      <c r="I33" s="148">
        <f t="shared" si="6"/>
        <v>0</v>
      </c>
      <c r="J33" s="146" t="e" cm="1">
        <f t="array" ref="J33">_xlfn.IFS(C33="Fuel car",C33*DATA!$C$17,C33="Electric car",C33*DATA!$F$22,C33="Hybrid car",I33*(0.5*DATA!$C$17+0.5*DATA!$F$22))</f>
        <v>#N/A</v>
      </c>
      <c r="L33" s="223" t="s">
        <v>78</v>
      </c>
      <c r="M33" s="224"/>
      <c r="N33" s="225"/>
    </row>
    <row r="34" spans="1:14" x14ac:dyDescent="0.2">
      <c r="A34" s="222"/>
      <c r="B34" s="30"/>
      <c r="C34" s="15"/>
      <c r="D34" s="15"/>
      <c r="E34" s="125"/>
      <c r="F34" s="128" t="e" cm="1">
        <f t="array" ref="F34">_xlfn.IFS(AND($C34="Fuel car",$D34=1),$E34*'MT '!C$7,AND($C34="Fuel car",$D34=2),$E34*'MT '!C$8,AND($C34="Fuel car",$D34=3),$E34*'MT '!C$9,AND($C34="Fuel car",$D34=4),$E34*'MT '!C$10,AND($C34="Fuel car",$D34=5),$E34*'MT '!C$11,AND($C34="Motorcycle",$D34=1),$E34*'MT '!C$13,AND($C34="Motorcycle",$D34=2),$E34*'MT '!C$14,AND($C34="Electric car",$D34=1),$E34*'MT '!C$16,AND($C34="Electric car",$D34=2),$E34*'MT '!C$17,AND($C34="Electric car",$D34=3),$E34*'MT '!C$18,AND($C34="Electric car",$D34=4),$E34*'MT '!C$19,AND($C34="Electric car",$D34=5),$E34*'MT '!C$20,AND($C34="Hybrid car",$D34=1),$E34*'MT '!C$22,AND($C34="Hybrid car",$D34=2),$E34*'MT '!C$23,AND($C34="Hybrid car",$D34=3),$E34*'MT '!C$24,AND($C34="Hybrid car",$D34=4),$E34*'MT '!C$25,AND($C34="Hybrid car",$D34=5),$E34*'MT '!C$26,AND($C34="Electric motorcycle",$D34=1),$E34*'MT '!C$28,AND($C34="Electric motorcycle",$D34=2),$E34*'MT '!C$29,AND($C34="Electric bike",$D34=1),$E34*'MT '!C$31,AND($C34="Electric scooter",$D34=1),$E34*'MT '!C$33,AND($C34="Bus",$D34="Almost empty"),$E34*'MT '!H$23,AND($C34="Bus",$D34="Average"),$E34*'MT '!H$24,AND($C34="Bus",$D34="Nearly full"),$E34*'MT '!H$25,AND($C34="Electric bus",$D34="Almost empty"),$E34*'MT '!H$7,AND($C34="Electric bus",$D34="Average"),$E34*'MT '!H$8,AND($C34="Electric bus",$D34="Nearly full"),$E34*'MT '!H$9,AND($C34="Diesel bus",$D34="Almost empty"),$E34*'MT '!H$19,AND($C34="Diesel bus",$D34="Average"),$E34*'MT '!H$20,AND($C34="Diesel bus",$D34="Nearly full"),$E34*'MT '!H$21,AND($C34="Hybrid-electric bus",$D34="Almost empty"),$E34*'MT '!H$11,AND($C34="Hybrid-electric bus",$D34="Average"),$E34*'MT '!H$12,AND($C34="Hybrid-electric bus",$D34="Nearly full"),$E34*'MT '!H$13,AND($C34="Alternative fuel bus",$D34="Almost empty"),$E34*'MT '!H$15,AND($C34="Alternative fuel bus",$D34="Average"),$E34*'MT '!H$16,AND($C34="Alternative fuel bus",$D34="Nearly full"),$E34*'MT '!H$17,AND($C34="Metro, tram, urban light train",$D34="Almost empty"),$E34*'MT '!C$35,AND($C34="Metro, tram, urban light train",$D34="Average"),$E34*'MT '!C$36,AND($C34="Metro, tram, urban light train",$D34="Nearly full"),$E34*'MT '!C$37,AND($C34="Electric passenger train",$D34="Almost empty"),$E34*'MT '!C$39,AND($C34="Electric passenger train",$D34="Average"),$E34*'MT '!C$40,AND($C34="Electric passenger train",$D34="Nearly full"),$E34*'MT '!C$41,AND($C34="Diesel passenger train",$D34="Almost empty"),$E34*'MT '!C$47,AND($C34="Diesel passenger train",$D34="Average"),$E34*'MT '!C$48,AND($C34="Diesel passenger train",$D34="Nearly full"),$E34*'MT '!C$49,AND($C34="Walking"),$E34*0,AND($C34="Bike"),$E34*0,AND($C34="Plane - domestic flight"),$E34*'MT '!$C58,AND($C34="Plane - international - intra EU"),$E34*'MT '!$C60,AND($C34="Plane - international (extra EU)"),$E34*'MT '!$C62)</f>
        <v>#N/A</v>
      </c>
      <c r="G34" s="31" t="e" cm="1">
        <f t="array" ref="G34">_xlfn.IFS(AND($C34="Fuel car",$D34=1),$E34*'MT '!D$7,AND($C34="Fuel car",$D34=2),$E34*'MT '!D$8,AND($C34="Fuel car",$D34=3),$E34*'MT '!D$9,AND($C34="Fuel car",$D34=4),$E34*'MT '!D$10,AND($C34="Fuel car",$D34=5),$E34*'MT '!D$11,AND($C34="Motorcycle",$D34=1),$E34*'MT '!D$13,AND($C34="Motorcycle",$D34=2),$E34*'MT '!D$14,AND($C34="Electric car",$D34=1),$E34*'MT '!D$16,AND($C34="Electric car",$D34=2),$E34*'MT '!D$17,AND($C34="Electric car",$D34=3),$E34*'MT '!D$18,AND($C34="Electric car",$D34=4),$E34*'MT '!D$19,AND($C34="Electric car",$D34=5),$E34*'MT '!D$20,AND($C34="Hybrid car",$D34=1),$E34*'MT '!D$22,AND($C34="Hybrid car",$D34=2),$E34*'MT '!D$23,AND($C34="Hybrid car",$D34=3),$E34*'MT '!D$24,AND($C34="Hybrid car",$D34=4),$E34*'MT '!D$25,AND($C34="Hybrid car",$D34=5),$E34*'MT '!D$26,AND($C34="Electric motorcycle",$D34=1),$E34*'MT '!D$28,AND($C34="Electric motorcycle",$D34=2),$E34*'MT '!D$29,AND($C34="Electric bike",$D34=1),$E34*'MT '!D$31,AND($C34="Electric scooter",$D34=1),$E34*'MT '!D$33,AND($C34="Bus",$D34="Almost empty"),$E34*'MT '!I$23,AND($C34="Bus",$D34="Average"),$E34*'MT '!I$24,AND($C34="Bus",$D34="Nearly full"),$E34*'MT '!I$25,AND($C34="Electric bus",$D34="Almost empty"),$E34*'MT '!I$7,AND($C34="Electric bus",$D34="Average"),$E34*'MT '!I$8,AND($C34="Electric bus",$D34="Nearly full"),$E34*'MT '!I$9,AND($C34="Diesel bus",$D34="Almost empty"),$E34*'MT '!I$19,AND($C34="Diesel bus",$D34="Average"),$E34*'MT '!I$20,AND($C34="Diesel bus",$D34="Nearly full"),$E34*'MT '!I$21,AND($C34="Hybrid-electric bus",$D34="Almost empty"),$E34*'MT '!I$11,AND($C34="Hybrid-electric bus",$D34="Average"),$E34*'MT '!I$12,AND($C34="Hybrid-electric bus",$D34="Nearly full"),$E34*'MT '!I$13,AND($C34="Alternative fuel bus",$D34="Almost empty"),$E34*'MT '!I$15,AND($C34="Alternative fuel bus",$D34="Average"),$E34*'MT '!I$16,AND($C34="Alternative fuel bus",$D34="Nearly full"),$E34*'MT '!I$17,AND($C34="Metro, tram, urban light train",$D34="Almost empty"),$E34*'MT '!D$35,AND($C34="Metro, tram, urban light train",$D34="Average"),$E34*'MT '!D$36,AND($C34="Metro, tram, urban light train",$D34="Nearly full"),$E34*'MT '!D$37,AND($C34="Electric passenger train",$D34="Almost empty"),$E34*'MT '!D$39,AND($C34="Electric passenger train",$D34="Average"),$E34*'MT '!D$40,AND($C34="Electric passenger train",$D34="Nearly full"),$E34*'MT '!D$41,AND($C34="Diesel passenger train",$D34="Almost empty"),$E34*'MT '!D$47,AND($C34="Diesel passenger train",$D34="Average"),$E34*'MT '!D$48,AND($C34="Diesel passenger train",$D34="Nearly full"),$E34*'MT '!D$49,AND($C34="Walking"),$E34*0,AND($C34="Bike"),$E34*0,AND($C34="Plane - domestic flight"),$E34*'MT '!$C58,AND($C34="Plane - international - intra EU"),$E34*'MT '!$C60,AND($C34="Plane - international (extra EU)"),$E34*'MT '!$C62)</f>
        <v>#N/A</v>
      </c>
      <c r="H34" s="145"/>
      <c r="I34" s="148">
        <f t="shared" si="6"/>
        <v>0</v>
      </c>
      <c r="J34" s="146" t="e" cm="1">
        <f t="array" ref="J34">_xlfn.IFS(C34="Fuel car",C34*DATA!$C$17,C34="Electric car",C34*DATA!$F$22,C34="Hybrid car",I34*(0.5*DATA!$C$17+0.5*DATA!$F$22))</f>
        <v>#N/A</v>
      </c>
      <c r="L34" s="223"/>
      <c r="M34" s="224"/>
      <c r="N34" s="225"/>
    </row>
    <row r="35" spans="1:14" ht="14.5" customHeight="1" x14ac:dyDescent="0.2">
      <c r="A35" s="222"/>
      <c r="B35" s="30"/>
      <c r="C35" s="15"/>
      <c r="D35" s="15"/>
      <c r="E35" s="125"/>
      <c r="F35" s="128" t="e" cm="1">
        <f t="array" ref="F35">_xlfn.IFS(AND($C35="Fuel car",$D35=1),$E35*'MT '!C$7,AND($C35="Fuel car",$D35=2),$E35*'MT '!C$8,AND($C35="Fuel car",$D35=3),$E35*'MT '!C$9,AND($C35="Fuel car",$D35=4),$E35*'MT '!C$10,AND($C35="Fuel car",$D35=5),$E35*'MT '!C$11,AND($C35="Motorcycle",$D35=1),$E35*'MT '!C$13,AND($C35="Motorcycle",$D35=2),$E35*'MT '!C$14,AND($C35="Electric car",$D35=1),$E35*'MT '!C$16,AND($C35="Electric car",$D35=2),$E35*'MT '!C$17,AND($C35="Electric car",$D35=3),$E35*'MT '!C$18,AND($C35="Electric car",$D35=4),$E35*'MT '!C$19,AND($C35="Electric car",$D35=5),$E35*'MT '!C$20,AND($C35="Hybrid car",$D35=1),$E35*'MT '!C$22,AND($C35="Hybrid car",$D35=2),$E35*'MT '!C$23,AND($C35="Hybrid car",$D35=3),$E35*'MT '!C$24,AND($C35="Hybrid car",$D35=4),$E35*'MT '!C$25,AND($C35="Hybrid car",$D35=5),$E35*'MT '!C$26,AND($C35="Electric motorcycle",$D35=1),$E35*'MT '!C$28,AND($C35="Electric motorcycle",$D35=2),$E35*'MT '!C$29,AND($C35="Electric bike",$D35=1),$E35*'MT '!C$31,AND($C35="Electric scooter",$D35=1),$E35*'MT '!C$33,AND($C35="Bus",$D35="Almost empty"),$E35*'MT '!H$23,AND($C35="Bus",$D35="Average"),$E35*'MT '!H$24,AND($C35="Bus",$D35="Nearly full"),$E35*'MT '!H$25,AND($C35="Electric bus",$D35="Almost empty"),$E35*'MT '!H$7,AND($C35="Electric bus",$D35="Average"),$E35*'MT '!H$8,AND($C35="Electric bus",$D35="Nearly full"),$E35*'MT '!H$9,AND($C35="Diesel bus",$D35="Almost empty"),$E35*'MT '!H$19,AND($C35="Diesel bus",$D35="Average"),$E35*'MT '!H$20,AND($C35="Diesel bus",$D35="Nearly full"),$E35*'MT '!H$21,AND($C35="Hybrid-electric bus",$D35="Almost empty"),$E35*'MT '!H$11,AND($C35="Hybrid-electric bus",$D35="Average"),$E35*'MT '!H$12,AND($C35="Hybrid-electric bus",$D35="Nearly full"),$E35*'MT '!H$13,AND($C35="Alternative fuel bus",$D35="Almost empty"),$E35*'MT '!H$15,AND($C35="Alternative fuel bus",$D35="Average"),$E35*'MT '!H$16,AND($C35="Alternative fuel bus",$D35="Nearly full"),$E35*'MT '!H$17,AND($C35="Metro, tram, urban light train",$D35="Almost empty"),$E35*'MT '!C$35,AND($C35="Metro, tram, urban light train",$D35="Average"),$E35*'MT '!C$36,AND($C35="Metro, tram, urban light train",$D35="Nearly full"),$E35*'MT '!C$37,AND($C35="Electric passenger train",$D35="Almost empty"),$E35*'MT '!C$39,AND($C35="Electric passenger train",$D35="Average"),$E35*'MT '!C$40,AND($C35="Electric passenger train",$D35="Nearly full"),$E35*'MT '!C$41,AND($C35="Diesel passenger train",$D35="Almost empty"),$E35*'MT '!C$47,AND($C35="Diesel passenger train",$D35="Average"),$E35*'MT '!C$48,AND($C35="Diesel passenger train",$D35="Nearly full"),$E35*'MT '!C$49,AND($C35="Walking"),$E35*0,AND($C35="Bike"),$E35*0,AND($C35="Plane - domestic flight"),$E35*'MT '!$C59,AND($C35="Plane - international - intra EU"),$E35*'MT '!$C61,AND($C35="Plane - international (extra EU)"),$E35*'MT '!$C63)</f>
        <v>#N/A</v>
      </c>
      <c r="G35" s="31" t="e" cm="1">
        <f t="array" ref="G35">_xlfn.IFS(AND($C35="Fuel car",$D35=1),$E35*'MT '!D$7,AND($C35="Fuel car",$D35=2),$E35*'MT '!D$8,AND($C35="Fuel car",$D35=3),$E35*'MT '!D$9,AND($C35="Fuel car",$D35=4),$E35*'MT '!D$10,AND($C35="Fuel car",$D35=5),$E35*'MT '!D$11,AND($C35="Motorcycle",$D35=1),$E35*'MT '!D$13,AND($C35="Motorcycle",$D35=2),$E35*'MT '!D$14,AND($C35="Electric car",$D35=1),$E35*'MT '!D$16,AND($C35="Electric car",$D35=2),$E35*'MT '!D$17,AND($C35="Electric car",$D35=3),$E35*'MT '!D$18,AND($C35="Electric car",$D35=4),$E35*'MT '!D$19,AND($C35="Electric car",$D35=5),$E35*'MT '!D$20,AND($C35="Hybrid car",$D35=1),$E35*'MT '!D$22,AND($C35="Hybrid car",$D35=2),$E35*'MT '!D$23,AND($C35="Hybrid car",$D35=3),$E35*'MT '!D$24,AND($C35="Hybrid car",$D35=4),$E35*'MT '!D$25,AND($C35="Hybrid car",$D35=5),$E35*'MT '!D$26,AND($C35="Electric motorcycle",$D35=1),$E35*'MT '!D$28,AND($C35="Electric motorcycle",$D35=2),$E35*'MT '!D$29,AND($C35="Electric bike",$D35=1),$E35*'MT '!D$31,AND($C35="Electric scooter",$D35=1),$E35*'MT '!D$33,AND($C35="Bus",$D35="Almost empty"),$E35*'MT '!I$23,AND($C35="Bus",$D35="Average"),$E35*'MT '!I$24,AND($C35="Bus",$D35="Nearly full"),$E35*'MT '!I$25,AND($C35="Electric bus",$D35="Almost empty"),$E35*'MT '!I$7,AND($C35="Electric bus",$D35="Average"),$E35*'MT '!I$8,AND($C35="Electric bus",$D35="Nearly full"),$E35*'MT '!I$9,AND($C35="Diesel bus",$D35="Almost empty"),$E35*'MT '!I$19,AND($C35="Diesel bus",$D35="Average"),$E35*'MT '!I$20,AND($C35="Diesel bus",$D35="Nearly full"),$E35*'MT '!I$21,AND($C35="Hybrid-electric bus",$D35="Almost empty"),$E35*'MT '!I$11,AND($C35="Hybrid-electric bus",$D35="Average"),$E35*'MT '!I$12,AND($C35="Hybrid-electric bus",$D35="Nearly full"),$E35*'MT '!I$13,AND($C35="Alternative fuel bus",$D35="Almost empty"),$E35*'MT '!I$15,AND($C35="Alternative fuel bus",$D35="Average"),$E35*'MT '!I$16,AND($C35="Alternative fuel bus",$D35="Nearly full"),$E35*'MT '!I$17,AND($C35="Metro, tram, urban light train",$D35="Almost empty"),$E35*'MT '!D$35,AND($C35="Metro, tram, urban light train",$D35="Average"),$E35*'MT '!D$36,AND($C35="Metro, tram, urban light train",$D35="Nearly full"),$E35*'MT '!D$37,AND($C35="Electric passenger train",$D35="Almost empty"),$E35*'MT '!D$39,AND($C35="Electric passenger train",$D35="Average"),$E35*'MT '!D$40,AND($C35="Electric passenger train",$D35="Nearly full"),$E35*'MT '!D$41,AND($C35="Diesel passenger train",$D35="Almost empty"),$E35*'MT '!D$47,AND($C35="Diesel passenger train",$D35="Average"),$E35*'MT '!D$48,AND($C35="Diesel passenger train",$D35="Nearly full"),$E35*'MT '!D$49,AND($C35="Walking"),$E35*0,AND($C35="Bike"),$E35*0,AND($C35="Plane - domestic flight"),$E35*'MT '!$C59,AND($C35="Plane - international - intra EU"),$E35*'MT '!$C61,AND($C35="Plane - international (extra EU)"),$E35*'MT '!$C63)</f>
        <v>#N/A</v>
      </c>
      <c r="H35" s="145"/>
      <c r="I35" s="148">
        <f t="shared" si="6"/>
        <v>0</v>
      </c>
      <c r="J35" s="146" t="e" cm="1">
        <f t="array" ref="J35">_xlfn.IFS(C35="Fuel car",C35*DATA!$C$17,C35="Electric car",C35*DATA!$F$22,C35="Hybrid car",I35*(0.5*DATA!$C$17+0.5*DATA!$F$22))</f>
        <v>#N/A</v>
      </c>
      <c r="L35" s="223"/>
      <c r="M35" s="224"/>
      <c r="N35" s="225"/>
    </row>
    <row r="36" spans="1:14" ht="16" thickBot="1" x14ac:dyDescent="0.25">
      <c r="A36" s="222"/>
      <c r="B36" s="30"/>
      <c r="C36" s="15"/>
      <c r="D36" s="15"/>
      <c r="E36" s="125"/>
      <c r="F36" s="128" t="e" cm="1">
        <f t="array" ref="F36">_xlfn.IFS(AND($C36="Fuel car",$D36=1),$E36*'MT '!C$7,AND($C36="Fuel car",$D36=2),$E36*'MT '!C$8,AND($C36="Fuel car",$D36=3),$E36*'MT '!C$9,AND($C36="Fuel car",$D36=4),$E36*'MT '!C$10,AND($C36="Fuel car",$D36=5),$E36*'MT '!C$11,AND($C36="Motorcycle",$D36=1),$E36*'MT '!C$13,AND($C36="Motorcycle",$D36=2),$E36*'MT '!C$14,AND($C36="Electric car",$D36=1),$E36*'MT '!C$16,AND($C36="Electric car",$D36=2),$E36*'MT '!C$17,AND($C36="Electric car",$D36=3),$E36*'MT '!C$18,AND($C36="Electric car",$D36=4),$E36*'MT '!C$19,AND($C36="Electric car",$D36=5),$E36*'MT '!C$20,AND($C36="Hybrid car",$D36=1),$E36*'MT '!C$22,AND($C36="Hybrid car",$D36=2),$E36*'MT '!C$23,AND($C36="Hybrid car",$D36=3),$E36*'MT '!C$24,AND($C36="Hybrid car",$D36=4),$E36*'MT '!C$25,AND($C36="Hybrid car",$D36=5),$E36*'MT '!C$26,AND($C36="Electric motorcycle",$D36=1),$E36*'MT '!C$28,AND($C36="Electric motorcycle",$D36=2),$E36*'MT '!C$29,AND($C36="Electric bike",$D36=1),$E36*'MT '!C$31,AND($C36="Electric scooter",$D36=1),$E36*'MT '!C$33,AND($C36="Bus",$D36="Almost empty"),$E36*'MT '!H$23,AND($C36="Bus",$D36="Average"),$E36*'MT '!H$24,AND($C36="Bus",$D36="Nearly full"),$E36*'MT '!H$25,AND($C36="Electric bus",$D36="Almost empty"),$E36*'MT '!H$7,AND($C36="Electric bus",$D36="Average"),$E36*'MT '!H$8,AND($C36="Electric bus",$D36="Nearly full"),$E36*'MT '!H$9,AND($C36="Diesel bus",$D36="Almost empty"),$E36*'MT '!H$19,AND($C36="Diesel bus",$D36="Average"),$E36*'MT '!H$20,AND($C36="Diesel bus",$D36="Nearly full"),$E36*'MT '!H$21,AND($C36="Hybrid-electric bus",$D36="Almost empty"),$E36*'MT '!H$11,AND($C36="Hybrid-electric bus",$D36="Average"),$E36*'MT '!H$12,AND($C36="Hybrid-electric bus",$D36="Nearly full"),$E36*'MT '!H$13,AND($C36="Alternative fuel bus",$D36="Almost empty"),$E36*'MT '!H$15,AND($C36="Alternative fuel bus",$D36="Average"),$E36*'MT '!H$16,AND($C36="Alternative fuel bus",$D36="Nearly full"),$E36*'MT '!H$17,AND($C36="Metro, tram, urban light train",$D36="Almost empty"),$E36*'MT '!C$35,AND($C36="Metro, tram, urban light train",$D36="Average"),$E36*'MT '!C$36,AND($C36="Metro, tram, urban light train",$D36="Nearly full"),$E36*'MT '!C$37,AND($C36="Electric passenger train",$D36="Almost empty"),$E36*'MT '!C$39,AND($C36="Electric passenger train",$D36="Average"),$E36*'MT '!C$40,AND($C36="Electric passenger train",$D36="Nearly full"),$E36*'MT '!C$41,AND($C36="Diesel passenger train",$D36="Almost empty"),$E36*'MT '!C$47,AND($C36="Diesel passenger train",$D36="Average"),$E36*'MT '!C$48,AND($C36="Diesel passenger train",$D36="Nearly full"),$E36*'MT '!C$49,AND($C36="Walking"),$E36*0,AND($C36="Bike"),$E36*0,AND($C36="Plane - domestic flight"),$E36*'MT '!$C60,AND($C36="Plane - international - intra EU"),$E36*'MT '!$C62,AND($C36="Plane - international (extra EU)"),$E36*'MT '!$C64)</f>
        <v>#N/A</v>
      </c>
      <c r="G36" s="31" t="e" cm="1">
        <f t="array" ref="G36">_xlfn.IFS(AND($C36="Fuel car",$D36=1),$E36*'MT '!D$7,AND($C36="Fuel car",$D36=2),$E36*'MT '!D$8,AND($C36="Fuel car",$D36=3),$E36*'MT '!D$9,AND($C36="Fuel car",$D36=4),$E36*'MT '!D$10,AND($C36="Fuel car",$D36=5),$E36*'MT '!D$11,AND($C36="Motorcycle",$D36=1),$E36*'MT '!D$13,AND($C36="Motorcycle",$D36=2),$E36*'MT '!D$14,AND($C36="Electric car",$D36=1),$E36*'MT '!D$16,AND($C36="Electric car",$D36=2),$E36*'MT '!D$17,AND($C36="Electric car",$D36=3),$E36*'MT '!D$18,AND($C36="Electric car",$D36=4),$E36*'MT '!D$19,AND($C36="Electric car",$D36=5),$E36*'MT '!D$20,AND($C36="Hybrid car",$D36=1),$E36*'MT '!D$22,AND($C36="Hybrid car",$D36=2),$E36*'MT '!D$23,AND($C36="Hybrid car",$D36=3),$E36*'MT '!D$24,AND($C36="Hybrid car",$D36=4),$E36*'MT '!D$25,AND($C36="Hybrid car",$D36=5),$E36*'MT '!D$26,AND($C36="Electric motorcycle",$D36=1),$E36*'MT '!D$28,AND($C36="Electric motorcycle",$D36=2),$E36*'MT '!D$29,AND($C36="Electric bike",$D36=1),$E36*'MT '!D$31,AND($C36="Electric scooter",$D36=1),$E36*'MT '!D$33,AND($C36="Bus",$D36="Almost empty"),$E36*'MT '!I$23,AND($C36="Bus",$D36="Average"),$E36*'MT '!I$24,AND($C36="Bus",$D36="Nearly full"),$E36*'MT '!I$25,AND($C36="Electric bus",$D36="Almost empty"),$E36*'MT '!I$7,AND($C36="Electric bus",$D36="Average"),$E36*'MT '!I$8,AND($C36="Electric bus",$D36="Nearly full"),$E36*'MT '!I$9,AND($C36="Diesel bus",$D36="Almost empty"),$E36*'MT '!I$19,AND($C36="Diesel bus",$D36="Average"),$E36*'MT '!I$20,AND($C36="Diesel bus",$D36="Nearly full"),$E36*'MT '!I$21,AND($C36="Hybrid-electric bus",$D36="Almost empty"),$E36*'MT '!I$11,AND($C36="Hybrid-electric bus",$D36="Average"),$E36*'MT '!I$12,AND($C36="Hybrid-electric bus",$D36="Nearly full"),$E36*'MT '!I$13,AND($C36="Alternative fuel bus",$D36="Almost empty"),$E36*'MT '!I$15,AND($C36="Alternative fuel bus",$D36="Average"),$E36*'MT '!I$16,AND($C36="Alternative fuel bus",$D36="Nearly full"),$E36*'MT '!I$17,AND($C36="Metro, tram, urban light train",$D36="Almost empty"),$E36*'MT '!D$35,AND($C36="Metro, tram, urban light train",$D36="Average"),$E36*'MT '!D$36,AND($C36="Metro, tram, urban light train",$D36="Nearly full"),$E36*'MT '!D$37,AND($C36="Electric passenger train",$D36="Almost empty"),$E36*'MT '!D$39,AND($C36="Electric passenger train",$D36="Average"),$E36*'MT '!D$40,AND($C36="Electric passenger train",$D36="Nearly full"),$E36*'MT '!D$41,AND($C36="Diesel passenger train",$D36="Almost empty"),$E36*'MT '!D$47,AND($C36="Diesel passenger train",$D36="Average"),$E36*'MT '!D$48,AND($C36="Diesel passenger train",$D36="Nearly full"),$E36*'MT '!D$49,AND($C36="Walking"),$E36*0,AND($C36="Bike"),$E36*0,AND($C36="Plane - domestic flight"),$E36*'MT '!$C60,AND($C36="Plane - international - intra EU"),$E36*'MT '!$C62,AND($C36="Plane - international (extra EU)"),$E36*'MT '!$C64)</f>
        <v>#N/A</v>
      </c>
      <c r="H36" s="145"/>
      <c r="I36" s="148">
        <f t="shared" si="6"/>
        <v>0</v>
      </c>
      <c r="J36" s="146" t="e" cm="1">
        <f t="array" ref="J36">_xlfn.IFS(C36="Fuel car",C36*DATA!$C$17,C36="Electric car",C36*DATA!$F$22,C36="Hybrid car",I36*(0.5*DATA!$C$17+0.5*DATA!$F$22))</f>
        <v>#N/A</v>
      </c>
      <c r="L36" s="218"/>
      <c r="M36" s="219"/>
      <c r="N36" s="220"/>
    </row>
    <row r="37" spans="1:14" ht="14.5" customHeight="1" x14ac:dyDescent="0.2">
      <c r="A37" s="222"/>
      <c r="B37" s="30"/>
      <c r="C37" s="15"/>
      <c r="D37" s="15"/>
      <c r="E37" s="125"/>
      <c r="F37" s="128" t="e" cm="1">
        <f t="array" ref="F37">_xlfn.IFS(AND($C37="Fuel car",$D37=1),$E37*'MT '!C$7,AND($C37="Fuel car",$D37=2),$E37*'MT '!C$8,AND($C37="Fuel car",$D37=3),$E37*'MT '!C$9,AND($C37="Fuel car",$D37=4),$E37*'MT '!C$10,AND($C37="Fuel car",$D37=5),$E37*'MT '!C$11,AND($C37="Motorcycle",$D37=1),$E37*'MT '!C$13,AND($C37="Motorcycle",$D37=2),$E37*'MT '!C$14,AND($C37="Electric car",$D37=1),$E37*'MT '!C$16,AND($C37="Electric car",$D37=2),$E37*'MT '!C$17,AND($C37="Electric car",$D37=3),$E37*'MT '!C$18,AND($C37="Electric car",$D37=4),$E37*'MT '!C$19,AND($C37="Electric car",$D37=5),$E37*'MT '!C$20,AND($C37="Hybrid car",$D37=1),$E37*'MT '!C$22,AND($C37="Hybrid car",$D37=2),$E37*'MT '!C$23,AND($C37="Hybrid car",$D37=3),$E37*'MT '!C$24,AND($C37="Hybrid car",$D37=4),$E37*'MT '!C$25,AND($C37="Hybrid car",$D37=5),$E37*'MT '!C$26,AND($C37="Electric motorcycle",$D37=1),$E37*'MT '!C$28,AND($C37="Electric motorcycle",$D37=2),$E37*'MT '!C$29,AND($C37="Electric bike",$D37=1),$E37*'MT '!C$31,AND($C37="Electric scooter",$D37=1),$E37*'MT '!C$33,AND($C37="Bus",$D37="Almost empty"),$E37*'MT '!H$23,AND($C37="Bus",$D37="Average"),$E37*'MT '!H$24,AND($C37="Bus",$D37="Nearly full"),$E37*'MT '!H$25,AND($C37="Electric bus",$D37="Almost empty"),$E37*'MT '!H$7,AND($C37="Electric bus",$D37="Average"),$E37*'MT '!H$8,AND($C37="Electric bus",$D37="Nearly full"),$E37*'MT '!H$9,AND($C37="Diesel bus",$D37="Almost empty"),$E37*'MT '!H$19,AND($C37="Diesel bus",$D37="Average"),$E37*'MT '!H$20,AND($C37="Diesel bus",$D37="Nearly full"),$E37*'MT '!H$21,AND($C37="Hybrid-electric bus",$D37="Almost empty"),$E37*'MT '!H$11,AND($C37="Hybrid-electric bus",$D37="Average"),$E37*'MT '!H$12,AND($C37="Hybrid-electric bus",$D37="Nearly full"),$E37*'MT '!H$13,AND($C37="Alternative fuel bus",$D37="Almost empty"),$E37*'MT '!H$15,AND($C37="Alternative fuel bus",$D37="Average"),$E37*'MT '!H$16,AND($C37="Alternative fuel bus",$D37="Nearly full"),$E37*'MT '!H$17,AND($C37="Metro, tram, urban light train",$D37="Almost empty"),$E37*'MT '!C$35,AND($C37="Metro, tram, urban light train",$D37="Average"),$E37*'MT '!C$36,AND($C37="Metro, tram, urban light train",$D37="Nearly full"),$E37*'MT '!C$37,AND($C37="Electric passenger train",$D37="Almost empty"),$E37*'MT '!C$39,AND($C37="Electric passenger train",$D37="Average"),$E37*'MT '!C$40,AND($C37="Electric passenger train",$D37="Nearly full"),$E37*'MT '!C$41,AND($C37="Diesel passenger train",$D37="Almost empty"),$E37*'MT '!C$47,AND($C37="Diesel passenger train",$D37="Average"),$E37*'MT '!C$48,AND($C37="Diesel passenger train",$D37="Nearly full"),$E37*'MT '!C$49,AND($C37="Walking"),$E37*0,AND($C37="Bike"),$E37*0,AND($C37="Plane - domestic flight"),$E37*'MT '!$C61,AND($C37="Plane - international - intra EU"),$E37*'MT '!$C63,AND($C37="Plane - international (extra EU)"),$E37*'MT '!$C65)</f>
        <v>#N/A</v>
      </c>
      <c r="G37" s="31" t="e" cm="1">
        <f t="array" ref="G37">_xlfn.IFS(AND($C37="Fuel car",$D37=1),$E37*'MT '!D$7,AND($C37="Fuel car",$D37=2),$E37*'MT '!D$8,AND($C37="Fuel car",$D37=3),$E37*'MT '!D$9,AND($C37="Fuel car",$D37=4),$E37*'MT '!D$10,AND($C37="Fuel car",$D37=5),$E37*'MT '!D$11,AND($C37="Motorcycle",$D37=1),$E37*'MT '!D$13,AND($C37="Motorcycle",$D37=2),$E37*'MT '!D$14,AND($C37="Electric car",$D37=1),$E37*'MT '!D$16,AND($C37="Electric car",$D37=2),$E37*'MT '!D$17,AND($C37="Electric car",$D37=3),$E37*'MT '!D$18,AND($C37="Electric car",$D37=4),$E37*'MT '!D$19,AND($C37="Electric car",$D37=5),$E37*'MT '!D$20,AND($C37="Hybrid car",$D37=1),$E37*'MT '!D$22,AND($C37="Hybrid car",$D37=2),$E37*'MT '!D$23,AND($C37="Hybrid car",$D37=3),$E37*'MT '!D$24,AND($C37="Hybrid car",$D37=4),$E37*'MT '!D$25,AND($C37="Hybrid car",$D37=5),$E37*'MT '!D$26,AND($C37="Electric motorcycle",$D37=1),$E37*'MT '!D$28,AND($C37="Electric motorcycle",$D37=2),$E37*'MT '!D$29,AND($C37="Electric bike",$D37=1),$E37*'MT '!D$31,AND($C37="Electric scooter",$D37=1),$E37*'MT '!D$33,AND($C37="Bus",$D37="Almost empty"),$E37*'MT '!I$23,AND($C37="Bus",$D37="Average"),$E37*'MT '!I$24,AND($C37="Bus",$D37="Nearly full"),$E37*'MT '!I$25,AND($C37="Electric bus",$D37="Almost empty"),$E37*'MT '!I$7,AND($C37="Electric bus",$D37="Average"),$E37*'MT '!I$8,AND($C37="Electric bus",$D37="Nearly full"),$E37*'MT '!I$9,AND($C37="Diesel bus",$D37="Almost empty"),$E37*'MT '!I$19,AND($C37="Diesel bus",$D37="Average"),$E37*'MT '!I$20,AND($C37="Diesel bus",$D37="Nearly full"),$E37*'MT '!I$21,AND($C37="Hybrid-electric bus",$D37="Almost empty"),$E37*'MT '!I$11,AND($C37="Hybrid-electric bus",$D37="Average"),$E37*'MT '!I$12,AND($C37="Hybrid-electric bus",$D37="Nearly full"),$E37*'MT '!I$13,AND($C37="Alternative fuel bus",$D37="Almost empty"),$E37*'MT '!I$15,AND($C37="Alternative fuel bus",$D37="Average"),$E37*'MT '!I$16,AND($C37="Alternative fuel bus",$D37="Nearly full"),$E37*'MT '!I$17,AND($C37="Metro, tram, urban light train",$D37="Almost empty"),$E37*'MT '!D$35,AND($C37="Metro, tram, urban light train",$D37="Average"),$E37*'MT '!D$36,AND($C37="Metro, tram, urban light train",$D37="Nearly full"),$E37*'MT '!D$37,AND($C37="Electric passenger train",$D37="Almost empty"),$E37*'MT '!D$39,AND($C37="Electric passenger train",$D37="Average"),$E37*'MT '!D$40,AND($C37="Electric passenger train",$D37="Nearly full"),$E37*'MT '!D$41,AND($C37="Diesel passenger train",$D37="Almost empty"),$E37*'MT '!D$47,AND($C37="Diesel passenger train",$D37="Average"),$E37*'MT '!D$48,AND($C37="Diesel passenger train",$D37="Nearly full"),$E37*'MT '!D$49,AND($C37="Walking"),$E37*0,AND($C37="Bike"),$E37*0,AND($C37="Plane - domestic flight"),$E37*'MT '!$C61,AND($C37="Plane - international - intra EU"),$E37*'MT '!$C63,AND($C37="Plane - international (extra EU)"),$E37*'MT '!$C65)</f>
        <v>#N/A</v>
      </c>
      <c r="H37" s="145"/>
      <c r="I37" s="148">
        <f t="shared" si="6"/>
        <v>0</v>
      </c>
      <c r="J37" s="146" t="e" cm="1">
        <f t="array" ref="J37">_xlfn.IFS(C37="Fuel car",C37*DATA!$C$17,C37="Electric car",C37*DATA!$F$22,C37="Hybrid car",I37*(0.5*DATA!$C$17+0.5*DATA!$F$22))</f>
        <v>#N/A</v>
      </c>
      <c r="L37" s="215" t="s">
        <v>79</v>
      </c>
      <c r="M37" s="216"/>
      <c r="N37" s="217"/>
    </row>
    <row r="38" spans="1:14" ht="16" thickBot="1" x14ac:dyDescent="0.25">
      <c r="A38" s="222"/>
      <c r="B38" s="30"/>
      <c r="C38" s="15"/>
      <c r="D38" s="15"/>
      <c r="E38" s="125"/>
      <c r="F38" s="128" t="e" cm="1">
        <f t="array" ref="F38">_xlfn.IFS(AND($C38="Fuel car",$D38=1),$E38*'MT '!C$7,AND($C38="Fuel car",$D38=2),$E38*'MT '!C$8,AND($C38="Fuel car",$D38=3),$E38*'MT '!C$9,AND($C38="Fuel car",$D38=4),$E38*'MT '!C$10,AND($C38="Fuel car",$D38=5),$E38*'MT '!C$11,AND($C38="Motorcycle",$D38=1),$E38*'MT '!C$13,AND($C38="Motorcycle",$D38=2),$E38*'MT '!C$14,AND($C38="Electric car",$D38=1),$E38*'MT '!C$16,AND($C38="Electric car",$D38=2),$E38*'MT '!C$17,AND($C38="Electric car",$D38=3),$E38*'MT '!C$18,AND($C38="Electric car",$D38=4),$E38*'MT '!C$19,AND($C38="Electric car",$D38=5),$E38*'MT '!C$20,AND($C38="Hybrid car",$D38=1),$E38*'MT '!C$22,AND($C38="Hybrid car",$D38=2),$E38*'MT '!C$23,AND($C38="Hybrid car",$D38=3),$E38*'MT '!C$24,AND($C38="Hybrid car",$D38=4),$E38*'MT '!C$25,AND($C38="Hybrid car",$D38=5),$E38*'MT '!C$26,AND($C38="Electric motorcycle",$D38=1),$E38*'MT '!C$28,AND($C38="Electric motorcycle",$D38=2),$E38*'MT '!C$29,AND($C38="Electric bike",$D38=1),$E38*'MT '!C$31,AND($C38="Electric scooter",$D38=1),$E38*'MT '!C$33,AND($C38="Bus",$D38="Almost empty"),$E38*'MT '!H$23,AND($C38="Bus",$D38="Average"),$E38*'MT '!H$24,AND($C38="Bus",$D38="Nearly full"),$E38*'MT '!H$25,AND($C38="Electric bus",$D38="Almost empty"),$E38*'MT '!H$7,AND($C38="Electric bus",$D38="Average"),$E38*'MT '!H$8,AND($C38="Electric bus",$D38="Nearly full"),$E38*'MT '!H$9,AND($C38="Diesel bus",$D38="Almost empty"),$E38*'MT '!H$19,AND($C38="Diesel bus",$D38="Average"),$E38*'MT '!H$20,AND($C38="Diesel bus",$D38="Nearly full"),$E38*'MT '!H$21,AND($C38="Hybrid-electric bus",$D38="Almost empty"),$E38*'MT '!H$11,AND($C38="Hybrid-electric bus",$D38="Average"),$E38*'MT '!H$12,AND($C38="Hybrid-electric bus",$D38="Nearly full"),$E38*'MT '!H$13,AND($C38="Alternative fuel bus",$D38="Almost empty"),$E38*'MT '!H$15,AND($C38="Alternative fuel bus",$D38="Average"),$E38*'MT '!H$16,AND($C38="Alternative fuel bus",$D38="Nearly full"),$E38*'MT '!H$17,AND($C38="Metro, tram, urban light train",$D38="Almost empty"),$E38*'MT '!C$35,AND($C38="Metro, tram, urban light train",$D38="Average"),$E38*'MT '!C$36,AND($C38="Metro, tram, urban light train",$D38="Nearly full"),$E38*'MT '!C$37,AND($C38="Electric passenger train",$D38="Almost empty"),$E38*'MT '!C$39,AND($C38="Electric passenger train",$D38="Average"),$E38*'MT '!C$40,AND($C38="Electric passenger train",$D38="Nearly full"),$E38*'MT '!C$41,AND($C38="Diesel passenger train",$D38="Almost empty"),$E38*'MT '!C$47,AND($C38="Diesel passenger train",$D38="Average"),$E38*'MT '!C$48,AND($C38="Diesel passenger train",$D38="Nearly full"),$E38*'MT '!C$49,AND($C38="Walking"),$E38*0,AND($C38="Bike"),$E38*0,AND($C38="Plane - domestic flight"),$E38*'MT '!$C62,AND($C38="Plane - international - intra EU"),$E38*'MT '!$C64,AND($C38="Plane - international (extra EU)"),$E38*'MT '!$C66)</f>
        <v>#N/A</v>
      </c>
      <c r="G38" s="31" t="e" cm="1">
        <f t="array" ref="G38">_xlfn.IFS(AND($C38="Fuel car",$D38=1),$E38*'MT '!D$7,AND($C38="Fuel car",$D38=2),$E38*'MT '!D$8,AND($C38="Fuel car",$D38=3),$E38*'MT '!D$9,AND($C38="Fuel car",$D38=4),$E38*'MT '!D$10,AND($C38="Fuel car",$D38=5),$E38*'MT '!D$11,AND($C38="Motorcycle",$D38=1),$E38*'MT '!D$13,AND($C38="Motorcycle",$D38=2),$E38*'MT '!D$14,AND($C38="Electric car",$D38=1),$E38*'MT '!D$16,AND($C38="Electric car",$D38=2),$E38*'MT '!D$17,AND($C38="Electric car",$D38=3),$E38*'MT '!D$18,AND($C38="Electric car",$D38=4),$E38*'MT '!D$19,AND($C38="Electric car",$D38=5),$E38*'MT '!D$20,AND($C38="Hybrid car",$D38=1),$E38*'MT '!D$22,AND($C38="Hybrid car",$D38=2),$E38*'MT '!D$23,AND($C38="Hybrid car",$D38=3),$E38*'MT '!D$24,AND($C38="Hybrid car",$D38=4),$E38*'MT '!D$25,AND($C38="Hybrid car",$D38=5),$E38*'MT '!D$26,AND($C38="Electric motorcycle",$D38=1),$E38*'MT '!D$28,AND($C38="Electric motorcycle",$D38=2),$E38*'MT '!D$29,AND($C38="Electric bike",$D38=1),$E38*'MT '!D$31,AND($C38="Electric scooter",$D38=1),$E38*'MT '!D$33,AND($C38="Bus",$D38="Almost empty"),$E38*'MT '!I$23,AND($C38="Bus",$D38="Average"),$E38*'MT '!I$24,AND($C38="Bus",$D38="Nearly full"),$E38*'MT '!I$25,AND($C38="Electric bus",$D38="Almost empty"),$E38*'MT '!I$7,AND($C38="Electric bus",$D38="Average"),$E38*'MT '!I$8,AND($C38="Electric bus",$D38="Nearly full"),$E38*'MT '!I$9,AND($C38="Diesel bus",$D38="Almost empty"),$E38*'MT '!I$19,AND($C38="Diesel bus",$D38="Average"),$E38*'MT '!I$20,AND($C38="Diesel bus",$D38="Nearly full"),$E38*'MT '!I$21,AND($C38="Hybrid-electric bus",$D38="Almost empty"),$E38*'MT '!I$11,AND($C38="Hybrid-electric bus",$D38="Average"),$E38*'MT '!I$12,AND($C38="Hybrid-electric bus",$D38="Nearly full"),$E38*'MT '!I$13,AND($C38="Alternative fuel bus",$D38="Almost empty"),$E38*'MT '!I$15,AND($C38="Alternative fuel bus",$D38="Average"),$E38*'MT '!I$16,AND($C38="Alternative fuel bus",$D38="Nearly full"),$E38*'MT '!I$17,AND($C38="Metro, tram, urban light train",$D38="Almost empty"),$E38*'MT '!D$35,AND($C38="Metro, tram, urban light train",$D38="Average"),$E38*'MT '!D$36,AND($C38="Metro, tram, urban light train",$D38="Nearly full"),$E38*'MT '!D$37,AND($C38="Electric passenger train",$D38="Almost empty"),$E38*'MT '!D$39,AND($C38="Electric passenger train",$D38="Average"),$E38*'MT '!D$40,AND($C38="Electric passenger train",$D38="Nearly full"),$E38*'MT '!D$41,AND($C38="Diesel passenger train",$D38="Almost empty"),$E38*'MT '!D$47,AND($C38="Diesel passenger train",$D38="Average"),$E38*'MT '!D$48,AND($C38="Diesel passenger train",$D38="Nearly full"),$E38*'MT '!D$49,AND($C38="Walking"),$E38*0,AND($C38="Bike"),$E38*0,AND($C38="Plane - domestic flight"),$E38*'MT '!$C62,AND($C38="Plane - international - intra EU"),$E38*'MT '!$C64,AND($C38="Plane - international (extra EU)"),$E38*'MT '!$C66)</f>
        <v>#N/A</v>
      </c>
      <c r="H38" s="145"/>
      <c r="I38" s="148">
        <f t="shared" si="6"/>
        <v>0</v>
      </c>
      <c r="J38" s="146" t="e" cm="1">
        <f t="array" ref="J38">_xlfn.IFS(C38="Fuel car",C38*DATA!$C$17,C38="Electric car",C38*DATA!$F$22,C38="Hybrid car",I38*(0.5*DATA!$C$17+0.5*DATA!$F$22))</f>
        <v>#N/A</v>
      </c>
      <c r="L38" s="218"/>
      <c r="M38" s="219"/>
      <c r="N38" s="220"/>
    </row>
    <row r="39" spans="1:14" ht="14.5" customHeight="1" x14ac:dyDescent="0.2">
      <c r="A39" s="222"/>
      <c r="B39" s="30"/>
      <c r="C39" s="15"/>
      <c r="D39" s="15"/>
      <c r="E39" s="125"/>
      <c r="F39" s="128" t="e" cm="1">
        <f t="array" ref="F39">_xlfn.IFS(AND($C39="Fuel car",$D39=1),$E39*'MT '!C$7,AND($C39="Fuel car",$D39=2),$E39*'MT '!C$8,AND($C39="Fuel car",$D39=3),$E39*'MT '!C$9,AND($C39="Fuel car",$D39=4),$E39*'MT '!C$10,AND($C39="Fuel car",$D39=5),$E39*'MT '!C$11,AND($C39="Motorcycle",$D39=1),$E39*'MT '!C$13,AND($C39="Motorcycle",$D39=2),$E39*'MT '!C$14,AND($C39="Electric car",$D39=1),$E39*'MT '!C$16,AND($C39="Electric car",$D39=2),$E39*'MT '!C$17,AND($C39="Electric car",$D39=3),$E39*'MT '!C$18,AND($C39="Electric car",$D39=4),$E39*'MT '!C$19,AND($C39="Electric car",$D39=5),$E39*'MT '!C$20,AND($C39="Hybrid car",$D39=1),$E39*'MT '!C$22,AND($C39="Hybrid car",$D39=2),$E39*'MT '!C$23,AND($C39="Hybrid car",$D39=3),$E39*'MT '!C$24,AND($C39="Hybrid car",$D39=4),$E39*'MT '!C$25,AND($C39="Hybrid car",$D39=5),$E39*'MT '!C$26,AND($C39="Electric motorcycle",$D39=1),$E39*'MT '!C$28,AND($C39="Electric motorcycle",$D39=2),$E39*'MT '!C$29,AND($C39="Electric bike",$D39=1),$E39*'MT '!C$31,AND($C39="Electric scooter",$D39=1),$E39*'MT '!C$33,AND($C39="Bus",$D39="Almost empty"),$E39*'MT '!H$23,AND($C39="Bus",$D39="Average"),$E39*'MT '!H$24,AND($C39="Bus",$D39="Nearly full"),$E39*'MT '!H$25,AND($C39="Electric bus",$D39="Almost empty"),$E39*'MT '!H$7,AND($C39="Electric bus",$D39="Average"),$E39*'MT '!H$8,AND($C39="Electric bus",$D39="Nearly full"),$E39*'MT '!H$9,AND($C39="Diesel bus",$D39="Almost empty"),$E39*'MT '!H$19,AND($C39="Diesel bus",$D39="Average"),$E39*'MT '!H$20,AND($C39="Diesel bus",$D39="Nearly full"),$E39*'MT '!H$21,AND($C39="Hybrid-electric bus",$D39="Almost empty"),$E39*'MT '!H$11,AND($C39="Hybrid-electric bus",$D39="Average"),$E39*'MT '!H$12,AND($C39="Hybrid-electric bus",$D39="Nearly full"),$E39*'MT '!H$13,AND($C39="Alternative fuel bus",$D39="Almost empty"),$E39*'MT '!H$15,AND($C39="Alternative fuel bus",$D39="Average"),$E39*'MT '!H$16,AND($C39="Alternative fuel bus",$D39="Nearly full"),$E39*'MT '!H$17,AND($C39="Metro, tram, urban light train",$D39="Almost empty"),$E39*'MT '!C$35,AND($C39="Metro, tram, urban light train",$D39="Average"),$E39*'MT '!C$36,AND($C39="Metro, tram, urban light train",$D39="Nearly full"),$E39*'MT '!C$37,AND($C39="Electric passenger train",$D39="Almost empty"),$E39*'MT '!C$39,AND($C39="Electric passenger train",$D39="Average"),$E39*'MT '!C$40,AND($C39="Electric passenger train",$D39="Nearly full"),$E39*'MT '!C$41,AND($C39="Diesel passenger train",$D39="Almost empty"),$E39*'MT '!C$47,AND($C39="Diesel passenger train",$D39="Average"),$E39*'MT '!C$48,AND($C39="Diesel passenger train",$D39="Nearly full"),$E39*'MT '!C$49,AND($C39="Walking"),$E39*0,AND($C39="Bike"),$E39*0,AND($C39="Plane - domestic flight"),$E39*'MT '!$C63,AND($C39="Plane - international - intra EU"),$E39*'MT '!$C65,AND($C39="Plane - international (extra EU)"),$E39*'MT '!$C67)</f>
        <v>#N/A</v>
      </c>
      <c r="G39" s="31" t="e" cm="1">
        <f t="array" ref="G39">_xlfn.IFS(AND($C39="Fuel car",$D39=1),$E39*'MT '!D$7,AND($C39="Fuel car",$D39=2),$E39*'MT '!D$8,AND($C39="Fuel car",$D39=3),$E39*'MT '!D$9,AND($C39="Fuel car",$D39=4),$E39*'MT '!D$10,AND($C39="Fuel car",$D39=5),$E39*'MT '!D$11,AND($C39="Motorcycle",$D39=1),$E39*'MT '!D$13,AND($C39="Motorcycle",$D39=2),$E39*'MT '!D$14,AND($C39="Electric car",$D39=1),$E39*'MT '!D$16,AND($C39="Electric car",$D39=2),$E39*'MT '!D$17,AND($C39="Electric car",$D39=3),$E39*'MT '!D$18,AND($C39="Electric car",$D39=4),$E39*'MT '!D$19,AND($C39="Electric car",$D39=5),$E39*'MT '!D$20,AND($C39="Hybrid car",$D39=1),$E39*'MT '!D$22,AND($C39="Hybrid car",$D39=2),$E39*'MT '!D$23,AND($C39="Hybrid car",$D39=3),$E39*'MT '!D$24,AND($C39="Hybrid car",$D39=4),$E39*'MT '!D$25,AND($C39="Hybrid car",$D39=5),$E39*'MT '!D$26,AND($C39="Electric motorcycle",$D39=1),$E39*'MT '!D$28,AND($C39="Electric motorcycle",$D39=2),$E39*'MT '!D$29,AND($C39="Electric bike",$D39=1),$E39*'MT '!D$31,AND($C39="Electric scooter",$D39=1),$E39*'MT '!D$33,AND($C39="Bus",$D39="Almost empty"),$E39*'MT '!I$23,AND($C39="Bus",$D39="Average"),$E39*'MT '!I$24,AND($C39="Bus",$D39="Nearly full"),$E39*'MT '!I$25,AND($C39="Electric bus",$D39="Almost empty"),$E39*'MT '!I$7,AND($C39="Electric bus",$D39="Average"),$E39*'MT '!I$8,AND($C39="Electric bus",$D39="Nearly full"),$E39*'MT '!I$9,AND($C39="Diesel bus",$D39="Almost empty"),$E39*'MT '!I$19,AND($C39="Diesel bus",$D39="Average"),$E39*'MT '!I$20,AND($C39="Diesel bus",$D39="Nearly full"),$E39*'MT '!I$21,AND($C39="Hybrid-electric bus",$D39="Almost empty"),$E39*'MT '!I$11,AND($C39="Hybrid-electric bus",$D39="Average"),$E39*'MT '!I$12,AND($C39="Hybrid-electric bus",$D39="Nearly full"),$E39*'MT '!I$13,AND($C39="Alternative fuel bus",$D39="Almost empty"),$E39*'MT '!I$15,AND($C39="Alternative fuel bus",$D39="Average"),$E39*'MT '!I$16,AND($C39="Alternative fuel bus",$D39="Nearly full"),$E39*'MT '!I$17,AND($C39="Metro, tram, urban light train",$D39="Almost empty"),$E39*'MT '!D$35,AND($C39="Metro, tram, urban light train",$D39="Average"),$E39*'MT '!D$36,AND($C39="Metro, tram, urban light train",$D39="Nearly full"),$E39*'MT '!D$37,AND($C39="Electric passenger train",$D39="Almost empty"),$E39*'MT '!D$39,AND($C39="Electric passenger train",$D39="Average"),$E39*'MT '!D$40,AND($C39="Electric passenger train",$D39="Nearly full"),$E39*'MT '!D$41,AND($C39="Diesel passenger train",$D39="Almost empty"),$E39*'MT '!D$47,AND($C39="Diesel passenger train",$D39="Average"),$E39*'MT '!D$48,AND($C39="Diesel passenger train",$D39="Nearly full"),$E39*'MT '!D$49,AND($C39="Walking"),$E39*0,AND($C39="Bike"),$E39*0,AND($C39="Plane - domestic flight"),$E39*'MT '!$C63,AND($C39="Plane - international - intra EU"),$E39*'MT '!$C65,AND($C39="Plane - international (extra EU)"),$E39*'MT '!$C67)</f>
        <v>#N/A</v>
      </c>
      <c r="H39" s="145"/>
      <c r="I39" s="148">
        <f t="shared" si="6"/>
        <v>0</v>
      </c>
      <c r="J39" s="146" t="e" cm="1">
        <f t="array" ref="J39">_xlfn.IFS(C39="Fuel car",C39*DATA!$C$17,C39="Electric car",C39*DATA!$F$22,C39="Hybrid car",I39*(0.5*DATA!$C$17+0.5*DATA!$F$22))</f>
        <v>#N/A</v>
      </c>
      <c r="L39" s="226" t="s">
        <v>80</v>
      </c>
      <c r="M39" s="227"/>
      <c r="N39" s="228"/>
    </row>
    <row r="40" spans="1:14" x14ac:dyDescent="0.2">
      <c r="A40" s="222"/>
      <c r="B40" s="30"/>
      <c r="C40" s="15"/>
      <c r="D40" s="15"/>
      <c r="E40" s="125"/>
      <c r="F40" s="128" t="e" cm="1">
        <f t="array" ref="F40">_xlfn.IFS(AND($C40="Fuel car",$D40=1),$E40*'MT '!C$7,AND($C40="Fuel car",$D40=2),$E40*'MT '!C$8,AND($C40="Fuel car",$D40=3),$E40*'MT '!C$9,AND($C40="Fuel car",$D40=4),$E40*'MT '!C$10,AND($C40="Fuel car",$D40=5),$E40*'MT '!C$11,AND($C40="Motorcycle",$D40=1),$E40*'MT '!C$13,AND($C40="Motorcycle",$D40=2),$E40*'MT '!C$14,AND($C40="Electric car",$D40=1),$E40*'MT '!C$16,AND($C40="Electric car",$D40=2),$E40*'MT '!C$17,AND($C40="Electric car",$D40=3),$E40*'MT '!C$18,AND($C40="Electric car",$D40=4),$E40*'MT '!C$19,AND($C40="Electric car",$D40=5),$E40*'MT '!C$20,AND($C40="Hybrid car",$D40=1),$E40*'MT '!C$22,AND($C40="Hybrid car",$D40=2),$E40*'MT '!C$23,AND($C40="Hybrid car",$D40=3),$E40*'MT '!C$24,AND($C40="Hybrid car",$D40=4),$E40*'MT '!C$25,AND($C40="Hybrid car",$D40=5),$E40*'MT '!C$26,AND($C40="Electric motorcycle",$D40=1),$E40*'MT '!C$28,AND($C40="Electric motorcycle",$D40=2),$E40*'MT '!C$29,AND($C40="Electric bike",$D40=1),$E40*'MT '!C$31,AND($C40="Electric scooter",$D40=1),$E40*'MT '!C$33,AND($C40="Bus",$D40="Almost empty"),$E40*'MT '!H$23,AND($C40="Bus",$D40="Average"),$E40*'MT '!H$24,AND($C40="Bus",$D40="Nearly full"),$E40*'MT '!H$25,AND($C40="Electric bus",$D40="Almost empty"),$E40*'MT '!H$7,AND($C40="Electric bus",$D40="Average"),$E40*'MT '!H$8,AND($C40="Electric bus",$D40="Nearly full"),$E40*'MT '!H$9,AND($C40="Diesel bus",$D40="Almost empty"),$E40*'MT '!H$19,AND($C40="Diesel bus",$D40="Average"),$E40*'MT '!H$20,AND($C40="Diesel bus",$D40="Nearly full"),$E40*'MT '!H$21,AND($C40="Hybrid-electric bus",$D40="Almost empty"),$E40*'MT '!H$11,AND($C40="Hybrid-electric bus",$D40="Average"),$E40*'MT '!H$12,AND($C40="Hybrid-electric bus",$D40="Nearly full"),$E40*'MT '!H$13,AND($C40="Alternative fuel bus",$D40="Almost empty"),$E40*'MT '!H$15,AND($C40="Alternative fuel bus",$D40="Average"),$E40*'MT '!H$16,AND($C40="Alternative fuel bus",$D40="Nearly full"),$E40*'MT '!H$17,AND($C40="Metro, tram, urban light train",$D40="Almost empty"),$E40*'MT '!C$35,AND($C40="Metro, tram, urban light train",$D40="Average"),$E40*'MT '!C$36,AND($C40="Metro, tram, urban light train",$D40="Nearly full"),$E40*'MT '!C$37,AND($C40="Electric passenger train",$D40="Almost empty"),$E40*'MT '!C$39,AND($C40="Electric passenger train",$D40="Average"),$E40*'MT '!C$40,AND($C40="Electric passenger train",$D40="Nearly full"),$E40*'MT '!C$41,AND($C40="Diesel passenger train",$D40="Almost empty"),$E40*'MT '!C$47,AND($C40="Diesel passenger train",$D40="Average"),$E40*'MT '!C$48,AND($C40="Diesel passenger train",$D40="Nearly full"),$E40*'MT '!C$49,AND($C40="Walking"),$E40*0,AND($C40="Bike"),$E40*0,AND($C40="Plane - domestic flight"),$E40*'MT '!$C64,AND($C40="Plane - international - intra EU"),$E40*'MT '!$C66,AND($C40="Plane - international (extra EU)"),$E40*'MT '!$C68)</f>
        <v>#N/A</v>
      </c>
      <c r="G40" s="31" t="e" cm="1">
        <f t="array" ref="G40">_xlfn.IFS(AND($C40="Fuel car",$D40=1),$E40*'MT '!D$7,AND($C40="Fuel car",$D40=2),$E40*'MT '!D$8,AND($C40="Fuel car",$D40=3),$E40*'MT '!D$9,AND($C40="Fuel car",$D40=4),$E40*'MT '!D$10,AND($C40="Fuel car",$D40=5),$E40*'MT '!D$11,AND($C40="Motorcycle",$D40=1),$E40*'MT '!D$13,AND($C40="Motorcycle",$D40=2),$E40*'MT '!D$14,AND($C40="Electric car",$D40=1),$E40*'MT '!D$16,AND($C40="Electric car",$D40=2),$E40*'MT '!D$17,AND($C40="Electric car",$D40=3),$E40*'MT '!D$18,AND($C40="Electric car",$D40=4),$E40*'MT '!D$19,AND($C40="Electric car",$D40=5),$E40*'MT '!D$20,AND($C40="Hybrid car",$D40=1),$E40*'MT '!D$22,AND($C40="Hybrid car",$D40=2),$E40*'MT '!D$23,AND($C40="Hybrid car",$D40=3),$E40*'MT '!D$24,AND($C40="Hybrid car",$D40=4),$E40*'MT '!D$25,AND($C40="Hybrid car",$D40=5),$E40*'MT '!D$26,AND($C40="Electric motorcycle",$D40=1),$E40*'MT '!D$28,AND($C40="Electric motorcycle",$D40=2),$E40*'MT '!D$29,AND($C40="Electric bike",$D40=1),$E40*'MT '!D$31,AND($C40="Electric scooter",$D40=1),$E40*'MT '!D$33,AND($C40="Bus",$D40="Almost empty"),$E40*'MT '!I$23,AND($C40="Bus",$D40="Average"),$E40*'MT '!I$24,AND($C40="Bus",$D40="Nearly full"),$E40*'MT '!I$25,AND($C40="Electric bus",$D40="Almost empty"),$E40*'MT '!I$7,AND($C40="Electric bus",$D40="Average"),$E40*'MT '!I$8,AND($C40="Electric bus",$D40="Nearly full"),$E40*'MT '!I$9,AND($C40="Diesel bus",$D40="Almost empty"),$E40*'MT '!I$19,AND($C40="Diesel bus",$D40="Average"),$E40*'MT '!I$20,AND($C40="Diesel bus",$D40="Nearly full"),$E40*'MT '!I$21,AND($C40="Hybrid-electric bus",$D40="Almost empty"),$E40*'MT '!I$11,AND($C40="Hybrid-electric bus",$D40="Average"),$E40*'MT '!I$12,AND($C40="Hybrid-electric bus",$D40="Nearly full"),$E40*'MT '!I$13,AND($C40="Alternative fuel bus",$D40="Almost empty"),$E40*'MT '!I$15,AND($C40="Alternative fuel bus",$D40="Average"),$E40*'MT '!I$16,AND($C40="Alternative fuel bus",$D40="Nearly full"),$E40*'MT '!I$17,AND($C40="Metro, tram, urban light train",$D40="Almost empty"),$E40*'MT '!D$35,AND($C40="Metro, tram, urban light train",$D40="Average"),$E40*'MT '!D$36,AND($C40="Metro, tram, urban light train",$D40="Nearly full"),$E40*'MT '!D$37,AND($C40="Electric passenger train",$D40="Almost empty"),$E40*'MT '!D$39,AND($C40="Electric passenger train",$D40="Average"),$E40*'MT '!D$40,AND($C40="Electric passenger train",$D40="Nearly full"),$E40*'MT '!D$41,AND($C40="Diesel passenger train",$D40="Almost empty"),$E40*'MT '!D$47,AND($C40="Diesel passenger train",$D40="Average"),$E40*'MT '!D$48,AND($C40="Diesel passenger train",$D40="Nearly full"),$E40*'MT '!D$49,AND($C40="Walking"),$E40*0,AND($C40="Bike"),$E40*0,AND($C40="Plane - domestic flight"),$E40*'MT '!$C64,AND($C40="Plane - international - intra EU"),$E40*'MT '!$C66,AND($C40="Plane - international (extra EU)"),$E40*'MT '!$C68)</f>
        <v>#N/A</v>
      </c>
      <c r="H40" s="145"/>
      <c r="I40" s="148">
        <f t="shared" si="6"/>
        <v>0</v>
      </c>
      <c r="J40" s="146" t="e" cm="1">
        <f t="array" ref="J40">_xlfn.IFS(C40="Fuel car",C40*DATA!$C$17,C40="Electric car",C40*DATA!$F$22,C40="Hybrid car",I40*(0.5*DATA!$C$17+0.5*DATA!$F$22))</f>
        <v>#N/A</v>
      </c>
      <c r="L40" s="229"/>
      <c r="M40" s="230"/>
      <c r="N40" s="231"/>
    </row>
    <row r="41" spans="1:14" ht="14.5" customHeight="1" x14ac:dyDescent="0.2">
      <c r="A41" s="222"/>
      <c r="B41" s="30"/>
      <c r="C41" s="15"/>
      <c r="D41" s="15"/>
      <c r="E41" s="125"/>
      <c r="F41" s="128" t="e" cm="1">
        <f t="array" ref="F41">_xlfn.IFS(AND($C41="Fuel car",$D41=1),$E41*'MT '!C$7,AND($C41="Fuel car",$D41=2),$E41*'MT '!C$8,AND($C41="Fuel car",$D41=3),$E41*'MT '!C$9,AND($C41="Fuel car",$D41=4),$E41*'MT '!C$10,AND($C41="Fuel car",$D41=5),$E41*'MT '!C$11,AND($C41="Motorcycle",$D41=1),$E41*'MT '!C$13,AND($C41="Motorcycle",$D41=2),$E41*'MT '!C$14,AND($C41="Electric car",$D41=1),$E41*'MT '!C$16,AND($C41="Electric car",$D41=2),$E41*'MT '!C$17,AND($C41="Electric car",$D41=3),$E41*'MT '!C$18,AND($C41="Electric car",$D41=4),$E41*'MT '!C$19,AND($C41="Electric car",$D41=5),$E41*'MT '!C$20,AND($C41="Hybrid car",$D41=1),$E41*'MT '!C$22,AND($C41="Hybrid car",$D41=2),$E41*'MT '!C$23,AND($C41="Hybrid car",$D41=3),$E41*'MT '!C$24,AND($C41="Hybrid car",$D41=4),$E41*'MT '!C$25,AND($C41="Hybrid car",$D41=5),$E41*'MT '!C$26,AND($C41="Electric motorcycle",$D41=1),$E41*'MT '!C$28,AND($C41="Electric motorcycle",$D41=2),$E41*'MT '!C$29,AND($C41="Electric bike",$D41=1),$E41*'MT '!C$31,AND($C41="Electric scooter",$D41=1),$E41*'MT '!C$33,AND($C41="Bus",$D41="Almost empty"),$E41*'MT '!H$23,AND($C41="Bus",$D41="Average"),$E41*'MT '!H$24,AND($C41="Bus",$D41="Nearly full"),$E41*'MT '!H$25,AND($C41="Electric bus",$D41="Almost empty"),$E41*'MT '!H$7,AND($C41="Electric bus",$D41="Average"),$E41*'MT '!H$8,AND($C41="Electric bus",$D41="Nearly full"),$E41*'MT '!H$9,AND($C41="Diesel bus",$D41="Almost empty"),$E41*'MT '!H$19,AND($C41="Diesel bus",$D41="Average"),$E41*'MT '!H$20,AND($C41="Diesel bus",$D41="Nearly full"),$E41*'MT '!H$21,AND($C41="Hybrid-electric bus",$D41="Almost empty"),$E41*'MT '!H$11,AND($C41="Hybrid-electric bus",$D41="Average"),$E41*'MT '!H$12,AND($C41="Hybrid-electric bus",$D41="Nearly full"),$E41*'MT '!H$13,AND($C41="Alternative fuel bus",$D41="Almost empty"),$E41*'MT '!H$15,AND($C41="Alternative fuel bus",$D41="Average"),$E41*'MT '!H$16,AND($C41="Alternative fuel bus",$D41="Nearly full"),$E41*'MT '!H$17,AND($C41="Metro, tram, urban light train",$D41="Almost empty"),$E41*'MT '!C$35,AND($C41="Metro, tram, urban light train",$D41="Average"),$E41*'MT '!C$36,AND($C41="Metro, tram, urban light train",$D41="Nearly full"),$E41*'MT '!C$37,AND($C41="Electric passenger train",$D41="Almost empty"),$E41*'MT '!C$39,AND($C41="Electric passenger train",$D41="Average"),$E41*'MT '!C$40,AND($C41="Electric passenger train",$D41="Nearly full"),$E41*'MT '!C$41,AND($C41="Diesel passenger train",$D41="Almost empty"),$E41*'MT '!C$47,AND($C41="Diesel passenger train",$D41="Average"),$E41*'MT '!C$48,AND($C41="Diesel passenger train",$D41="Nearly full"),$E41*'MT '!C$49,AND($C41="Walking"),$E41*0,AND($C41="Bike"),$E41*0,AND($C41="Plane - domestic flight"),$E41*'MT '!$C65,AND($C41="Plane - international - intra EU"),$E41*'MT '!$C67,AND($C41="Plane - international (extra EU)"),$E41*'MT '!$C69)</f>
        <v>#N/A</v>
      </c>
      <c r="G41" s="31" t="e" cm="1">
        <f t="array" ref="G41">_xlfn.IFS(AND($C41="Fuel car",$D41=1),$E41*'MT '!D$7,AND($C41="Fuel car",$D41=2),$E41*'MT '!D$8,AND($C41="Fuel car",$D41=3),$E41*'MT '!D$9,AND($C41="Fuel car",$D41=4),$E41*'MT '!D$10,AND($C41="Fuel car",$D41=5),$E41*'MT '!D$11,AND($C41="Motorcycle",$D41=1),$E41*'MT '!D$13,AND($C41="Motorcycle",$D41=2),$E41*'MT '!D$14,AND($C41="Electric car",$D41=1),$E41*'MT '!D$16,AND($C41="Electric car",$D41=2),$E41*'MT '!D$17,AND($C41="Electric car",$D41=3),$E41*'MT '!D$18,AND($C41="Electric car",$D41=4),$E41*'MT '!D$19,AND($C41="Electric car",$D41=5),$E41*'MT '!D$20,AND($C41="Hybrid car",$D41=1),$E41*'MT '!D$22,AND($C41="Hybrid car",$D41=2),$E41*'MT '!D$23,AND($C41="Hybrid car",$D41=3),$E41*'MT '!D$24,AND($C41="Hybrid car",$D41=4),$E41*'MT '!D$25,AND($C41="Hybrid car",$D41=5),$E41*'MT '!D$26,AND($C41="Electric motorcycle",$D41=1),$E41*'MT '!D$28,AND($C41="Electric motorcycle",$D41=2),$E41*'MT '!D$29,AND($C41="Electric bike",$D41=1),$E41*'MT '!D$31,AND($C41="Electric scooter",$D41=1),$E41*'MT '!D$33,AND($C41="Bus",$D41="Almost empty"),$E41*'MT '!I$23,AND($C41="Bus",$D41="Average"),$E41*'MT '!I$24,AND($C41="Bus",$D41="Nearly full"),$E41*'MT '!I$25,AND($C41="Electric bus",$D41="Almost empty"),$E41*'MT '!I$7,AND($C41="Electric bus",$D41="Average"),$E41*'MT '!I$8,AND($C41="Electric bus",$D41="Nearly full"),$E41*'MT '!I$9,AND($C41="Diesel bus",$D41="Almost empty"),$E41*'MT '!I$19,AND($C41="Diesel bus",$D41="Average"),$E41*'MT '!I$20,AND($C41="Diesel bus",$D41="Nearly full"),$E41*'MT '!I$21,AND($C41="Hybrid-electric bus",$D41="Almost empty"),$E41*'MT '!I$11,AND($C41="Hybrid-electric bus",$D41="Average"),$E41*'MT '!I$12,AND($C41="Hybrid-electric bus",$D41="Nearly full"),$E41*'MT '!I$13,AND($C41="Alternative fuel bus",$D41="Almost empty"),$E41*'MT '!I$15,AND($C41="Alternative fuel bus",$D41="Average"),$E41*'MT '!I$16,AND($C41="Alternative fuel bus",$D41="Nearly full"),$E41*'MT '!I$17,AND($C41="Metro, tram, urban light train",$D41="Almost empty"),$E41*'MT '!D$35,AND($C41="Metro, tram, urban light train",$D41="Average"),$E41*'MT '!D$36,AND($C41="Metro, tram, urban light train",$D41="Nearly full"),$E41*'MT '!D$37,AND($C41="Electric passenger train",$D41="Almost empty"),$E41*'MT '!D$39,AND($C41="Electric passenger train",$D41="Average"),$E41*'MT '!D$40,AND($C41="Electric passenger train",$D41="Nearly full"),$E41*'MT '!D$41,AND($C41="Diesel passenger train",$D41="Almost empty"),$E41*'MT '!D$47,AND($C41="Diesel passenger train",$D41="Average"),$E41*'MT '!D$48,AND($C41="Diesel passenger train",$D41="Nearly full"),$E41*'MT '!D$49,AND($C41="Walking"),$E41*0,AND($C41="Bike"),$E41*0,AND($C41="Plane - domestic flight"),$E41*'MT '!$C65,AND($C41="Plane - international - intra EU"),$E41*'MT '!$C67,AND($C41="Plane - international (extra EU)"),$E41*'MT '!$C69)</f>
        <v>#N/A</v>
      </c>
      <c r="H41" s="145"/>
      <c r="I41" s="148">
        <f t="shared" si="6"/>
        <v>0</v>
      </c>
      <c r="J41" s="146" t="e" cm="1">
        <f t="array" ref="J41">_xlfn.IFS(C41="Fuel car",C41*DATA!$C$17,C41="Electric car",C41*DATA!$F$22,C41="Hybrid car",I41*(0.5*DATA!$C$17+0.5*DATA!$F$22))</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car",$D42=1),$E42*'MT '!C$7,AND($C42="Fuel car",$D42=2),$E42*'MT '!C$8,AND($C42="Fuel car",$D42=3),$E42*'MT '!C$9,AND($C42="Fuel car",$D42=4),$E42*'MT '!C$10,AND($C42="Fuel car",$D42=5),$E42*'MT '!C$11,AND($C42="Motorcycle",$D42=1),$E42*'MT '!C$13,AND($C42="Motorcycle",$D42=2),$E42*'MT '!C$14,AND($C42="Electric car",$D42=1),$E42*'MT '!C$16,AND($C42="Electric car",$D42=2),$E42*'MT '!C$17,AND($C42="Electric car",$D42=3),$E42*'MT '!C$18,AND($C42="Electric car",$D42=4),$E42*'MT '!C$19,AND($C42="Electric car",$D42=5),$E42*'MT '!C$20,AND($C42="Hybrid car",$D42=1),$E42*'MT '!C$22,AND($C42="Hybrid car",$D42=2),$E42*'MT '!C$23,AND($C42="Hybrid car",$D42=3),$E42*'MT '!C$24,AND($C42="Hybrid car",$D42=4),$E42*'MT '!C$25,AND($C42="Hybrid car",$D42=5),$E42*'MT '!C$26,AND($C42="Electric motorcycle",$D42=1),$E42*'MT '!C$28,AND($C42="Electric motorcycle",$D42=2),$E42*'MT '!C$29,AND($C42="Electric bike",$D42=1),$E42*'MT '!C$31,AND($C42="Electric scooter",$D42=1),$E42*'MT '!C$33,AND($C42="Bus",$D42="Almost empty"),$E42*'MT '!H$23,AND($C42="Bus",$D42="Average"),$E42*'MT '!H$24,AND($C42="Bus",$D42="Nearly full"),$E42*'MT '!H$25,AND($C42="Electric bus",$D42="Almost empty"),$E42*'MT '!H$7,AND($C42="Electric bus",$D42="Average"),$E42*'MT '!H$8,AND($C42="Electric bus",$D42="Nearly full"),$E42*'MT '!H$9,AND($C42="Diesel bus",$D42="Almost empty"),$E42*'MT '!H$19,AND($C42="Diesel bus",$D42="Average"),$E42*'MT '!H$20,AND($C42="Diesel bus",$D42="Nearly full"),$E42*'MT '!H$21,AND($C42="Hybrid-electric bus",$D42="Almost empty"),$E42*'MT '!H$11,AND($C42="Hybrid-electric bus",$D42="Average"),$E42*'MT '!H$12,AND($C42="Hybrid-electric bus",$D42="Nearly full"),$E42*'MT '!H$13,AND($C42="Alternative fuel bus",$D42="Almost empty"),$E42*'MT '!H$15,AND($C42="Alternative fuel bus",$D42="Average"),$E42*'MT '!H$16,AND($C42="Alternative fuel bus",$D42="Nearly full"),$E42*'MT '!H$17,AND($C42="Metro, tram, urban light train",$D42="Almost empty"),$E42*'MT '!C$35,AND($C42="Metro, tram, urban light train",$D42="Average"),$E42*'MT '!C$36,AND($C42="Metro, tram, urban light train",$D42="Nearly full"),$E42*'MT '!C$37,AND($C42="Electric passenger train",$D42="Almost empty"),$E42*'MT '!C$39,AND($C42="Electric passenger train",$D42="Average"),$E42*'MT '!C$40,AND($C42="Electric passenger train",$D42="Nearly full"),$E42*'MT '!C$41,AND($C42="Diesel passenger train",$D42="Almost empty"),$E42*'MT '!C$47,AND($C42="Diesel passenger train",$D42="Average"),$E42*'MT '!C$48,AND($C42="Diesel passenger train",$D42="Nearly full"),$E42*'MT '!C$49,AND($C42="Walking"),$E42*0,AND($C42="Bike"),$E42*0,AND($C42="Plane - domestic flight"),$E42*'MT '!$C66,AND($C42="Plane - international - intra EU"),$E42*'MT '!$C68,AND($C42="Plane - international (extra EU)"),$E42*'MT '!$C70)</f>
        <v>#N/A</v>
      </c>
      <c r="G42" s="31" t="e" cm="1">
        <f t="array" ref="G42">_xlfn.IFS(AND($C42="Fuel car",$D42=1),$E42*'MT '!D$7,AND($C42="Fuel car",$D42=2),$E42*'MT '!D$8,AND($C42="Fuel car",$D42=3),$E42*'MT '!D$9,AND($C42="Fuel car",$D42=4),$E42*'MT '!D$10,AND($C42="Fuel car",$D42=5),$E42*'MT '!D$11,AND($C42="Motorcycle",$D42=1),$E42*'MT '!D$13,AND($C42="Motorcycle",$D42=2),$E42*'MT '!D$14,AND($C42="Electric car",$D42=1),$E42*'MT '!D$16,AND($C42="Electric car",$D42=2),$E42*'MT '!D$17,AND($C42="Electric car",$D42=3),$E42*'MT '!D$18,AND($C42="Electric car",$D42=4),$E42*'MT '!D$19,AND($C42="Electric car",$D42=5),$E42*'MT '!D$20,AND($C42="Hybrid car",$D42=1),$E42*'MT '!D$22,AND($C42="Hybrid car",$D42=2),$E42*'MT '!D$23,AND($C42="Hybrid car",$D42=3),$E42*'MT '!D$24,AND($C42="Hybrid car",$D42=4),$E42*'MT '!D$25,AND($C42="Hybrid car",$D42=5),$E42*'MT '!D$26,AND($C42="Electric motorcycle",$D42=1),$E42*'MT '!D$28,AND($C42="Electric motorcycle",$D42=2),$E42*'MT '!D$29,AND($C42="Electric bike",$D42=1),$E42*'MT '!D$31,AND($C42="Electric scooter",$D42=1),$E42*'MT '!D$33,AND($C42="Bus",$D42="Almost empty"),$E42*'MT '!I$23,AND($C42="Bus",$D42="Average"),$E42*'MT '!I$24,AND($C42="Bus",$D42="Nearly full"),$E42*'MT '!I$25,AND($C42="Electric bus",$D42="Almost empty"),$E42*'MT '!I$7,AND($C42="Electric bus",$D42="Average"),$E42*'MT '!I$8,AND($C42="Electric bus",$D42="Nearly full"),$E42*'MT '!I$9,AND($C42="Diesel bus",$D42="Almost empty"),$E42*'MT '!I$19,AND($C42="Diesel bus",$D42="Average"),$E42*'MT '!I$20,AND($C42="Diesel bus",$D42="Nearly full"),$E42*'MT '!I$21,AND($C42="Hybrid-electric bus",$D42="Almost empty"),$E42*'MT '!I$11,AND($C42="Hybrid-electric bus",$D42="Average"),$E42*'MT '!I$12,AND($C42="Hybrid-electric bus",$D42="Nearly full"),$E42*'MT '!I$13,AND($C42="Alternative fuel bus",$D42="Almost empty"),$E42*'MT '!I$15,AND($C42="Alternative fuel bus",$D42="Average"),$E42*'MT '!I$16,AND($C42="Alternative fuel bus",$D42="Nearly full"),$E42*'MT '!I$17,AND($C42="Metro, tram, urban light train",$D42="Almost empty"),$E42*'MT '!D$35,AND($C42="Metro, tram, urban light train",$D42="Average"),$E42*'MT '!D$36,AND($C42="Metro, tram, urban light train",$D42="Nearly full"),$E42*'MT '!D$37,AND($C42="Electric passenger train",$D42="Almost empty"),$E42*'MT '!D$39,AND($C42="Electric passenger train",$D42="Average"),$E42*'MT '!D$40,AND($C42="Electric passenger train",$D42="Nearly full"),$E42*'MT '!D$41,AND($C42="Diesel passenger train",$D42="Almost empty"),$E42*'MT '!D$47,AND($C42="Diesel passenger train",$D42="Average"),$E42*'MT '!D$48,AND($C42="Diesel passenger train",$D42="Nearly full"),$E42*'MT '!D$49,AND($C42="Walking"),$E42*0,AND($C42="Bike"),$E42*0,AND($C42="Plane - domestic flight"),$E42*'MT '!$C66,AND($C42="Plane - international - intra EU"),$E42*'MT '!$C68,AND($C42="Plane - international (extra EU)"),$E42*'MT '!$C70)</f>
        <v>#N/A</v>
      </c>
      <c r="H42" s="145"/>
      <c r="I42" s="148">
        <f t="shared" si="6"/>
        <v>0</v>
      </c>
      <c r="J42" s="146" t="e" cm="1">
        <f t="array" ref="J42">_xlfn.IFS(C42="Fuel car",C42*DATA!$C$17,C42="Electric car",C42*DATA!$F$22,C42="Hybrid car",I42*(0.5*DATA!$C$17+0.5*DATA!$F$22))</f>
        <v>#N/A</v>
      </c>
      <c r="L42" s="235"/>
      <c r="M42" s="236"/>
      <c r="N42" s="237"/>
    </row>
    <row r="43" spans="1:14" ht="14.5" customHeight="1" thickBot="1" x14ac:dyDescent="0.25">
      <c r="A43" s="222"/>
      <c r="B43" s="30"/>
      <c r="C43" s="15"/>
      <c r="D43" s="15"/>
      <c r="E43" s="125"/>
      <c r="F43" s="128" t="e" cm="1">
        <f t="array" ref="F43">_xlfn.IFS(AND($C43="Fuel car",$D43=1),$E43*'MT '!C$7,AND($C43="Fuel car",$D43=2),$E43*'MT '!C$8,AND($C43="Fuel car",$D43=3),$E43*'MT '!C$9,AND($C43="Fuel car",$D43=4),$E43*'MT '!C$10,AND($C43="Fuel car",$D43=5),$E43*'MT '!C$11,AND($C43="Motorcycle",$D43=1),$E43*'MT '!C$13,AND($C43="Motorcycle",$D43=2),$E43*'MT '!C$14,AND($C43="Electric car",$D43=1),$E43*'MT '!C$16,AND($C43="Electric car",$D43=2),$E43*'MT '!C$17,AND($C43="Electric car",$D43=3),$E43*'MT '!C$18,AND($C43="Electric car",$D43=4),$E43*'MT '!C$19,AND($C43="Electric car",$D43=5),$E43*'MT '!C$20,AND($C43="Hybrid car",$D43=1),$E43*'MT '!C$22,AND($C43="Hybrid car",$D43=2),$E43*'MT '!C$23,AND($C43="Hybrid car",$D43=3),$E43*'MT '!C$24,AND($C43="Hybrid car",$D43=4),$E43*'MT '!C$25,AND($C43="Hybrid car",$D43=5),$E43*'MT '!C$26,AND($C43="Electric motorcycle",$D43=1),$E43*'MT '!C$28,AND($C43="Electric motorcycle",$D43=2),$E43*'MT '!C$29,AND($C43="Electric bike",$D43=1),$E43*'MT '!C$31,AND($C43="Electric scooter",$D43=1),$E43*'MT '!C$33,AND($C43="Bus",$D43="Almost empty"),$E43*'MT '!H$23,AND($C43="Bus",$D43="Average"),$E43*'MT '!H$24,AND($C43="Bus",$D43="Nearly full"),$E43*'MT '!H$25,AND($C43="Electric bus",$D43="Almost empty"),$E43*'MT '!H$7,AND($C43="Electric bus",$D43="Average"),$E43*'MT '!H$8,AND($C43="Electric bus",$D43="Nearly full"),$E43*'MT '!H$9,AND($C43="Diesel bus",$D43="Almost empty"),$E43*'MT '!H$19,AND($C43="Diesel bus",$D43="Average"),$E43*'MT '!H$20,AND($C43="Diesel bus",$D43="Nearly full"),$E43*'MT '!H$21,AND($C43="Hybrid-electric bus",$D43="Almost empty"),$E43*'MT '!H$11,AND($C43="Hybrid-electric bus",$D43="Average"),$E43*'MT '!H$12,AND($C43="Hybrid-electric bus",$D43="Nearly full"),$E43*'MT '!H$13,AND($C43="Alternative fuel bus",$D43="Almost empty"),$E43*'MT '!H$15,AND($C43="Alternative fuel bus",$D43="Average"),$E43*'MT '!H$16,AND($C43="Alternative fuel bus",$D43="Nearly full"),$E43*'MT '!H$17,AND($C43="Metro, tram, urban light train",$D43="Almost empty"),$E43*'MT '!C$35,AND($C43="Metro, tram, urban light train",$D43="Average"),$E43*'MT '!C$36,AND($C43="Metro, tram, urban light train",$D43="Nearly full"),$E43*'MT '!C$37,AND($C43="Electric passenger train",$D43="Almost empty"),$E43*'MT '!C$39,AND($C43="Electric passenger train",$D43="Average"),$E43*'MT '!C$40,AND($C43="Electric passenger train",$D43="Nearly full"),$E43*'MT '!C$41,AND($C43="Diesel passenger train",$D43="Almost empty"),$E43*'MT '!C$47,AND($C43="Diesel passenger train",$D43="Average"),$E43*'MT '!C$48,AND($C43="Diesel passenger train",$D43="Nearly full"),$E43*'MT '!C$49,AND($C43="Walking"),$E43*0,AND($C43="Bike"),$E43*0,AND($C43="Plane - domestic flight"),$E43*'MT '!$C67,AND($C43="Plane - international - intra EU"),$E43*'MT '!$C69,AND($C43="Plane - international (extra EU)"),$E43*'MT '!$C71)</f>
        <v>#N/A</v>
      </c>
      <c r="G43" s="31" t="e" cm="1">
        <f t="array" ref="G43">_xlfn.IFS(AND($C43="Fuel car",$D43=1),$E43*'MT '!D$7,AND($C43="Fuel car",$D43=2),$E43*'MT '!D$8,AND($C43="Fuel car",$D43=3),$E43*'MT '!D$9,AND($C43="Fuel car",$D43=4),$E43*'MT '!D$10,AND($C43="Fuel car",$D43=5),$E43*'MT '!D$11,AND($C43="Motorcycle",$D43=1),$E43*'MT '!D$13,AND($C43="Motorcycle",$D43=2),$E43*'MT '!D$14,AND($C43="Electric car",$D43=1),$E43*'MT '!D$16,AND($C43="Electric car",$D43=2),$E43*'MT '!D$17,AND($C43="Electric car",$D43=3),$E43*'MT '!D$18,AND($C43="Electric car",$D43=4),$E43*'MT '!D$19,AND($C43="Electric car",$D43=5),$E43*'MT '!D$20,AND($C43="Hybrid car",$D43=1),$E43*'MT '!D$22,AND($C43="Hybrid car",$D43=2),$E43*'MT '!D$23,AND($C43="Hybrid car",$D43=3),$E43*'MT '!D$24,AND($C43="Hybrid car",$D43=4),$E43*'MT '!D$25,AND($C43="Hybrid car",$D43=5),$E43*'MT '!D$26,AND($C43="Electric motorcycle",$D43=1),$E43*'MT '!D$28,AND($C43="Electric motorcycle",$D43=2),$E43*'MT '!D$29,AND($C43="Electric bike",$D43=1),$E43*'MT '!D$31,AND($C43="Electric scooter",$D43=1),$E43*'MT '!D$33,AND($C43="Bus",$D43="Almost empty"),$E43*'MT '!I$23,AND($C43="Bus",$D43="Average"),$E43*'MT '!I$24,AND($C43="Bus",$D43="Nearly full"),$E43*'MT '!I$25,AND($C43="Electric bus",$D43="Almost empty"),$E43*'MT '!I$7,AND($C43="Electric bus",$D43="Average"),$E43*'MT '!I$8,AND($C43="Electric bus",$D43="Nearly full"),$E43*'MT '!I$9,AND($C43="Diesel bus",$D43="Almost empty"),$E43*'MT '!I$19,AND($C43="Diesel bus",$D43="Average"),$E43*'MT '!I$20,AND($C43="Diesel bus",$D43="Nearly full"),$E43*'MT '!I$21,AND($C43="Hybrid-electric bus",$D43="Almost empty"),$E43*'MT '!I$11,AND($C43="Hybrid-electric bus",$D43="Average"),$E43*'MT '!I$12,AND($C43="Hybrid-electric bus",$D43="Nearly full"),$E43*'MT '!I$13,AND($C43="Alternative fuel bus",$D43="Almost empty"),$E43*'MT '!I$15,AND($C43="Alternative fuel bus",$D43="Average"),$E43*'MT '!I$16,AND($C43="Alternative fuel bus",$D43="Nearly full"),$E43*'MT '!I$17,AND($C43="Metro, tram, urban light train",$D43="Almost empty"),$E43*'MT '!D$35,AND($C43="Metro, tram, urban light train",$D43="Average"),$E43*'MT '!D$36,AND($C43="Metro, tram, urban light train",$D43="Nearly full"),$E43*'MT '!D$37,AND($C43="Electric passenger train",$D43="Almost empty"),$E43*'MT '!D$39,AND($C43="Electric passenger train",$D43="Average"),$E43*'MT '!D$40,AND($C43="Electric passenger train",$D43="Nearly full"),$E43*'MT '!D$41,AND($C43="Diesel passenger train",$D43="Almost empty"),$E43*'MT '!D$47,AND($C43="Diesel passenger train",$D43="Average"),$E43*'MT '!D$48,AND($C43="Diesel passenger train",$D43="Nearly full"),$E43*'MT '!D$49,AND($C43="Walking"),$E43*0,AND($C43="Bike"),$E43*0,AND($C43="Plane - domestic flight"),$E43*'MT '!$C67,AND($C43="Plane - international - intra EU"),$E43*'MT '!$C69,AND($C43="Plane - international (extra EU)"),$E43*'MT '!$C71)</f>
        <v>#N/A</v>
      </c>
      <c r="H43" s="109"/>
      <c r="I43" s="154">
        <f t="shared" si="6"/>
        <v>0</v>
      </c>
      <c r="J43" s="147" t="e" cm="1">
        <f t="array" ref="J43">_xlfn.IFS(C43="Fuel car",C43*DATA!$C$17,C43="Electric car",C43*DATA!$F$22,C43="Hybrid car",I43*(0.5*DATA!$C$17+0.5*DATA!$F$22))</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car",$D44=1),$E44*'MT '!C$7,AND($C44="Fuel car",$D44=2),$E44*'MT '!C$8,AND($C44="Fuel car",$D44=3),$E44*'MT '!C$9,AND($C44="Fuel car",$D44=4),$E44*'MT '!C$10,AND($C44="Fuel car",$D44=5),$E44*'MT '!C$11,AND($C44="Motorcycle",$D44=1),$E44*'MT '!C$13,AND($C44="Motorcycle",$D44=2),$E44*'MT '!C$14,AND($C44="Electric car",$D44=1),$E44*'MT '!C$16,AND($C44="Electric car",$D44=2),$E44*'MT '!C$17,AND($C44="Electric car",$D44=3),$E44*'MT '!C$18,AND($C44="Electric car",$D44=4),$E44*'MT '!C$19,AND($C44="Electric car",$D44=5),$E44*'MT '!C$20,AND($C44="Hybrid car",$D44=1),$E44*'MT '!C$22,AND($C44="Hybrid car",$D44=2),$E44*'MT '!C$23,AND($C44="Hybrid car",$D44=3),$E44*'MT '!C$24,AND($C44="Hybrid car",$D44=4),$E44*'MT '!C$25,AND($C44="Hybrid car",$D44=5),$E44*'MT '!C$26,AND($C44="Electric motorcycle",$D44=1),$E44*'MT '!C$28,AND($C44="Electric motorcycle",$D44=2),$E44*'MT '!C$29,AND($C44="Electric bike",$D44=1),$E44*'MT '!C$31,AND($C44="Electric scooter",$D44=1),$E44*'MT '!C$33,AND($C44="Bus",$D44="Almost empty"),$E44*'MT '!H$23,AND($C44="Bus",$D44="Average"),$E44*'MT '!H$24,AND($C44="Bus",$D44="Nearly full"),$E44*'MT '!H$25,AND($C44="Electric bus",$D44="Almost empty"),$E44*'MT '!H$7,AND($C44="Electric bus",$D44="Average"),$E44*'MT '!H$8,AND($C44="Electric bus",$D44="Nearly full"),$E44*'MT '!H$9,AND($C44="Diesel bus",$D44="Almost empty"),$E44*'MT '!H$19,AND($C44="Diesel bus",$D44="Average"),$E44*'MT '!H$20,AND($C44="Diesel bus",$D44="Nearly full"),$E44*'MT '!H$21,AND($C44="Hybrid-electric bus",$D44="Almost empty"),$E44*'MT '!H$11,AND($C44="Hybrid-electric bus",$D44="Average"),$E44*'MT '!H$12,AND($C44="Hybrid-electric bus",$D44="Nearly full"),$E44*'MT '!H$13,AND($C44="Alternative fuel bus",$D44="Almost empty"),$E44*'MT '!H$15,AND($C44="Alternative fuel bus",$D44="Average"),$E44*'MT '!H$16,AND($C44="Alternative fuel bus",$D44="Nearly full"),$E44*'MT '!H$17,AND($C44="Metro, tram, urban light train",$D44="Almost empty"),$E44*'MT '!C$35,AND($C44="Metro, tram, urban light train",$D44="Average"),$E44*'MT '!C$36,AND($C44="Metro, tram, urban light train",$D44="Nearly full"),$E44*'MT '!C$37,AND($C44="Electric passenger train",$D44="Almost empty"),$E44*'MT '!C$39,AND($C44="Electric passenger train",$D44="Average"),$E44*'MT '!C$40,AND($C44="Electric passenger train",$D44="Nearly full"),$E44*'MT '!C$41,AND($C44="Diesel passenger train",$D44="Almost empty"),$E44*'MT '!C$47,AND($C44="Diesel passenger train",$D44="Average"),$E44*'MT '!C$48,AND($C44="Diesel passenger train",$D44="Nearly full"),$E44*'MT '!C$49,AND($C44="Walking"),$E44*0,AND($C44="Bike"),$E44*0,AND($C44="Plane - domestic flight"),$E44*'MT '!$C68,AND($C44="Plane - international - intra EU"),$E44*'MT '!$C70,AND($C44="Plane - international (extra EU)"),$E44*'MT '!$C72)</f>
        <v>#N/A</v>
      </c>
      <c r="G44" s="31" t="e" cm="1">
        <f t="array" ref="G44">_xlfn.IFS(AND($C44="Fuel car",$D44=1),$E44*'MT '!D$7,AND($C44="Fuel car",$D44=2),$E44*'MT '!D$8,AND($C44="Fuel car",$D44=3),$E44*'MT '!D$9,AND($C44="Fuel car",$D44=4),$E44*'MT '!D$10,AND($C44="Fuel car",$D44=5),$E44*'MT '!D$11,AND($C44="Motorcycle",$D44=1),$E44*'MT '!D$13,AND($C44="Motorcycle",$D44=2),$E44*'MT '!D$14,AND($C44="Electric car",$D44=1),$E44*'MT '!D$16,AND($C44="Electric car",$D44=2),$E44*'MT '!D$17,AND($C44="Electric car",$D44=3),$E44*'MT '!D$18,AND($C44="Electric car",$D44=4),$E44*'MT '!D$19,AND($C44="Electric car",$D44=5),$E44*'MT '!D$20,AND($C44="Hybrid car",$D44=1),$E44*'MT '!D$22,AND($C44="Hybrid car",$D44=2),$E44*'MT '!D$23,AND($C44="Hybrid car",$D44=3),$E44*'MT '!D$24,AND($C44="Hybrid car",$D44=4),$E44*'MT '!D$25,AND($C44="Hybrid car",$D44=5),$E44*'MT '!D$26,AND($C44="Electric motorcycle",$D44=1),$E44*'MT '!D$28,AND($C44="Electric motorcycle",$D44=2),$E44*'MT '!D$29,AND($C44="Electric bike",$D44=1),$E44*'MT '!D$31,AND($C44="Electric scooter",$D44=1),$E44*'MT '!D$33,AND($C44="Bus",$D44="Almost empty"),$E44*'MT '!I$23,AND($C44="Bus",$D44="Average"),$E44*'MT '!I$24,AND($C44="Bus",$D44="Nearly full"),$E44*'MT '!I$25,AND($C44="Electric bus",$D44="Almost empty"),$E44*'MT '!I$7,AND($C44="Electric bus",$D44="Average"),$E44*'MT '!I$8,AND($C44="Electric bus",$D44="Nearly full"),$E44*'MT '!I$9,AND($C44="Diesel bus",$D44="Almost empty"),$E44*'MT '!I$19,AND($C44="Diesel bus",$D44="Average"),$E44*'MT '!I$20,AND($C44="Diesel bus",$D44="Nearly full"),$E44*'MT '!I$21,AND($C44="Hybrid-electric bus",$D44="Almost empty"),$E44*'MT '!I$11,AND($C44="Hybrid-electric bus",$D44="Average"),$E44*'MT '!I$12,AND($C44="Hybrid-electric bus",$D44="Nearly full"),$E44*'MT '!I$13,AND($C44="Alternative fuel bus",$D44="Almost empty"),$E44*'MT '!I$15,AND($C44="Alternative fuel bus",$D44="Average"),$E44*'MT '!I$16,AND($C44="Alternative fuel bus",$D44="Nearly full"),$E44*'MT '!I$17,AND($C44="Metro, tram, urban light train",$D44="Almost empty"),$E44*'MT '!D$35,AND($C44="Metro, tram, urban light train",$D44="Average"),$E44*'MT '!D$36,AND($C44="Metro, tram, urban light train",$D44="Nearly full"),$E44*'MT '!D$37,AND($C44="Electric passenger train",$D44="Almost empty"),$E44*'MT '!D$39,AND($C44="Electric passenger train",$D44="Average"),$E44*'MT '!D$40,AND($C44="Electric passenger train",$D44="Nearly full"),$E44*'MT '!D$41,AND($C44="Diesel passenger train",$D44="Almost empty"),$E44*'MT '!D$47,AND($C44="Diesel passenger train",$D44="Average"),$E44*'MT '!D$48,AND($C44="Diesel passenger train",$D44="Nearly full"),$E44*'MT '!D$49,AND($C44="Walking"),$E44*0,AND($C44="Bike"),$E44*0,AND($C44="Plane - domestic flight"),$E44*'MT '!$C68,AND($C44="Plane - international - intra EU"),$E44*'MT '!$C70,AND($C44="Plane - international (extra EU)"),$E44*'MT '!$C72)</f>
        <v>#N/A</v>
      </c>
      <c r="L44" s="218"/>
      <c r="M44" s="219"/>
      <c r="N44" s="220"/>
    </row>
    <row r="45" spans="1:14" ht="14.5" customHeight="1" x14ac:dyDescent="0.2">
      <c r="A45" s="222"/>
      <c r="B45" s="30"/>
      <c r="C45" s="15"/>
      <c r="D45" s="15"/>
      <c r="E45" s="125"/>
      <c r="F45" s="128" t="e" cm="1">
        <f t="array" ref="F45">_xlfn.IFS(AND($C45="Fuel car",$D45=1),$E45*'MT '!C$7,AND($C45="Fuel car",$D45=2),$E45*'MT '!C$8,AND($C45="Fuel car",$D45=3),$E45*'MT '!C$9,AND($C45="Fuel car",$D45=4),$E45*'MT '!C$10,AND($C45="Fuel car",$D45=5),$E45*'MT '!C$11,AND($C45="Motorcycle",$D45=1),$E45*'MT '!C$13,AND($C45="Motorcycle",$D45=2),$E45*'MT '!C$14,AND($C45="Electric car",$D45=1),$E45*'MT '!C$16,AND($C45="Electric car",$D45=2),$E45*'MT '!C$17,AND($C45="Electric car",$D45=3),$E45*'MT '!C$18,AND($C45="Electric car",$D45=4),$E45*'MT '!C$19,AND($C45="Electric car",$D45=5),$E45*'MT '!C$20,AND($C45="Hybrid car",$D45=1),$E45*'MT '!C$22,AND($C45="Hybrid car",$D45=2),$E45*'MT '!C$23,AND($C45="Hybrid car",$D45=3),$E45*'MT '!C$24,AND($C45="Hybrid car",$D45=4),$E45*'MT '!C$25,AND($C45="Hybrid car",$D45=5),$E45*'MT '!C$26,AND($C45="Electric motorcycle",$D45=1),$E45*'MT '!C$28,AND($C45="Electric motorcycle",$D45=2),$E45*'MT '!C$29,AND($C45="Electric bike",$D45=1),$E45*'MT '!C$31,AND($C45="Electric scooter",$D45=1),$E45*'MT '!C$33,AND($C45="Bus",$D45="Almost empty"),$E45*'MT '!H$23,AND($C45="Bus",$D45="Average"),$E45*'MT '!H$24,AND($C45="Bus",$D45="Nearly full"),$E45*'MT '!H$25,AND($C45="Electric bus",$D45="Almost empty"),$E45*'MT '!H$7,AND($C45="Electric bus",$D45="Average"),$E45*'MT '!H$8,AND($C45="Electric bus",$D45="Nearly full"),$E45*'MT '!H$9,AND($C45="Diesel bus",$D45="Almost empty"),$E45*'MT '!H$19,AND($C45="Diesel bus",$D45="Average"),$E45*'MT '!H$20,AND($C45="Diesel bus",$D45="Nearly full"),$E45*'MT '!H$21,AND($C45="Hybrid-electric bus",$D45="Almost empty"),$E45*'MT '!H$11,AND($C45="Hybrid-electric bus",$D45="Average"),$E45*'MT '!H$12,AND($C45="Hybrid-electric bus",$D45="Nearly full"),$E45*'MT '!H$13,AND($C45="Alternative fuel bus",$D45="Almost empty"),$E45*'MT '!H$15,AND($C45="Alternative fuel bus",$D45="Average"),$E45*'MT '!H$16,AND($C45="Alternative fuel bus",$D45="Nearly full"),$E45*'MT '!H$17,AND($C45="Metro, tram, urban light train",$D45="Almost empty"),$E45*'MT '!C$35,AND($C45="Metro, tram, urban light train",$D45="Average"),$E45*'MT '!C$36,AND($C45="Metro, tram, urban light train",$D45="Nearly full"),$E45*'MT '!C$37,AND($C45="Electric passenger train",$D45="Almost empty"),$E45*'MT '!C$39,AND($C45="Electric passenger train",$D45="Average"),$E45*'MT '!C$40,AND($C45="Electric passenger train",$D45="Nearly full"),$E45*'MT '!C$41,AND($C45="Diesel passenger train",$D45="Almost empty"),$E45*'MT '!C$47,AND($C45="Diesel passenger train",$D45="Average"),$E45*'MT '!C$48,AND($C45="Diesel passenger train",$D45="Nearly full"),$E45*'MT '!C$49,AND($C45="Walking"),$E45*0,AND($C45="Bike"),$E45*0,AND($C45="Plane - domestic flight"),$E45*'MT '!$C69,AND($C45="Plane - international - intra EU"),$E45*'MT '!$C71,AND($C45="Plane - international (extra EU)"),$E45*'MT '!$C73)</f>
        <v>#N/A</v>
      </c>
      <c r="G45" s="31" t="e" cm="1">
        <f t="array" ref="G45">_xlfn.IFS(AND($C45="Fuel car",$D45=1),$E45*'MT '!D$7,AND($C45="Fuel car",$D45=2),$E45*'MT '!D$8,AND($C45="Fuel car",$D45=3),$E45*'MT '!D$9,AND($C45="Fuel car",$D45=4),$E45*'MT '!D$10,AND($C45="Fuel car",$D45=5),$E45*'MT '!D$11,AND($C45="Motorcycle",$D45=1),$E45*'MT '!D$13,AND($C45="Motorcycle",$D45=2),$E45*'MT '!D$14,AND($C45="Electric car",$D45=1),$E45*'MT '!D$16,AND($C45="Electric car",$D45=2),$E45*'MT '!D$17,AND($C45="Electric car",$D45=3),$E45*'MT '!D$18,AND($C45="Electric car",$D45=4),$E45*'MT '!D$19,AND($C45="Electric car",$D45=5),$E45*'MT '!D$20,AND($C45="Hybrid car",$D45=1),$E45*'MT '!D$22,AND($C45="Hybrid car",$D45=2),$E45*'MT '!D$23,AND($C45="Hybrid car",$D45=3),$E45*'MT '!D$24,AND($C45="Hybrid car",$D45=4),$E45*'MT '!D$25,AND($C45="Hybrid car",$D45=5),$E45*'MT '!D$26,AND($C45="Electric motorcycle",$D45=1),$E45*'MT '!D$28,AND($C45="Electric motorcycle",$D45=2),$E45*'MT '!D$29,AND($C45="Electric bike",$D45=1),$E45*'MT '!D$31,AND($C45="Electric scooter",$D45=1),$E45*'MT '!D$33,AND($C45="Bus",$D45="Almost empty"),$E45*'MT '!I$23,AND($C45="Bus",$D45="Average"),$E45*'MT '!I$24,AND($C45="Bus",$D45="Nearly full"),$E45*'MT '!I$25,AND($C45="Electric bus",$D45="Almost empty"),$E45*'MT '!I$7,AND($C45="Electric bus",$D45="Average"),$E45*'MT '!I$8,AND($C45="Electric bus",$D45="Nearly full"),$E45*'MT '!I$9,AND($C45="Diesel bus",$D45="Almost empty"),$E45*'MT '!I$19,AND($C45="Diesel bus",$D45="Average"),$E45*'MT '!I$20,AND($C45="Diesel bus",$D45="Nearly full"),$E45*'MT '!I$21,AND($C45="Hybrid-electric bus",$D45="Almost empty"),$E45*'MT '!I$11,AND($C45="Hybrid-electric bus",$D45="Average"),$E45*'MT '!I$12,AND($C45="Hybrid-electric bus",$D45="Nearly full"),$E45*'MT '!I$13,AND($C45="Alternative fuel bus",$D45="Almost empty"),$E45*'MT '!I$15,AND($C45="Alternative fuel bus",$D45="Average"),$E45*'MT '!I$16,AND($C45="Alternative fuel bus",$D45="Nearly full"),$E45*'MT '!I$17,AND($C45="Metro, tram, urban light train",$D45="Almost empty"),$E45*'MT '!D$35,AND($C45="Metro, tram, urban light train",$D45="Average"),$E45*'MT '!D$36,AND($C45="Metro, tram, urban light train",$D45="Nearly full"),$E45*'MT '!D$37,AND($C45="Electric passenger train",$D45="Almost empty"),$E45*'MT '!D$39,AND($C45="Electric passenger train",$D45="Average"),$E45*'MT '!D$40,AND($C45="Electric passenger train",$D45="Nearly full"),$E45*'MT '!D$41,AND($C45="Diesel passenger train",$D45="Almost empty"),$E45*'MT '!D$47,AND($C45="Diesel passenger train",$D45="Average"),$E45*'MT '!D$48,AND($C45="Diesel passenger train",$D45="Nearly full"),$E45*'MT '!D$49,AND($C45="Walking"),$E45*0,AND($C45="Bike"),$E45*0,AND($C45="Plane - domestic flight"),$E45*'MT '!$C69,AND($C45="Plane - international - intra EU"),$E45*'MT '!$C71,AND($C45="Plane - international (extra EU)"),$E45*'MT '!$C73)</f>
        <v>#N/A</v>
      </c>
      <c r="L45" s="198" t="s">
        <v>256</v>
      </c>
      <c r="M45" s="199"/>
      <c r="N45" s="200"/>
    </row>
    <row r="46" spans="1:14" ht="16" thickBot="1" x14ac:dyDescent="0.25">
      <c r="A46" s="222"/>
      <c r="B46" s="30"/>
      <c r="C46" s="15"/>
      <c r="D46" s="15"/>
      <c r="E46" s="125"/>
      <c r="F46" s="128" t="e" cm="1">
        <f t="array" ref="F46">_xlfn.IFS(AND($C46="Fuel car",$D46=1),$E46*'MT '!C$7,AND($C46="Fuel car",$D46=2),$E46*'MT '!C$8,AND($C46="Fuel car",$D46=3),$E46*'MT '!C$9,AND($C46="Fuel car",$D46=4),$E46*'MT '!C$10,AND($C46="Fuel car",$D46=5),$E46*'MT '!C$11,AND($C46="Motorcycle",$D46=1),$E46*'MT '!C$13,AND($C46="Motorcycle",$D46=2),$E46*'MT '!C$14,AND($C46="Electric car",$D46=1),$E46*'MT '!C$16,AND($C46="Electric car",$D46=2),$E46*'MT '!C$17,AND($C46="Electric car",$D46=3),$E46*'MT '!C$18,AND($C46="Electric car",$D46=4),$E46*'MT '!C$19,AND($C46="Electric car",$D46=5),$E46*'MT '!C$20,AND($C46="Hybrid car",$D46=1),$E46*'MT '!C$22,AND($C46="Hybrid car",$D46=2),$E46*'MT '!C$23,AND($C46="Hybrid car",$D46=3),$E46*'MT '!C$24,AND($C46="Hybrid car",$D46=4),$E46*'MT '!C$25,AND($C46="Hybrid car",$D46=5),$E46*'MT '!C$26,AND($C46="Electric motorcycle",$D46=1),$E46*'MT '!C$28,AND($C46="Electric motorcycle",$D46=2),$E46*'MT '!C$29,AND($C46="Electric bike",$D46=1),$E46*'MT '!C$31,AND($C46="Electric scooter",$D46=1),$E46*'MT '!C$33,AND($C46="Bus",$D46="Almost empty"),$E46*'MT '!H$23,AND($C46="Bus",$D46="Average"),$E46*'MT '!H$24,AND($C46="Bus",$D46="Nearly full"),$E46*'MT '!H$25,AND($C46="Electric bus",$D46="Almost empty"),$E46*'MT '!H$7,AND($C46="Electric bus",$D46="Average"),$E46*'MT '!H$8,AND($C46="Electric bus",$D46="Nearly full"),$E46*'MT '!H$9,AND($C46="Diesel bus",$D46="Almost empty"),$E46*'MT '!H$19,AND($C46="Diesel bus",$D46="Average"),$E46*'MT '!H$20,AND($C46="Diesel bus",$D46="Nearly full"),$E46*'MT '!H$21,AND($C46="Hybrid-electric bus",$D46="Almost empty"),$E46*'MT '!H$11,AND($C46="Hybrid-electric bus",$D46="Average"),$E46*'MT '!H$12,AND($C46="Hybrid-electric bus",$D46="Nearly full"),$E46*'MT '!H$13,AND($C46="Alternative fuel bus",$D46="Almost empty"),$E46*'MT '!H$15,AND($C46="Alternative fuel bus",$D46="Average"),$E46*'MT '!H$16,AND($C46="Alternative fuel bus",$D46="Nearly full"),$E46*'MT '!H$17,AND($C46="Metro, tram, urban light train",$D46="Almost empty"),$E46*'MT '!C$35,AND($C46="Metro, tram, urban light train",$D46="Average"),$E46*'MT '!C$36,AND($C46="Metro, tram, urban light train",$D46="Nearly full"),$E46*'MT '!C$37,AND($C46="Electric passenger train",$D46="Almost empty"),$E46*'MT '!C$39,AND($C46="Electric passenger train",$D46="Average"),$E46*'MT '!C$40,AND($C46="Electric passenger train",$D46="Nearly full"),$E46*'MT '!C$41,AND($C46="Diesel passenger train",$D46="Almost empty"),$E46*'MT '!C$47,AND($C46="Diesel passenger train",$D46="Average"),$E46*'MT '!C$48,AND($C46="Diesel passenger train",$D46="Nearly full"),$E46*'MT '!C$49,AND($C46="Walking"),$E46*0,AND($C46="Bike"),$E46*0,AND($C46="Plane - domestic flight"),$E46*'MT '!$C70,AND($C46="Plane - international - intra EU"),$E46*'MT '!$C72,AND($C46="Plane - international (extra EU)"),$E46*'MT '!$C74)</f>
        <v>#N/A</v>
      </c>
      <c r="G46" s="31" t="e" cm="1">
        <f t="array" ref="G46">_xlfn.IFS(AND($C46="Fuel car",$D46=1),$E46*'MT '!D$7,AND($C46="Fuel car",$D46=2),$E46*'MT '!D$8,AND($C46="Fuel car",$D46=3),$E46*'MT '!D$9,AND($C46="Fuel car",$D46=4),$E46*'MT '!D$10,AND($C46="Fuel car",$D46=5),$E46*'MT '!D$11,AND($C46="Motorcycle",$D46=1),$E46*'MT '!D$13,AND($C46="Motorcycle",$D46=2),$E46*'MT '!D$14,AND($C46="Electric car",$D46=1),$E46*'MT '!D$16,AND($C46="Electric car",$D46=2),$E46*'MT '!D$17,AND($C46="Electric car",$D46=3),$E46*'MT '!D$18,AND($C46="Electric car",$D46=4),$E46*'MT '!D$19,AND($C46="Electric car",$D46=5),$E46*'MT '!D$20,AND($C46="Hybrid car",$D46=1),$E46*'MT '!D$22,AND($C46="Hybrid car",$D46=2),$E46*'MT '!D$23,AND($C46="Hybrid car",$D46=3),$E46*'MT '!D$24,AND($C46="Hybrid car",$D46=4),$E46*'MT '!D$25,AND($C46="Hybrid car",$D46=5),$E46*'MT '!D$26,AND($C46="Electric motorcycle",$D46=1),$E46*'MT '!D$28,AND($C46="Electric motorcycle",$D46=2),$E46*'MT '!D$29,AND($C46="Electric bike",$D46=1),$E46*'MT '!D$31,AND($C46="Electric scooter",$D46=1),$E46*'MT '!D$33,AND($C46="Bus",$D46="Almost empty"),$E46*'MT '!I$23,AND($C46="Bus",$D46="Average"),$E46*'MT '!I$24,AND($C46="Bus",$D46="Nearly full"),$E46*'MT '!I$25,AND($C46="Electric bus",$D46="Almost empty"),$E46*'MT '!I$7,AND($C46="Electric bus",$D46="Average"),$E46*'MT '!I$8,AND($C46="Electric bus",$D46="Nearly full"),$E46*'MT '!I$9,AND($C46="Diesel bus",$D46="Almost empty"),$E46*'MT '!I$19,AND($C46="Diesel bus",$D46="Average"),$E46*'MT '!I$20,AND($C46="Diesel bus",$D46="Nearly full"),$E46*'MT '!I$21,AND($C46="Hybrid-electric bus",$D46="Almost empty"),$E46*'MT '!I$11,AND($C46="Hybrid-electric bus",$D46="Average"),$E46*'MT '!I$12,AND($C46="Hybrid-electric bus",$D46="Nearly full"),$E46*'MT '!I$13,AND($C46="Alternative fuel bus",$D46="Almost empty"),$E46*'MT '!I$15,AND($C46="Alternative fuel bus",$D46="Average"),$E46*'MT '!I$16,AND($C46="Alternative fuel bus",$D46="Nearly full"),$E46*'MT '!I$17,AND($C46="Metro, tram, urban light train",$D46="Almost empty"),$E46*'MT '!D$35,AND($C46="Metro, tram, urban light train",$D46="Average"),$E46*'MT '!D$36,AND($C46="Metro, tram, urban light train",$D46="Nearly full"),$E46*'MT '!D$37,AND($C46="Electric passenger train",$D46="Almost empty"),$E46*'MT '!D$39,AND($C46="Electric passenger train",$D46="Average"),$E46*'MT '!D$40,AND($C46="Electric passenger train",$D46="Nearly full"),$E46*'MT '!D$41,AND($C46="Diesel passenger train",$D46="Almost empty"),$E46*'MT '!D$47,AND($C46="Diesel passenger train",$D46="Average"),$E46*'MT '!D$48,AND($C46="Diesel passenger train",$D46="Nearly full"),$E46*'MT '!D$49,AND($C46="Walking"),$E46*0,AND($C46="Bike"),$E46*0,AND($C46="Plane - domestic flight"),$E46*'MT '!$C70,AND($C46="Plane - international - intra EU"),$E46*'MT '!$C72,AND($C46="Plane - international (extra EU)"),$E46*'MT '!$C74)</f>
        <v>#N/A</v>
      </c>
      <c r="L46" s="246"/>
      <c r="M46" s="247"/>
      <c r="N46" s="248"/>
    </row>
    <row r="47" spans="1:14" ht="20" thickBot="1" x14ac:dyDescent="0.25">
      <c r="A47" s="222"/>
      <c r="B47" s="30"/>
      <c r="C47" s="15"/>
      <c r="D47" s="15"/>
      <c r="E47" s="125"/>
      <c r="F47" s="128" t="e" cm="1">
        <f t="array" ref="F47">_xlfn.IFS(AND($C47="Fuel car",$D47=1),$E47*'MT '!C$7,AND($C47="Fuel car",$D47=2),$E47*'MT '!C$8,AND($C47="Fuel car",$D47=3),$E47*'MT '!C$9,AND($C47="Fuel car",$D47=4),$E47*'MT '!C$10,AND($C47="Fuel car",$D47=5),$E47*'MT '!C$11,AND($C47="Motorcycle",$D47=1),$E47*'MT '!C$13,AND($C47="Motorcycle",$D47=2),$E47*'MT '!C$14,AND($C47="Electric car",$D47=1),$E47*'MT '!C$16,AND($C47="Electric car",$D47=2),$E47*'MT '!C$17,AND($C47="Electric car",$D47=3),$E47*'MT '!C$18,AND($C47="Electric car",$D47=4),$E47*'MT '!C$19,AND($C47="Electric car",$D47=5),$E47*'MT '!C$20,AND($C47="Hybrid car",$D47=1),$E47*'MT '!C$22,AND($C47="Hybrid car",$D47=2),$E47*'MT '!C$23,AND($C47="Hybrid car",$D47=3),$E47*'MT '!C$24,AND($C47="Hybrid car",$D47=4),$E47*'MT '!C$25,AND($C47="Hybrid car",$D47=5),$E47*'MT '!C$26,AND($C47="Electric motorcycle",$D47=1),$E47*'MT '!C$28,AND($C47="Electric motorcycle",$D47=2),$E47*'MT '!C$29,AND($C47="Electric bike",$D47=1),$E47*'MT '!C$31,AND($C47="Electric scooter",$D47=1),$E47*'MT '!C$33,AND($C47="Bus",$D47="Almost empty"),$E47*'MT '!H$23,AND($C47="Bus",$D47="Average"),$E47*'MT '!H$24,AND($C47="Bus",$D47="Nearly full"),$E47*'MT '!H$25,AND($C47="Electric bus",$D47="Almost empty"),$E47*'MT '!H$7,AND($C47="Electric bus",$D47="Average"),$E47*'MT '!H$8,AND($C47="Electric bus",$D47="Nearly full"),$E47*'MT '!H$9,AND($C47="Diesel bus",$D47="Almost empty"),$E47*'MT '!H$19,AND($C47="Diesel bus",$D47="Average"),$E47*'MT '!H$20,AND($C47="Diesel bus",$D47="Nearly full"),$E47*'MT '!H$21,AND($C47="Hybrid-electric bus",$D47="Almost empty"),$E47*'MT '!H$11,AND($C47="Hybrid-electric bus",$D47="Average"),$E47*'MT '!H$12,AND($C47="Hybrid-electric bus",$D47="Nearly full"),$E47*'MT '!H$13,AND($C47="Alternative fuel bus",$D47="Almost empty"),$E47*'MT '!H$15,AND($C47="Alternative fuel bus",$D47="Average"),$E47*'MT '!H$16,AND($C47="Alternative fuel bus",$D47="Nearly full"),$E47*'MT '!H$17,AND($C47="Metro, tram, urban light train",$D47="Almost empty"),$E47*'MT '!C$35,AND($C47="Metro, tram, urban light train",$D47="Average"),$E47*'MT '!C$36,AND($C47="Metro, tram, urban light train",$D47="Nearly full"),$E47*'MT '!C$37,AND($C47="Electric passenger train",$D47="Almost empty"),$E47*'MT '!C$39,AND($C47="Electric passenger train",$D47="Average"),$E47*'MT '!C$40,AND($C47="Electric passenger train",$D47="Nearly full"),$E47*'MT '!C$41,AND($C47="Diesel passenger train",$D47="Almost empty"),$E47*'MT '!C$47,AND($C47="Diesel passenger train",$D47="Average"),$E47*'MT '!C$48,AND($C47="Diesel passenger train",$D47="Nearly full"),$E47*'MT '!C$49,AND($C47="Walking"),$E47*0,AND($C47="Bike"),$E47*0,AND($C47="Plane - domestic flight"),$E47*'MT '!$C71,AND($C47="Plane - international - intra EU"),$E47*'MT '!$C73,AND($C47="Plane - international (extra EU)"),$E47*'MT '!$C75)</f>
        <v>#N/A</v>
      </c>
      <c r="G47" s="31" t="e" cm="1">
        <f t="array" ref="G47">_xlfn.IFS(AND($C47="Fuel car",$D47=1),$E47*'MT '!D$7,AND($C47="Fuel car",$D47=2),$E47*'MT '!D$8,AND($C47="Fuel car",$D47=3),$E47*'MT '!D$9,AND($C47="Fuel car",$D47=4),$E47*'MT '!D$10,AND($C47="Fuel car",$D47=5),$E47*'MT '!D$11,AND($C47="Motorcycle",$D47=1),$E47*'MT '!D$13,AND($C47="Motorcycle",$D47=2),$E47*'MT '!D$14,AND($C47="Electric car",$D47=1),$E47*'MT '!D$16,AND($C47="Electric car",$D47=2),$E47*'MT '!D$17,AND($C47="Electric car",$D47=3),$E47*'MT '!D$18,AND($C47="Electric car",$D47=4),$E47*'MT '!D$19,AND($C47="Electric car",$D47=5),$E47*'MT '!D$20,AND($C47="Hybrid car",$D47=1),$E47*'MT '!D$22,AND($C47="Hybrid car",$D47=2),$E47*'MT '!D$23,AND($C47="Hybrid car",$D47=3),$E47*'MT '!D$24,AND($C47="Hybrid car",$D47=4),$E47*'MT '!D$25,AND($C47="Hybrid car",$D47=5),$E47*'MT '!D$26,AND($C47="Electric motorcycle",$D47=1),$E47*'MT '!D$28,AND($C47="Electric motorcycle",$D47=2),$E47*'MT '!D$29,AND($C47="Electric bike",$D47=1),$E47*'MT '!D$31,AND($C47="Electric scooter",$D47=1),$E47*'MT '!D$33,AND($C47="Bus",$D47="Almost empty"),$E47*'MT '!I$23,AND($C47="Bus",$D47="Average"),$E47*'MT '!I$24,AND($C47="Bus",$D47="Nearly full"),$E47*'MT '!I$25,AND($C47="Electric bus",$D47="Almost empty"),$E47*'MT '!I$7,AND($C47="Electric bus",$D47="Average"),$E47*'MT '!I$8,AND($C47="Electric bus",$D47="Nearly full"),$E47*'MT '!I$9,AND($C47="Diesel bus",$D47="Almost empty"),$E47*'MT '!I$19,AND($C47="Diesel bus",$D47="Average"),$E47*'MT '!I$20,AND($C47="Diesel bus",$D47="Nearly full"),$E47*'MT '!I$21,AND($C47="Hybrid-electric bus",$D47="Almost empty"),$E47*'MT '!I$11,AND($C47="Hybrid-electric bus",$D47="Average"),$E47*'MT '!I$12,AND($C47="Hybrid-electric bus",$D47="Nearly full"),$E47*'MT '!I$13,AND($C47="Alternative fuel bus",$D47="Almost empty"),$E47*'MT '!I$15,AND($C47="Alternative fuel bus",$D47="Average"),$E47*'MT '!I$16,AND($C47="Alternative fuel bus",$D47="Nearly full"),$E47*'MT '!I$17,AND($C47="Metro, tram, urban light train",$D47="Almost empty"),$E47*'MT '!D$35,AND($C47="Metro, tram, urban light train",$D47="Average"),$E47*'MT '!D$36,AND($C47="Metro, tram, urban light train",$D47="Nearly full"),$E47*'MT '!D$37,AND($C47="Electric passenger train",$D47="Almost empty"),$E47*'MT '!D$39,AND($C47="Electric passenger train",$D47="Average"),$E47*'MT '!D$40,AND($C47="Electric passenger train",$D47="Nearly full"),$E47*'MT '!D$41,AND($C47="Diesel passenger train",$D47="Almost empty"),$E47*'MT '!D$47,AND($C47="Diesel passenger train",$D47="Average"),$E47*'MT '!D$48,AND($C47="Diesel passenger train",$D47="Nearly full"),$E47*'MT '!D$49,AND($C47="Walking"),$E47*0,AND($C47="Bike"),$E47*0,AND($C47="Plane - domestic flight"),$E47*'MT '!$C71,AND($C47="Plane - international - intra EU"),$E47*'MT '!$C73,AND($C47="Plane - international (extra EU)"),$E47*'MT '!$C75)</f>
        <v>#N/A</v>
      </c>
      <c r="L47" s="238" t="s">
        <v>56</v>
      </c>
      <c r="M47" s="239"/>
      <c r="N47" s="240"/>
    </row>
    <row r="48" spans="1:14" ht="16" thickBot="1" x14ac:dyDescent="0.25">
      <c r="A48" s="222"/>
      <c r="B48" s="30"/>
      <c r="C48" s="15"/>
      <c r="D48" s="15"/>
      <c r="E48" s="125"/>
      <c r="F48" s="128" t="e" cm="1">
        <f t="array" ref="F48">_xlfn.IFS(AND($C48="Fuel car",$D48=1),$E48*'MT '!C$7,AND($C48="Fuel car",$D48=2),$E48*'MT '!C$8,AND($C48="Fuel car",$D48=3),$E48*'MT '!C$9,AND($C48="Fuel car",$D48=4),$E48*'MT '!C$10,AND($C48="Fuel car",$D48=5),$E48*'MT '!C$11,AND($C48="Motorcycle",$D48=1),$E48*'MT '!C$13,AND($C48="Motorcycle",$D48=2),$E48*'MT '!C$14,AND($C48="Electric car",$D48=1),$E48*'MT '!C$16,AND($C48="Electric car",$D48=2),$E48*'MT '!C$17,AND($C48="Electric car",$D48=3),$E48*'MT '!C$18,AND($C48="Electric car",$D48=4),$E48*'MT '!C$19,AND($C48="Electric car",$D48=5),$E48*'MT '!C$20,AND($C48="Hybrid car",$D48=1),$E48*'MT '!C$22,AND($C48="Hybrid car",$D48=2),$E48*'MT '!C$23,AND($C48="Hybrid car",$D48=3),$E48*'MT '!C$24,AND($C48="Hybrid car",$D48=4),$E48*'MT '!C$25,AND($C48="Hybrid car",$D48=5),$E48*'MT '!C$26,AND($C48="Electric motorcycle",$D48=1),$E48*'MT '!C$28,AND($C48="Electric motorcycle",$D48=2),$E48*'MT '!C$29,AND($C48="Electric bike",$D48=1),$E48*'MT '!C$31,AND($C48="Electric scooter",$D48=1),$E48*'MT '!C$33,AND($C48="Bus",$D48="Almost empty"),$E48*'MT '!H$23,AND($C48="Bus",$D48="Average"),$E48*'MT '!H$24,AND($C48="Bus",$D48="Nearly full"),$E48*'MT '!H$25,AND($C48="Electric bus",$D48="Almost empty"),$E48*'MT '!H$7,AND($C48="Electric bus",$D48="Average"),$E48*'MT '!H$8,AND($C48="Electric bus",$D48="Nearly full"),$E48*'MT '!H$9,AND($C48="Diesel bus",$D48="Almost empty"),$E48*'MT '!H$19,AND($C48="Diesel bus",$D48="Average"),$E48*'MT '!H$20,AND($C48="Diesel bus",$D48="Nearly full"),$E48*'MT '!H$21,AND($C48="Hybrid-electric bus",$D48="Almost empty"),$E48*'MT '!H$11,AND($C48="Hybrid-electric bus",$D48="Average"),$E48*'MT '!H$12,AND($C48="Hybrid-electric bus",$D48="Nearly full"),$E48*'MT '!H$13,AND($C48="Alternative fuel bus",$D48="Almost empty"),$E48*'MT '!H$15,AND($C48="Alternative fuel bus",$D48="Average"),$E48*'MT '!H$16,AND($C48="Alternative fuel bus",$D48="Nearly full"),$E48*'MT '!H$17,AND($C48="Metro, tram, urban light train",$D48="Almost empty"),$E48*'MT '!C$35,AND($C48="Metro, tram, urban light train",$D48="Average"),$E48*'MT '!C$36,AND($C48="Metro, tram, urban light train",$D48="Nearly full"),$E48*'MT '!C$37,AND($C48="Electric passenger train",$D48="Almost empty"),$E48*'MT '!C$39,AND($C48="Electric passenger train",$D48="Average"),$E48*'MT '!C$40,AND($C48="Electric passenger train",$D48="Nearly full"),$E48*'MT '!C$41,AND($C48="Diesel passenger train",$D48="Almost empty"),$E48*'MT '!C$47,AND($C48="Diesel passenger train",$D48="Average"),$E48*'MT '!C$48,AND($C48="Diesel passenger train",$D48="Nearly full"),$E48*'MT '!C$49,AND($C48="Walking"),$E48*0,AND($C48="Bike"),$E48*0,AND($C48="Plane - domestic flight"),$E48*'MT '!$C72,AND($C48="Plane - international - intra EU"),$E48*'MT '!$C74,AND($C48="Plane - international (extra EU)"),$E48*'MT '!$C76)</f>
        <v>#N/A</v>
      </c>
      <c r="G48" s="31" t="e" cm="1">
        <f t="array" ref="G48">_xlfn.IFS(AND($C48="Fuel car",$D48=1),$E48*'MT '!D$7,AND($C48="Fuel car",$D48=2),$E48*'MT '!D$8,AND($C48="Fuel car",$D48=3),$E48*'MT '!D$9,AND($C48="Fuel car",$D48=4),$E48*'MT '!D$10,AND($C48="Fuel car",$D48=5),$E48*'MT '!D$11,AND($C48="Motorcycle",$D48=1),$E48*'MT '!D$13,AND($C48="Motorcycle",$D48=2),$E48*'MT '!D$14,AND($C48="Electric car",$D48=1),$E48*'MT '!D$16,AND($C48="Electric car",$D48=2),$E48*'MT '!D$17,AND($C48="Electric car",$D48=3),$E48*'MT '!D$18,AND($C48="Electric car",$D48=4),$E48*'MT '!D$19,AND($C48="Electric car",$D48=5),$E48*'MT '!D$20,AND($C48="Hybrid car",$D48=1),$E48*'MT '!D$22,AND($C48="Hybrid car",$D48=2),$E48*'MT '!D$23,AND($C48="Hybrid car",$D48=3),$E48*'MT '!D$24,AND($C48="Hybrid car",$D48=4),$E48*'MT '!D$25,AND($C48="Hybrid car",$D48=5),$E48*'MT '!D$26,AND($C48="Electric motorcycle",$D48=1),$E48*'MT '!D$28,AND($C48="Electric motorcycle",$D48=2),$E48*'MT '!D$29,AND($C48="Electric bike",$D48=1),$E48*'MT '!D$31,AND($C48="Electric scooter",$D48=1),$E48*'MT '!D$33,AND($C48="Bus",$D48="Almost empty"),$E48*'MT '!I$23,AND($C48="Bus",$D48="Average"),$E48*'MT '!I$24,AND($C48="Bus",$D48="Nearly full"),$E48*'MT '!I$25,AND($C48="Electric bus",$D48="Almost empty"),$E48*'MT '!I$7,AND($C48="Electric bus",$D48="Average"),$E48*'MT '!I$8,AND($C48="Electric bus",$D48="Nearly full"),$E48*'MT '!I$9,AND($C48="Diesel bus",$D48="Almost empty"),$E48*'MT '!I$19,AND($C48="Diesel bus",$D48="Average"),$E48*'MT '!I$20,AND($C48="Diesel bus",$D48="Nearly full"),$E48*'MT '!I$21,AND($C48="Hybrid-electric bus",$D48="Almost empty"),$E48*'MT '!I$11,AND($C48="Hybrid-electric bus",$D48="Average"),$E48*'MT '!I$12,AND($C48="Hybrid-electric bus",$D48="Nearly full"),$E48*'MT '!I$13,AND($C48="Alternative fuel bus",$D48="Almost empty"),$E48*'MT '!I$15,AND($C48="Alternative fuel bus",$D48="Average"),$E48*'MT '!I$16,AND($C48="Alternative fuel bus",$D48="Nearly full"),$E48*'MT '!I$17,AND($C48="Metro, tram, urban light train",$D48="Almost empty"),$E48*'MT '!D$35,AND($C48="Metro, tram, urban light train",$D48="Average"),$E48*'MT '!D$36,AND($C48="Metro, tram, urban light train",$D48="Nearly full"),$E48*'MT '!D$37,AND($C48="Electric passenger train",$D48="Almost empty"),$E48*'MT '!D$39,AND($C48="Electric passenger train",$D48="Average"),$E48*'MT '!D$40,AND($C48="Electric passenger train",$D48="Nearly full"),$E48*'MT '!D$41,AND($C48="Diesel passenger train",$D48="Almost empty"),$E48*'MT '!D$47,AND($C48="Diesel passenger train",$D48="Average"),$E48*'MT '!D$48,AND($C48="Diesel passenger train",$D48="Nearly full"),$E48*'MT '!D$49,AND($C48="Walking"),$E48*0,AND($C48="Bike"),$E48*0,AND($C48="Plane - domestic flight"),$E48*'MT '!$C72,AND($C48="Plane - international - intra EU"),$E48*'MT '!$C74,AND($C48="Plane - international (extra EU)"),$E48*'MT '!$C76)</f>
        <v>#N/A</v>
      </c>
      <c r="H48" s="196" t="s">
        <v>67</v>
      </c>
      <c r="I48" s="197"/>
      <c r="L48" s="249"/>
      <c r="M48" s="250"/>
      <c r="N48" s="251"/>
    </row>
    <row r="49" spans="1:14" x14ac:dyDescent="0.2">
      <c r="A49" s="222"/>
      <c r="B49" s="30"/>
      <c r="C49" s="15"/>
      <c r="D49" s="15"/>
      <c r="E49" s="125"/>
      <c r="F49" s="128" t="e" cm="1">
        <f t="array" ref="F49">_xlfn.IFS(AND($C49="Fuel car",$D49=1),$E49*'MT '!C$7,AND($C49="Fuel car",$D49=2),$E49*'MT '!C$8,AND($C49="Fuel car",$D49=3),$E49*'MT '!C$9,AND($C49="Fuel car",$D49=4),$E49*'MT '!C$10,AND($C49="Fuel car",$D49=5),$E49*'MT '!C$11,AND($C49="Motorcycle",$D49=1),$E49*'MT '!C$13,AND($C49="Motorcycle",$D49=2),$E49*'MT '!C$14,AND($C49="Electric car",$D49=1),$E49*'MT '!C$16,AND($C49="Electric car",$D49=2),$E49*'MT '!C$17,AND($C49="Electric car",$D49=3),$E49*'MT '!C$18,AND($C49="Electric car",$D49=4),$E49*'MT '!C$19,AND($C49="Electric car",$D49=5),$E49*'MT '!C$20,AND($C49="Hybrid car",$D49=1),$E49*'MT '!C$22,AND($C49="Hybrid car",$D49=2),$E49*'MT '!C$23,AND($C49="Hybrid car",$D49=3),$E49*'MT '!C$24,AND($C49="Hybrid car",$D49=4),$E49*'MT '!C$25,AND($C49="Hybrid car",$D49=5),$E49*'MT '!C$26,AND($C49="Electric motorcycle",$D49=1),$E49*'MT '!C$28,AND($C49="Electric motorcycle",$D49=2),$E49*'MT '!C$29,AND($C49="Electric bike",$D49=1),$E49*'MT '!C$31,AND($C49="Electric scooter",$D49=1),$E49*'MT '!C$33,AND($C49="Bus",$D49="Almost empty"),$E49*'MT '!H$23,AND($C49="Bus",$D49="Average"),$E49*'MT '!H$24,AND($C49="Bus",$D49="Nearly full"),$E49*'MT '!H$25,AND($C49="Electric bus",$D49="Almost empty"),$E49*'MT '!H$7,AND($C49="Electric bus",$D49="Average"),$E49*'MT '!H$8,AND($C49="Electric bus",$D49="Nearly full"),$E49*'MT '!H$9,AND($C49="Diesel bus",$D49="Almost empty"),$E49*'MT '!H$19,AND($C49="Diesel bus",$D49="Average"),$E49*'MT '!H$20,AND($C49="Diesel bus",$D49="Nearly full"),$E49*'MT '!H$21,AND($C49="Hybrid-electric bus",$D49="Almost empty"),$E49*'MT '!H$11,AND($C49="Hybrid-electric bus",$D49="Average"),$E49*'MT '!H$12,AND($C49="Hybrid-electric bus",$D49="Nearly full"),$E49*'MT '!H$13,AND($C49="Alternative fuel bus",$D49="Almost empty"),$E49*'MT '!H$15,AND($C49="Alternative fuel bus",$D49="Average"),$E49*'MT '!H$16,AND($C49="Alternative fuel bus",$D49="Nearly full"),$E49*'MT '!H$17,AND($C49="Metro, tram, urban light train",$D49="Almost empty"),$E49*'MT '!C$35,AND($C49="Metro, tram, urban light train",$D49="Average"),$E49*'MT '!C$36,AND($C49="Metro, tram, urban light train",$D49="Nearly full"),$E49*'MT '!C$37,AND($C49="Electric passenger train",$D49="Almost empty"),$E49*'MT '!C$39,AND($C49="Electric passenger train",$D49="Average"),$E49*'MT '!C$40,AND($C49="Electric passenger train",$D49="Nearly full"),$E49*'MT '!C$41,AND($C49="Diesel passenger train",$D49="Almost empty"),$E49*'MT '!C$47,AND($C49="Diesel passenger train",$D49="Average"),$E49*'MT '!C$48,AND($C49="Diesel passenger train",$D49="Nearly full"),$E49*'MT '!C$49,AND($C49="Walking"),$E49*0,AND($C49="Bike"),$E49*0,AND($C49="Plane - domestic flight"),$E49*'MT '!$C73,AND($C49="Plane - international - intra EU"),$E49*'MT '!$C75,AND($C49="Plane - international (extra EU)"),$E49*'MT '!$C77)</f>
        <v>#N/A</v>
      </c>
      <c r="G49" s="31" t="e" cm="1">
        <f t="array" ref="G49">_xlfn.IFS(AND($C49="Fuel car",$D49=1),$E49*'MT '!D$7,AND($C49="Fuel car",$D49=2),$E49*'MT '!D$8,AND($C49="Fuel car",$D49=3),$E49*'MT '!D$9,AND($C49="Fuel car",$D49=4),$E49*'MT '!D$10,AND($C49="Fuel car",$D49=5),$E49*'MT '!D$11,AND($C49="Motorcycle",$D49=1),$E49*'MT '!D$13,AND($C49="Motorcycle",$D49=2),$E49*'MT '!D$14,AND($C49="Electric car",$D49=1),$E49*'MT '!D$16,AND($C49="Electric car",$D49=2),$E49*'MT '!D$17,AND($C49="Electric car",$D49=3),$E49*'MT '!D$18,AND($C49="Electric car",$D49=4),$E49*'MT '!D$19,AND($C49="Electric car",$D49=5),$E49*'MT '!D$20,AND($C49="Hybrid car",$D49=1),$E49*'MT '!D$22,AND($C49="Hybrid car",$D49=2),$E49*'MT '!D$23,AND($C49="Hybrid car",$D49=3),$E49*'MT '!D$24,AND($C49="Hybrid car",$D49=4),$E49*'MT '!D$25,AND($C49="Hybrid car",$D49=5),$E49*'MT '!D$26,AND($C49="Electric motorcycle",$D49=1),$E49*'MT '!D$28,AND($C49="Electric motorcycle",$D49=2),$E49*'MT '!D$29,AND($C49="Electric bike",$D49=1),$E49*'MT '!D$31,AND($C49="Electric scooter",$D49=1),$E49*'MT '!D$33,AND($C49="Bus",$D49="Almost empty"),$E49*'MT '!I$23,AND($C49="Bus",$D49="Average"),$E49*'MT '!I$24,AND($C49="Bus",$D49="Nearly full"),$E49*'MT '!I$25,AND($C49="Electric bus",$D49="Almost empty"),$E49*'MT '!I$7,AND($C49="Electric bus",$D49="Average"),$E49*'MT '!I$8,AND($C49="Electric bus",$D49="Nearly full"),$E49*'MT '!I$9,AND($C49="Diesel bus",$D49="Almost empty"),$E49*'MT '!I$19,AND($C49="Diesel bus",$D49="Average"),$E49*'MT '!I$20,AND($C49="Diesel bus",$D49="Nearly full"),$E49*'MT '!I$21,AND($C49="Hybrid-electric bus",$D49="Almost empty"),$E49*'MT '!I$11,AND($C49="Hybrid-electric bus",$D49="Average"),$E49*'MT '!I$12,AND($C49="Hybrid-electric bus",$D49="Nearly full"),$E49*'MT '!I$13,AND($C49="Alternative fuel bus",$D49="Almost empty"),$E49*'MT '!I$15,AND($C49="Alternative fuel bus",$D49="Average"),$E49*'MT '!I$16,AND($C49="Alternative fuel bus",$D49="Nearly full"),$E49*'MT '!I$17,AND($C49="Metro, tram, urban light train",$D49="Almost empty"),$E49*'MT '!D$35,AND($C49="Metro, tram, urban light train",$D49="Average"),$E49*'MT '!D$36,AND($C49="Metro, tram, urban light train",$D49="Nearly full"),$E49*'MT '!D$37,AND($C49="Electric passenger train",$D49="Almost empty"),$E49*'MT '!D$39,AND($C49="Electric passenger train",$D49="Average"),$E49*'MT '!D$40,AND($C49="Electric passenger train",$D49="Nearly full"),$E49*'MT '!D$41,AND($C49="Diesel passenger train",$D49="Almost empty"),$E49*'MT '!D$47,AND($C49="Diesel passenger train",$D49="Average"),$E49*'MT '!D$48,AND($C49="Diesel passenger train",$D49="Nearly full"),$E49*'MT '!D$49,AND($C49="Walking"),$E49*0,AND($C49="Bike"),$E49*0,AND($C49="Plane - domestic flight"),$E49*'MT '!$C73,AND($C49="Plane - international - intra EU"),$E49*'MT '!$C75,AND($C49="Plane - international (extra EU)"),$E49*'MT '!$C77)</f>
        <v>#N/A</v>
      </c>
      <c r="H49" s="244" t="s">
        <v>74</v>
      </c>
      <c r="I49" s="141"/>
      <c r="L49" s="252"/>
      <c r="M49" s="253"/>
      <c r="N49" s="254"/>
    </row>
    <row r="50" spans="1:14" ht="16" thickBot="1" x14ac:dyDescent="0.25">
      <c r="A50" s="222"/>
      <c r="B50" s="51"/>
      <c r="C50" s="15"/>
      <c r="D50" s="15"/>
      <c r="E50" s="126"/>
      <c r="F50" s="128" t="e" cm="1">
        <f t="array" ref="F50">_xlfn.IFS(AND($C50="Fuel car",$D50=1),$E50*'MT '!C$7,AND($C50="Fuel car",$D50=2),$E50*'MT '!C$8,AND($C50="Fuel car",$D50=3),$E50*'MT '!C$9,AND($C50="Fuel car",$D50=4),$E50*'MT '!C$10,AND($C50="Fuel car",$D50=5),$E50*'MT '!C$11,AND($C50="Motorcycle",$D50=1),$E50*'MT '!C$13,AND($C50="Motorcycle",$D50=2),$E50*'MT '!C$14,AND($C50="Electric car",$D50=1),$E50*'MT '!C$16,AND($C50="Electric car",$D50=2),$E50*'MT '!C$17,AND($C50="Electric car",$D50=3),$E50*'MT '!C$18,AND($C50="Electric car",$D50=4),$E50*'MT '!C$19,AND($C50="Electric car",$D50=5),$E50*'MT '!C$20,AND($C50="Hybrid car",$D50=1),$E50*'MT '!C$22,AND($C50="Hybrid car",$D50=2),$E50*'MT '!C$23,AND($C50="Hybrid car",$D50=3),$E50*'MT '!C$24,AND($C50="Hybrid car",$D50=4),$E50*'MT '!C$25,AND($C50="Hybrid car",$D50=5),$E50*'MT '!C$26,AND($C50="Electric motorcycle",$D50=1),$E50*'MT '!C$28,AND($C50="Electric motorcycle",$D50=2),$E50*'MT '!C$29,AND($C50="Electric bike",$D50=1),$E50*'MT '!C$31,AND($C50="Electric scooter",$D50=1),$E50*'MT '!C$33,AND($C50="Bus",$D50="Almost empty"),$E50*'MT '!H$23,AND($C50="Bus",$D50="Average"),$E50*'MT '!H$24,AND($C50="Bus",$D50="Nearly full"),$E50*'MT '!H$25,AND($C50="Electric bus",$D50="Almost empty"),$E50*'MT '!H$7,AND($C50="Electric bus",$D50="Average"),$E50*'MT '!H$8,AND($C50="Electric bus",$D50="Nearly full"),$E50*'MT '!H$9,AND($C50="Diesel bus",$D50="Almost empty"),$E50*'MT '!H$19,AND($C50="Diesel bus",$D50="Average"),$E50*'MT '!H$20,AND($C50="Diesel bus",$D50="Nearly full"),$E50*'MT '!H$21,AND($C50="Hybrid-electric bus",$D50="Almost empty"),$E50*'MT '!H$11,AND($C50="Hybrid-electric bus",$D50="Average"),$E50*'MT '!H$12,AND($C50="Hybrid-electric bus",$D50="Nearly full"),$E50*'MT '!H$13,AND($C50="Alternative fuel bus",$D50="Almost empty"),$E50*'MT '!H$15,AND($C50="Alternative fuel bus",$D50="Average"),$E50*'MT '!H$16,AND($C50="Alternative fuel bus",$D50="Nearly full"),$E50*'MT '!H$17,AND($C50="Metro, tram, urban light train",$D50="Almost empty"),$E50*'MT '!C$35,AND($C50="Metro, tram, urban light train",$D50="Average"),$E50*'MT '!C$36,AND($C50="Metro, tram, urban light train",$D50="Nearly full"),$E50*'MT '!C$37,AND($C50="Electric passenger train",$D50="Almost empty"),$E50*'MT '!C$39,AND($C50="Electric passenger train",$D50="Average"),$E50*'MT '!C$40,AND($C50="Electric passenger train",$D50="Nearly full"),$E50*'MT '!C$41,AND($C50="Diesel passenger train",$D50="Almost empty"),$E50*'MT '!C$47,AND($C50="Diesel passenger train",$D50="Average"),$E50*'MT '!C$48,AND($C50="Diesel passenger train",$D50="Nearly full"),$E50*'MT '!C$49,AND($C50="Walking"),$E50*0,AND($C50="Bike"),$E50*0,AND($C50="Plane - domestic flight"),$E50*'MT '!$C74,AND($C50="Plane - international - intra EU"),$E50*'MT '!$C76,AND($C50="Plane - international (extra EU)"),$E50*'MT '!$C78)</f>
        <v>#N/A</v>
      </c>
      <c r="G50" s="31" t="e" cm="1">
        <f t="array" ref="G50">_xlfn.IFS(AND($C50="Fuel car",$D50=1),$E50*'MT '!D$7,AND($C50="Fuel car",$D50=2),$E50*'MT '!D$8,AND($C50="Fuel car",$D50=3),$E50*'MT '!D$9,AND($C50="Fuel car",$D50=4),$E50*'MT '!D$10,AND($C50="Fuel car",$D50=5),$E50*'MT '!D$11,AND($C50="Motorcycle",$D50=1),$E50*'MT '!D$13,AND($C50="Motorcycle",$D50=2),$E50*'MT '!D$14,AND($C50="Electric car",$D50=1),$E50*'MT '!D$16,AND($C50="Electric car",$D50=2),$E50*'MT '!D$17,AND($C50="Electric car",$D50=3),$E50*'MT '!D$18,AND($C50="Electric car",$D50=4),$E50*'MT '!D$19,AND($C50="Electric car",$D50=5),$E50*'MT '!D$20,AND($C50="Hybrid car",$D50=1),$E50*'MT '!D$22,AND($C50="Hybrid car",$D50=2),$E50*'MT '!D$23,AND($C50="Hybrid car",$D50=3),$E50*'MT '!D$24,AND($C50="Hybrid car",$D50=4),$E50*'MT '!D$25,AND($C50="Hybrid car",$D50=5),$E50*'MT '!D$26,AND($C50="Electric motorcycle",$D50=1),$E50*'MT '!D$28,AND($C50="Electric motorcycle",$D50=2),$E50*'MT '!D$29,AND($C50="Electric bike",$D50=1),$E50*'MT '!D$31,AND($C50="Electric scooter",$D50=1),$E50*'MT '!D$33,AND($C50="Bus",$D50="Almost empty"),$E50*'MT '!I$23,AND($C50="Bus",$D50="Average"),$E50*'MT '!I$24,AND($C50="Bus",$D50="Nearly full"),$E50*'MT '!I$25,AND($C50="Electric bus",$D50="Almost empty"),$E50*'MT '!I$7,AND($C50="Electric bus",$D50="Average"),$E50*'MT '!I$8,AND($C50="Electric bus",$D50="Nearly full"),$E50*'MT '!I$9,AND($C50="Diesel bus",$D50="Almost empty"),$E50*'MT '!I$19,AND($C50="Diesel bus",$D50="Average"),$E50*'MT '!I$20,AND($C50="Diesel bus",$D50="Nearly full"),$E50*'MT '!I$21,AND($C50="Hybrid-electric bus",$D50="Almost empty"),$E50*'MT '!I$11,AND($C50="Hybrid-electric bus",$D50="Average"),$E50*'MT '!I$12,AND($C50="Hybrid-electric bus",$D50="Nearly full"),$E50*'MT '!I$13,AND($C50="Alternative fuel bus",$D50="Almost empty"),$E50*'MT '!I$15,AND($C50="Alternative fuel bus",$D50="Average"),$E50*'MT '!I$16,AND($C50="Alternative fuel bus",$D50="Nearly full"),$E50*'MT '!I$17,AND($C50="Metro, tram, urban light train",$D50="Almost empty"),$E50*'MT '!D$35,AND($C50="Metro, tram, urban light train",$D50="Average"),$E50*'MT '!D$36,AND($C50="Metro, tram, urban light train",$D50="Nearly full"),$E50*'MT '!D$37,AND($C50="Electric passenger train",$D50="Almost empty"),$E50*'MT '!D$39,AND($C50="Electric passenger train",$D50="Average"),$E50*'MT '!D$40,AND($C50="Electric passenger train",$D50="Nearly full"),$E50*'MT '!D$41,AND($C50="Diesel passenger train",$D50="Almost empty"),$E50*'MT '!D$47,AND($C50="Diesel passenger train",$D50="Average"),$E50*'MT '!D$48,AND($C50="Diesel passenger train",$D50="Nearly full"),$E50*'MT '!D$49,AND($C50="Walking"),$E50*0,AND($C50="Bike"),$E50*0,AND($C50="Plane - domestic flight"),$E50*'MT '!$C74,AND($C50="Plane - international - intra EU"),$E50*'MT '!$C76,AND($C50="Plane - international (extra EU)"),$E50*'MT '!$C78)</f>
        <v>#N/A</v>
      </c>
      <c r="H50" s="245"/>
      <c r="I50" s="142"/>
      <c r="L50" s="252"/>
      <c r="M50" s="253"/>
      <c r="N50" s="254"/>
    </row>
    <row r="51" spans="1:14" ht="33" thickBot="1" x14ac:dyDescent="0.25">
      <c r="A51" s="222"/>
      <c r="B51" s="53"/>
      <c r="C51" s="32"/>
      <c r="D51" s="34"/>
      <c r="E51" s="113"/>
      <c r="F51" s="129" t="e" cm="1">
        <f t="array" ref="F51">_xlfn.IFS(AND($C51="Fuel car",$D51=1),$E51*'MT '!C$7,AND($C51="Fuel car",$D51=2),$E51*'MT '!C$8,AND($C51="Fuel car",$D51=3),$E51*'MT '!C$9,AND($C51="Fuel car",$D51=4),$E51*'MT '!C$10,AND($C51="Fuel car",$D51=5),$E51*'MT '!C$11,AND($C51="Motorcycle",$D51=1),$E51*'MT '!C$13,AND($C51="Motorcycle",$D51=2),$E51*'MT '!C$14,AND($C51="Electric car",$D51=1),$E51*'MT '!C$16,AND($C51="Electric car",$D51=2),$E51*'MT '!C$17,AND($C51="Electric car",$D51=3),$E51*'MT '!C$18,AND($C51="Electric car",$D51=4),$E51*'MT '!C$19,AND($C51="Electric car",$D51=5),$E51*'MT '!C$20,AND($C51="Hybrid car",$D51=1),$E51*'MT '!C$22,AND($C51="Hybrid car",$D51=2),$E51*'MT '!C$23,AND($C51="Hybrid car",$D51=3),$E51*'MT '!C$24,AND($C51="Hybrid car",$D51=4),$E51*'MT '!C$25,AND($C51="Hybrid car",$D51=5),$E51*'MT '!C$26,AND($C51="Electric motorcycle",$D51=1),$E51*'MT '!C$28,AND($C51="Electric motorcycle",$D51=2),$E51*'MT '!C$29,AND($C51="Electric bike",$D51=1),$E51*'MT '!C$31,AND($C51="Electric scooter",$D51=1),$E51*'MT '!C$33,AND($C51="Bus",$D51="Almost empty"),$E51*'MT '!H$23,AND($C51="Bus",$D51="Average"),$E51*'MT '!H$24,AND($C51="Bus",$D51="Nearly full"),$E51*'MT '!H$25,AND($C51="Electric bus",$D51="Almost empty"),$E51*'MT '!H$7,AND($C51="Electric bus",$D51="Average"),$E51*'MT '!H$8,AND($C51="Electric bus",$D51="Nearly full"),$E51*'MT '!H$9,AND($C51="Diesel bus",$D51="Almost empty"),$E51*'MT '!H$19,AND($C51="Diesel bus",$D51="Average"),$E51*'MT '!H$20,AND($C51="Diesel bus",$D51="Nearly full"),$E51*'MT '!H$21,AND($C51="Hybrid-electric bus",$D51="Almost empty"),$E51*'MT '!H$11,AND($C51="Hybrid-electric bus",$D51="Average"),$E51*'MT '!H$12,AND($C51="Hybrid-electric bus",$D51="Nearly full"),$E51*'MT '!H$13,AND($C51="Alternative fuel bus",$D51="Almost empty"),$E51*'MT '!H$15,AND($C51="Alternative fuel bus",$D51="Average"),$E51*'MT '!H$16,AND($C51="Alternative fuel bus",$D51="Nearly full"),$E51*'MT '!H$17,AND($C51="Metro, tram, urban light train",$D51="Almost empty"),$E51*'MT '!C$35,AND($C51="Metro, tram, urban light train",$D51="Average"),$E51*'MT '!C$36,AND($C51="Metro, tram, urban light train",$D51="Nearly full"),$E51*'MT '!C$37,AND($C51="Electric passenger train",$D51="Almost empty"),$E51*'MT '!C$39,AND($C51="Electric passenger train",$D51="Average"),$E51*'MT '!C$40,AND($C51="Electric passenger train",$D51="Nearly full"),$E51*'MT '!C$41,AND($C51="Diesel passenger train",$D51="Almost empty"),$E51*'MT '!C$47,AND($C51="Diesel passenger train",$D51="Average"),$E51*'MT '!C$48,AND($C51="Diesel passenger train",$D51="Nearly full"),$E51*'MT '!C$49,AND($C51="Walking"),$E51*0,AND($C51="Bike"),$E51*0,AND($C51="Plane - domestic flight"),$E51*'MT '!$C75,AND($C51="Plane - international - intra EU"),$E51*'MT '!$C77,AND($C51="Plane - international (extra EU)"),$E51*'MT '!$C79)</f>
        <v>#N/A</v>
      </c>
      <c r="G51" s="35" t="e" cm="1">
        <f t="array" ref="G51">_xlfn.IFS(AND($C51="Fuel car",$D51=1),$E51*'MT '!D$7,AND($C51="Fuel car",$D51=2),$E51*'MT '!D$8,AND($C51="Fuel car",$D51=3),$E51*'MT '!D$9,AND($C51="Fuel car",$D51=4),$E51*'MT '!D$10,AND($C51="Fuel car",$D51=5),$E51*'MT '!D$11,AND($C51="Motorcycle",$D51=1),$E51*'MT '!D$13,AND($C51="Motorcycle",$D51=2),$E51*'MT '!D$14,AND($C51="Electric car",$D51=1),$E51*'MT '!D$16,AND($C51="Electric car",$D51=2),$E51*'MT '!D$17,AND($C51="Electric car",$D51=3),$E51*'MT '!D$18,AND($C51="Electric car",$D51=4),$E51*'MT '!D$19,AND($C51="Electric car",$D51=5),$E51*'MT '!D$20,AND($C51="Hybrid car",$D51=1),$E51*'MT '!D$22,AND($C51="Hybrid car",$D51=2),$E51*'MT '!D$23,AND($C51="Hybrid car",$D51=3),$E51*'MT '!D$24,AND($C51="Hybrid car",$D51=4),$E51*'MT '!D$25,AND($C51="Hybrid car",$D51=5),$E51*'MT '!D$26,AND($C51="Electric motorcycle",$D51=1),$E51*'MT '!D$28,AND($C51="Electric motorcycle",$D51=2),$E51*'MT '!D$29,AND($C51="Electric bike",$D51=1),$E51*'MT '!D$31,AND($C51="Electric scooter",$D51=1),$E51*'MT '!D$33,AND($C51="Bus",$D51="Almost empty"),$E51*'MT '!I$23,AND($C51="Bus",$D51="Average"),$E51*'MT '!I$24,AND($C51="Bus",$D51="Nearly full"),$E51*'MT '!I$25,AND($C51="Electric bus",$D51="Almost empty"),$E51*'MT '!I$7,AND($C51="Electric bus",$D51="Average"),$E51*'MT '!I$8,AND($C51="Electric bus",$D51="Nearly full"),$E51*'MT '!I$9,AND($C51="Diesel bus",$D51="Almost empty"),$E51*'MT '!I$19,AND($C51="Diesel bus",$D51="Average"),$E51*'MT '!I$20,AND($C51="Diesel bus",$D51="Nearly full"),$E51*'MT '!I$21,AND($C51="Hybrid-electric bus",$D51="Almost empty"),$E51*'MT '!I$11,AND($C51="Hybrid-electric bus",$D51="Average"),$E51*'MT '!I$12,AND($C51="Hybrid-electric bus",$D51="Nearly full"),$E51*'MT '!I$13,AND($C51="Alternative fuel bus",$D51="Almost empty"),$E51*'MT '!I$15,AND($C51="Alternative fuel bus",$D51="Average"),$E51*'MT '!I$16,AND($C51="Alternative fuel bus",$D51="Nearly full"),$E51*'MT '!I$17,AND($C51="Metro, tram, urban light train",$D51="Almost empty"),$E51*'MT '!D$35,AND($C51="Metro, tram, urban light train",$D51="Average"),$E51*'MT '!D$36,AND($C51="Metro, tram, urban light train",$D51="Nearly full"),$E51*'MT '!D$37,AND($C51="Electric passenger train",$D51="Almost empty"),$E51*'MT '!D$39,AND($C51="Electric passenger train",$D51="Average"),$E51*'MT '!D$40,AND($C51="Electric passenger train",$D51="Nearly full"),$E51*'MT '!D$41,AND($C51="Diesel passenger train",$D51="Almost empty"),$E51*'MT '!D$47,AND($C51="Diesel passenger train",$D51="Average"),$E51*'MT '!D$48,AND($C51="Diesel passenger train",$D51="Nearly full"),$E51*'MT '!D$49,AND($C51="Walking"),$E51*0,AND($C51="Bike"),$E51*0,AND($C51="Plane - domestic flight"),$E51*'MT '!$C75,AND($C51="Plane - international - intra EU"),$E51*'MT '!$C77,AND($C51="Plane - international (extra EU)"),$E51*'MT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_xlfn.IFS(AND(D57&lt;='MT '!L4),"A+",AND(D57&lt;='MT '!M4,D57&gt;'MT '!L4),"A",AND(D57&lt;='MT '!N4,D57&gt;'MT '!M4),"B",AND(D57&lt;='MT '!O4,D57&gt;'MT '!N4),"C",AND(D57&lt;='MT '!P4,D57&gt;'MT '!O4),"D",AND(D57&lt;='MT '!Q4,D57&gt;'MT '!P4),"E",AND(D57&lt;='MT '!R4,D57&gt;'MT '!Q4),"F",AND(D57&gt;'MT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_xlfn.IFS(D58="#","#",AND(D58&lt;='MT '!L5),"A+",AND(D58&lt;='MT '!M5,D58&gt;'MT '!L5),"A",AND(D58&lt;='MT '!N5,D58&gt;'MT '!M5),"B",AND(D58&lt;='MT '!O5,D58&gt;'MT '!N5),"C",AND(D58&lt;='MT '!P5,D58&gt;'MT '!O5),"D",AND(D58&lt;='MT '!Q5,D58&gt;'MT '!P5),"E",AND(D58&lt;='MT '!R5,D58&gt;'MT '!Q5),"F",AND(D58&gt;'MT '!R5),"G")</f>
        <v>#</v>
      </c>
    </row>
    <row r="59" spans="1:14" ht="32" x14ac:dyDescent="0.2">
      <c r="A59" s="262"/>
      <c r="B59" s="264"/>
      <c r="C59" s="21" t="s">
        <v>88</v>
      </c>
      <c r="D59" s="47" t="e">
        <f>IF(ISNUMBER(D58), D57 + D58, D57)</f>
        <v>#DIV/0!</v>
      </c>
      <c r="E59" s="277"/>
      <c r="G59" s="264"/>
      <c r="H59" t="s">
        <v>88</v>
      </c>
      <c r="I59" s="56" t="e" cm="1">
        <f t="array" ref="I59">_xlfn.IFS(AND(D59&lt;='MT '!L6),"A+",AND(D59&lt;='MT '!M6,D59&gt;'MT '!L6),"A",AND(D59&lt;='MT '!N6,D59&gt;'MT '!M6),"B",AND(D59&lt;='MT '!O6,D59&gt;'MT '!N6),"C",AND(D59&lt;='MT '!P6,D59&gt;'MT '!O6),"D",AND(D59&lt;='MT '!Q6,D59&gt;'MT '!P6),"E",AND(D59&lt;='MT '!R6,D59&gt;'MT '!Q6),"F",AND(D59&gt;'MT '!R6),"G")</f>
        <v>#DIV/0!</v>
      </c>
    </row>
    <row r="60" spans="1:14" ht="16" x14ac:dyDescent="0.2">
      <c r="A60" s="262"/>
      <c r="B60" s="264"/>
      <c r="C60" s="21" t="s">
        <v>89</v>
      </c>
      <c r="D60" s="99">
        <f>I30</f>
        <v>0</v>
      </c>
      <c r="E60" s="277"/>
      <c r="G60" s="264"/>
      <c r="H60" t="s">
        <v>89</v>
      </c>
      <c r="I60" s="56" t="str" cm="1">
        <f t="array" ref="I60">_xlfn.IFS(AND(D60&lt;='MT '!L7),"A+",AND(D60&lt;='MT '!M7,D60&gt;'MT '!L7),"A",AND(D60&lt;='MT '!N7,D60&gt;'MT '!M7),"B",AND(D60&lt;='MT '!O7,D60&gt;'MT '!N7),"C",AND(D60&lt;='MT '!P7,D60&gt;'MT '!O7),"D",AND(D60&lt;='MT '!Q7,D60&gt;'MT '!P7),"E",AND(D60&lt;='MT '!R7,D60&gt;'MT '!Q7),"F",AND(D60&gt;'MT '!R7),"G")</f>
        <v>A+</v>
      </c>
    </row>
    <row r="61" spans="1:14" ht="16" thickBot="1" x14ac:dyDescent="0.25">
      <c r="A61" s="262"/>
      <c r="B61" s="265"/>
      <c r="C61" s="16" t="s">
        <v>57</v>
      </c>
      <c r="D61" s="58" t="e">
        <f>SUM(D59:D60)</f>
        <v>#DIV/0!</v>
      </c>
      <c r="E61" s="261"/>
      <c r="G61" s="265"/>
      <c r="H61" s="16" t="s">
        <v>57</v>
      </c>
      <c r="I61" s="1" t="e" cm="1">
        <f t="array" ref="I61">_xlfn.IFS(AND(D61&lt;='MT '!L8),"A+",AND(D61&lt;='MT '!M8,D61&gt;'MT '!L8),"A",AND(D61&lt;='MT '!N8,D61&gt;'MT '!M8),"B",AND(D61&lt;='MT '!O8,D61&gt;'MT '!N8),"C",AND(D61&lt;='MT '!P8,D61&gt;'MT '!O8),"D",AND(D61&lt;='MT '!Q8,D61&gt;'MT '!P8),"E",AND(D61&lt;='MT '!R8,D61&gt;'MT '!Q8),"F",AND(D61&gt;'MT '!R8),"G")</f>
        <v>#DIV/0!</v>
      </c>
    </row>
    <row r="62" spans="1:14" ht="32" x14ac:dyDescent="0.2">
      <c r="A62" s="262"/>
      <c r="B62" s="263" t="s">
        <v>90</v>
      </c>
      <c r="C62" s="57" t="s">
        <v>85</v>
      </c>
      <c r="D62" s="100" t="e">
        <f>I16</f>
        <v>#DIV/0!</v>
      </c>
      <c r="E62" s="266" t="s">
        <v>91</v>
      </c>
      <c r="G62" s="263" t="s">
        <v>90</v>
      </c>
      <c r="H62" s="46" t="s">
        <v>85</v>
      </c>
      <c r="I62" s="55" t="e" cm="1">
        <f t="array" ref="I62">_xlfn.IFS(AND(D62&lt;='MT '!L9),"A+",AND(D62&lt;='MT '!M9,D62&gt;'MT '!L9),"A",AND(D62&lt;='MT '!N9,D62&gt;'MT '!M9),"B",AND(D62&lt;='MT '!O9,D62&gt;'MT '!N9),"C",AND(D62&lt;='MT '!P9,D62&gt;'MT '!O9),"D",AND(D62&lt;='MT '!Q9,D62&gt;'MT '!P9),"E",AND(D62&lt;='MT '!R9,D62&gt;'MT '!Q9),"F",AND(D62&gt;'MT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_xlfn.IFS(D63="#","#",AND(D63&lt;='MT '!L10),"A+",AND(D63&lt;='MT '!M10,D63&gt;'MT '!L10),"A",AND(D63&lt;='MT '!N10,D63&gt;'MT '!M10),"B",AND(D63&lt;='MT '!O10,D63&gt;'MT '!N10),"C",AND(D63&lt;='MT '!P10,D63&gt;'MT '!O10),"D",AND(D63&lt;='MT '!Q10,D63&gt;'MT '!P10),"E",AND(D63&lt;='MT '!R10,D63&gt;'MT '!Q10),"F",AND(D63&gt;'MT '!R10),"G")</f>
        <v>#</v>
      </c>
    </row>
    <row r="64" spans="1:14" ht="32" x14ac:dyDescent="0.2">
      <c r="A64" s="262"/>
      <c r="B64" s="264"/>
      <c r="C64" s="21" t="s">
        <v>92</v>
      </c>
      <c r="D64" s="47" t="e">
        <f>IF(ISNUMBER(D63), D62 + D63, D62)</f>
        <v>#DIV/0!</v>
      </c>
      <c r="E64" s="202"/>
      <c r="G64" s="264"/>
      <c r="H64" t="s">
        <v>92</v>
      </c>
      <c r="I64" s="56" t="e" cm="1">
        <f t="array" ref="I64">_xlfn.IFS(AND(D64&lt;='MT '!L11),"A+",AND(D64&lt;='MT '!M11,D64&gt;'MT '!L11),"A",AND(D64&lt;='MT '!N11,D64&gt;'MT '!M11),"B",AND(D64&lt;='MT '!O11,D64&gt;'MT '!N11),"C",AND(D64&lt;='MT '!P11,D64&gt;'MT '!O11),"D",AND(D64&lt;='MT '!Q11,D64&gt;'MT '!P11),"E",AND(D64&lt;='MT '!R11,D64&gt;'MT '!Q11),"F",AND(D64&gt;'MT '!R11),"G")</f>
        <v>#DIV/0!</v>
      </c>
    </row>
    <row r="65" spans="1:9" x14ac:dyDescent="0.2">
      <c r="A65" s="262"/>
      <c r="B65" s="264"/>
      <c r="C65" t="s">
        <v>89</v>
      </c>
      <c r="D65" s="99">
        <f>I31</f>
        <v>0</v>
      </c>
      <c r="E65" s="202"/>
      <c r="G65" s="264"/>
      <c r="H65" t="s">
        <v>89</v>
      </c>
      <c r="I65" s="56" t="str" cm="1">
        <f t="array" ref="I65">_xlfn.IFS(AND(D65&lt;='MT '!L12),"A+",AND(D65&lt;='MT '!M12,D65&gt;'MT '!L12),"A",AND(D65&lt;='MT '!N12,D65&gt;'MT '!M12),"B",AND(D65&lt;='MT '!O12,D65&gt;'MT '!N12),"C",AND(D65&lt;='MT '!P12,D65&gt;'MT '!O12),"D",AND(D65&lt;='MT '!Q12,D65&gt;'MT '!P12),"E",AND(D65&lt;='MT '!R12,D65&gt;'MT '!Q12),"F",AND(D65&gt;'MT '!R12),"G")</f>
        <v>A+</v>
      </c>
    </row>
    <row r="66" spans="1:9" ht="16" thickBot="1" x14ac:dyDescent="0.25">
      <c r="A66" s="262"/>
      <c r="B66" s="265"/>
      <c r="C66" s="16" t="s">
        <v>57</v>
      </c>
      <c r="D66" s="16" t="e">
        <f>SUM(D64:D65)</f>
        <v>#DIV/0!</v>
      </c>
      <c r="E66" s="267"/>
      <c r="G66" s="265"/>
      <c r="H66" s="16" t="s">
        <v>57</v>
      </c>
      <c r="I66" s="1" t="e" cm="1">
        <f t="array" ref="I66">_xlfn.IFS(AND(D66&lt;='MT '!L13),"A+",AND(D66&lt;='MT '!M13,D66&gt;'MT '!L13),"A",AND(D66&lt;='MT '!N13,D66&gt;'MT '!M13),"B",AND(D66&lt;='MT '!O13,D66&gt;'MT '!N13),"C",AND(D66&lt;='MT '!P13,D66&gt;'MT '!O13),"D",AND(D66&lt;='MT '!Q13,D66&gt;'MT '!P13),"E",AND(D66&lt;='MT '!R13,D66&gt;'MT '!Q13),"F",AND(D66&gt;'MT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23" priority="7" operator="equal">
      <formula>"A+"</formula>
    </cfRule>
    <cfRule type="containsText" dxfId="222" priority="8" operator="containsText" text="A">
      <formula>NOT(ISERROR(SEARCH("A",I57)))</formula>
    </cfRule>
    <cfRule type="containsText" dxfId="221" priority="9" operator="containsText" text="B">
      <formula>NOT(ISERROR(SEARCH("B",I57)))</formula>
    </cfRule>
    <cfRule type="containsText" dxfId="220" priority="10" operator="containsText" text="C">
      <formula>NOT(ISERROR(SEARCH("C",I57)))</formula>
    </cfRule>
    <cfRule type="containsText" dxfId="219" priority="11" operator="containsText" text="D">
      <formula>NOT(ISERROR(SEARCH("D",I57)))</formula>
    </cfRule>
    <cfRule type="containsText" dxfId="218" priority="12" operator="containsText" text="E">
      <formula>NOT(ISERROR(SEARCH("E",I57)))</formula>
    </cfRule>
    <cfRule type="containsText" dxfId="217" priority="13" operator="containsText" text="F">
      <formula>NOT(ISERROR(SEARCH("F",I57)))</formula>
    </cfRule>
    <cfRule type="containsText" dxfId="216" priority="14" operator="containsText" text="G">
      <formula>NOT(ISERROR(SEARCH("G",I57)))</formula>
    </cfRule>
  </conditionalFormatting>
  <conditionalFormatting sqref="K5:K15">
    <cfRule type="expression" dxfId="39" priority="2" stopIfTrue="1">
      <formula>$O$19="No"</formula>
    </cfRule>
  </conditionalFormatting>
  <conditionalFormatting sqref="L5:L15">
    <cfRule type="expression" dxfId="38"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970D37DA-765D-AE44-A541-D88AD7A447CB}">
      <formula1>AND(Q19="Yes", ISNUMBER(L5))</formula1>
    </dataValidation>
    <dataValidation type="custom" operator="lessThan" allowBlank="1" showErrorMessage="1" errorTitle="Error" error="You can only enter values if you have selected HOME PV. The value must be a number." sqref="K5:K15" xr:uid="{08A1B610-9D9A-7943-A15A-9A36DBF26512}">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3053D16A-BD04-4D47-8B20-5F65E3CE7637}">
          <x14:formula1>
            <xm:f>DATA!$J$3:$J$10</xm:f>
          </x14:formula1>
          <xm:sqref>D29:D51</xm:sqref>
        </x14:dataValidation>
        <x14:dataValidation type="list" allowBlank="1" showInputMessage="1" showErrorMessage="1" xr:uid="{5603F88F-DB33-784D-9A8D-95FC97C45338}">
          <x14:formula1>
            <xm:f>DATA!$B$15:$B$23</xm:f>
          </x14:formula1>
          <xm:sqref>J2</xm:sqref>
        </x14:dataValidation>
        <x14:dataValidation type="list" allowBlank="1" showInputMessage="1" showErrorMessage="1" xr:uid="{8919FE6B-03FB-4DC4-BA52-C166A896866E}">
          <x14:formula1>
            <xm:f>DATA!$H$3:$H$23</xm:f>
          </x14:formula1>
          <xm:sqref>C29:C51</xm:sqref>
        </x14:dataValidation>
        <x14:dataValidation type="list" allowBlank="1" showInputMessage="1" showErrorMessage="1" xr:uid="{7D499B78-C435-034D-9FAF-E97B8BD5203C}">
          <x14:formula1>
            <xm:f>DATA!$B$3:$B$13</xm:f>
          </x14:formula1>
          <xm:sqref>H2</xm:sqref>
        </x14:dataValidation>
        <x14:dataValidation type="list" allowBlank="1" showInputMessage="1" showErrorMessage="1" xr:uid="{40E9602B-3DA9-E443-B02D-80B9C06EFE7C}">
          <x14:formula1>
            <xm:f>DATA!$L$4:$L$5</xm:f>
          </x14:formula1>
          <xm:sqref>O18:O19 Q19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4696-313D-4568-89AF-24A552D94EC4}">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5.83203125" customWidth="1"/>
    <col min="5" max="5" width="20.5" customWidth="1"/>
    <col min="6"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112</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IF($O$18="Yes",(E5/$F$2)*DATA!$C$9,(E5/$F$2)*DATA!F$23)+IF(ISBLANK(K5),0,K5/$F$2)*DATA!$C$9-IF(ISBLANK(L5),0,L5/$F$2)*DATA!F$23</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IF($O$18="Yes",(E6/$F$2)*DATA!$C$9,(E6/$F$2)*DATA!F$23)+IF(ISBLANK(K6),0,K6/$F$2)*DATA!$C$9-IF(ISBLANK(L6),0,L6/$F$2)*DATA!F$23</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IF($O$18="Yes",(E7/$F$2)*DATA!$C$9,(E7/$F$2)*DATA!F$23)+IF(ISBLANK(K7),0,K7/$F$2)*DATA!$C$9-IF(ISBLANK(L7),0,L7/$F$2)*DATA!F$23</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IF($O$18="Yes",(E8/$F$2)*DATA!$C$9,(E8/$F$2)*DATA!F$23)+IF(ISBLANK(K8),0,K8/$F$2)*DATA!$C$9-IF(ISBLANK(L8),0,L8/$F$2)*DATA!F$23</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IF($O$18="Yes",(E9/$F$2)*DATA!$C$9,(E9/$F$2)*DATA!F$23)+IF(ISBLANK(K9),0,K9/$F$2)*DATA!$C$9-IF(ISBLANK(L9),0,L9/$F$2)*DATA!F$23</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IF($O$18="Yes",(E10/$F$2)*DATA!$C$9,(E10/$F$2)*DATA!F$23)+IF(ISBLANK(K10),0,K10/$F$2)*DATA!$C$9-IF(ISBLANK(L10),0,L10/$F$2)*DATA!F$23</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IF($O$18="Yes",(E11/$F$2)*DATA!$C$9,(E11/$F$2)*DATA!F$23)+IF(ISBLANK(K11),0,K11/$F$2)*DATA!$C$9-IF(ISBLANK(L11),0,L11/$F$2)*DATA!F$23</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IF($O$18="Yes",(E12/$F$2)*DATA!$C$9,(E12/$F$2)*DATA!F$23)+IF(ISBLANK(K12),0,K12/$F$2)*DATA!$C$9-IF(ISBLANK(L12),0,L12/$F$2)*DATA!F$23</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IF($O$18="Yes",(E13/$F$2)*DATA!$C$9,(E13/$F$2)*DATA!F$23)+IF(ISBLANK(K13),0,K13/$F$2)*DATA!$C$9-IF(ISBLANK(L13),0,L13/$F$2)*DATA!F$23</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IF($O$18="Yes",(E14/$F$2)*DATA!$C$9,(E14/$F$2)*DATA!F$23)+IF(ISBLANK(K14),0,K14/$F$2)*DATA!$C$9-IF(ISBLANK(L14),0,L14/$F$2)*DATA!F$23</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IF($O$18="Yes",(E15/$F$2)*DATA!$C$9,(E15/$F$2)*DATA!F$23)+IF(ISBLANK(K15),0,K15/$F$2)*DATA!$C$9-IF(ISBLANK(L15),0,L15/$F$2)*DATA!F$23</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car",$D29=1),$E29*'NL '!C$7,AND($C29="Fuel car",$D29=2),$E29*'NL '!C$8,AND($C29="Fuel car",$D29=3),$E29*'NL '!C$9,AND($C29="Fuel car",$D29=4),$E29*'NL '!C$10,AND($C29="Fuel car",$D29=5),$E29*'NL '!C$11,AND($C29="Motorcycle",$D29=1),$E29*'NL '!C$13,AND($C29="Motorcycle",$D29=2),$E29*'NL '!C$14,AND($C29="Electric car",$D29=1),$E29*'NL '!C$16,AND($C29="Electric car",$D29=2),$E29*'NL '!C$17,AND($C29="Electric car",$D29=3),$E29*'NL '!C$18,AND($C29="Electric car",$D29=4),$E29*'NL '!C$19,AND($C29="Electric car",$D29=5),$E29*'NL '!C$20,AND($C29="Hybrid car",$D29=1),$E29*'NL '!C$22,AND($C29="Hybrid car",$D29=2),$E29*'NL '!C$23,AND($C29="Hybrid car",$D29=3),$E29*'NL '!C$24,AND($C29="Hybrid car",$D29=4),$E29*'NL '!C$25,AND($C29="Hybrid car",$D29=5),$E29*'NL '!C$26,AND($C29="Electric motorcycle",$D29=1),$E29*'NL '!C$28,AND($C29="Electric motorcycle",$D29=2),$E29*'NL '!C$29,AND($C29="Electric bike",$D29=1),$E29*'NL '!C$31,AND($C29="Electric scooter",$D29=1),$E29*'NL '!C$33,AND($C29="Bus",$D29="Almost empty"),$E29*'NL '!H$23,AND($C29="Bus",$D29="Average"),$E29*'NL '!H$24,AND($C29="Bus",$D29="Nearly full"),$E29*'NL '!H$25,AND($C29="Electric bus",$D29="Almost empty"),$E29*'NL '!H$7,AND($C29="Electric bus",$D29="Average"),$E29*'NL '!H$8,AND($C29="Electric bus",$D29="Nearly full"),$E29*'NL '!H$9,AND($C29="Diesel bus",$D29="Almost empty"),$E29*'NL '!H$19,AND($C29="Diesel bus",$D29="Average"),$E29*'NL '!H$20,AND($C29="Diesel bus",$D29="Nearly full"),$E29*'NL '!H$21,AND($C29="Hybrid-electric bus",$D29="Almost empty"),$E29*'NL '!H$11,AND($C29="Hybrid-electric bus",$D29="Average"),$E29*'NL '!H$12,AND($C29="Hybrid-electric bus",$D29="Nearly full"),$E29*'NL '!H$13,AND($C29="Alternative fuel bus",$D29="Almost empty"),$E29*'NL '!H$15,AND($C29="Alternative fuel bus",$D29="Average"),$E29*'NL '!H$16,AND($C29="Alternative fuel bus",$D29="Nearly full"),$E29*'NL '!H$17,AND($C29="Metro, tram, urban light train",$D29="Almost empty"),$E29*'NL '!C$35,AND($C29="Metro, tram, urban light train",$D29="Average"),$E29*'NL '!C$36,AND($C29="Metro, tram, urban light train",$D29="Nearly full"),$E29*'NL '!C$37,AND($C29="Electric passenger train",$D29="Almost empty"),$E29*'NL '!C$39,AND($C29="Electric passenger train",$D29="Average"),$E29*'NL '!C$40,AND($C29="Electric passenger train",$D29="Nearly full"),$E29*'NL '!C$41,AND($C29="Diesel passenger train",$D29="Almost empty"),$E29*'NL '!C$47,AND($C29="Diesel passenger train",$D29="Average"),$E29*'NL '!C$48,AND($C29="Diesel passenger train",$D29="Nearly full"),$E29*'NL '!C$49,AND($C29="Walking"),$E29*0,AND($C29="Bike"),$E29*0,AND($C29="Plane - domestic flight"),$E29*'NL '!$C53,AND($C29="Plane - international - intra EU"),$E29*'NL '!$C55,AND($C29="Plane - international (extra EU)"),$E29*'NL '!$C57)</f>
        <v>#N/A</v>
      </c>
      <c r="G29" s="104" t="e" cm="1">
        <f t="array" ref="G29">_xlfn.IFS(AND($C29="Fuel car",$D29=1),$E29*'NL '!D$7,AND($C29="Fuel car",$D29=2),$E29*'NL '!D$8,AND($C29="Fuel car",$D29=3),$E29*'NL '!D$9,AND($C29="Fuel car",$D29=4),$E29*'NL '!D$10,AND($C29="Fuel car",$D29=5),$E29*'NL '!D$11,AND($C29="Motorcycle",$D29=1),$E29*'NL '!D$13,AND($C29="Motorcycle",$D29=2),$E29*'NL '!D$14,AND($C29="Electric car",$D29=1),$E29*'NL '!D$16,AND($C29="Electric car",$D29=2),$E29*'NL '!D$17,AND($C29="Electric car",$D29=3),$E29*'NL '!D$18,AND($C29="Electric car",$D29=4),$E29*'NL '!D$19,AND($C29="Electric car",$D29=5),$E29*'NL '!D$20,AND($C29="Hybrid car",$D29=1),$E29*'NL '!D$22,AND($C29="Hybrid car",$D29=2),$E29*'NL '!D$23,AND($C29="Hybrid car",$D29=3),$E29*'NL '!D$24,AND($C29="Hybrid car",$D29=4),$E29*'NL '!D$25,AND($C29="Hybrid car",$D29=5),$E29*'NL '!D$26,AND($C29="Electric motorcycle",$D29=1),$E29*'NL '!D$28,AND($C29="Electric motorcycle",$D29=2),$E29*'NL '!D$29,AND($C29="Electric bike",$D29=1),$E29*'NL '!D$31,AND($C29="Electric scooter",$D29=1),$E29*'NL '!D$33,AND($C29="Bus",$D29="Almost empty"),$E29*'NL '!I$23,AND($C29="Bus",$D29="Average"),$E29*'NL '!I$24,AND($C29="Bus",$D29="Nearly full"),$E29*'NL '!I$25,AND($C29="Electric bus",$D29="Almost empty"),$E29*'NL '!I$7,AND($C29="Electric bus",$D29="Average"),$E29*'NL '!I$8,AND($C29="Electric bus",$D29="Nearly full"),$E29*'NL '!I$9,AND($C29="Diesel bus",$D29="Almost empty"),$E29*'NL '!I$19,AND($C29="Diesel bus",$D29="Average"),$E29*'NL '!I$20,AND($C29="Diesel bus",$D29="Nearly full"),$E29*'NL '!I$21,AND($C29="Hybrid-electric bus",$D29="Almost empty"),$E29*'NL '!I$11,AND($C29="Hybrid-electric bus",$D29="Average"),$E29*'NL '!I$12,AND($C29="Hybrid-electric bus",$D29="Nearly full"),$E29*'NL '!I$13,AND($C29="Alternative fuel bus",$D29="Almost empty"),$E29*'NL '!I$15,AND($C29="Alternative fuel bus",$D29="Average"),$E29*'NL '!I$16,AND($C29="Alternative fuel bus",$D29="Nearly full"),$E29*'NL '!I$17,AND($C29="Metro, tram, urban light train",$D29="Almost empty"),$E29*'NL '!D$35,AND($C29="Metro, tram, urban light train",$D29="Average"),$E29*'NL '!D$36,AND($C29="Metro, tram, urban light train",$D29="Nearly full"),$E29*'NL '!D$37,AND($C29="Electric passenger train",$D29="Almost empty"),$E29*'NL '!D$39,AND($C29="Electric passenger train",$D29="Average"),$E29*'NL '!D$40,AND($C29="Electric passenger train",$D29="Nearly full"),$E29*'NL '!D$41,AND($C29="Diesel passenger train",$D29="Almost empty"),$E29*'NL '!D$47,AND($C29="Diesel passenger train",$D29="Average"),$E29*'NL '!D$48,AND($C29="Diesel passenger train",$D29="Nearly full"),$E29*'NL '!D$49,AND($C29="Walking"),$E29*0,AND($C29="Bike"),$E29*0,AND($C29="Plane - domestic flight"),$E29*'NL '!$C53,AND($C29="Plane - international - intra EU"),$E29*'NL '!$C55,AND($C29="Plane - international (extra EU)"),$E29*'NL '!$C57)</f>
        <v>#N/A</v>
      </c>
      <c r="H29" s="151"/>
      <c r="I29" s="152">
        <f>H29/10*E29</f>
        <v>0</v>
      </c>
      <c r="J29" s="146" t="e" cm="1">
        <f t="array" ref="J29">_xlfn.IFS(C29="Fuel car",C29*DATA!$C$17,C29="Electric car",C29*DATA!$F$23,C29="Hybrid car",I29*(0.5*DATA!$C$17+0.5*DATA!$F$23))</f>
        <v>#N/A</v>
      </c>
      <c r="L29" s="218"/>
      <c r="M29" s="219"/>
      <c r="N29" s="220"/>
    </row>
    <row r="30" spans="1:17" ht="32" customHeight="1" x14ac:dyDescent="0.2">
      <c r="A30" s="222"/>
      <c r="B30" s="30"/>
      <c r="C30" s="15"/>
      <c r="D30" s="15"/>
      <c r="E30" s="125"/>
      <c r="F30" s="128" t="e" cm="1">
        <f t="array" ref="F30">_xlfn.IFS(AND($C30="Fuel car",$D30=1),$E30*'NL '!C$7,AND($C30="Fuel car",$D30=2),$E30*'NL '!C$8,AND($C30="Fuel car",$D30=3),$E30*'NL '!C$9,AND($C30="Fuel car",$D30=4),$E30*'NL '!C$10,AND($C30="Fuel car",$D30=5),$E30*'NL '!C$11,AND($C30="Motorcycle",$D30=1),$E30*'NL '!C$13,AND($C30="Motorcycle",$D30=2),$E30*'NL '!C$14,AND($C30="Electric car",$D30=1),$E30*'NL '!C$16,AND($C30="Electric car",$D30=2),$E30*'NL '!C$17,AND($C30="Electric car",$D30=3),$E30*'NL '!C$18,AND($C30="Electric car",$D30=4),$E30*'NL '!C$19,AND($C30="Electric car",$D30=5),$E30*'NL '!C$20,AND($C30="Hybrid car",$D30=1),$E30*'NL '!C$22,AND($C30="Hybrid car",$D30=2),$E30*'NL '!C$23,AND($C30="Hybrid car",$D30=3),$E30*'NL '!C$24,AND($C30="Hybrid car",$D30=4),$E30*'NL '!C$25,AND($C30="Hybrid car",$D30=5),$E30*'NL '!C$26,AND($C30="Electric motorcycle",$D30=1),$E30*'NL '!C$28,AND($C30="Electric motorcycle",$D30=2),$E30*'NL '!C$29,AND($C30="Electric bike",$D30=1),$E30*'NL '!C$31,AND($C30="Electric scooter",$D30=1),$E30*'NL '!C$33,AND($C30="Bus",$D30="Almost empty"),$E30*'NL '!H$23,AND($C30="Bus",$D30="Average"),$E30*'NL '!H$24,AND($C30="Bus",$D30="Nearly full"),$E30*'NL '!H$25,AND($C30="Electric bus",$D30="Almost empty"),$E30*'NL '!H$7,AND($C30="Electric bus",$D30="Average"),$E30*'NL '!H$8,AND($C30="Electric bus",$D30="Nearly full"),$E30*'NL '!H$9,AND($C30="Diesel bus",$D30="Almost empty"),$E30*'NL '!H$19,AND($C30="Diesel bus",$D30="Average"),$E30*'NL '!H$20,AND($C30="Diesel bus",$D30="Nearly full"),$E30*'NL '!H$21,AND($C30="Hybrid-electric bus",$D30="Almost empty"),$E30*'NL '!H$11,AND($C30="Hybrid-electric bus",$D30="Average"),$E30*'NL '!H$12,AND($C30="Hybrid-electric bus",$D30="Nearly full"),$E30*'NL '!H$13,AND($C30="Alternative fuel bus",$D30="Almost empty"),$E30*'NL '!H$15,AND($C30="Alternative fuel bus",$D30="Average"),$E30*'NL '!H$16,AND($C30="Alternative fuel bus",$D30="Nearly full"),$E30*'NL '!H$17,AND($C30="Metro, tram, urban light train",$D30="Almost empty"),$E30*'NL '!C$35,AND($C30="Metro, tram, urban light train",$D30="Average"),$E30*'NL '!C$36,AND($C30="Metro, tram, urban light train",$D30="Nearly full"),$E30*'NL '!C$37,AND($C30="Electric passenger train",$D30="Almost empty"),$E30*'NL '!C$39,AND($C30="Electric passenger train",$D30="Average"),$E30*'NL '!C$40,AND($C30="Electric passenger train",$D30="Nearly full"),$E30*'NL '!C$41,AND($C30="Diesel passenger train",$D30="Almost empty"),$E30*'NL '!C$47,AND($C30="Diesel passenger train",$D30="Average"),$E30*'NL '!C$48,AND($C30="Diesel passenger train",$D30="Nearly full"),$E30*'NL '!C$49,AND($C30="Walking"),$E30*0,AND($C30="Bike"),$E30*0,AND($C30="Plane - domestic flight"),$E30*'NL '!$C54,AND($C30="Plane - international - intra EU"),$E30*'NL '!$C56,AND($C30="Plane - international (extra EU)"),$E30*'NL '!$C58)</f>
        <v>#N/A</v>
      </c>
      <c r="G30" s="31" t="e" cm="1">
        <f t="array" ref="G30">_xlfn.IFS(AND($C30="Fuel car",$D30=1),$E30*'NL '!D$7,AND($C30="Fuel car",$D30=2),$E30*'NL '!D$8,AND($C30="Fuel car",$D30=3),$E30*'NL '!D$9,AND($C30="Fuel car",$D30=4),$E30*'NL '!D$10,AND($C30="Fuel car",$D30=5),$E30*'NL '!D$11,AND($C30="Motorcycle",$D30=1),$E30*'NL '!D$13,AND($C30="Motorcycle",$D30=2),$E30*'NL '!D$14,AND($C30="Electric car",$D30=1),$E30*'NL '!D$16,AND($C30="Electric car",$D30=2),$E30*'NL '!D$17,AND($C30="Electric car",$D30=3),$E30*'NL '!D$18,AND($C30="Electric car",$D30=4),$E30*'NL '!D$19,AND($C30="Electric car",$D30=5),$E30*'NL '!D$20,AND($C30="Hybrid car",$D30=1),$E30*'NL '!D$22,AND($C30="Hybrid car",$D30=2),$E30*'NL '!D$23,AND($C30="Hybrid car",$D30=3),$E30*'NL '!D$24,AND($C30="Hybrid car",$D30=4),$E30*'NL '!D$25,AND($C30="Hybrid car",$D30=5),$E30*'NL '!D$26,AND($C30="Electric motorcycle",$D30=1),$E30*'NL '!D$28,AND($C30="Electric motorcycle",$D30=2),$E30*'NL '!D$29,AND($C30="Electric bike",$D30=1),$E30*'NL '!D$31,AND($C30="Electric scooter",$D30=1),$E30*'NL '!D$33,AND($C30="Bus",$D30="Almost empty"),$E30*'NL '!I$23,AND($C30="Bus",$D30="Average"),$E30*'NL '!I$24,AND($C30="Bus",$D30="Nearly full"),$E30*'NL '!I$25,AND($C30="Electric bus",$D30="Almost empty"),$E30*'NL '!I$7,AND($C30="Electric bus",$D30="Average"),$E30*'NL '!I$8,AND($C30="Electric bus",$D30="Nearly full"),$E30*'NL '!I$9,AND($C30="Diesel bus",$D30="Almost empty"),$E30*'NL '!I$19,AND($C30="Diesel bus",$D30="Average"),$E30*'NL '!I$20,AND($C30="Diesel bus",$D30="Nearly full"),$E30*'NL '!I$21,AND($C30="Hybrid-electric bus",$D30="Almost empty"),$E30*'NL '!I$11,AND($C30="Hybrid-electric bus",$D30="Average"),$E30*'NL '!I$12,AND($C30="Hybrid-electric bus",$D30="Nearly full"),$E30*'NL '!I$13,AND($C30="Alternative fuel bus",$D30="Almost empty"),$E30*'NL '!I$15,AND($C30="Alternative fuel bus",$D30="Average"),$E30*'NL '!I$16,AND($C30="Alternative fuel bus",$D30="Nearly full"),$E30*'NL '!I$17,AND($C30="Metro, tram, urban light train",$D30="Almost empty"),$E30*'NL '!D$35,AND($C30="Metro, tram, urban light train",$D30="Average"),$E30*'NL '!D$36,AND($C30="Metro, tram, urban light train",$D30="Nearly full"),$E30*'NL '!D$37,AND($C30="Electric passenger train",$D30="Almost empty"),$E30*'NL '!D$39,AND($C30="Electric passenger train",$D30="Average"),$E30*'NL '!D$40,AND($C30="Electric passenger train",$D30="Nearly full"),$E30*'NL '!D$41,AND($C30="Diesel passenger train",$D30="Almost empty"),$E30*'NL '!D$47,AND($C30="Diesel passenger train",$D30="Average"),$E30*'NL '!D$48,AND($C30="Diesel passenger train",$D30="Nearly full"),$E30*'NL '!D$49,AND($C30="Walking"),$E30*0,AND($C30="Bike"),$E30*0,AND($C30="Plane - domestic flight"),$E30*'NL '!$C54,AND($C30="Plane - international - intra EU"),$E30*'NL '!$C56,AND($C30="Plane - international (extra EU)"),$E30*'NL '!$C58)</f>
        <v>#N/A</v>
      </c>
      <c r="H30" s="145"/>
      <c r="I30" s="148">
        <f t="shared" ref="I30:I43" si="6">H30/10*E30</f>
        <v>0</v>
      </c>
      <c r="J30" s="146" t="e" cm="1">
        <f t="array" ref="J30">_xlfn.IFS(C30="Fuel car",C30*DATA!$C$17,C30="Electric car",C30*DATA!$F$23,C30="Hybrid car",I30*(0.5*DATA!$C$17+0.5*DATA!$F$23))</f>
        <v>#N/A</v>
      </c>
      <c r="L30" s="215" t="s">
        <v>76</v>
      </c>
      <c r="M30" s="216"/>
      <c r="N30" s="217"/>
    </row>
    <row r="31" spans="1:17" x14ac:dyDescent="0.2">
      <c r="A31" s="222"/>
      <c r="B31" s="30"/>
      <c r="C31" s="15"/>
      <c r="D31" s="15"/>
      <c r="E31" s="125"/>
      <c r="F31" s="128" t="e" cm="1">
        <f t="array" ref="F31">_xlfn.IFS(AND($C31="Fuel car",$D31=1),$E31*'NL '!C$7,AND($C31="Fuel car",$D31=2),$E31*'NL '!C$8,AND($C31="Fuel car",$D31=3),$E31*'NL '!C$9,AND($C31="Fuel car",$D31=4),$E31*'NL '!C$10,AND($C31="Fuel car",$D31=5),$E31*'NL '!C$11,AND($C31="Motorcycle",$D31=1),$E31*'NL '!C$13,AND($C31="Motorcycle",$D31=2),$E31*'NL '!C$14,AND($C31="Electric car",$D31=1),$E31*'NL '!C$16,AND($C31="Electric car",$D31=2),$E31*'NL '!C$17,AND($C31="Electric car",$D31=3),$E31*'NL '!C$18,AND($C31="Electric car",$D31=4),$E31*'NL '!C$19,AND($C31="Electric car",$D31=5),$E31*'NL '!C$20,AND($C31="Hybrid car",$D31=1),$E31*'NL '!C$22,AND($C31="Hybrid car",$D31=2),$E31*'NL '!C$23,AND($C31="Hybrid car",$D31=3),$E31*'NL '!C$24,AND($C31="Hybrid car",$D31=4),$E31*'NL '!C$25,AND($C31="Hybrid car",$D31=5),$E31*'NL '!C$26,AND($C31="Electric motorcycle",$D31=1),$E31*'NL '!C$28,AND($C31="Electric motorcycle",$D31=2),$E31*'NL '!C$29,AND($C31="Electric bike",$D31=1),$E31*'NL '!C$31,AND($C31="Electric scooter",$D31=1),$E31*'NL '!C$33,AND($C31="Bus",$D31="Almost empty"),$E31*'NL '!H$23,AND($C31="Bus",$D31="Average"),$E31*'NL '!H$24,AND($C31="Bus",$D31="Nearly full"),$E31*'NL '!H$25,AND($C31="Electric bus",$D31="Almost empty"),$E31*'NL '!H$7,AND($C31="Electric bus",$D31="Average"),$E31*'NL '!H$8,AND($C31="Electric bus",$D31="Nearly full"),$E31*'NL '!H$9,AND($C31="Diesel bus",$D31="Almost empty"),$E31*'NL '!H$19,AND($C31="Diesel bus",$D31="Average"),$E31*'NL '!H$20,AND($C31="Diesel bus",$D31="Nearly full"),$E31*'NL '!H$21,AND($C31="Hybrid-electric bus",$D31="Almost empty"),$E31*'NL '!H$11,AND($C31="Hybrid-electric bus",$D31="Average"),$E31*'NL '!H$12,AND($C31="Hybrid-electric bus",$D31="Nearly full"),$E31*'NL '!H$13,AND($C31="Alternative fuel bus",$D31="Almost empty"),$E31*'NL '!H$15,AND($C31="Alternative fuel bus",$D31="Average"),$E31*'NL '!H$16,AND($C31="Alternative fuel bus",$D31="Nearly full"),$E31*'NL '!H$17,AND($C31="Metro, tram, urban light train",$D31="Almost empty"),$E31*'NL '!C$35,AND($C31="Metro, tram, urban light train",$D31="Average"),$E31*'NL '!C$36,AND($C31="Metro, tram, urban light train",$D31="Nearly full"),$E31*'NL '!C$37,AND($C31="Electric passenger train",$D31="Almost empty"),$E31*'NL '!C$39,AND($C31="Electric passenger train",$D31="Average"),$E31*'NL '!C$40,AND($C31="Electric passenger train",$D31="Nearly full"),$E31*'NL '!C$41,AND($C31="Diesel passenger train",$D31="Almost empty"),$E31*'NL '!C$47,AND($C31="Diesel passenger train",$D31="Average"),$E31*'NL '!C$48,AND($C31="Diesel passenger train",$D31="Nearly full"),$E31*'NL '!C$49,AND($C31="Walking"),$E31*0,AND($C31="Bike"),$E31*0,AND($C31="Plane - domestic flight"),$E31*'NL '!$C55,AND($C31="Plane - international - intra EU"),$E31*'NL '!$C57,AND($C31="Plane - international (extra EU)"),$E31*'NL '!$C59)</f>
        <v>#N/A</v>
      </c>
      <c r="G31" s="31" t="e" cm="1">
        <f t="array" ref="G31">_xlfn.IFS(AND($C31="Fuel car",$D31=1),$E31*'NL '!D$7,AND($C31="Fuel car",$D31=2),$E31*'NL '!D$8,AND($C31="Fuel car",$D31=3),$E31*'NL '!D$9,AND($C31="Fuel car",$D31=4),$E31*'NL '!D$10,AND($C31="Fuel car",$D31=5),$E31*'NL '!D$11,AND($C31="Motorcycle",$D31=1),$E31*'NL '!D$13,AND($C31="Motorcycle",$D31=2),$E31*'NL '!D$14,AND($C31="Electric car",$D31=1),$E31*'NL '!D$16,AND($C31="Electric car",$D31=2),$E31*'NL '!D$17,AND($C31="Electric car",$D31=3),$E31*'NL '!D$18,AND($C31="Electric car",$D31=4),$E31*'NL '!D$19,AND($C31="Electric car",$D31=5),$E31*'NL '!D$20,AND($C31="Hybrid car",$D31=1),$E31*'NL '!D$22,AND($C31="Hybrid car",$D31=2),$E31*'NL '!D$23,AND($C31="Hybrid car",$D31=3),$E31*'NL '!D$24,AND($C31="Hybrid car",$D31=4),$E31*'NL '!D$25,AND($C31="Hybrid car",$D31=5),$E31*'NL '!D$26,AND($C31="Electric motorcycle",$D31=1),$E31*'NL '!D$28,AND($C31="Electric motorcycle",$D31=2),$E31*'NL '!D$29,AND($C31="Electric bike",$D31=1),$E31*'NL '!D$31,AND($C31="Electric scooter",$D31=1),$E31*'NL '!D$33,AND($C31="Bus",$D31="Almost empty"),$E31*'NL '!I$23,AND($C31="Bus",$D31="Average"),$E31*'NL '!I$24,AND($C31="Bus",$D31="Nearly full"),$E31*'NL '!I$25,AND($C31="Electric bus",$D31="Almost empty"),$E31*'NL '!I$7,AND($C31="Electric bus",$D31="Average"),$E31*'NL '!I$8,AND($C31="Electric bus",$D31="Nearly full"),$E31*'NL '!I$9,AND($C31="Diesel bus",$D31="Almost empty"),$E31*'NL '!I$19,AND($C31="Diesel bus",$D31="Average"),$E31*'NL '!I$20,AND($C31="Diesel bus",$D31="Nearly full"),$E31*'NL '!I$21,AND($C31="Hybrid-electric bus",$D31="Almost empty"),$E31*'NL '!I$11,AND($C31="Hybrid-electric bus",$D31="Average"),$E31*'NL '!I$12,AND($C31="Hybrid-electric bus",$D31="Nearly full"),$E31*'NL '!I$13,AND($C31="Alternative fuel bus",$D31="Almost empty"),$E31*'NL '!I$15,AND($C31="Alternative fuel bus",$D31="Average"),$E31*'NL '!I$16,AND($C31="Alternative fuel bus",$D31="Nearly full"),$E31*'NL '!I$17,AND($C31="Metro, tram, urban light train",$D31="Almost empty"),$E31*'NL '!D$35,AND($C31="Metro, tram, urban light train",$D31="Average"),$E31*'NL '!D$36,AND($C31="Metro, tram, urban light train",$D31="Nearly full"),$E31*'NL '!D$37,AND($C31="Electric passenger train",$D31="Almost empty"),$E31*'NL '!D$39,AND($C31="Electric passenger train",$D31="Average"),$E31*'NL '!D$40,AND($C31="Electric passenger train",$D31="Nearly full"),$E31*'NL '!D$41,AND($C31="Diesel passenger train",$D31="Almost empty"),$E31*'NL '!D$47,AND($C31="Diesel passenger train",$D31="Average"),$E31*'NL '!D$48,AND($C31="Diesel passenger train",$D31="Nearly full"),$E31*'NL '!D$49,AND($C31="Walking"),$E31*0,AND($C31="Bike"),$E31*0,AND($C31="Plane - domestic flight"),$E31*'NL '!$C55,AND($C31="Plane - international - intra EU"),$E31*'NL '!$C57,AND($C31="Plane - international (extra EU)"),$E31*'NL '!$C59)</f>
        <v>#N/A</v>
      </c>
      <c r="H31" s="145"/>
      <c r="I31" s="148">
        <f t="shared" si="6"/>
        <v>0</v>
      </c>
      <c r="J31" s="146" t="e" cm="1">
        <f t="array" ref="J31">_xlfn.IFS(C31="Fuel car",C31*DATA!$C$17,C31="Electric car",C31*DATA!$F$23,C31="Hybrid car",I31*(0.5*DATA!$C$17+0.5*DATA!$F$23))</f>
        <v>#N/A</v>
      </c>
      <c r="L31" s="223"/>
      <c r="M31" s="224"/>
      <c r="N31" s="225"/>
    </row>
    <row r="32" spans="1:17" ht="16" thickBot="1" x14ac:dyDescent="0.25">
      <c r="A32" s="222"/>
      <c r="B32" s="30"/>
      <c r="C32" s="15"/>
      <c r="D32" s="15"/>
      <c r="E32" s="125"/>
      <c r="F32" s="128" t="e" cm="1">
        <f t="array" ref="F32">_xlfn.IFS(AND($C32="Fuel car",$D32=1),$E32*'NL '!C$7,AND($C32="Fuel car",$D32=2),$E32*'NL '!C$8,AND($C32="Fuel car",$D32=3),$E32*'NL '!C$9,AND($C32="Fuel car",$D32=4),$E32*'NL '!C$10,AND($C32="Fuel car",$D32=5),$E32*'NL '!C$11,AND($C32="Motorcycle",$D32=1),$E32*'NL '!C$13,AND($C32="Motorcycle",$D32=2),$E32*'NL '!C$14,AND($C32="Electric car",$D32=1),$E32*'NL '!C$16,AND($C32="Electric car",$D32=2),$E32*'NL '!C$17,AND($C32="Electric car",$D32=3),$E32*'NL '!C$18,AND($C32="Electric car",$D32=4),$E32*'NL '!C$19,AND($C32="Electric car",$D32=5),$E32*'NL '!C$20,AND($C32="Hybrid car",$D32=1),$E32*'NL '!C$22,AND($C32="Hybrid car",$D32=2),$E32*'NL '!C$23,AND($C32="Hybrid car",$D32=3),$E32*'NL '!C$24,AND($C32="Hybrid car",$D32=4),$E32*'NL '!C$25,AND($C32="Hybrid car",$D32=5),$E32*'NL '!C$26,AND($C32="Electric motorcycle",$D32=1),$E32*'NL '!C$28,AND($C32="Electric motorcycle",$D32=2),$E32*'NL '!C$29,AND($C32="Electric bike",$D32=1),$E32*'NL '!C$31,AND($C32="Electric scooter",$D32=1),$E32*'NL '!C$33,AND($C32="Bus",$D32="Almost empty"),$E32*'NL '!H$23,AND($C32="Bus",$D32="Average"),$E32*'NL '!H$24,AND($C32="Bus",$D32="Nearly full"),$E32*'NL '!H$25,AND($C32="Electric bus",$D32="Almost empty"),$E32*'NL '!H$7,AND($C32="Electric bus",$D32="Average"),$E32*'NL '!H$8,AND($C32="Electric bus",$D32="Nearly full"),$E32*'NL '!H$9,AND($C32="Diesel bus",$D32="Almost empty"),$E32*'NL '!H$19,AND($C32="Diesel bus",$D32="Average"),$E32*'NL '!H$20,AND($C32="Diesel bus",$D32="Nearly full"),$E32*'NL '!H$21,AND($C32="Hybrid-electric bus",$D32="Almost empty"),$E32*'NL '!H$11,AND($C32="Hybrid-electric bus",$D32="Average"),$E32*'NL '!H$12,AND($C32="Hybrid-electric bus",$D32="Nearly full"),$E32*'NL '!H$13,AND($C32="Alternative fuel bus",$D32="Almost empty"),$E32*'NL '!H$15,AND($C32="Alternative fuel bus",$D32="Average"),$E32*'NL '!H$16,AND($C32="Alternative fuel bus",$D32="Nearly full"),$E32*'NL '!H$17,AND($C32="Metro, tram, urban light train",$D32="Almost empty"),$E32*'NL '!C$35,AND($C32="Metro, tram, urban light train",$D32="Average"),$E32*'NL '!C$36,AND($C32="Metro, tram, urban light train",$D32="Nearly full"),$E32*'NL '!C$37,AND($C32="Electric passenger train",$D32="Almost empty"),$E32*'NL '!C$39,AND($C32="Electric passenger train",$D32="Average"),$E32*'NL '!C$40,AND($C32="Electric passenger train",$D32="Nearly full"),$E32*'NL '!C$41,AND($C32="Diesel passenger train",$D32="Almost empty"),$E32*'NL '!C$47,AND($C32="Diesel passenger train",$D32="Average"),$E32*'NL '!C$48,AND($C32="Diesel passenger train",$D32="Nearly full"),$E32*'NL '!C$49,AND($C32="Walking"),$E32*0,AND($C32="Bike"),$E32*0,AND($C32="Plane - domestic flight"),$E32*'NL '!$C56,AND($C32="Plane - international - intra EU"),$E32*'NL '!$C58,AND($C32="Plane - international (extra EU)"),$E32*'NL '!$C60)</f>
        <v>#N/A</v>
      </c>
      <c r="G32" s="31" t="e" cm="1">
        <f t="array" ref="G32">_xlfn.IFS(AND($C32="Fuel car",$D32=1),$E32*'NL '!D$7,AND($C32="Fuel car",$D32=2),$E32*'NL '!D$8,AND($C32="Fuel car",$D32=3),$E32*'NL '!D$9,AND($C32="Fuel car",$D32=4),$E32*'NL '!D$10,AND($C32="Fuel car",$D32=5),$E32*'NL '!D$11,AND($C32="Motorcycle",$D32=1),$E32*'NL '!D$13,AND($C32="Motorcycle",$D32=2),$E32*'NL '!D$14,AND($C32="Electric car",$D32=1),$E32*'NL '!D$16,AND($C32="Electric car",$D32=2),$E32*'NL '!D$17,AND($C32="Electric car",$D32=3),$E32*'NL '!D$18,AND($C32="Electric car",$D32=4),$E32*'NL '!D$19,AND($C32="Electric car",$D32=5),$E32*'NL '!D$20,AND($C32="Hybrid car",$D32=1),$E32*'NL '!D$22,AND($C32="Hybrid car",$D32=2),$E32*'NL '!D$23,AND($C32="Hybrid car",$D32=3),$E32*'NL '!D$24,AND($C32="Hybrid car",$D32=4),$E32*'NL '!D$25,AND($C32="Hybrid car",$D32=5),$E32*'NL '!D$26,AND($C32="Electric motorcycle",$D32=1),$E32*'NL '!D$28,AND($C32="Electric motorcycle",$D32=2),$E32*'NL '!D$29,AND($C32="Electric bike",$D32=1),$E32*'NL '!D$31,AND($C32="Electric scooter",$D32=1),$E32*'NL '!D$33,AND($C32="Bus",$D32="Almost empty"),$E32*'NL '!I$23,AND($C32="Bus",$D32="Average"),$E32*'NL '!I$24,AND($C32="Bus",$D32="Nearly full"),$E32*'NL '!I$25,AND($C32="Electric bus",$D32="Almost empty"),$E32*'NL '!I$7,AND($C32="Electric bus",$D32="Average"),$E32*'NL '!I$8,AND($C32="Electric bus",$D32="Nearly full"),$E32*'NL '!I$9,AND($C32="Diesel bus",$D32="Almost empty"),$E32*'NL '!I$19,AND($C32="Diesel bus",$D32="Average"),$E32*'NL '!I$20,AND($C32="Diesel bus",$D32="Nearly full"),$E32*'NL '!I$21,AND($C32="Hybrid-electric bus",$D32="Almost empty"),$E32*'NL '!I$11,AND($C32="Hybrid-electric bus",$D32="Average"),$E32*'NL '!I$12,AND($C32="Hybrid-electric bus",$D32="Nearly full"),$E32*'NL '!I$13,AND($C32="Alternative fuel bus",$D32="Almost empty"),$E32*'NL '!I$15,AND($C32="Alternative fuel bus",$D32="Average"),$E32*'NL '!I$16,AND($C32="Alternative fuel bus",$D32="Nearly full"),$E32*'NL '!I$17,AND($C32="Metro, tram, urban light train",$D32="Almost empty"),$E32*'NL '!D$35,AND($C32="Metro, tram, urban light train",$D32="Average"),$E32*'NL '!D$36,AND($C32="Metro, tram, urban light train",$D32="Nearly full"),$E32*'NL '!D$37,AND($C32="Electric passenger train",$D32="Almost empty"),$E32*'NL '!D$39,AND($C32="Electric passenger train",$D32="Average"),$E32*'NL '!D$40,AND($C32="Electric passenger train",$D32="Nearly full"),$E32*'NL '!D$41,AND($C32="Diesel passenger train",$D32="Almost empty"),$E32*'NL '!D$47,AND($C32="Diesel passenger train",$D32="Average"),$E32*'NL '!D$48,AND($C32="Diesel passenger train",$D32="Nearly full"),$E32*'NL '!D$49,AND($C32="Walking"),$E32*0,AND($C32="Bike"),$E32*0,AND($C32="Plane - domestic flight"),$E32*'NL '!$C56,AND($C32="Plane - international - intra EU"),$E32*'NL '!$C58,AND($C32="Plane - international (extra EU)"),$E32*'NL '!$C60)</f>
        <v>#N/A</v>
      </c>
      <c r="H32" s="145"/>
      <c r="I32" s="148">
        <f t="shared" si="6"/>
        <v>0</v>
      </c>
      <c r="J32" s="146" t="e" cm="1">
        <f t="array" ref="J32">_xlfn.IFS(C32="Fuel car",C32*DATA!$C$17,C32="Electric car",C32*DATA!$F$23,C32="Hybrid car",I32*(0.5*DATA!$C$17+0.5*DATA!$F$23))</f>
        <v>#N/A</v>
      </c>
      <c r="L32" s="218"/>
      <c r="M32" s="219"/>
      <c r="N32" s="220"/>
    </row>
    <row r="33" spans="1:14" ht="14.5" customHeight="1" x14ac:dyDescent="0.2">
      <c r="A33" s="222"/>
      <c r="B33" s="30"/>
      <c r="C33" s="15"/>
      <c r="D33" s="15"/>
      <c r="E33" s="125"/>
      <c r="F33" s="128" t="e" cm="1">
        <f t="array" ref="F33">_xlfn.IFS(AND($C33="Fuel car",$D33=1),$E33*'NL '!C$7,AND($C33="Fuel car",$D33=2),$E33*'NL '!C$8,AND($C33="Fuel car",$D33=3),$E33*'NL '!C$9,AND($C33="Fuel car",$D33=4),$E33*'NL '!C$10,AND($C33="Fuel car",$D33=5),$E33*'NL '!C$11,AND($C33="Motorcycle",$D33=1),$E33*'NL '!C$13,AND($C33="Motorcycle",$D33=2),$E33*'NL '!C$14,AND($C33="Electric car",$D33=1),$E33*'NL '!C$16,AND($C33="Electric car",$D33=2),$E33*'NL '!C$17,AND($C33="Electric car",$D33=3),$E33*'NL '!C$18,AND($C33="Electric car",$D33=4),$E33*'NL '!C$19,AND($C33="Electric car",$D33=5),$E33*'NL '!C$20,AND($C33="Hybrid car",$D33=1),$E33*'NL '!C$22,AND($C33="Hybrid car",$D33=2),$E33*'NL '!C$23,AND($C33="Hybrid car",$D33=3),$E33*'NL '!C$24,AND($C33="Hybrid car",$D33=4),$E33*'NL '!C$25,AND($C33="Hybrid car",$D33=5),$E33*'NL '!C$26,AND($C33="Electric motorcycle",$D33=1),$E33*'NL '!C$28,AND($C33="Electric motorcycle",$D33=2),$E33*'NL '!C$29,AND($C33="Electric bike",$D33=1),$E33*'NL '!C$31,AND($C33="Electric scooter",$D33=1),$E33*'NL '!C$33,AND($C33="Bus",$D33="Almost empty"),$E33*'NL '!H$23,AND($C33="Bus",$D33="Average"),$E33*'NL '!H$24,AND($C33="Bus",$D33="Nearly full"),$E33*'NL '!H$25,AND($C33="Electric bus",$D33="Almost empty"),$E33*'NL '!H$7,AND($C33="Electric bus",$D33="Average"),$E33*'NL '!H$8,AND($C33="Electric bus",$D33="Nearly full"),$E33*'NL '!H$9,AND($C33="Diesel bus",$D33="Almost empty"),$E33*'NL '!H$19,AND($C33="Diesel bus",$D33="Average"),$E33*'NL '!H$20,AND($C33="Diesel bus",$D33="Nearly full"),$E33*'NL '!H$21,AND($C33="Hybrid-electric bus",$D33="Almost empty"),$E33*'NL '!H$11,AND($C33="Hybrid-electric bus",$D33="Average"),$E33*'NL '!H$12,AND($C33="Hybrid-electric bus",$D33="Nearly full"),$E33*'NL '!H$13,AND($C33="Alternative fuel bus",$D33="Almost empty"),$E33*'NL '!H$15,AND($C33="Alternative fuel bus",$D33="Average"),$E33*'NL '!H$16,AND($C33="Alternative fuel bus",$D33="Nearly full"),$E33*'NL '!H$17,AND($C33="Metro, tram, urban light train",$D33="Almost empty"),$E33*'NL '!C$35,AND($C33="Metro, tram, urban light train",$D33="Average"),$E33*'NL '!C$36,AND($C33="Metro, tram, urban light train",$D33="Nearly full"),$E33*'NL '!C$37,AND($C33="Electric passenger train",$D33="Almost empty"),$E33*'NL '!C$39,AND($C33="Electric passenger train",$D33="Average"),$E33*'NL '!C$40,AND($C33="Electric passenger train",$D33="Nearly full"),$E33*'NL '!C$41,AND($C33="Diesel passenger train",$D33="Almost empty"),$E33*'NL '!C$47,AND($C33="Diesel passenger train",$D33="Average"),$E33*'NL '!C$48,AND($C33="Diesel passenger train",$D33="Nearly full"),$E33*'NL '!C$49,AND($C33="Walking"),$E33*0,AND($C33="Bike"),$E33*0,AND($C33="Plane - domestic flight"),$E33*'NL '!$C57,AND($C33="Plane - international - intra EU"),$E33*'NL '!$C59,AND($C33="Plane - international (extra EU)"),$E33*'NL '!$C61)</f>
        <v>#N/A</v>
      </c>
      <c r="G33" s="31" t="e" cm="1">
        <f t="array" ref="G33">_xlfn.IFS(AND($C33="Fuel car",$D33=1),$E33*'NL '!D$7,AND($C33="Fuel car",$D33=2),$E33*'NL '!D$8,AND($C33="Fuel car",$D33=3),$E33*'NL '!D$9,AND($C33="Fuel car",$D33=4),$E33*'NL '!D$10,AND($C33="Fuel car",$D33=5),$E33*'NL '!D$11,AND($C33="Motorcycle",$D33=1),$E33*'NL '!D$13,AND($C33="Motorcycle",$D33=2),$E33*'NL '!D$14,AND($C33="Electric car",$D33=1),$E33*'NL '!D$16,AND($C33="Electric car",$D33=2),$E33*'NL '!D$17,AND($C33="Electric car",$D33=3),$E33*'NL '!D$18,AND($C33="Electric car",$D33=4),$E33*'NL '!D$19,AND($C33="Electric car",$D33=5),$E33*'NL '!D$20,AND($C33="Hybrid car",$D33=1),$E33*'NL '!D$22,AND($C33="Hybrid car",$D33=2),$E33*'NL '!D$23,AND($C33="Hybrid car",$D33=3),$E33*'NL '!D$24,AND($C33="Hybrid car",$D33=4),$E33*'NL '!D$25,AND($C33="Hybrid car",$D33=5),$E33*'NL '!D$26,AND($C33="Electric motorcycle",$D33=1),$E33*'NL '!D$28,AND($C33="Electric motorcycle",$D33=2),$E33*'NL '!D$29,AND($C33="Electric bike",$D33=1),$E33*'NL '!D$31,AND($C33="Electric scooter",$D33=1),$E33*'NL '!D$33,AND($C33="Bus",$D33="Almost empty"),$E33*'NL '!I$23,AND($C33="Bus",$D33="Average"),$E33*'NL '!I$24,AND($C33="Bus",$D33="Nearly full"),$E33*'NL '!I$25,AND($C33="Electric bus",$D33="Almost empty"),$E33*'NL '!I$7,AND($C33="Electric bus",$D33="Average"),$E33*'NL '!I$8,AND($C33="Electric bus",$D33="Nearly full"),$E33*'NL '!I$9,AND($C33="Diesel bus",$D33="Almost empty"),$E33*'NL '!I$19,AND($C33="Diesel bus",$D33="Average"),$E33*'NL '!I$20,AND($C33="Diesel bus",$D33="Nearly full"),$E33*'NL '!I$21,AND($C33="Hybrid-electric bus",$D33="Almost empty"),$E33*'NL '!I$11,AND($C33="Hybrid-electric bus",$D33="Average"),$E33*'NL '!I$12,AND($C33="Hybrid-electric bus",$D33="Nearly full"),$E33*'NL '!I$13,AND($C33="Alternative fuel bus",$D33="Almost empty"),$E33*'NL '!I$15,AND($C33="Alternative fuel bus",$D33="Average"),$E33*'NL '!I$16,AND($C33="Alternative fuel bus",$D33="Nearly full"),$E33*'NL '!I$17,AND($C33="Metro, tram, urban light train",$D33="Almost empty"),$E33*'NL '!D$35,AND($C33="Metro, tram, urban light train",$D33="Average"),$E33*'NL '!D$36,AND($C33="Metro, tram, urban light train",$D33="Nearly full"),$E33*'NL '!D$37,AND($C33="Electric passenger train",$D33="Almost empty"),$E33*'NL '!D$39,AND($C33="Electric passenger train",$D33="Average"),$E33*'NL '!D$40,AND($C33="Electric passenger train",$D33="Nearly full"),$E33*'NL '!D$41,AND($C33="Diesel passenger train",$D33="Almost empty"),$E33*'NL '!D$47,AND($C33="Diesel passenger train",$D33="Average"),$E33*'NL '!D$48,AND($C33="Diesel passenger train",$D33="Nearly full"),$E33*'NL '!D$49,AND($C33="Walking"),$E33*0,AND($C33="Bike"),$E33*0,AND($C33="Plane - domestic flight"),$E33*'NL '!$C57,AND($C33="Plane - international - intra EU"),$E33*'NL '!$C59,AND($C33="Plane - international (extra EU)"),$E33*'NL '!$C61)</f>
        <v>#N/A</v>
      </c>
      <c r="H33" s="145"/>
      <c r="I33" s="148">
        <f t="shared" si="6"/>
        <v>0</v>
      </c>
      <c r="J33" s="146" t="e" cm="1">
        <f t="array" ref="J33">_xlfn.IFS(C33="Fuel car",C33*DATA!$C$17,C33="Electric car",C33*DATA!$F$23,C33="Hybrid car",I33*(0.5*DATA!$C$17+0.5*DATA!$F$23))</f>
        <v>#N/A</v>
      </c>
      <c r="L33" s="223" t="s">
        <v>78</v>
      </c>
      <c r="M33" s="224"/>
      <c r="N33" s="225"/>
    </row>
    <row r="34" spans="1:14" x14ac:dyDescent="0.2">
      <c r="A34" s="222"/>
      <c r="B34" s="30"/>
      <c r="C34" s="15"/>
      <c r="D34" s="15"/>
      <c r="E34" s="125"/>
      <c r="F34" s="128" t="e" cm="1">
        <f t="array" ref="F34">_xlfn.IFS(AND($C34="Fuel car",$D34=1),$E34*'NL '!C$7,AND($C34="Fuel car",$D34=2),$E34*'NL '!C$8,AND($C34="Fuel car",$D34=3),$E34*'NL '!C$9,AND($C34="Fuel car",$D34=4),$E34*'NL '!C$10,AND($C34="Fuel car",$D34=5),$E34*'NL '!C$11,AND($C34="Motorcycle",$D34=1),$E34*'NL '!C$13,AND($C34="Motorcycle",$D34=2),$E34*'NL '!C$14,AND($C34="Electric car",$D34=1),$E34*'NL '!C$16,AND($C34="Electric car",$D34=2),$E34*'NL '!C$17,AND($C34="Electric car",$D34=3),$E34*'NL '!C$18,AND($C34="Electric car",$D34=4),$E34*'NL '!C$19,AND($C34="Electric car",$D34=5),$E34*'NL '!C$20,AND($C34="Hybrid car",$D34=1),$E34*'NL '!C$22,AND($C34="Hybrid car",$D34=2),$E34*'NL '!C$23,AND($C34="Hybrid car",$D34=3),$E34*'NL '!C$24,AND($C34="Hybrid car",$D34=4),$E34*'NL '!C$25,AND($C34="Hybrid car",$D34=5),$E34*'NL '!C$26,AND($C34="Electric motorcycle",$D34=1),$E34*'NL '!C$28,AND($C34="Electric motorcycle",$D34=2),$E34*'NL '!C$29,AND($C34="Electric bike",$D34=1),$E34*'NL '!C$31,AND($C34="Electric scooter",$D34=1),$E34*'NL '!C$33,AND($C34="Bus",$D34="Almost empty"),$E34*'NL '!H$23,AND($C34="Bus",$D34="Average"),$E34*'NL '!H$24,AND($C34="Bus",$D34="Nearly full"),$E34*'NL '!H$25,AND($C34="Electric bus",$D34="Almost empty"),$E34*'NL '!H$7,AND($C34="Electric bus",$D34="Average"),$E34*'NL '!H$8,AND($C34="Electric bus",$D34="Nearly full"),$E34*'NL '!H$9,AND($C34="Diesel bus",$D34="Almost empty"),$E34*'NL '!H$19,AND($C34="Diesel bus",$D34="Average"),$E34*'NL '!H$20,AND($C34="Diesel bus",$D34="Nearly full"),$E34*'NL '!H$21,AND($C34="Hybrid-electric bus",$D34="Almost empty"),$E34*'NL '!H$11,AND($C34="Hybrid-electric bus",$D34="Average"),$E34*'NL '!H$12,AND($C34="Hybrid-electric bus",$D34="Nearly full"),$E34*'NL '!H$13,AND($C34="Alternative fuel bus",$D34="Almost empty"),$E34*'NL '!H$15,AND($C34="Alternative fuel bus",$D34="Average"),$E34*'NL '!H$16,AND($C34="Alternative fuel bus",$D34="Nearly full"),$E34*'NL '!H$17,AND($C34="Metro, tram, urban light train",$D34="Almost empty"),$E34*'NL '!C$35,AND($C34="Metro, tram, urban light train",$D34="Average"),$E34*'NL '!C$36,AND($C34="Metro, tram, urban light train",$D34="Nearly full"),$E34*'NL '!C$37,AND($C34="Electric passenger train",$D34="Almost empty"),$E34*'NL '!C$39,AND($C34="Electric passenger train",$D34="Average"),$E34*'NL '!C$40,AND($C34="Electric passenger train",$D34="Nearly full"),$E34*'NL '!C$41,AND($C34="Diesel passenger train",$D34="Almost empty"),$E34*'NL '!C$47,AND($C34="Diesel passenger train",$D34="Average"),$E34*'NL '!C$48,AND($C34="Diesel passenger train",$D34="Nearly full"),$E34*'NL '!C$49,AND($C34="Walking"),$E34*0,AND($C34="Bike"),$E34*0,AND($C34="Plane - domestic flight"),$E34*'NL '!$C58,AND($C34="Plane - international - intra EU"),$E34*'NL '!$C60,AND($C34="Plane - international (extra EU)"),$E34*'NL '!$C62)</f>
        <v>#N/A</v>
      </c>
      <c r="G34" s="31" t="e" cm="1">
        <f t="array" ref="G34">_xlfn.IFS(AND($C34="Fuel car",$D34=1),$E34*'NL '!D$7,AND($C34="Fuel car",$D34=2),$E34*'NL '!D$8,AND($C34="Fuel car",$D34=3),$E34*'NL '!D$9,AND($C34="Fuel car",$D34=4),$E34*'NL '!D$10,AND($C34="Fuel car",$D34=5),$E34*'NL '!D$11,AND($C34="Motorcycle",$D34=1),$E34*'NL '!D$13,AND($C34="Motorcycle",$D34=2),$E34*'NL '!D$14,AND($C34="Electric car",$D34=1),$E34*'NL '!D$16,AND($C34="Electric car",$D34=2),$E34*'NL '!D$17,AND($C34="Electric car",$D34=3),$E34*'NL '!D$18,AND($C34="Electric car",$D34=4),$E34*'NL '!D$19,AND($C34="Electric car",$D34=5),$E34*'NL '!D$20,AND($C34="Hybrid car",$D34=1),$E34*'NL '!D$22,AND($C34="Hybrid car",$D34=2),$E34*'NL '!D$23,AND($C34="Hybrid car",$D34=3),$E34*'NL '!D$24,AND($C34="Hybrid car",$D34=4),$E34*'NL '!D$25,AND($C34="Hybrid car",$D34=5),$E34*'NL '!D$26,AND($C34="Electric motorcycle",$D34=1),$E34*'NL '!D$28,AND($C34="Electric motorcycle",$D34=2),$E34*'NL '!D$29,AND($C34="Electric bike",$D34=1),$E34*'NL '!D$31,AND($C34="Electric scooter",$D34=1),$E34*'NL '!D$33,AND($C34="Bus",$D34="Almost empty"),$E34*'NL '!I$23,AND($C34="Bus",$D34="Average"),$E34*'NL '!I$24,AND($C34="Bus",$D34="Nearly full"),$E34*'NL '!I$25,AND($C34="Electric bus",$D34="Almost empty"),$E34*'NL '!I$7,AND($C34="Electric bus",$D34="Average"),$E34*'NL '!I$8,AND($C34="Electric bus",$D34="Nearly full"),$E34*'NL '!I$9,AND($C34="Diesel bus",$D34="Almost empty"),$E34*'NL '!I$19,AND($C34="Diesel bus",$D34="Average"),$E34*'NL '!I$20,AND($C34="Diesel bus",$D34="Nearly full"),$E34*'NL '!I$21,AND($C34="Hybrid-electric bus",$D34="Almost empty"),$E34*'NL '!I$11,AND($C34="Hybrid-electric bus",$D34="Average"),$E34*'NL '!I$12,AND($C34="Hybrid-electric bus",$D34="Nearly full"),$E34*'NL '!I$13,AND($C34="Alternative fuel bus",$D34="Almost empty"),$E34*'NL '!I$15,AND($C34="Alternative fuel bus",$D34="Average"),$E34*'NL '!I$16,AND($C34="Alternative fuel bus",$D34="Nearly full"),$E34*'NL '!I$17,AND($C34="Metro, tram, urban light train",$D34="Almost empty"),$E34*'NL '!D$35,AND($C34="Metro, tram, urban light train",$D34="Average"),$E34*'NL '!D$36,AND($C34="Metro, tram, urban light train",$D34="Nearly full"),$E34*'NL '!D$37,AND($C34="Electric passenger train",$D34="Almost empty"),$E34*'NL '!D$39,AND($C34="Electric passenger train",$D34="Average"),$E34*'NL '!D$40,AND($C34="Electric passenger train",$D34="Nearly full"),$E34*'NL '!D$41,AND($C34="Diesel passenger train",$D34="Almost empty"),$E34*'NL '!D$47,AND($C34="Diesel passenger train",$D34="Average"),$E34*'NL '!D$48,AND($C34="Diesel passenger train",$D34="Nearly full"),$E34*'NL '!D$49,AND($C34="Walking"),$E34*0,AND($C34="Bike"),$E34*0,AND($C34="Plane - domestic flight"),$E34*'NL '!$C58,AND($C34="Plane - international - intra EU"),$E34*'NL '!$C60,AND($C34="Plane - international (extra EU)"),$E34*'NL '!$C62)</f>
        <v>#N/A</v>
      </c>
      <c r="H34" s="145"/>
      <c r="I34" s="148">
        <f t="shared" si="6"/>
        <v>0</v>
      </c>
      <c r="J34" s="146" t="e" cm="1">
        <f t="array" ref="J34">_xlfn.IFS(C34="Fuel car",C34*DATA!$C$17,C34="Electric car",C34*DATA!$F$23,C34="Hybrid car",I34*(0.5*DATA!$C$17+0.5*DATA!$F$23))</f>
        <v>#N/A</v>
      </c>
      <c r="L34" s="223"/>
      <c r="M34" s="224"/>
      <c r="N34" s="225"/>
    </row>
    <row r="35" spans="1:14" ht="14.5" customHeight="1" x14ac:dyDescent="0.2">
      <c r="A35" s="222"/>
      <c r="B35" s="30"/>
      <c r="C35" s="15"/>
      <c r="D35" s="15"/>
      <c r="E35" s="125"/>
      <c r="F35" s="128" t="e" cm="1">
        <f t="array" ref="F35">_xlfn.IFS(AND($C35="Fuel car",$D35=1),$E35*'NL '!C$7,AND($C35="Fuel car",$D35=2),$E35*'NL '!C$8,AND($C35="Fuel car",$D35=3),$E35*'NL '!C$9,AND($C35="Fuel car",$D35=4),$E35*'NL '!C$10,AND($C35="Fuel car",$D35=5),$E35*'NL '!C$11,AND($C35="Motorcycle",$D35=1),$E35*'NL '!C$13,AND($C35="Motorcycle",$D35=2),$E35*'NL '!C$14,AND($C35="Electric car",$D35=1),$E35*'NL '!C$16,AND($C35="Electric car",$D35=2),$E35*'NL '!C$17,AND($C35="Electric car",$D35=3),$E35*'NL '!C$18,AND($C35="Electric car",$D35=4),$E35*'NL '!C$19,AND($C35="Electric car",$D35=5),$E35*'NL '!C$20,AND($C35="Hybrid car",$D35=1),$E35*'NL '!C$22,AND($C35="Hybrid car",$D35=2),$E35*'NL '!C$23,AND($C35="Hybrid car",$D35=3),$E35*'NL '!C$24,AND($C35="Hybrid car",$D35=4),$E35*'NL '!C$25,AND($C35="Hybrid car",$D35=5),$E35*'NL '!C$26,AND($C35="Electric motorcycle",$D35=1),$E35*'NL '!C$28,AND($C35="Electric motorcycle",$D35=2),$E35*'NL '!C$29,AND($C35="Electric bike",$D35=1),$E35*'NL '!C$31,AND($C35="Electric scooter",$D35=1),$E35*'NL '!C$33,AND($C35="Bus",$D35="Almost empty"),$E35*'NL '!H$23,AND($C35="Bus",$D35="Average"),$E35*'NL '!H$24,AND($C35="Bus",$D35="Nearly full"),$E35*'NL '!H$25,AND($C35="Electric bus",$D35="Almost empty"),$E35*'NL '!H$7,AND($C35="Electric bus",$D35="Average"),$E35*'NL '!H$8,AND($C35="Electric bus",$D35="Nearly full"),$E35*'NL '!H$9,AND($C35="Diesel bus",$D35="Almost empty"),$E35*'NL '!H$19,AND($C35="Diesel bus",$D35="Average"),$E35*'NL '!H$20,AND($C35="Diesel bus",$D35="Nearly full"),$E35*'NL '!H$21,AND($C35="Hybrid-electric bus",$D35="Almost empty"),$E35*'NL '!H$11,AND($C35="Hybrid-electric bus",$D35="Average"),$E35*'NL '!H$12,AND($C35="Hybrid-electric bus",$D35="Nearly full"),$E35*'NL '!H$13,AND($C35="Alternative fuel bus",$D35="Almost empty"),$E35*'NL '!H$15,AND($C35="Alternative fuel bus",$D35="Average"),$E35*'NL '!H$16,AND($C35="Alternative fuel bus",$D35="Nearly full"),$E35*'NL '!H$17,AND($C35="Metro, tram, urban light train",$D35="Almost empty"),$E35*'NL '!C$35,AND($C35="Metro, tram, urban light train",$D35="Average"),$E35*'NL '!C$36,AND($C35="Metro, tram, urban light train",$D35="Nearly full"),$E35*'NL '!C$37,AND($C35="Electric passenger train",$D35="Almost empty"),$E35*'NL '!C$39,AND($C35="Electric passenger train",$D35="Average"),$E35*'NL '!C$40,AND($C35="Electric passenger train",$D35="Nearly full"),$E35*'NL '!C$41,AND($C35="Diesel passenger train",$D35="Almost empty"),$E35*'NL '!C$47,AND($C35="Diesel passenger train",$D35="Average"),$E35*'NL '!C$48,AND($C35="Diesel passenger train",$D35="Nearly full"),$E35*'NL '!C$49,AND($C35="Walking"),$E35*0,AND($C35="Bike"),$E35*0,AND($C35="Plane - domestic flight"),$E35*'NL '!$C59,AND($C35="Plane - international - intra EU"),$E35*'NL '!$C61,AND($C35="Plane - international (extra EU)"),$E35*'NL '!$C63)</f>
        <v>#N/A</v>
      </c>
      <c r="G35" s="31" t="e" cm="1">
        <f t="array" ref="G35">_xlfn.IFS(AND($C35="Fuel car",$D35=1),$E35*'NL '!D$7,AND($C35="Fuel car",$D35=2),$E35*'NL '!D$8,AND($C35="Fuel car",$D35=3),$E35*'NL '!D$9,AND($C35="Fuel car",$D35=4),$E35*'NL '!D$10,AND($C35="Fuel car",$D35=5),$E35*'NL '!D$11,AND($C35="Motorcycle",$D35=1),$E35*'NL '!D$13,AND($C35="Motorcycle",$D35=2),$E35*'NL '!D$14,AND($C35="Electric car",$D35=1),$E35*'NL '!D$16,AND($C35="Electric car",$D35=2),$E35*'NL '!D$17,AND($C35="Electric car",$D35=3),$E35*'NL '!D$18,AND($C35="Electric car",$D35=4),$E35*'NL '!D$19,AND($C35="Electric car",$D35=5),$E35*'NL '!D$20,AND($C35="Hybrid car",$D35=1),$E35*'NL '!D$22,AND($C35="Hybrid car",$D35=2),$E35*'NL '!D$23,AND($C35="Hybrid car",$D35=3),$E35*'NL '!D$24,AND($C35="Hybrid car",$D35=4),$E35*'NL '!D$25,AND($C35="Hybrid car",$D35=5),$E35*'NL '!D$26,AND($C35="Electric motorcycle",$D35=1),$E35*'NL '!D$28,AND($C35="Electric motorcycle",$D35=2),$E35*'NL '!D$29,AND($C35="Electric bike",$D35=1),$E35*'NL '!D$31,AND($C35="Electric scooter",$D35=1),$E35*'NL '!D$33,AND($C35="Bus",$D35="Almost empty"),$E35*'NL '!I$23,AND($C35="Bus",$D35="Average"),$E35*'NL '!I$24,AND($C35="Bus",$D35="Nearly full"),$E35*'NL '!I$25,AND($C35="Electric bus",$D35="Almost empty"),$E35*'NL '!I$7,AND($C35="Electric bus",$D35="Average"),$E35*'NL '!I$8,AND($C35="Electric bus",$D35="Nearly full"),$E35*'NL '!I$9,AND($C35="Diesel bus",$D35="Almost empty"),$E35*'NL '!I$19,AND($C35="Diesel bus",$D35="Average"),$E35*'NL '!I$20,AND($C35="Diesel bus",$D35="Nearly full"),$E35*'NL '!I$21,AND($C35="Hybrid-electric bus",$D35="Almost empty"),$E35*'NL '!I$11,AND($C35="Hybrid-electric bus",$D35="Average"),$E35*'NL '!I$12,AND($C35="Hybrid-electric bus",$D35="Nearly full"),$E35*'NL '!I$13,AND($C35="Alternative fuel bus",$D35="Almost empty"),$E35*'NL '!I$15,AND($C35="Alternative fuel bus",$D35="Average"),$E35*'NL '!I$16,AND($C35="Alternative fuel bus",$D35="Nearly full"),$E35*'NL '!I$17,AND($C35="Metro, tram, urban light train",$D35="Almost empty"),$E35*'NL '!D$35,AND($C35="Metro, tram, urban light train",$D35="Average"),$E35*'NL '!D$36,AND($C35="Metro, tram, urban light train",$D35="Nearly full"),$E35*'NL '!D$37,AND($C35="Electric passenger train",$D35="Almost empty"),$E35*'NL '!D$39,AND($C35="Electric passenger train",$D35="Average"),$E35*'NL '!D$40,AND($C35="Electric passenger train",$D35="Nearly full"),$E35*'NL '!D$41,AND($C35="Diesel passenger train",$D35="Almost empty"),$E35*'NL '!D$47,AND($C35="Diesel passenger train",$D35="Average"),$E35*'NL '!D$48,AND($C35="Diesel passenger train",$D35="Nearly full"),$E35*'NL '!D$49,AND($C35="Walking"),$E35*0,AND($C35="Bike"),$E35*0,AND($C35="Plane - domestic flight"),$E35*'NL '!$C59,AND($C35="Plane - international - intra EU"),$E35*'NL '!$C61,AND($C35="Plane - international (extra EU)"),$E35*'NL '!$C63)</f>
        <v>#N/A</v>
      </c>
      <c r="H35" s="145"/>
      <c r="I35" s="148">
        <f t="shared" si="6"/>
        <v>0</v>
      </c>
      <c r="J35" s="146" t="e" cm="1">
        <f t="array" ref="J35">_xlfn.IFS(C35="Fuel car",C35*DATA!$C$17,C35="Electric car",C35*DATA!$F$23,C35="Hybrid car",I35*(0.5*DATA!$C$17+0.5*DATA!$F$23))</f>
        <v>#N/A</v>
      </c>
      <c r="L35" s="223"/>
      <c r="M35" s="224"/>
      <c r="N35" s="225"/>
    </row>
    <row r="36" spans="1:14" ht="16" thickBot="1" x14ac:dyDescent="0.25">
      <c r="A36" s="222"/>
      <c r="B36" s="30"/>
      <c r="C36" s="15"/>
      <c r="D36" s="15"/>
      <c r="E36" s="125"/>
      <c r="F36" s="128" t="e" cm="1">
        <f t="array" ref="F36">_xlfn.IFS(AND($C36="Fuel car",$D36=1),$E36*'NL '!C$7,AND($C36="Fuel car",$D36=2),$E36*'NL '!C$8,AND($C36="Fuel car",$D36=3),$E36*'NL '!C$9,AND($C36="Fuel car",$D36=4),$E36*'NL '!C$10,AND($C36="Fuel car",$D36=5),$E36*'NL '!C$11,AND($C36="Motorcycle",$D36=1),$E36*'NL '!C$13,AND($C36="Motorcycle",$D36=2),$E36*'NL '!C$14,AND($C36="Electric car",$D36=1),$E36*'NL '!C$16,AND($C36="Electric car",$D36=2),$E36*'NL '!C$17,AND($C36="Electric car",$D36=3),$E36*'NL '!C$18,AND($C36="Electric car",$D36=4),$E36*'NL '!C$19,AND($C36="Electric car",$D36=5),$E36*'NL '!C$20,AND($C36="Hybrid car",$D36=1),$E36*'NL '!C$22,AND($C36="Hybrid car",$D36=2),$E36*'NL '!C$23,AND($C36="Hybrid car",$D36=3),$E36*'NL '!C$24,AND($C36="Hybrid car",$D36=4),$E36*'NL '!C$25,AND($C36="Hybrid car",$D36=5),$E36*'NL '!C$26,AND($C36="Electric motorcycle",$D36=1),$E36*'NL '!C$28,AND($C36="Electric motorcycle",$D36=2),$E36*'NL '!C$29,AND($C36="Electric bike",$D36=1),$E36*'NL '!C$31,AND($C36="Electric scooter",$D36=1),$E36*'NL '!C$33,AND($C36="Bus",$D36="Almost empty"),$E36*'NL '!H$23,AND($C36="Bus",$D36="Average"),$E36*'NL '!H$24,AND($C36="Bus",$D36="Nearly full"),$E36*'NL '!H$25,AND($C36="Electric bus",$D36="Almost empty"),$E36*'NL '!H$7,AND($C36="Electric bus",$D36="Average"),$E36*'NL '!H$8,AND($C36="Electric bus",$D36="Nearly full"),$E36*'NL '!H$9,AND($C36="Diesel bus",$D36="Almost empty"),$E36*'NL '!H$19,AND($C36="Diesel bus",$D36="Average"),$E36*'NL '!H$20,AND($C36="Diesel bus",$D36="Nearly full"),$E36*'NL '!H$21,AND($C36="Hybrid-electric bus",$D36="Almost empty"),$E36*'NL '!H$11,AND($C36="Hybrid-electric bus",$D36="Average"),$E36*'NL '!H$12,AND($C36="Hybrid-electric bus",$D36="Nearly full"),$E36*'NL '!H$13,AND($C36="Alternative fuel bus",$D36="Almost empty"),$E36*'NL '!H$15,AND($C36="Alternative fuel bus",$D36="Average"),$E36*'NL '!H$16,AND($C36="Alternative fuel bus",$D36="Nearly full"),$E36*'NL '!H$17,AND($C36="Metro, tram, urban light train",$D36="Almost empty"),$E36*'NL '!C$35,AND($C36="Metro, tram, urban light train",$D36="Average"),$E36*'NL '!C$36,AND($C36="Metro, tram, urban light train",$D36="Nearly full"),$E36*'NL '!C$37,AND($C36="Electric passenger train",$D36="Almost empty"),$E36*'NL '!C$39,AND($C36="Electric passenger train",$D36="Average"),$E36*'NL '!C$40,AND($C36="Electric passenger train",$D36="Nearly full"),$E36*'NL '!C$41,AND($C36="Diesel passenger train",$D36="Almost empty"),$E36*'NL '!C$47,AND($C36="Diesel passenger train",$D36="Average"),$E36*'NL '!C$48,AND($C36="Diesel passenger train",$D36="Nearly full"),$E36*'NL '!C$49,AND($C36="Walking"),$E36*0,AND($C36="Bike"),$E36*0,AND($C36="Plane - domestic flight"),$E36*'NL '!$C60,AND($C36="Plane - international - intra EU"),$E36*'NL '!$C62,AND($C36="Plane - international (extra EU)"),$E36*'NL '!$C64)</f>
        <v>#N/A</v>
      </c>
      <c r="G36" s="31" t="e" cm="1">
        <f t="array" ref="G36">_xlfn.IFS(AND($C36="Fuel car",$D36=1),$E36*'NL '!D$7,AND($C36="Fuel car",$D36=2),$E36*'NL '!D$8,AND($C36="Fuel car",$D36=3),$E36*'NL '!D$9,AND($C36="Fuel car",$D36=4),$E36*'NL '!D$10,AND($C36="Fuel car",$D36=5),$E36*'NL '!D$11,AND($C36="Motorcycle",$D36=1),$E36*'NL '!D$13,AND($C36="Motorcycle",$D36=2),$E36*'NL '!D$14,AND($C36="Electric car",$D36=1),$E36*'NL '!D$16,AND($C36="Electric car",$D36=2),$E36*'NL '!D$17,AND($C36="Electric car",$D36=3),$E36*'NL '!D$18,AND($C36="Electric car",$D36=4),$E36*'NL '!D$19,AND($C36="Electric car",$D36=5),$E36*'NL '!D$20,AND($C36="Hybrid car",$D36=1),$E36*'NL '!D$22,AND($C36="Hybrid car",$D36=2),$E36*'NL '!D$23,AND($C36="Hybrid car",$D36=3),$E36*'NL '!D$24,AND($C36="Hybrid car",$D36=4),$E36*'NL '!D$25,AND($C36="Hybrid car",$D36=5),$E36*'NL '!D$26,AND($C36="Electric motorcycle",$D36=1),$E36*'NL '!D$28,AND($C36="Electric motorcycle",$D36=2),$E36*'NL '!D$29,AND($C36="Electric bike",$D36=1),$E36*'NL '!D$31,AND($C36="Electric scooter",$D36=1),$E36*'NL '!D$33,AND($C36="Bus",$D36="Almost empty"),$E36*'NL '!I$23,AND($C36="Bus",$D36="Average"),$E36*'NL '!I$24,AND($C36="Bus",$D36="Nearly full"),$E36*'NL '!I$25,AND($C36="Electric bus",$D36="Almost empty"),$E36*'NL '!I$7,AND($C36="Electric bus",$D36="Average"),$E36*'NL '!I$8,AND($C36="Electric bus",$D36="Nearly full"),$E36*'NL '!I$9,AND($C36="Diesel bus",$D36="Almost empty"),$E36*'NL '!I$19,AND($C36="Diesel bus",$D36="Average"),$E36*'NL '!I$20,AND($C36="Diesel bus",$D36="Nearly full"),$E36*'NL '!I$21,AND($C36="Hybrid-electric bus",$D36="Almost empty"),$E36*'NL '!I$11,AND($C36="Hybrid-electric bus",$D36="Average"),$E36*'NL '!I$12,AND($C36="Hybrid-electric bus",$D36="Nearly full"),$E36*'NL '!I$13,AND($C36="Alternative fuel bus",$D36="Almost empty"),$E36*'NL '!I$15,AND($C36="Alternative fuel bus",$D36="Average"),$E36*'NL '!I$16,AND($C36="Alternative fuel bus",$D36="Nearly full"),$E36*'NL '!I$17,AND($C36="Metro, tram, urban light train",$D36="Almost empty"),$E36*'NL '!D$35,AND($C36="Metro, tram, urban light train",$D36="Average"),$E36*'NL '!D$36,AND($C36="Metro, tram, urban light train",$D36="Nearly full"),$E36*'NL '!D$37,AND($C36="Electric passenger train",$D36="Almost empty"),$E36*'NL '!D$39,AND($C36="Electric passenger train",$D36="Average"),$E36*'NL '!D$40,AND($C36="Electric passenger train",$D36="Nearly full"),$E36*'NL '!D$41,AND($C36="Diesel passenger train",$D36="Almost empty"),$E36*'NL '!D$47,AND($C36="Diesel passenger train",$D36="Average"),$E36*'NL '!D$48,AND($C36="Diesel passenger train",$D36="Nearly full"),$E36*'NL '!D$49,AND($C36="Walking"),$E36*0,AND($C36="Bike"),$E36*0,AND($C36="Plane - domestic flight"),$E36*'NL '!$C60,AND($C36="Plane - international - intra EU"),$E36*'NL '!$C62,AND($C36="Plane - international (extra EU)"),$E36*'NL '!$C64)</f>
        <v>#N/A</v>
      </c>
      <c r="H36" s="145"/>
      <c r="I36" s="148">
        <f t="shared" si="6"/>
        <v>0</v>
      </c>
      <c r="J36" s="146" t="e" cm="1">
        <f t="array" ref="J36">_xlfn.IFS(C36="Fuel car",C36*DATA!$C$17,C36="Electric car",C36*DATA!$F$23,C36="Hybrid car",I36*(0.5*DATA!$C$17+0.5*DATA!$F$23))</f>
        <v>#N/A</v>
      </c>
      <c r="L36" s="218"/>
      <c r="M36" s="219"/>
      <c r="N36" s="220"/>
    </row>
    <row r="37" spans="1:14" ht="14.5" customHeight="1" x14ac:dyDescent="0.2">
      <c r="A37" s="222"/>
      <c r="B37" s="30"/>
      <c r="C37" s="15"/>
      <c r="D37" s="15"/>
      <c r="E37" s="125"/>
      <c r="F37" s="128" t="e" cm="1">
        <f t="array" ref="F37">_xlfn.IFS(AND($C37="Fuel car",$D37=1),$E37*'NL '!C$7,AND($C37="Fuel car",$D37=2),$E37*'NL '!C$8,AND($C37="Fuel car",$D37=3),$E37*'NL '!C$9,AND($C37="Fuel car",$D37=4),$E37*'NL '!C$10,AND($C37="Fuel car",$D37=5),$E37*'NL '!C$11,AND($C37="Motorcycle",$D37=1),$E37*'NL '!C$13,AND($C37="Motorcycle",$D37=2),$E37*'NL '!C$14,AND($C37="Electric car",$D37=1),$E37*'NL '!C$16,AND($C37="Electric car",$D37=2),$E37*'NL '!C$17,AND($C37="Electric car",$D37=3),$E37*'NL '!C$18,AND($C37="Electric car",$D37=4),$E37*'NL '!C$19,AND($C37="Electric car",$D37=5),$E37*'NL '!C$20,AND($C37="Hybrid car",$D37=1),$E37*'NL '!C$22,AND($C37="Hybrid car",$D37=2),$E37*'NL '!C$23,AND($C37="Hybrid car",$D37=3),$E37*'NL '!C$24,AND($C37="Hybrid car",$D37=4),$E37*'NL '!C$25,AND($C37="Hybrid car",$D37=5),$E37*'NL '!C$26,AND($C37="Electric motorcycle",$D37=1),$E37*'NL '!C$28,AND($C37="Electric motorcycle",$D37=2),$E37*'NL '!C$29,AND($C37="Electric bike",$D37=1),$E37*'NL '!C$31,AND($C37="Electric scooter",$D37=1),$E37*'NL '!C$33,AND($C37="Bus",$D37="Almost empty"),$E37*'NL '!H$23,AND($C37="Bus",$D37="Average"),$E37*'NL '!H$24,AND($C37="Bus",$D37="Nearly full"),$E37*'NL '!H$25,AND($C37="Electric bus",$D37="Almost empty"),$E37*'NL '!H$7,AND($C37="Electric bus",$D37="Average"),$E37*'NL '!H$8,AND($C37="Electric bus",$D37="Nearly full"),$E37*'NL '!H$9,AND($C37="Diesel bus",$D37="Almost empty"),$E37*'NL '!H$19,AND($C37="Diesel bus",$D37="Average"),$E37*'NL '!H$20,AND($C37="Diesel bus",$D37="Nearly full"),$E37*'NL '!H$21,AND($C37="Hybrid-electric bus",$D37="Almost empty"),$E37*'NL '!H$11,AND($C37="Hybrid-electric bus",$D37="Average"),$E37*'NL '!H$12,AND($C37="Hybrid-electric bus",$D37="Nearly full"),$E37*'NL '!H$13,AND($C37="Alternative fuel bus",$D37="Almost empty"),$E37*'NL '!H$15,AND($C37="Alternative fuel bus",$D37="Average"),$E37*'NL '!H$16,AND($C37="Alternative fuel bus",$D37="Nearly full"),$E37*'NL '!H$17,AND($C37="Metro, tram, urban light train",$D37="Almost empty"),$E37*'NL '!C$35,AND($C37="Metro, tram, urban light train",$D37="Average"),$E37*'NL '!C$36,AND($C37="Metro, tram, urban light train",$D37="Nearly full"),$E37*'NL '!C$37,AND($C37="Electric passenger train",$D37="Almost empty"),$E37*'NL '!C$39,AND($C37="Electric passenger train",$D37="Average"),$E37*'NL '!C$40,AND($C37="Electric passenger train",$D37="Nearly full"),$E37*'NL '!C$41,AND($C37="Diesel passenger train",$D37="Almost empty"),$E37*'NL '!C$47,AND($C37="Diesel passenger train",$D37="Average"),$E37*'NL '!C$48,AND($C37="Diesel passenger train",$D37="Nearly full"),$E37*'NL '!C$49,AND($C37="Walking"),$E37*0,AND($C37="Bike"),$E37*0,AND($C37="Plane - domestic flight"),$E37*'NL '!$C61,AND($C37="Plane - international - intra EU"),$E37*'NL '!$C63,AND($C37="Plane - international (extra EU)"),$E37*'NL '!$C65)</f>
        <v>#N/A</v>
      </c>
      <c r="G37" s="31" t="e" cm="1">
        <f t="array" ref="G37">_xlfn.IFS(AND($C37="Fuel car",$D37=1),$E37*'NL '!D$7,AND($C37="Fuel car",$D37=2),$E37*'NL '!D$8,AND($C37="Fuel car",$D37=3),$E37*'NL '!D$9,AND($C37="Fuel car",$D37=4),$E37*'NL '!D$10,AND($C37="Fuel car",$D37=5),$E37*'NL '!D$11,AND($C37="Motorcycle",$D37=1),$E37*'NL '!D$13,AND($C37="Motorcycle",$D37=2),$E37*'NL '!D$14,AND($C37="Electric car",$D37=1),$E37*'NL '!D$16,AND($C37="Electric car",$D37=2),$E37*'NL '!D$17,AND($C37="Electric car",$D37=3),$E37*'NL '!D$18,AND($C37="Electric car",$D37=4),$E37*'NL '!D$19,AND($C37="Electric car",$D37=5),$E37*'NL '!D$20,AND($C37="Hybrid car",$D37=1),$E37*'NL '!D$22,AND($C37="Hybrid car",$D37=2),$E37*'NL '!D$23,AND($C37="Hybrid car",$D37=3),$E37*'NL '!D$24,AND($C37="Hybrid car",$D37=4),$E37*'NL '!D$25,AND($C37="Hybrid car",$D37=5),$E37*'NL '!D$26,AND($C37="Electric motorcycle",$D37=1),$E37*'NL '!D$28,AND($C37="Electric motorcycle",$D37=2),$E37*'NL '!D$29,AND($C37="Electric bike",$D37=1),$E37*'NL '!D$31,AND($C37="Electric scooter",$D37=1),$E37*'NL '!D$33,AND($C37="Bus",$D37="Almost empty"),$E37*'NL '!I$23,AND($C37="Bus",$D37="Average"),$E37*'NL '!I$24,AND($C37="Bus",$D37="Nearly full"),$E37*'NL '!I$25,AND($C37="Electric bus",$D37="Almost empty"),$E37*'NL '!I$7,AND($C37="Electric bus",$D37="Average"),$E37*'NL '!I$8,AND($C37="Electric bus",$D37="Nearly full"),$E37*'NL '!I$9,AND($C37="Diesel bus",$D37="Almost empty"),$E37*'NL '!I$19,AND($C37="Diesel bus",$D37="Average"),$E37*'NL '!I$20,AND($C37="Diesel bus",$D37="Nearly full"),$E37*'NL '!I$21,AND($C37="Hybrid-electric bus",$D37="Almost empty"),$E37*'NL '!I$11,AND($C37="Hybrid-electric bus",$D37="Average"),$E37*'NL '!I$12,AND($C37="Hybrid-electric bus",$D37="Nearly full"),$E37*'NL '!I$13,AND($C37="Alternative fuel bus",$D37="Almost empty"),$E37*'NL '!I$15,AND($C37="Alternative fuel bus",$D37="Average"),$E37*'NL '!I$16,AND($C37="Alternative fuel bus",$D37="Nearly full"),$E37*'NL '!I$17,AND($C37="Metro, tram, urban light train",$D37="Almost empty"),$E37*'NL '!D$35,AND($C37="Metro, tram, urban light train",$D37="Average"),$E37*'NL '!D$36,AND($C37="Metro, tram, urban light train",$D37="Nearly full"),$E37*'NL '!D$37,AND($C37="Electric passenger train",$D37="Almost empty"),$E37*'NL '!D$39,AND($C37="Electric passenger train",$D37="Average"),$E37*'NL '!D$40,AND($C37="Electric passenger train",$D37="Nearly full"),$E37*'NL '!D$41,AND($C37="Diesel passenger train",$D37="Almost empty"),$E37*'NL '!D$47,AND($C37="Diesel passenger train",$D37="Average"),$E37*'NL '!D$48,AND($C37="Diesel passenger train",$D37="Nearly full"),$E37*'NL '!D$49,AND($C37="Walking"),$E37*0,AND($C37="Bike"),$E37*0,AND($C37="Plane - domestic flight"),$E37*'NL '!$C61,AND($C37="Plane - international - intra EU"),$E37*'NL '!$C63,AND($C37="Plane - international (extra EU)"),$E37*'NL '!$C65)</f>
        <v>#N/A</v>
      </c>
      <c r="H37" s="145"/>
      <c r="I37" s="148">
        <f t="shared" si="6"/>
        <v>0</v>
      </c>
      <c r="J37" s="146" t="e" cm="1">
        <f t="array" ref="J37">_xlfn.IFS(C37="Fuel car",C37*DATA!$C$17,C37="Electric car",C37*DATA!$F$23,C37="Hybrid car",I37*(0.5*DATA!$C$17+0.5*DATA!$F$23))</f>
        <v>#N/A</v>
      </c>
      <c r="L37" s="215" t="s">
        <v>79</v>
      </c>
      <c r="M37" s="216"/>
      <c r="N37" s="217"/>
    </row>
    <row r="38" spans="1:14" ht="16" thickBot="1" x14ac:dyDescent="0.25">
      <c r="A38" s="222"/>
      <c r="B38" s="30"/>
      <c r="C38" s="15"/>
      <c r="D38" s="15"/>
      <c r="E38" s="125"/>
      <c r="F38" s="128" t="e" cm="1">
        <f t="array" ref="F38">_xlfn.IFS(AND($C38="Fuel car",$D38=1),$E38*'NL '!C$7,AND($C38="Fuel car",$D38=2),$E38*'NL '!C$8,AND($C38="Fuel car",$D38=3),$E38*'NL '!C$9,AND($C38="Fuel car",$D38=4),$E38*'NL '!C$10,AND($C38="Fuel car",$D38=5),$E38*'NL '!C$11,AND($C38="Motorcycle",$D38=1),$E38*'NL '!C$13,AND($C38="Motorcycle",$D38=2),$E38*'NL '!C$14,AND($C38="Electric car",$D38=1),$E38*'NL '!C$16,AND($C38="Electric car",$D38=2),$E38*'NL '!C$17,AND($C38="Electric car",$D38=3),$E38*'NL '!C$18,AND($C38="Electric car",$D38=4),$E38*'NL '!C$19,AND($C38="Electric car",$D38=5),$E38*'NL '!C$20,AND($C38="Hybrid car",$D38=1),$E38*'NL '!C$22,AND($C38="Hybrid car",$D38=2),$E38*'NL '!C$23,AND($C38="Hybrid car",$D38=3),$E38*'NL '!C$24,AND($C38="Hybrid car",$D38=4),$E38*'NL '!C$25,AND($C38="Hybrid car",$D38=5),$E38*'NL '!C$26,AND($C38="Electric motorcycle",$D38=1),$E38*'NL '!C$28,AND($C38="Electric motorcycle",$D38=2),$E38*'NL '!C$29,AND($C38="Electric bike",$D38=1),$E38*'NL '!C$31,AND($C38="Electric scooter",$D38=1),$E38*'NL '!C$33,AND($C38="Bus",$D38="Almost empty"),$E38*'NL '!H$23,AND($C38="Bus",$D38="Average"),$E38*'NL '!H$24,AND($C38="Bus",$D38="Nearly full"),$E38*'NL '!H$25,AND($C38="Electric bus",$D38="Almost empty"),$E38*'NL '!H$7,AND($C38="Electric bus",$D38="Average"),$E38*'NL '!H$8,AND($C38="Electric bus",$D38="Nearly full"),$E38*'NL '!H$9,AND($C38="Diesel bus",$D38="Almost empty"),$E38*'NL '!H$19,AND($C38="Diesel bus",$D38="Average"),$E38*'NL '!H$20,AND($C38="Diesel bus",$D38="Nearly full"),$E38*'NL '!H$21,AND($C38="Hybrid-electric bus",$D38="Almost empty"),$E38*'NL '!H$11,AND($C38="Hybrid-electric bus",$D38="Average"),$E38*'NL '!H$12,AND($C38="Hybrid-electric bus",$D38="Nearly full"),$E38*'NL '!H$13,AND($C38="Alternative fuel bus",$D38="Almost empty"),$E38*'NL '!H$15,AND($C38="Alternative fuel bus",$D38="Average"),$E38*'NL '!H$16,AND($C38="Alternative fuel bus",$D38="Nearly full"),$E38*'NL '!H$17,AND($C38="Metro, tram, urban light train",$D38="Almost empty"),$E38*'NL '!C$35,AND($C38="Metro, tram, urban light train",$D38="Average"),$E38*'NL '!C$36,AND($C38="Metro, tram, urban light train",$D38="Nearly full"),$E38*'NL '!C$37,AND($C38="Electric passenger train",$D38="Almost empty"),$E38*'NL '!C$39,AND($C38="Electric passenger train",$D38="Average"),$E38*'NL '!C$40,AND($C38="Electric passenger train",$D38="Nearly full"),$E38*'NL '!C$41,AND($C38="Diesel passenger train",$D38="Almost empty"),$E38*'NL '!C$47,AND($C38="Diesel passenger train",$D38="Average"),$E38*'NL '!C$48,AND($C38="Diesel passenger train",$D38="Nearly full"),$E38*'NL '!C$49,AND($C38="Walking"),$E38*0,AND($C38="Bike"),$E38*0,AND($C38="Plane - domestic flight"),$E38*'NL '!$C62,AND($C38="Plane - international - intra EU"),$E38*'NL '!$C64,AND($C38="Plane - international (extra EU)"),$E38*'NL '!$C66)</f>
        <v>#N/A</v>
      </c>
      <c r="G38" s="31" t="e" cm="1">
        <f t="array" ref="G38">_xlfn.IFS(AND($C38="Fuel car",$D38=1),$E38*'NL '!D$7,AND($C38="Fuel car",$D38=2),$E38*'NL '!D$8,AND($C38="Fuel car",$D38=3),$E38*'NL '!D$9,AND($C38="Fuel car",$D38=4),$E38*'NL '!D$10,AND($C38="Fuel car",$D38=5),$E38*'NL '!D$11,AND($C38="Motorcycle",$D38=1),$E38*'NL '!D$13,AND($C38="Motorcycle",$D38=2),$E38*'NL '!D$14,AND($C38="Electric car",$D38=1),$E38*'NL '!D$16,AND($C38="Electric car",$D38=2),$E38*'NL '!D$17,AND($C38="Electric car",$D38=3),$E38*'NL '!D$18,AND($C38="Electric car",$D38=4),$E38*'NL '!D$19,AND($C38="Electric car",$D38=5),$E38*'NL '!D$20,AND($C38="Hybrid car",$D38=1),$E38*'NL '!D$22,AND($C38="Hybrid car",$D38=2),$E38*'NL '!D$23,AND($C38="Hybrid car",$D38=3),$E38*'NL '!D$24,AND($C38="Hybrid car",$D38=4),$E38*'NL '!D$25,AND($C38="Hybrid car",$D38=5),$E38*'NL '!D$26,AND($C38="Electric motorcycle",$D38=1),$E38*'NL '!D$28,AND($C38="Electric motorcycle",$D38=2),$E38*'NL '!D$29,AND($C38="Electric bike",$D38=1),$E38*'NL '!D$31,AND($C38="Electric scooter",$D38=1),$E38*'NL '!D$33,AND($C38="Bus",$D38="Almost empty"),$E38*'NL '!I$23,AND($C38="Bus",$D38="Average"),$E38*'NL '!I$24,AND($C38="Bus",$D38="Nearly full"),$E38*'NL '!I$25,AND($C38="Electric bus",$D38="Almost empty"),$E38*'NL '!I$7,AND($C38="Electric bus",$D38="Average"),$E38*'NL '!I$8,AND($C38="Electric bus",$D38="Nearly full"),$E38*'NL '!I$9,AND($C38="Diesel bus",$D38="Almost empty"),$E38*'NL '!I$19,AND($C38="Diesel bus",$D38="Average"),$E38*'NL '!I$20,AND($C38="Diesel bus",$D38="Nearly full"),$E38*'NL '!I$21,AND($C38="Hybrid-electric bus",$D38="Almost empty"),$E38*'NL '!I$11,AND($C38="Hybrid-electric bus",$D38="Average"),$E38*'NL '!I$12,AND($C38="Hybrid-electric bus",$D38="Nearly full"),$E38*'NL '!I$13,AND($C38="Alternative fuel bus",$D38="Almost empty"),$E38*'NL '!I$15,AND($C38="Alternative fuel bus",$D38="Average"),$E38*'NL '!I$16,AND($C38="Alternative fuel bus",$D38="Nearly full"),$E38*'NL '!I$17,AND($C38="Metro, tram, urban light train",$D38="Almost empty"),$E38*'NL '!D$35,AND($C38="Metro, tram, urban light train",$D38="Average"),$E38*'NL '!D$36,AND($C38="Metro, tram, urban light train",$D38="Nearly full"),$E38*'NL '!D$37,AND($C38="Electric passenger train",$D38="Almost empty"),$E38*'NL '!D$39,AND($C38="Electric passenger train",$D38="Average"),$E38*'NL '!D$40,AND($C38="Electric passenger train",$D38="Nearly full"),$E38*'NL '!D$41,AND($C38="Diesel passenger train",$D38="Almost empty"),$E38*'NL '!D$47,AND($C38="Diesel passenger train",$D38="Average"),$E38*'NL '!D$48,AND($C38="Diesel passenger train",$D38="Nearly full"),$E38*'NL '!D$49,AND($C38="Walking"),$E38*0,AND($C38="Bike"),$E38*0,AND($C38="Plane - domestic flight"),$E38*'NL '!$C62,AND($C38="Plane - international - intra EU"),$E38*'NL '!$C64,AND($C38="Plane - international (extra EU)"),$E38*'NL '!$C66)</f>
        <v>#N/A</v>
      </c>
      <c r="H38" s="145"/>
      <c r="I38" s="148">
        <f t="shared" si="6"/>
        <v>0</v>
      </c>
      <c r="J38" s="146" t="e" cm="1">
        <f t="array" ref="J38">_xlfn.IFS(C38="Fuel car",C38*DATA!$C$17,C38="Electric car",C38*DATA!$F$23,C38="Hybrid car",I38*(0.5*DATA!$C$17+0.5*DATA!$F$23))</f>
        <v>#N/A</v>
      </c>
      <c r="L38" s="218"/>
      <c r="M38" s="219"/>
      <c r="N38" s="220"/>
    </row>
    <row r="39" spans="1:14" ht="14.5" customHeight="1" x14ac:dyDescent="0.2">
      <c r="A39" s="222"/>
      <c r="B39" s="30"/>
      <c r="C39" s="15"/>
      <c r="D39" s="15"/>
      <c r="E39" s="125"/>
      <c r="F39" s="128" t="e" cm="1">
        <f t="array" ref="F39">_xlfn.IFS(AND($C39="Fuel car",$D39=1),$E39*'NL '!C$7,AND($C39="Fuel car",$D39=2),$E39*'NL '!C$8,AND($C39="Fuel car",$D39=3),$E39*'NL '!C$9,AND($C39="Fuel car",$D39=4),$E39*'NL '!C$10,AND($C39="Fuel car",$D39=5),$E39*'NL '!C$11,AND($C39="Motorcycle",$D39=1),$E39*'NL '!C$13,AND($C39="Motorcycle",$D39=2),$E39*'NL '!C$14,AND($C39="Electric car",$D39=1),$E39*'NL '!C$16,AND($C39="Electric car",$D39=2),$E39*'NL '!C$17,AND($C39="Electric car",$D39=3),$E39*'NL '!C$18,AND($C39="Electric car",$D39=4),$E39*'NL '!C$19,AND($C39="Electric car",$D39=5),$E39*'NL '!C$20,AND($C39="Hybrid car",$D39=1),$E39*'NL '!C$22,AND($C39="Hybrid car",$D39=2),$E39*'NL '!C$23,AND($C39="Hybrid car",$D39=3),$E39*'NL '!C$24,AND($C39="Hybrid car",$D39=4),$E39*'NL '!C$25,AND($C39="Hybrid car",$D39=5),$E39*'NL '!C$26,AND($C39="Electric motorcycle",$D39=1),$E39*'NL '!C$28,AND($C39="Electric motorcycle",$D39=2),$E39*'NL '!C$29,AND($C39="Electric bike",$D39=1),$E39*'NL '!C$31,AND($C39="Electric scooter",$D39=1),$E39*'NL '!C$33,AND($C39="Bus",$D39="Almost empty"),$E39*'NL '!H$23,AND($C39="Bus",$D39="Average"),$E39*'NL '!H$24,AND($C39="Bus",$D39="Nearly full"),$E39*'NL '!H$25,AND($C39="Electric bus",$D39="Almost empty"),$E39*'NL '!H$7,AND($C39="Electric bus",$D39="Average"),$E39*'NL '!H$8,AND($C39="Electric bus",$D39="Nearly full"),$E39*'NL '!H$9,AND($C39="Diesel bus",$D39="Almost empty"),$E39*'NL '!H$19,AND($C39="Diesel bus",$D39="Average"),$E39*'NL '!H$20,AND($C39="Diesel bus",$D39="Nearly full"),$E39*'NL '!H$21,AND($C39="Hybrid-electric bus",$D39="Almost empty"),$E39*'NL '!H$11,AND($C39="Hybrid-electric bus",$D39="Average"),$E39*'NL '!H$12,AND($C39="Hybrid-electric bus",$D39="Nearly full"),$E39*'NL '!H$13,AND($C39="Alternative fuel bus",$D39="Almost empty"),$E39*'NL '!H$15,AND($C39="Alternative fuel bus",$D39="Average"),$E39*'NL '!H$16,AND($C39="Alternative fuel bus",$D39="Nearly full"),$E39*'NL '!H$17,AND($C39="Metro, tram, urban light train",$D39="Almost empty"),$E39*'NL '!C$35,AND($C39="Metro, tram, urban light train",$D39="Average"),$E39*'NL '!C$36,AND($C39="Metro, tram, urban light train",$D39="Nearly full"),$E39*'NL '!C$37,AND($C39="Electric passenger train",$D39="Almost empty"),$E39*'NL '!C$39,AND($C39="Electric passenger train",$D39="Average"),$E39*'NL '!C$40,AND($C39="Electric passenger train",$D39="Nearly full"),$E39*'NL '!C$41,AND($C39="Diesel passenger train",$D39="Almost empty"),$E39*'NL '!C$47,AND($C39="Diesel passenger train",$D39="Average"),$E39*'NL '!C$48,AND($C39="Diesel passenger train",$D39="Nearly full"),$E39*'NL '!C$49,AND($C39="Walking"),$E39*0,AND($C39="Bike"),$E39*0,AND($C39="Plane - domestic flight"),$E39*'NL '!$C63,AND($C39="Plane - international - intra EU"),$E39*'NL '!$C65,AND($C39="Plane - international (extra EU)"),$E39*'NL '!$C67)</f>
        <v>#N/A</v>
      </c>
      <c r="G39" s="31" t="e" cm="1">
        <f t="array" ref="G39">_xlfn.IFS(AND($C39="Fuel car",$D39=1),$E39*'NL '!D$7,AND($C39="Fuel car",$D39=2),$E39*'NL '!D$8,AND($C39="Fuel car",$D39=3),$E39*'NL '!D$9,AND($C39="Fuel car",$D39=4),$E39*'NL '!D$10,AND($C39="Fuel car",$D39=5),$E39*'NL '!D$11,AND($C39="Motorcycle",$D39=1),$E39*'NL '!D$13,AND($C39="Motorcycle",$D39=2),$E39*'NL '!D$14,AND($C39="Electric car",$D39=1),$E39*'NL '!D$16,AND($C39="Electric car",$D39=2),$E39*'NL '!D$17,AND($C39="Electric car",$D39=3),$E39*'NL '!D$18,AND($C39="Electric car",$D39=4),$E39*'NL '!D$19,AND($C39="Electric car",$D39=5),$E39*'NL '!D$20,AND($C39="Hybrid car",$D39=1),$E39*'NL '!D$22,AND($C39="Hybrid car",$D39=2),$E39*'NL '!D$23,AND($C39="Hybrid car",$D39=3),$E39*'NL '!D$24,AND($C39="Hybrid car",$D39=4),$E39*'NL '!D$25,AND($C39="Hybrid car",$D39=5),$E39*'NL '!D$26,AND($C39="Electric motorcycle",$D39=1),$E39*'NL '!D$28,AND($C39="Electric motorcycle",$D39=2),$E39*'NL '!D$29,AND($C39="Electric bike",$D39=1),$E39*'NL '!D$31,AND($C39="Electric scooter",$D39=1),$E39*'NL '!D$33,AND($C39="Bus",$D39="Almost empty"),$E39*'NL '!I$23,AND($C39="Bus",$D39="Average"),$E39*'NL '!I$24,AND($C39="Bus",$D39="Nearly full"),$E39*'NL '!I$25,AND($C39="Electric bus",$D39="Almost empty"),$E39*'NL '!I$7,AND($C39="Electric bus",$D39="Average"),$E39*'NL '!I$8,AND($C39="Electric bus",$D39="Nearly full"),$E39*'NL '!I$9,AND($C39="Diesel bus",$D39="Almost empty"),$E39*'NL '!I$19,AND($C39="Diesel bus",$D39="Average"),$E39*'NL '!I$20,AND($C39="Diesel bus",$D39="Nearly full"),$E39*'NL '!I$21,AND($C39="Hybrid-electric bus",$D39="Almost empty"),$E39*'NL '!I$11,AND($C39="Hybrid-electric bus",$D39="Average"),$E39*'NL '!I$12,AND($C39="Hybrid-electric bus",$D39="Nearly full"),$E39*'NL '!I$13,AND($C39="Alternative fuel bus",$D39="Almost empty"),$E39*'NL '!I$15,AND($C39="Alternative fuel bus",$D39="Average"),$E39*'NL '!I$16,AND($C39="Alternative fuel bus",$D39="Nearly full"),$E39*'NL '!I$17,AND($C39="Metro, tram, urban light train",$D39="Almost empty"),$E39*'NL '!D$35,AND($C39="Metro, tram, urban light train",$D39="Average"),$E39*'NL '!D$36,AND($C39="Metro, tram, urban light train",$D39="Nearly full"),$E39*'NL '!D$37,AND($C39="Electric passenger train",$D39="Almost empty"),$E39*'NL '!D$39,AND($C39="Electric passenger train",$D39="Average"),$E39*'NL '!D$40,AND($C39="Electric passenger train",$D39="Nearly full"),$E39*'NL '!D$41,AND($C39="Diesel passenger train",$D39="Almost empty"),$E39*'NL '!D$47,AND($C39="Diesel passenger train",$D39="Average"),$E39*'NL '!D$48,AND($C39="Diesel passenger train",$D39="Nearly full"),$E39*'NL '!D$49,AND($C39="Walking"),$E39*0,AND($C39="Bike"),$E39*0,AND($C39="Plane - domestic flight"),$E39*'NL '!$C63,AND($C39="Plane - international - intra EU"),$E39*'NL '!$C65,AND($C39="Plane - international (extra EU)"),$E39*'NL '!$C67)</f>
        <v>#N/A</v>
      </c>
      <c r="H39" s="145"/>
      <c r="I39" s="148">
        <f t="shared" si="6"/>
        <v>0</v>
      </c>
      <c r="J39" s="146" t="e" cm="1">
        <f t="array" ref="J39">_xlfn.IFS(C39="Fuel car",C39*DATA!$C$17,C39="Electric car",C39*DATA!$F$23,C39="Hybrid car",I39*(0.5*DATA!$C$17+0.5*DATA!$F$23))</f>
        <v>#N/A</v>
      </c>
      <c r="L39" s="226" t="s">
        <v>80</v>
      </c>
      <c r="M39" s="227"/>
      <c r="N39" s="228"/>
    </row>
    <row r="40" spans="1:14" x14ac:dyDescent="0.2">
      <c r="A40" s="222"/>
      <c r="B40" s="30"/>
      <c r="C40" s="15"/>
      <c r="D40" s="15"/>
      <c r="E40" s="125"/>
      <c r="F40" s="128" t="e" cm="1">
        <f t="array" ref="F40">_xlfn.IFS(AND($C40="Fuel car",$D40=1),$E40*'NL '!C$7,AND($C40="Fuel car",$D40=2),$E40*'NL '!C$8,AND($C40="Fuel car",$D40=3),$E40*'NL '!C$9,AND($C40="Fuel car",$D40=4),$E40*'NL '!C$10,AND($C40="Fuel car",$D40=5),$E40*'NL '!C$11,AND($C40="Motorcycle",$D40=1),$E40*'NL '!C$13,AND($C40="Motorcycle",$D40=2),$E40*'NL '!C$14,AND($C40="Electric car",$D40=1),$E40*'NL '!C$16,AND($C40="Electric car",$D40=2),$E40*'NL '!C$17,AND($C40="Electric car",$D40=3),$E40*'NL '!C$18,AND($C40="Electric car",$D40=4),$E40*'NL '!C$19,AND($C40="Electric car",$D40=5),$E40*'NL '!C$20,AND($C40="Hybrid car",$D40=1),$E40*'NL '!C$22,AND($C40="Hybrid car",$D40=2),$E40*'NL '!C$23,AND($C40="Hybrid car",$D40=3),$E40*'NL '!C$24,AND($C40="Hybrid car",$D40=4),$E40*'NL '!C$25,AND($C40="Hybrid car",$D40=5),$E40*'NL '!C$26,AND($C40="Electric motorcycle",$D40=1),$E40*'NL '!C$28,AND($C40="Electric motorcycle",$D40=2),$E40*'NL '!C$29,AND($C40="Electric bike",$D40=1),$E40*'NL '!C$31,AND($C40="Electric scooter",$D40=1),$E40*'NL '!C$33,AND($C40="Bus",$D40="Almost empty"),$E40*'NL '!H$23,AND($C40="Bus",$D40="Average"),$E40*'NL '!H$24,AND($C40="Bus",$D40="Nearly full"),$E40*'NL '!H$25,AND($C40="Electric bus",$D40="Almost empty"),$E40*'NL '!H$7,AND($C40="Electric bus",$D40="Average"),$E40*'NL '!H$8,AND($C40="Electric bus",$D40="Nearly full"),$E40*'NL '!H$9,AND($C40="Diesel bus",$D40="Almost empty"),$E40*'NL '!H$19,AND($C40="Diesel bus",$D40="Average"),$E40*'NL '!H$20,AND($C40="Diesel bus",$D40="Nearly full"),$E40*'NL '!H$21,AND($C40="Hybrid-electric bus",$D40="Almost empty"),$E40*'NL '!H$11,AND($C40="Hybrid-electric bus",$D40="Average"),$E40*'NL '!H$12,AND($C40="Hybrid-electric bus",$D40="Nearly full"),$E40*'NL '!H$13,AND($C40="Alternative fuel bus",$D40="Almost empty"),$E40*'NL '!H$15,AND($C40="Alternative fuel bus",$D40="Average"),$E40*'NL '!H$16,AND($C40="Alternative fuel bus",$D40="Nearly full"),$E40*'NL '!H$17,AND($C40="Metro, tram, urban light train",$D40="Almost empty"),$E40*'NL '!C$35,AND($C40="Metro, tram, urban light train",$D40="Average"),$E40*'NL '!C$36,AND($C40="Metro, tram, urban light train",$D40="Nearly full"),$E40*'NL '!C$37,AND($C40="Electric passenger train",$D40="Almost empty"),$E40*'NL '!C$39,AND($C40="Electric passenger train",$D40="Average"),$E40*'NL '!C$40,AND($C40="Electric passenger train",$D40="Nearly full"),$E40*'NL '!C$41,AND($C40="Diesel passenger train",$D40="Almost empty"),$E40*'NL '!C$47,AND($C40="Diesel passenger train",$D40="Average"),$E40*'NL '!C$48,AND($C40="Diesel passenger train",$D40="Nearly full"),$E40*'NL '!C$49,AND($C40="Walking"),$E40*0,AND($C40="Bike"),$E40*0,AND($C40="Plane - domestic flight"),$E40*'NL '!$C64,AND($C40="Plane - international - intra EU"),$E40*'NL '!$C66,AND($C40="Plane - international (extra EU)"),$E40*'NL '!$C68)</f>
        <v>#N/A</v>
      </c>
      <c r="G40" s="31" t="e" cm="1">
        <f t="array" ref="G40">_xlfn.IFS(AND($C40="Fuel car",$D40=1),$E40*'NL '!D$7,AND($C40="Fuel car",$D40=2),$E40*'NL '!D$8,AND($C40="Fuel car",$D40=3),$E40*'NL '!D$9,AND($C40="Fuel car",$D40=4),$E40*'NL '!D$10,AND($C40="Fuel car",$D40=5),$E40*'NL '!D$11,AND($C40="Motorcycle",$D40=1),$E40*'NL '!D$13,AND($C40="Motorcycle",$D40=2),$E40*'NL '!D$14,AND($C40="Electric car",$D40=1),$E40*'NL '!D$16,AND($C40="Electric car",$D40=2),$E40*'NL '!D$17,AND($C40="Electric car",$D40=3),$E40*'NL '!D$18,AND($C40="Electric car",$D40=4),$E40*'NL '!D$19,AND($C40="Electric car",$D40=5),$E40*'NL '!D$20,AND($C40="Hybrid car",$D40=1),$E40*'NL '!D$22,AND($C40="Hybrid car",$D40=2),$E40*'NL '!D$23,AND($C40="Hybrid car",$D40=3),$E40*'NL '!D$24,AND($C40="Hybrid car",$D40=4),$E40*'NL '!D$25,AND($C40="Hybrid car",$D40=5),$E40*'NL '!D$26,AND($C40="Electric motorcycle",$D40=1),$E40*'NL '!D$28,AND($C40="Electric motorcycle",$D40=2),$E40*'NL '!D$29,AND($C40="Electric bike",$D40=1),$E40*'NL '!D$31,AND($C40="Electric scooter",$D40=1),$E40*'NL '!D$33,AND($C40="Bus",$D40="Almost empty"),$E40*'NL '!I$23,AND($C40="Bus",$D40="Average"),$E40*'NL '!I$24,AND($C40="Bus",$D40="Nearly full"),$E40*'NL '!I$25,AND($C40="Electric bus",$D40="Almost empty"),$E40*'NL '!I$7,AND($C40="Electric bus",$D40="Average"),$E40*'NL '!I$8,AND($C40="Electric bus",$D40="Nearly full"),$E40*'NL '!I$9,AND($C40="Diesel bus",$D40="Almost empty"),$E40*'NL '!I$19,AND($C40="Diesel bus",$D40="Average"),$E40*'NL '!I$20,AND($C40="Diesel bus",$D40="Nearly full"),$E40*'NL '!I$21,AND($C40="Hybrid-electric bus",$D40="Almost empty"),$E40*'NL '!I$11,AND($C40="Hybrid-electric bus",$D40="Average"),$E40*'NL '!I$12,AND($C40="Hybrid-electric bus",$D40="Nearly full"),$E40*'NL '!I$13,AND($C40="Alternative fuel bus",$D40="Almost empty"),$E40*'NL '!I$15,AND($C40="Alternative fuel bus",$D40="Average"),$E40*'NL '!I$16,AND($C40="Alternative fuel bus",$D40="Nearly full"),$E40*'NL '!I$17,AND($C40="Metro, tram, urban light train",$D40="Almost empty"),$E40*'NL '!D$35,AND($C40="Metro, tram, urban light train",$D40="Average"),$E40*'NL '!D$36,AND($C40="Metro, tram, urban light train",$D40="Nearly full"),$E40*'NL '!D$37,AND($C40="Electric passenger train",$D40="Almost empty"),$E40*'NL '!D$39,AND($C40="Electric passenger train",$D40="Average"),$E40*'NL '!D$40,AND($C40="Electric passenger train",$D40="Nearly full"),$E40*'NL '!D$41,AND($C40="Diesel passenger train",$D40="Almost empty"),$E40*'NL '!D$47,AND($C40="Diesel passenger train",$D40="Average"),$E40*'NL '!D$48,AND($C40="Diesel passenger train",$D40="Nearly full"),$E40*'NL '!D$49,AND($C40="Walking"),$E40*0,AND($C40="Bike"),$E40*0,AND($C40="Plane - domestic flight"),$E40*'NL '!$C64,AND($C40="Plane - international - intra EU"),$E40*'NL '!$C66,AND($C40="Plane - international (extra EU)"),$E40*'NL '!$C68)</f>
        <v>#N/A</v>
      </c>
      <c r="H40" s="145"/>
      <c r="I40" s="148">
        <f t="shared" si="6"/>
        <v>0</v>
      </c>
      <c r="J40" s="146" t="e" cm="1">
        <f t="array" ref="J40">_xlfn.IFS(C40="Fuel car",C40*DATA!$C$17,C40="Electric car",C40*DATA!$F$23,C40="Hybrid car",I40*(0.5*DATA!$C$17+0.5*DATA!$F$23))</f>
        <v>#N/A</v>
      </c>
      <c r="L40" s="229"/>
      <c r="M40" s="230"/>
      <c r="N40" s="231"/>
    </row>
    <row r="41" spans="1:14" ht="14.5" customHeight="1" x14ac:dyDescent="0.2">
      <c r="A41" s="222"/>
      <c r="B41" s="30"/>
      <c r="C41" s="15"/>
      <c r="D41" s="15"/>
      <c r="E41" s="125"/>
      <c r="F41" s="128" t="e" cm="1">
        <f t="array" ref="F41">_xlfn.IFS(AND($C41="Fuel car",$D41=1),$E41*'NL '!C$7,AND($C41="Fuel car",$D41=2),$E41*'NL '!C$8,AND($C41="Fuel car",$D41=3),$E41*'NL '!C$9,AND($C41="Fuel car",$D41=4),$E41*'NL '!C$10,AND($C41="Fuel car",$D41=5),$E41*'NL '!C$11,AND($C41="Motorcycle",$D41=1),$E41*'NL '!C$13,AND($C41="Motorcycle",$D41=2),$E41*'NL '!C$14,AND($C41="Electric car",$D41=1),$E41*'NL '!C$16,AND($C41="Electric car",$D41=2),$E41*'NL '!C$17,AND($C41="Electric car",$D41=3),$E41*'NL '!C$18,AND($C41="Electric car",$D41=4),$E41*'NL '!C$19,AND($C41="Electric car",$D41=5),$E41*'NL '!C$20,AND($C41="Hybrid car",$D41=1),$E41*'NL '!C$22,AND($C41="Hybrid car",$D41=2),$E41*'NL '!C$23,AND($C41="Hybrid car",$D41=3),$E41*'NL '!C$24,AND($C41="Hybrid car",$D41=4),$E41*'NL '!C$25,AND($C41="Hybrid car",$D41=5),$E41*'NL '!C$26,AND($C41="Electric motorcycle",$D41=1),$E41*'NL '!C$28,AND($C41="Electric motorcycle",$D41=2),$E41*'NL '!C$29,AND($C41="Electric bike",$D41=1),$E41*'NL '!C$31,AND($C41="Electric scooter",$D41=1),$E41*'NL '!C$33,AND($C41="Bus",$D41="Almost empty"),$E41*'NL '!H$23,AND($C41="Bus",$D41="Average"),$E41*'NL '!H$24,AND($C41="Bus",$D41="Nearly full"),$E41*'NL '!H$25,AND($C41="Electric bus",$D41="Almost empty"),$E41*'NL '!H$7,AND($C41="Electric bus",$D41="Average"),$E41*'NL '!H$8,AND($C41="Electric bus",$D41="Nearly full"),$E41*'NL '!H$9,AND($C41="Diesel bus",$D41="Almost empty"),$E41*'NL '!H$19,AND($C41="Diesel bus",$D41="Average"),$E41*'NL '!H$20,AND($C41="Diesel bus",$D41="Nearly full"),$E41*'NL '!H$21,AND($C41="Hybrid-electric bus",$D41="Almost empty"),$E41*'NL '!H$11,AND($C41="Hybrid-electric bus",$D41="Average"),$E41*'NL '!H$12,AND($C41="Hybrid-electric bus",$D41="Nearly full"),$E41*'NL '!H$13,AND($C41="Alternative fuel bus",$D41="Almost empty"),$E41*'NL '!H$15,AND($C41="Alternative fuel bus",$D41="Average"),$E41*'NL '!H$16,AND($C41="Alternative fuel bus",$D41="Nearly full"),$E41*'NL '!H$17,AND($C41="Metro, tram, urban light train",$D41="Almost empty"),$E41*'NL '!C$35,AND($C41="Metro, tram, urban light train",$D41="Average"),$E41*'NL '!C$36,AND($C41="Metro, tram, urban light train",$D41="Nearly full"),$E41*'NL '!C$37,AND($C41="Electric passenger train",$D41="Almost empty"),$E41*'NL '!C$39,AND($C41="Electric passenger train",$D41="Average"),$E41*'NL '!C$40,AND($C41="Electric passenger train",$D41="Nearly full"),$E41*'NL '!C$41,AND($C41="Diesel passenger train",$D41="Almost empty"),$E41*'NL '!C$47,AND($C41="Diesel passenger train",$D41="Average"),$E41*'NL '!C$48,AND($C41="Diesel passenger train",$D41="Nearly full"),$E41*'NL '!C$49,AND($C41="Walking"),$E41*0,AND($C41="Bike"),$E41*0,AND($C41="Plane - domestic flight"),$E41*'NL '!$C65,AND($C41="Plane - international - intra EU"),$E41*'NL '!$C67,AND($C41="Plane - international (extra EU)"),$E41*'NL '!$C69)</f>
        <v>#N/A</v>
      </c>
      <c r="G41" s="31" t="e" cm="1">
        <f t="array" ref="G41">_xlfn.IFS(AND($C41="Fuel car",$D41=1),$E41*'NL '!D$7,AND($C41="Fuel car",$D41=2),$E41*'NL '!D$8,AND($C41="Fuel car",$D41=3),$E41*'NL '!D$9,AND($C41="Fuel car",$D41=4),$E41*'NL '!D$10,AND($C41="Fuel car",$D41=5),$E41*'NL '!D$11,AND($C41="Motorcycle",$D41=1),$E41*'NL '!D$13,AND($C41="Motorcycle",$D41=2),$E41*'NL '!D$14,AND($C41="Electric car",$D41=1),$E41*'NL '!D$16,AND($C41="Electric car",$D41=2),$E41*'NL '!D$17,AND($C41="Electric car",$D41=3),$E41*'NL '!D$18,AND($C41="Electric car",$D41=4),$E41*'NL '!D$19,AND($C41="Electric car",$D41=5),$E41*'NL '!D$20,AND($C41="Hybrid car",$D41=1),$E41*'NL '!D$22,AND($C41="Hybrid car",$D41=2),$E41*'NL '!D$23,AND($C41="Hybrid car",$D41=3),$E41*'NL '!D$24,AND($C41="Hybrid car",$D41=4),$E41*'NL '!D$25,AND($C41="Hybrid car",$D41=5),$E41*'NL '!D$26,AND($C41="Electric motorcycle",$D41=1),$E41*'NL '!D$28,AND($C41="Electric motorcycle",$D41=2),$E41*'NL '!D$29,AND($C41="Electric bike",$D41=1),$E41*'NL '!D$31,AND($C41="Electric scooter",$D41=1),$E41*'NL '!D$33,AND($C41="Bus",$D41="Almost empty"),$E41*'NL '!I$23,AND($C41="Bus",$D41="Average"),$E41*'NL '!I$24,AND($C41="Bus",$D41="Nearly full"),$E41*'NL '!I$25,AND($C41="Electric bus",$D41="Almost empty"),$E41*'NL '!I$7,AND($C41="Electric bus",$D41="Average"),$E41*'NL '!I$8,AND($C41="Electric bus",$D41="Nearly full"),$E41*'NL '!I$9,AND($C41="Diesel bus",$D41="Almost empty"),$E41*'NL '!I$19,AND($C41="Diesel bus",$D41="Average"),$E41*'NL '!I$20,AND($C41="Diesel bus",$D41="Nearly full"),$E41*'NL '!I$21,AND($C41="Hybrid-electric bus",$D41="Almost empty"),$E41*'NL '!I$11,AND($C41="Hybrid-electric bus",$D41="Average"),$E41*'NL '!I$12,AND($C41="Hybrid-electric bus",$D41="Nearly full"),$E41*'NL '!I$13,AND($C41="Alternative fuel bus",$D41="Almost empty"),$E41*'NL '!I$15,AND($C41="Alternative fuel bus",$D41="Average"),$E41*'NL '!I$16,AND($C41="Alternative fuel bus",$D41="Nearly full"),$E41*'NL '!I$17,AND($C41="Metro, tram, urban light train",$D41="Almost empty"),$E41*'NL '!D$35,AND($C41="Metro, tram, urban light train",$D41="Average"),$E41*'NL '!D$36,AND($C41="Metro, tram, urban light train",$D41="Nearly full"),$E41*'NL '!D$37,AND($C41="Electric passenger train",$D41="Almost empty"),$E41*'NL '!D$39,AND($C41="Electric passenger train",$D41="Average"),$E41*'NL '!D$40,AND($C41="Electric passenger train",$D41="Nearly full"),$E41*'NL '!D$41,AND($C41="Diesel passenger train",$D41="Almost empty"),$E41*'NL '!D$47,AND($C41="Diesel passenger train",$D41="Average"),$E41*'NL '!D$48,AND($C41="Diesel passenger train",$D41="Nearly full"),$E41*'NL '!D$49,AND($C41="Walking"),$E41*0,AND($C41="Bike"),$E41*0,AND($C41="Plane - domestic flight"),$E41*'NL '!$C65,AND($C41="Plane - international - intra EU"),$E41*'NL '!$C67,AND($C41="Plane - international (extra EU)"),$E41*'NL '!$C69)</f>
        <v>#N/A</v>
      </c>
      <c r="H41" s="145"/>
      <c r="I41" s="148">
        <f t="shared" si="6"/>
        <v>0</v>
      </c>
      <c r="J41" s="146" t="e" cm="1">
        <f t="array" ref="J41">_xlfn.IFS(C41="Fuel car",C41*DATA!$C$17,C41="Electric car",C41*DATA!$F$23,C41="Hybrid car",I41*(0.5*DATA!$C$17+0.5*DATA!$F$23))</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car",$D42=1),$E42*'NL '!C$7,AND($C42="Fuel car",$D42=2),$E42*'NL '!C$8,AND($C42="Fuel car",$D42=3),$E42*'NL '!C$9,AND($C42="Fuel car",$D42=4),$E42*'NL '!C$10,AND($C42="Fuel car",$D42=5),$E42*'NL '!C$11,AND($C42="Motorcycle",$D42=1),$E42*'NL '!C$13,AND($C42="Motorcycle",$D42=2),$E42*'NL '!C$14,AND($C42="Electric car",$D42=1),$E42*'NL '!C$16,AND($C42="Electric car",$D42=2),$E42*'NL '!C$17,AND($C42="Electric car",$D42=3),$E42*'NL '!C$18,AND($C42="Electric car",$D42=4),$E42*'NL '!C$19,AND($C42="Electric car",$D42=5),$E42*'NL '!C$20,AND($C42="Hybrid car",$D42=1),$E42*'NL '!C$22,AND($C42="Hybrid car",$D42=2),$E42*'NL '!C$23,AND($C42="Hybrid car",$D42=3),$E42*'NL '!C$24,AND($C42="Hybrid car",$D42=4),$E42*'NL '!C$25,AND($C42="Hybrid car",$D42=5),$E42*'NL '!C$26,AND($C42="Electric motorcycle",$D42=1),$E42*'NL '!C$28,AND($C42="Electric motorcycle",$D42=2),$E42*'NL '!C$29,AND($C42="Electric bike",$D42=1),$E42*'NL '!C$31,AND($C42="Electric scooter",$D42=1),$E42*'NL '!C$33,AND($C42="Bus",$D42="Almost empty"),$E42*'NL '!H$23,AND($C42="Bus",$D42="Average"),$E42*'NL '!H$24,AND($C42="Bus",$D42="Nearly full"),$E42*'NL '!H$25,AND($C42="Electric bus",$D42="Almost empty"),$E42*'NL '!H$7,AND($C42="Electric bus",$D42="Average"),$E42*'NL '!H$8,AND($C42="Electric bus",$D42="Nearly full"),$E42*'NL '!H$9,AND($C42="Diesel bus",$D42="Almost empty"),$E42*'NL '!H$19,AND($C42="Diesel bus",$D42="Average"),$E42*'NL '!H$20,AND($C42="Diesel bus",$D42="Nearly full"),$E42*'NL '!H$21,AND($C42="Hybrid-electric bus",$D42="Almost empty"),$E42*'NL '!H$11,AND($C42="Hybrid-electric bus",$D42="Average"),$E42*'NL '!H$12,AND($C42="Hybrid-electric bus",$D42="Nearly full"),$E42*'NL '!H$13,AND($C42="Alternative fuel bus",$D42="Almost empty"),$E42*'NL '!H$15,AND($C42="Alternative fuel bus",$D42="Average"),$E42*'NL '!H$16,AND($C42="Alternative fuel bus",$D42="Nearly full"),$E42*'NL '!H$17,AND($C42="Metro, tram, urban light train",$D42="Almost empty"),$E42*'NL '!C$35,AND($C42="Metro, tram, urban light train",$D42="Average"),$E42*'NL '!C$36,AND($C42="Metro, tram, urban light train",$D42="Nearly full"),$E42*'NL '!C$37,AND($C42="Electric passenger train",$D42="Almost empty"),$E42*'NL '!C$39,AND($C42="Electric passenger train",$D42="Average"),$E42*'NL '!C$40,AND($C42="Electric passenger train",$D42="Nearly full"),$E42*'NL '!C$41,AND($C42="Diesel passenger train",$D42="Almost empty"),$E42*'NL '!C$47,AND($C42="Diesel passenger train",$D42="Average"),$E42*'NL '!C$48,AND($C42="Diesel passenger train",$D42="Nearly full"),$E42*'NL '!C$49,AND($C42="Walking"),$E42*0,AND($C42="Bike"),$E42*0,AND($C42="Plane - domestic flight"),$E42*'NL '!$C66,AND($C42="Plane - international - intra EU"),$E42*'NL '!$C68,AND($C42="Plane - international (extra EU)"),$E42*'NL '!$C70)</f>
        <v>#N/A</v>
      </c>
      <c r="G42" s="31" t="e" cm="1">
        <f t="array" ref="G42">_xlfn.IFS(AND($C42="Fuel car",$D42=1),$E42*'NL '!D$7,AND($C42="Fuel car",$D42=2),$E42*'NL '!D$8,AND($C42="Fuel car",$D42=3),$E42*'NL '!D$9,AND($C42="Fuel car",$D42=4),$E42*'NL '!D$10,AND($C42="Fuel car",$D42=5),$E42*'NL '!D$11,AND($C42="Motorcycle",$D42=1),$E42*'NL '!D$13,AND($C42="Motorcycle",$D42=2),$E42*'NL '!D$14,AND($C42="Electric car",$D42=1),$E42*'NL '!D$16,AND($C42="Electric car",$D42=2),$E42*'NL '!D$17,AND($C42="Electric car",$D42=3),$E42*'NL '!D$18,AND($C42="Electric car",$D42=4),$E42*'NL '!D$19,AND($C42="Electric car",$D42=5),$E42*'NL '!D$20,AND($C42="Hybrid car",$D42=1),$E42*'NL '!D$22,AND($C42="Hybrid car",$D42=2),$E42*'NL '!D$23,AND($C42="Hybrid car",$D42=3),$E42*'NL '!D$24,AND($C42="Hybrid car",$D42=4),$E42*'NL '!D$25,AND($C42="Hybrid car",$D42=5),$E42*'NL '!D$26,AND($C42="Electric motorcycle",$D42=1),$E42*'NL '!D$28,AND($C42="Electric motorcycle",$D42=2),$E42*'NL '!D$29,AND($C42="Electric bike",$D42=1),$E42*'NL '!D$31,AND($C42="Electric scooter",$D42=1),$E42*'NL '!D$33,AND($C42="Bus",$D42="Almost empty"),$E42*'NL '!I$23,AND($C42="Bus",$D42="Average"),$E42*'NL '!I$24,AND($C42="Bus",$D42="Nearly full"),$E42*'NL '!I$25,AND($C42="Electric bus",$D42="Almost empty"),$E42*'NL '!I$7,AND($C42="Electric bus",$D42="Average"),$E42*'NL '!I$8,AND($C42="Electric bus",$D42="Nearly full"),$E42*'NL '!I$9,AND($C42="Diesel bus",$D42="Almost empty"),$E42*'NL '!I$19,AND($C42="Diesel bus",$D42="Average"),$E42*'NL '!I$20,AND($C42="Diesel bus",$D42="Nearly full"),$E42*'NL '!I$21,AND($C42="Hybrid-electric bus",$D42="Almost empty"),$E42*'NL '!I$11,AND($C42="Hybrid-electric bus",$D42="Average"),$E42*'NL '!I$12,AND($C42="Hybrid-electric bus",$D42="Nearly full"),$E42*'NL '!I$13,AND($C42="Alternative fuel bus",$D42="Almost empty"),$E42*'NL '!I$15,AND($C42="Alternative fuel bus",$D42="Average"),$E42*'NL '!I$16,AND($C42="Alternative fuel bus",$D42="Nearly full"),$E42*'NL '!I$17,AND($C42="Metro, tram, urban light train",$D42="Almost empty"),$E42*'NL '!D$35,AND($C42="Metro, tram, urban light train",$D42="Average"),$E42*'NL '!D$36,AND($C42="Metro, tram, urban light train",$D42="Nearly full"),$E42*'NL '!D$37,AND($C42="Electric passenger train",$D42="Almost empty"),$E42*'NL '!D$39,AND($C42="Electric passenger train",$D42="Average"),$E42*'NL '!D$40,AND($C42="Electric passenger train",$D42="Nearly full"),$E42*'NL '!D$41,AND($C42="Diesel passenger train",$D42="Almost empty"),$E42*'NL '!D$47,AND($C42="Diesel passenger train",$D42="Average"),$E42*'NL '!D$48,AND($C42="Diesel passenger train",$D42="Nearly full"),$E42*'NL '!D$49,AND($C42="Walking"),$E42*0,AND($C42="Bike"),$E42*0,AND($C42="Plane - domestic flight"),$E42*'NL '!$C66,AND($C42="Plane - international - intra EU"),$E42*'NL '!$C68,AND($C42="Plane - international (extra EU)"),$E42*'NL '!$C70)</f>
        <v>#N/A</v>
      </c>
      <c r="H42" s="145"/>
      <c r="I42" s="148">
        <f t="shared" si="6"/>
        <v>0</v>
      </c>
      <c r="J42" s="146" t="e" cm="1">
        <f t="array" ref="J42">_xlfn.IFS(C42="Fuel car",C42*DATA!$C$17,C42="Electric car",C42*DATA!$F$23,C42="Hybrid car",I42*(0.5*DATA!$C$17+0.5*DATA!$F$23))</f>
        <v>#N/A</v>
      </c>
      <c r="L42" s="235"/>
      <c r="M42" s="236"/>
      <c r="N42" s="237"/>
    </row>
    <row r="43" spans="1:14" ht="14.5" customHeight="1" thickBot="1" x14ac:dyDescent="0.25">
      <c r="A43" s="222"/>
      <c r="B43" s="30"/>
      <c r="C43" s="15"/>
      <c r="D43" s="15"/>
      <c r="E43" s="125"/>
      <c r="F43" s="128" t="e" cm="1">
        <f t="array" ref="F43">_xlfn.IFS(AND($C43="Fuel car",$D43=1),$E43*'NL '!C$7,AND($C43="Fuel car",$D43=2),$E43*'NL '!C$8,AND($C43="Fuel car",$D43=3),$E43*'NL '!C$9,AND($C43="Fuel car",$D43=4),$E43*'NL '!C$10,AND($C43="Fuel car",$D43=5),$E43*'NL '!C$11,AND($C43="Motorcycle",$D43=1),$E43*'NL '!C$13,AND($C43="Motorcycle",$D43=2),$E43*'NL '!C$14,AND($C43="Electric car",$D43=1),$E43*'NL '!C$16,AND($C43="Electric car",$D43=2),$E43*'NL '!C$17,AND($C43="Electric car",$D43=3),$E43*'NL '!C$18,AND($C43="Electric car",$D43=4),$E43*'NL '!C$19,AND($C43="Electric car",$D43=5),$E43*'NL '!C$20,AND($C43="Hybrid car",$D43=1),$E43*'NL '!C$22,AND($C43="Hybrid car",$D43=2),$E43*'NL '!C$23,AND($C43="Hybrid car",$D43=3),$E43*'NL '!C$24,AND($C43="Hybrid car",$D43=4),$E43*'NL '!C$25,AND($C43="Hybrid car",$D43=5),$E43*'NL '!C$26,AND($C43="Electric motorcycle",$D43=1),$E43*'NL '!C$28,AND($C43="Electric motorcycle",$D43=2),$E43*'NL '!C$29,AND($C43="Electric bike",$D43=1),$E43*'NL '!C$31,AND($C43="Electric scooter",$D43=1),$E43*'NL '!C$33,AND($C43="Bus",$D43="Almost empty"),$E43*'NL '!H$23,AND($C43="Bus",$D43="Average"),$E43*'NL '!H$24,AND($C43="Bus",$D43="Nearly full"),$E43*'NL '!H$25,AND($C43="Electric bus",$D43="Almost empty"),$E43*'NL '!H$7,AND($C43="Electric bus",$D43="Average"),$E43*'NL '!H$8,AND($C43="Electric bus",$D43="Nearly full"),$E43*'NL '!H$9,AND($C43="Diesel bus",$D43="Almost empty"),$E43*'NL '!H$19,AND($C43="Diesel bus",$D43="Average"),$E43*'NL '!H$20,AND($C43="Diesel bus",$D43="Nearly full"),$E43*'NL '!H$21,AND($C43="Hybrid-electric bus",$D43="Almost empty"),$E43*'NL '!H$11,AND($C43="Hybrid-electric bus",$D43="Average"),$E43*'NL '!H$12,AND($C43="Hybrid-electric bus",$D43="Nearly full"),$E43*'NL '!H$13,AND($C43="Alternative fuel bus",$D43="Almost empty"),$E43*'NL '!H$15,AND($C43="Alternative fuel bus",$D43="Average"),$E43*'NL '!H$16,AND($C43="Alternative fuel bus",$D43="Nearly full"),$E43*'NL '!H$17,AND($C43="Metro, tram, urban light train",$D43="Almost empty"),$E43*'NL '!C$35,AND($C43="Metro, tram, urban light train",$D43="Average"),$E43*'NL '!C$36,AND($C43="Metro, tram, urban light train",$D43="Nearly full"),$E43*'NL '!C$37,AND($C43="Electric passenger train",$D43="Almost empty"),$E43*'NL '!C$39,AND($C43="Electric passenger train",$D43="Average"),$E43*'NL '!C$40,AND($C43="Electric passenger train",$D43="Nearly full"),$E43*'NL '!C$41,AND($C43="Diesel passenger train",$D43="Almost empty"),$E43*'NL '!C$47,AND($C43="Diesel passenger train",$D43="Average"),$E43*'NL '!C$48,AND($C43="Diesel passenger train",$D43="Nearly full"),$E43*'NL '!C$49,AND($C43="Walking"),$E43*0,AND($C43="Bike"),$E43*0,AND($C43="Plane - domestic flight"),$E43*'NL '!$C67,AND($C43="Plane - international - intra EU"),$E43*'NL '!$C69,AND($C43="Plane - international (extra EU)"),$E43*'NL '!$C71)</f>
        <v>#N/A</v>
      </c>
      <c r="G43" s="31" t="e" cm="1">
        <f t="array" ref="G43">_xlfn.IFS(AND($C43="Fuel car",$D43=1),$E43*'NL '!D$7,AND($C43="Fuel car",$D43=2),$E43*'NL '!D$8,AND($C43="Fuel car",$D43=3),$E43*'NL '!D$9,AND($C43="Fuel car",$D43=4),$E43*'NL '!D$10,AND($C43="Fuel car",$D43=5),$E43*'NL '!D$11,AND($C43="Motorcycle",$D43=1),$E43*'NL '!D$13,AND($C43="Motorcycle",$D43=2),$E43*'NL '!D$14,AND($C43="Electric car",$D43=1),$E43*'NL '!D$16,AND($C43="Electric car",$D43=2),$E43*'NL '!D$17,AND($C43="Electric car",$D43=3),$E43*'NL '!D$18,AND($C43="Electric car",$D43=4),$E43*'NL '!D$19,AND($C43="Electric car",$D43=5),$E43*'NL '!D$20,AND($C43="Hybrid car",$D43=1),$E43*'NL '!D$22,AND($C43="Hybrid car",$D43=2),$E43*'NL '!D$23,AND($C43="Hybrid car",$D43=3),$E43*'NL '!D$24,AND($C43="Hybrid car",$D43=4),$E43*'NL '!D$25,AND($C43="Hybrid car",$D43=5),$E43*'NL '!D$26,AND($C43="Electric motorcycle",$D43=1),$E43*'NL '!D$28,AND($C43="Electric motorcycle",$D43=2),$E43*'NL '!D$29,AND($C43="Electric bike",$D43=1),$E43*'NL '!D$31,AND($C43="Electric scooter",$D43=1),$E43*'NL '!D$33,AND($C43="Bus",$D43="Almost empty"),$E43*'NL '!I$23,AND($C43="Bus",$D43="Average"),$E43*'NL '!I$24,AND($C43="Bus",$D43="Nearly full"),$E43*'NL '!I$25,AND($C43="Electric bus",$D43="Almost empty"),$E43*'NL '!I$7,AND($C43="Electric bus",$D43="Average"),$E43*'NL '!I$8,AND($C43="Electric bus",$D43="Nearly full"),$E43*'NL '!I$9,AND($C43="Diesel bus",$D43="Almost empty"),$E43*'NL '!I$19,AND($C43="Diesel bus",$D43="Average"),$E43*'NL '!I$20,AND($C43="Diesel bus",$D43="Nearly full"),$E43*'NL '!I$21,AND($C43="Hybrid-electric bus",$D43="Almost empty"),$E43*'NL '!I$11,AND($C43="Hybrid-electric bus",$D43="Average"),$E43*'NL '!I$12,AND($C43="Hybrid-electric bus",$D43="Nearly full"),$E43*'NL '!I$13,AND($C43="Alternative fuel bus",$D43="Almost empty"),$E43*'NL '!I$15,AND($C43="Alternative fuel bus",$D43="Average"),$E43*'NL '!I$16,AND($C43="Alternative fuel bus",$D43="Nearly full"),$E43*'NL '!I$17,AND($C43="Metro, tram, urban light train",$D43="Almost empty"),$E43*'NL '!D$35,AND($C43="Metro, tram, urban light train",$D43="Average"),$E43*'NL '!D$36,AND($C43="Metro, tram, urban light train",$D43="Nearly full"),$E43*'NL '!D$37,AND($C43="Electric passenger train",$D43="Almost empty"),$E43*'NL '!D$39,AND($C43="Electric passenger train",$D43="Average"),$E43*'NL '!D$40,AND($C43="Electric passenger train",$D43="Nearly full"),$E43*'NL '!D$41,AND($C43="Diesel passenger train",$D43="Almost empty"),$E43*'NL '!D$47,AND($C43="Diesel passenger train",$D43="Average"),$E43*'NL '!D$48,AND($C43="Diesel passenger train",$D43="Nearly full"),$E43*'NL '!D$49,AND($C43="Walking"),$E43*0,AND($C43="Bike"),$E43*0,AND($C43="Plane - domestic flight"),$E43*'NL '!$C67,AND($C43="Plane - international - intra EU"),$E43*'NL '!$C69,AND($C43="Plane - international (extra EU)"),$E43*'NL '!$C71)</f>
        <v>#N/A</v>
      </c>
      <c r="H43" s="109"/>
      <c r="I43" s="154">
        <f t="shared" si="6"/>
        <v>0</v>
      </c>
      <c r="J43" s="147" t="e" cm="1">
        <f t="array" ref="J43">_xlfn.IFS(C43="Fuel car",C43*DATA!$C$17,C43="Electric car",C43*DATA!$F$23,C43="Hybrid car",I43*(0.5*DATA!$C$17+0.5*DATA!$F$23))</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car",$D44=1),$E44*'NL '!C$7,AND($C44="Fuel car",$D44=2),$E44*'NL '!C$8,AND($C44="Fuel car",$D44=3),$E44*'NL '!C$9,AND($C44="Fuel car",$D44=4),$E44*'NL '!C$10,AND($C44="Fuel car",$D44=5),$E44*'NL '!C$11,AND($C44="Motorcycle",$D44=1),$E44*'NL '!C$13,AND($C44="Motorcycle",$D44=2),$E44*'NL '!C$14,AND($C44="Electric car",$D44=1),$E44*'NL '!C$16,AND($C44="Electric car",$D44=2),$E44*'NL '!C$17,AND($C44="Electric car",$D44=3),$E44*'NL '!C$18,AND($C44="Electric car",$D44=4),$E44*'NL '!C$19,AND($C44="Electric car",$D44=5),$E44*'NL '!C$20,AND($C44="Hybrid car",$D44=1),$E44*'NL '!C$22,AND($C44="Hybrid car",$D44=2),$E44*'NL '!C$23,AND($C44="Hybrid car",$D44=3),$E44*'NL '!C$24,AND($C44="Hybrid car",$D44=4),$E44*'NL '!C$25,AND($C44="Hybrid car",$D44=5),$E44*'NL '!C$26,AND($C44="Electric motorcycle",$D44=1),$E44*'NL '!C$28,AND($C44="Electric motorcycle",$D44=2),$E44*'NL '!C$29,AND($C44="Electric bike",$D44=1),$E44*'NL '!C$31,AND($C44="Electric scooter",$D44=1),$E44*'NL '!C$33,AND($C44="Bus",$D44="Almost empty"),$E44*'NL '!H$23,AND($C44="Bus",$D44="Average"),$E44*'NL '!H$24,AND($C44="Bus",$D44="Nearly full"),$E44*'NL '!H$25,AND($C44="Electric bus",$D44="Almost empty"),$E44*'NL '!H$7,AND($C44="Electric bus",$D44="Average"),$E44*'NL '!H$8,AND($C44="Electric bus",$D44="Nearly full"),$E44*'NL '!H$9,AND($C44="Diesel bus",$D44="Almost empty"),$E44*'NL '!H$19,AND($C44="Diesel bus",$D44="Average"),$E44*'NL '!H$20,AND($C44="Diesel bus",$D44="Nearly full"),$E44*'NL '!H$21,AND($C44="Hybrid-electric bus",$D44="Almost empty"),$E44*'NL '!H$11,AND($C44="Hybrid-electric bus",$D44="Average"),$E44*'NL '!H$12,AND($C44="Hybrid-electric bus",$D44="Nearly full"),$E44*'NL '!H$13,AND($C44="Alternative fuel bus",$D44="Almost empty"),$E44*'NL '!H$15,AND($C44="Alternative fuel bus",$D44="Average"),$E44*'NL '!H$16,AND($C44="Alternative fuel bus",$D44="Nearly full"),$E44*'NL '!H$17,AND($C44="Metro, tram, urban light train",$D44="Almost empty"),$E44*'NL '!C$35,AND($C44="Metro, tram, urban light train",$D44="Average"),$E44*'NL '!C$36,AND($C44="Metro, tram, urban light train",$D44="Nearly full"),$E44*'NL '!C$37,AND($C44="Electric passenger train",$D44="Almost empty"),$E44*'NL '!C$39,AND($C44="Electric passenger train",$D44="Average"),$E44*'NL '!C$40,AND($C44="Electric passenger train",$D44="Nearly full"),$E44*'NL '!C$41,AND($C44="Diesel passenger train",$D44="Almost empty"),$E44*'NL '!C$47,AND($C44="Diesel passenger train",$D44="Average"),$E44*'NL '!C$48,AND($C44="Diesel passenger train",$D44="Nearly full"),$E44*'NL '!C$49,AND($C44="Walking"),$E44*0,AND($C44="Bike"),$E44*0,AND($C44="Plane - domestic flight"),$E44*'NL '!$C68,AND($C44="Plane - international - intra EU"),$E44*'NL '!$C70,AND($C44="Plane - international (extra EU)"),$E44*'NL '!$C72)</f>
        <v>#N/A</v>
      </c>
      <c r="G44" s="31" t="e" cm="1">
        <f t="array" ref="G44">_xlfn.IFS(AND($C44="Fuel car",$D44=1),$E44*'NL '!D$7,AND($C44="Fuel car",$D44=2),$E44*'NL '!D$8,AND($C44="Fuel car",$D44=3),$E44*'NL '!D$9,AND($C44="Fuel car",$D44=4),$E44*'NL '!D$10,AND($C44="Fuel car",$D44=5),$E44*'NL '!D$11,AND($C44="Motorcycle",$D44=1),$E44*'NL '!D$13,AND($C44="Motorcycle",$D44=2),$E44*'NL '!D$14,AND($C44="Electric car",$D44=1),$E44*'NL '!D$16,AND($C44="Electric car",$D44=2),$E44*'NL '!D$17,AND($C44="Electric car",$D44=3),$E44*'NL '!D$18,AND($C44="Electric car",$D44=4),$E44*'NL '!D$19,AND($C44="Electric car",$D44=5),$E44*'NL '!D$20,AND($C44="Hybrid car",$D44=1),$E44*'NL '!D$22,AND($C44="Hybrid car",$D44=2),$E44*'NL '!D$23,AND($C44="Hybrid car",$D44=3),$E44*'NL '!D$24,AND($C44="Hybrid car",$D44=4),$E44*'NL '!D$25,AND($C44="Hybrid car",$D44=5),$E44*'NL '!D$26,AND($C44="Electric motorcycle",$D44=1),$E44*'NL '!D$28,AND($C44="Electric motorcycle",$D44=2),$E44*'NL '!D$29,AND($C44="Electric bike",$D44=1),$E44*'NL '!D$31,AND($C44="Electric scooter",$D44=1),$E44*'NL '!D$33,AND($C44="Bus",$D44="Almost empty"),$E44*'NL '!I$23,AND($C44="Bus",$D44="Average"),$E44*'NL '!I$24,AND($C44="Bus",$D44="Nearly full"),$E44*'NL '!I$25,AND($C44="Electric bus",$D44="Almost empty"),$E44*'NL '!I$7,AND($C44="Electric bus",$D44="Average"),$E44*'NL '!I$8,AND($C44="Electric bus",$D44="Nearly full"),$E44*'NL '!I$9,AND($C44="Diesel bus",$D44="Almost empty"),$E44*'NL '!I$19,AND($C44="Diesel bus",$D44="Average"),$E44*'NL '!I$20,AND($C44="Diesel bus",$D44="Nearly full"),$E44*'NL '!I$21,AND($C44="Hybrid-electric bus",$D44="Almost empty"),$E44*'NL '!I$11,AND($C44="Hybrid-electric bus",$D44="Average"),$E44*'NL '!I$12,AND($C44="Hybrid-electric bus",$D44="Nearly full"),$E44*'NL '!I$13,AND($C44="Alternative fuel bus",$D44="Almost empty"),$E44*'NL '!I$15,AND($C44="Alternative fuel bus",$D44="Average"),$E44*'NL '!I$16,AND($C44="Alternative fuel bus",$D44="Nearly full"),$E44*'NL '!I$17,AND($C44="Metro, tram, urban light train",$D44="Almost empty"),$E44*'NL '!D$35,AND($C44="Metro, tram, urban light train",$D44="Average"),$E44*'NL '!D$36,AND($C44="Metro, tram, urban light train",$D44="Nearly full"),$E44*'NL '!D$37,AND($C44="Electric passenger train",$D44="Almost empty"),$E44*'NL '!D$39,AND($C44="Electric passenger train",$D44="Average"),$E44*'NL '!D$40,AND($C44="Electric passenger train",$D44="Nearly full"),$E44*'NL '!D$41,AND($C44="Diesel passenger train",$D44="Almost empty"),$E44*'NL '!D$47,AND($C44="Diesel passenger train",$D44="Average"),$E44*'NL '!D$48,AND($C44="Diesel passenger train",$D44="Nearly full"),$E44*'NL '!D$49,AND($C44="Walking"),$E44*0,AND($C44="Bike"),$E44*0,AND($C44="Plane - domestic flight"),$E44*'NL '!$C68,AND($C44="Plane - international - intra EU"),$E44*'NL '!$C70,AND($C44="Plane - international (extra EU)"),$E44*'NL '!$C72)</f>
        <v>#N/A</v>
      </c>
      <c r="L44" s="218"/>
      <c r="M44" s="219"/>
      <c r="N44" s="220"/>
    </row>
    <row r="45" spans="1:14" ht="14.5" customHeight="1" x14ac:dyDescent="0.2">
      <c r="A45" s="222"/>
      <c r="B45" s="30"/>
      <c r="C45" s="15"/>
      <c r="D45" s="15"/>
      <c r="E45" s="125"/>
      <c r="F45" s="128" t="e" cm="1">
        <f t="array" ref="F45">_xlfn.IFS(AND($C45="Fuel car",$D45=1),$E45*'NL '!C$7,AND($C45="Fuel car",$D45=2),$E45*'NL '!C$8,AND($C45="Fuel car",$D45=3),$E45*'NL '!C$9,AND($C45="Fuel car",$D45=4),$E45*'NL '!C$10,AND($C45="Fuel car",$D45=5),$E45*'NL '!C$11,AND($C45="Motorcycle",$D45=1),$E45*'NL '!C$13,AND($C45="Motorcycle",$D45=2),$E45*'NL '!C$14,AND($C45="Electric car",$D45=1),$E45*'NL '!C$16,AND($C45="Electric car",$D45=2),$E45*'NL '!C$17,AND($C45="Electric car",$D45=3),$E45*'NL '!C$18,AND($C45="Electric car",$D45=4),$E45*'NL '!C$19,AND($C45="Electric car",$D45=5),$E45*'NL '!C$20,AND($C45="Hybrid car",$D45=1),$E45*'NL '!C$22,AND($C45="Hybrid car",$D45=2),$E45*'NL '!C$23,AND($C45="Hybrid car",$D45=3),$E45*'NL '!C$24,AND($C45="Hybrid car",$D45=4),$E45*'NL '!C$25,AND($C45="Hybrid car",$D45=5),$E45*'NL '!C$26,AND($C45="Electric motorcycle",$D45=1),$E45*'NL '!C$28,AND($C45="Electric motorcycle",$D45=2),$E45*'NL '!C$29,AND($C45="Electric bike",$D45=1),$E45*'NL '!C$31,AND($C45="Electric scooter",$D45=1),$E45*'NL '!C$33,AND($C45="Bus",$D45="Almost empty"),$E45*'NL '!H$23,AND($C45="Bus",$D45="Average"),$E45*'NL '!H$24,AND($C45="Bus",$D45="Nearly full"),$E45*'NL '!H$25,AND($C45="Electric bus",$D45="Almost empty"),$E45*'NL '!H$7,AND($C45="Electric bus",$D45="Average"),$E45*'NL '!H$8,AND($C45="Electric bus",$D45="Nearly full"),$E45*'NL '!H$9,AND($C45="Diesel bus",$D45="Almost empty"),$E45*'NL '!H$19,AND($C45="Diesel bus",$D45="Average"),$E45*'NL '!H$20,AND($C45="Diesel bus",$D45="Nearly full"),$E45*'NL '!H$21,AND($C45="Hybrid-electric bus",$D45="Almost empty"),$E45*'NL '!H$11,AND($C45="Hybrid-electric bus",$D45="Average"),$E45*'NL '!H$12,AND($C45="Hybrid-electric bus",$D45="Nearly full"),$E45*'NL '!H$13,AND($C45="Alternative fuel bus",$D45="Almost empty"),$E45*'NL '!H$15,AND($C45="Alternative fuel bus",$D45="Average"),$E45*'NL '!H$16,AND($C45="Alternative fuel bus",$D45="Nearly full"),$E45*'NL '!H$17,AND($C45="Metro, tram, urban light train",$D45="Almost empty"),$E45*'NL '!C$35,AND($C45="Metro, tram, urban light train",$D45="Average"),$E45*'NL '!C$36,AND($C45="Metro, tram, urban light train",$D45="Nearly full"),$E45*'NL '!C$37,AND($C45="Electric passenger train",$D45="Almost empty"),$E45*'NL '!C$39,AND($C45="Electric passenger train",$D45="Average"),$E45*'NL '!C$40,AND($C45="Electric passenger train",$D45="Nearly full"),$E45*'NL '!C$41,AND($C45="Diesel passenger train",$D45="Almost empty"),$E45*'NL '!C$47,AND($C45="Diesel passenger train",$D45="Average"),$E45*'NL '!C$48,AND($C45="Diesel passenger train",$D45="Nearly full"),$E45*'NL '!C$49,AND($C45="Walking"),$E45*0,AND($C45="Bike"),$E45*0,AND($C45="Plane - domestic flight"),$E45*'NL '!$C69,AND($C45="Plane - international - intra EU"),$E45*'NL '!$C71,AND($C45="Plane - international (extra EU)"),$E45*'NL '!$C73)</f>
        <v>#N/A</v>
      </c>
      <c r="G45" s="31" t="e" cm="1">
        <f t="array" ref="G45">_xlfn.IFS(AND($C45="Fuel car",$D45=1),$E45*'NL '!D$7,AND($C45="Fuel car",$D45=2),$E45*'NL '!D$8,AND($C45="Fuel car",$D45=3),$E45*'NL '!D$9,AND($C45="Fuel car",$D45=4),$E45*'NL '!D$10,AND($C45="Fuel car",$D45=5),$E45*'NL '!D$11,AND($C45="Motorcycle",$D45=1),$E45*'NL '!D$13,AND($C45="Motorcycle",$D45=2),$E45*'NL '!D$14,AND($C45="Electric car",$D45=1),$E45*'NL '!D$16,AND($C45="Electric car",$D45=2),$E45*'NL '!D$17,AND($C45="Electric car",$D45=3),$E45*'NL '!D$18,AND($C45="Electric car",$D45=4),$E45*'NL '!D$19,AND($C45="Electric car",$D45=5),$E45*'NL '!D$20,AND($C45="Hybrid car",$D45=1),$E45*'NL '!D$22,AND($C45="Hybrid car",$D45=2),$E45*'NL '!D$23,AND($C45="Hybrid car",$D45=3),$E45*'NL '!D$24,AND($C45="Hybrid car",$D45=4),$E45*'NL '!D$25,AND($C45="Hybrid car",$D45=5),$E45*'NL '!D$26,AND($C45="Electric motorcycle",$D45=1),$E45*'NL '!D$28,AND($C45="Electric motorcycle",$D45=2),$E45*'NL '!D$29,AND($C45="Electric bike",$D45=1),$E45*'NL '!D$31,AND($C45="Electric scooter",$D45=1),$E45*'NL '!D$33,AND($C45="Bus",$D45="Almost empty"),$E45*'NL '!I$23,AND($C45="Bus",$D45="Average"),$E45*'NL '!I$24,AND($C45="Bus",$D45="Nearly full"),$E45*'NL '!I$25,AND($C45="Electric bus",$D45="Almost empty"),$E45*'NL '!I$7,AND($C45="Electric bus",$D45="Average"),$E45*'NL '!I$8,AND($C45="Electric bus",$D45="Nearly full"),$E45*'NL '!I$9,AND($C45="Diesel bus",$D45="Almost empty"),$E45*'NL '!I$19,AND($C45="Diesel bus",$D45="Average"),$E45*'NL '!I$20,AND($C45="Diesel bus",$D45="Nearly full"),$E45*'NL '!I$21,AND($C45="Hybrid-electric bus",$D45="Almost empty"),$E45*'NL '!I$11,AND($C45="Hybrid-electric bus",$D45="Average"),$E45*'NL '!I$12,AND($C45="Hybrid-electric bus",$D45="Nearly full"),$E45*'NL '!I$13,AND($C45="Alternative fuel bus",$D45="Almost empty"),$E45*'NL '!I$15,AND($C45="Alternative fuel bus",$D45="Average"),$E45*'NL '!I$16,AND($C45="Alternative fuel bus",$D45="Nearly full"),$E45*'NL '!I$17,AND($C45="Metro, tram, urban light train",$D45="Almost empty"),$E45*'NL '!D$35,AND($C45="Metro, tram, urban light train",$D45="Average"),$E45*'NL '!D$36,AND($C45="Metro, tram, urban light train",$D45="Nearly full"),$E45*'NL '!D$37,AND($C45="Electric passenger train",$D45="Almost empty"),$E45*'NL '!D$39,AND($C45="Electric passenger train",$D45="Average"),$E45*'NL '!D$40,AND($C45="Electric passenger train",$D45="Nearly full"),$E45*'NL '!D$41,AND($C45="Diesel passenger train",$D45="Almost empty"),$E45*'NL '!D$47,AND($C45="Diesel passenger train",$D45="Average"),$E45*'NL '!D$48,AND($C45="Diesel passenger train",$D45="Nearly full"),$E45*'NL '!D$49,AND($C45="Walking"),$E45*0,AND($C45="Bike"),$E45*0,AND($C45="Plane - domestic flight"),$E45*'NL '!$C69,AND($C45="Plane - international - intra EU"),$E45*'NL '!$C71,AND($C45="Plane - international (extra EU)"),$E45*'NL '!$C73)</f>
        <v>#N/A</v>
      </c>
      <c r="L45" s="198" t="s">
        <v>256</v>
      </c>
      <c r="M45" s="199"/>
      <c r="N45" s="200"/>
    </row>
    <row r="46" spans="1:14" ht="16" thickBot="1" x14ac:dyDescent="0.25">
      <c r="A46" s="222"/>
      <c r="B46" s="30"/>
      <c r="C46" s="15"/>
      <c r="D46" s="15"/>
      <c r="E46" s="125"/>
      <c r="F46" s="128" t="e" cm="1">
        <f t="array" ref="F46">_xlfn.IFS(AND($C46="Fuel car",$D46=1),$E46*'NL '!C$7,AND($C46="Fuel car",$D46=2),$E46*'NL '!C$8,AND($C46="Fuel car",$D46=3),$E46*'NL '!C$9,AND($C46="Fuel car",$D46=4),$E46*'NL '!C$10,AND($C46="Fuel car",$D46=5),$E46*'NL '!C$11,AND($C46="Motorcycle",$D46=1),$E46*'NL '!C$13,AND($C46="Motorcycle",$D46=2),$E46*'NL '!C$14,AND($C46="Electric car",$D46=1),$E46*'NL '!C$16,AND($C46="Electric car",$D46=2),$E46*'NL '!C$17,AND($C46="Electric car",$D46=3),$E46*'NL '!C$18,AND($C46="Electric car",$D46=4),$E46*'NL '!C$19,AND($C46="Electric car",$D46=5),$E46*'NL '!C$20,AND($C46="Hybrid car",$D46=1),$E46*'NL '!C$22,AND($C46="Hybrid car",$D46=2),$E46*'NL '!C$23,AND($C46="Hybrid car",$D46=3),$E46*'NL '!C$24,AND($C46="Hybrid car",$D46=4),$E46*'NL '!C$25,AND($C46="Hybrid car",$D46=5),$E46*'NL '!C$26,AND($C46="Electric motorcycle",$D46=1),$E46*'NL '!C$28,AND($C46="Electric motorcycle",$D46=2),$E46*'NL '!C$29,AND($C46="Electric bike",$D46=1),$E46*'NL '!C$31,AND($C46="Electric scooter",$D46=1),$E46*'NL '!C$33,AND($C46="Bus",$D46="Almost empty"),$E46*'NL '!H$23,AND($C46="Bus",$D46="Average"),$E46*'NL '!H$24,AND($C46="Bus",$D46="Nearly full"),$E46*'NL '!H$25,AND($C46="Electric bus",$D46="Almost empty"),$E46*'NL '!H$7,AND($C46="Electric bus",$D46="Average"),$E46*'NL '!H$8,AND($C46="Electric bus",$D46="Nearly full"),$E46*'NL '!H$9,AND($C46="Diesel bus",$D46="Almost empty"),$E46*'NL '!H$19,AND($C46="Diesel bus",$D46="Average"),$E46*'NL '!H$20,AND($C46="Diesel bus",$D46="Nearly full"),$E46*'NL '!H$21,AND($C46="Hybrid-electric bus",$D46="Almost empty"),$E46*'NL '!H$11,AND($C46="Hybrid-electric bus",$D46="Average"),$E46*'NL '!H$12,AND($C46="Hybrid-electric bus",$D46="Nearly full"),$E46*'NL '!H$13,AND($C46="Alternative fuel bus",$D46="Almost empty"),$E46*'NL '!H$15,AND($C46="Alternative fuel bus",$D46="Average"),$E46*'NL '!H$16,AND($C46="Alternative fuel bus",$D46="Nearly full"),$E46*'NL '!H$17,AND($C46="Metro, tram, urban light train",$D46="Almost empty"),$E46*'NL '!C$35,AND($C46="Metro, tram, urban light train",$D46="Average"),$E46*'NL '!C$36,AND($C46="Metro, tram, urban light train",$D46="Nearly full"),$E46*'NL '!C$37,AND($C46="Electric passenger train",$D46="Almost empty"),$E46*'NL '!C$39,AND($C46="Electric passenger train",$D46="Average"),$E46*'NL '!C$40,AND($C46="Electric passenger train",$D46="Nearly full"),$E46*'NL '!C$41,AND($C46="Diesel passenger train",$D46="Almost empty"),$E46*'NL '!C$47,AND($C46="Diesel passenger train",$D46="Average"),$E46*'NL '!C$48,AND($C46="Diesel passenger train",$D46="Nearly full"),$E46*'NL '!C$49,AND($C46="Walking"),$E46*0,AND($C46="Bike"),$E46*0,AND($C46="Plane - domestic flight"),$E46*'NL '!$C70,AND($C46="Plane - international - intra EU"),$E46*'NL '!$C72,AND($C46="Plane - international (extra EU)"),$E46*'NL '!$C74)</f>
        <v>#N/A</v>
      </c>
      <c r="G46" s="31" t="e" cm="1">
        <f t="array" ref="G46">_xlfn.IFS(AND($C46="Fuel car",$D46=1),$E46*'NL '!D$7,AND($C46="Fuel car",$D46=2),$E46*'NL '!D$8,AND($C46="Fuel car",$D46=3),$E46*'NL '!D$9,AND($C46="Fuel car",$D46=4),$E46*'NL '!D$10,AND($C46="Fuel car",$D46=5),$E46*'NL '!D$11,AND($C46="Motorcycle",$D46=1),$E46*'NL '!D$13,AND($C46="Motorcycle",$D46=2),$E46*'NL '!D$14,AND($C46="Electric car",$D46=1),$E46*'NL '!D$16,AND($C46="Electric car",$D46=2),$E46*'NL '!D$17,AND($C46="Electric car",$D46=3),$E46*'NL '!D$18,AND($C46="Electric car",$D46=4),$E46*'NL '!D$19,AND($C46="Electric car",$D46=5),$E46*'NL '!D$20,AND($C46="Hybrid car",$D46=1),$E46*'NL '!D$22,AND($C46="Hybrid car",$D46=2),$E46*'NL '!D$23,AND($C46="Hybrid car",$D46=3),$E46*'NL '!D$24,AND($C46="Hybrid car",$D46=4),$E46*'NL '!D$25,AND($C46="Hybrid car",$D46=5),$E46*'NL '!D$26,AND($C46="Electric motorcycle",$D46=1),$E46*'NL '!D$28,AND($C46="Electric motorcycle",$D46=2),$E46*'NL '!D$29,AND($C46="Electric bike",$D46=1),$E46*'NL '!D$31,AND($C46="Electric scooter",$D46=1),$E46*'NL '!D$33,AND($C46="Bus",$D46="Almost empty"),$E46*'NL '!I$23,AND($C46="Bus",$D46="Average"),$E46*'NL '!I$24,AND($C46="Bus",$D46="Nearly full"),$E46*'NL '!I$25,AND($C46="Electric bus",$D46="Almost empty"),$E46*'NL '!I$7,AND($C46="Electric bus",$D46="Average"),$E46*'NL '!I$8,AND($C46="Electric bus",$D46="Nearly full"),$E46*'NL '!I$9,AND($C46="Diesel bus",$D46="Almost empty"),$E46*'NL '!I$19,AND($C46="Diesel bus",$D46="Average"),$E46*'NL '!I$20,AND($C46="Diesel bus",$D46="Nearly full"),$E46*'NL '!I$21,AND($C46="Hybrid-electric bus",$D46="Almost empty"),$E46*'NL '!I$11,AND($C46="Hybrid-electric bus",$D46="Average"),$E46*'NL '!I$12,AND($C46="Hybrid-electric bus",$D46="Nearly full"),$E46*'NL '!I$13,AND($C46="Alternative fuel bus",$D46="Almost empty"),$E46*'NL '!I$15,AND($C46="Alternative fuel bus",$D46="Average"),$E46*'NL '!I$16,AND($C46="Alternative fuel bus",$D46="Nearly full"),$E46*'NL '!I$17,AND($C46="Metro, tram, urban light train",$D46="Almost empty"),$E46*'NL '!D$35,AND($C46="Metro, tram, urban light train",$D46="Average"),$E46*'NL '!D$36,AND($C46="Metro, tram, urban light train",$D46="Nearly full"),$E46*'NL '!D$37,AND($C46="Electric passenger train",$D46="Almost empty"),$E46*'NL '!D$39,AND($C46="Electric passenger train",$D46="Average"),$E46*'NL '!D$40,AND($C46="Electric passenger train",$D46="Nearly full"),$E46*'NL '!D$41,AND($C46="Diesel passenger train",$D46="Almost empty"),$E46*'NL '!D$47,AND($C46="Diesel passenger train",$D46="Average"),$E46*'NL '!D$48,AND($C46="Diesel passenger train",$D46="Nearly full"),$E46*'NL '!D$49,AND($C46="Walking"),$E46*0,AND($C46="Bike"),$E46*0,AND($C46="Plane - domestic flight"),$E46*'NL '!$C70,AND($C46="Plane - international - intra EU"),$E46*'NL '!$C72,AND($C46="Plane - international (extra EU)"),$E46*'NL '!$C74)</f>
        <v>#N/A</v>
      </c>
      <c r="L46" s="246"/>
      <c r="M46" s="247"/>
      <c r="N46" s="248"/>
    </row>
    <row r="47" spans="1:14" ht="20" thickBot="1" x14ac:dyDescent="0.25">
      <c r="A47" s="222"/>
      <c r="B47" s="30"/>
      <c r="C47" s="15"/>
      <c r="D47" s="15"/>
      <c r="E47" s="125"/>
      <c r="F47" s="128" t="e" cm="1">
        <f t="array" ref="F47">_xlfn.IFS(AND($C47="Fuel car",$D47=1),$E47*'NL '!C$7,AND($C47="Fuel car",$D47=2),$E47*'NL '!C$8,AND($C47="Fuel car",$D47=3),$E47*'NL '!C$9,AND($C47="Fuel car",$D47=4),$E47*'NL '!C$10,AND($C47="Fuel car",$D47=5),$E47*'NL '!C$11,AND($C47="Motorcycle",$D47=1),$E47*'NL '!C$13,AND($C47="Motorcycle",$D47=2),$E47*'NL '!C$14,AND($C47="Electric car",$D47=1),$E47*'NL '!C$16,AND($C47="Electric car",$D47=2),$E47*'NL '!C$17,AND($C47="Electric car",$D47=3),$E47*'NL '!C$18,AND($C47="Electric car",$D47=4),$E47*'NL '!C$19,AND($C47="Electric car",$D47=5),$E47*'NL '!C$20,AND($C47="Hybrid car",$D47=1),$E47*'NL '!C$22,AND($C47="Hybrid car",$D47=2),$E47*'NL '!C$23,AND($C47="Hybrid car",$D47=3),$E47*'NL '!C$24,AND($C47="Hybrid car",$D47=4),$E47*'NL '!C$25,AND($C47="Hybrid car",$D47=5),$E47*'NL '!C$26,AND($C47="Electric motorcycle",$D47=1),$E47*'NL '!C$28,AND($C47="Electric motorcycle",$D47=2),$E47*'NL '!C$29,AND($C47="Electric bike",$D47=1),$E47*'NL '!C$31,AND($C47="Electric scooter",$D47=1),$E47*'NL '!C$33,AND($C47="Bus",$D47="Almost empty"),$E47*'NL '!H$23,AND($C47="Bus",$D47="Average"),$E47*'NL '!H$24,AND($C47="Bus",$D47="Nearly full"),$E47*'NL '!H$25,AND($C47="Electric bus",$D47="Almost empty"),$E47*'NL '!H$7,AND($C47="Electric bus",$D47="Average"),$E47*'NL '!H$8,AND($C47="Electric bus",$D47="Nearly full"),$E47*'NL '!H$9,AND($C47="Diesel bus",$D47="Almost empty"),$E47*'NL '!H$19,AND($C47="Diesel bus",$D47="Average"),$E47*'NL '!H$20,AND($C47="Diesel bus",$D47="Nearly full"),$E47*'NL '!H$21,AND($C47="Hybrid-electric bus",$D47="Almost empty"),$E47*'NL '!H$11,AND($C47="Hybrid-electric bus",$D47="Average"),$E47*'NL '!H$12,AND($C47="Hybrid-electric bus",$D47="Nearly full"),$E47*'NL '!H$13,AND($C47="Alternative fuel bus",$D47="Almost empty"),$E47*'NL '!H$15,AND($C47="Alternative fuel bus",$D47="Average"),$E47*'NL '!H$16,AND($C47="Alternative fuel bus",$D47="Nearly full"),$E47*'NL '!H$17,AND($C47="Metro, tram, urban light train",$D47="Almost empty"),$E47*'NL '!C$35,AND($C47="Metro, tram, urban light train",$D47="Average"),$E47*'NL '!C$36,AND($C47="Metro, tram, urban light train",$D47="Nearly full"),$E47*'NL '!C$37,AND($C47="Electric passenger train",$D47="Almost empty"),$E47*'NL '!C$39,AND($C47="Electric passenger train",$D47="Average"),$E47*'NL '!C$40,AND($C47="Electric passenger train",$D47="Nearly full"),$E47*'NL '!C$41,AND($C47="Diesel passenger train",$D47="Almost empty"),$E47*'NL '!C$47,AND($C47="Diesel passenger train",$D47="Average"),$E47*'NL '!C$48,AND($C47="Diesel passenger train",$D47="Nearly full"),$E47*'NL '!C$49,AND($C47="Walking"),$E47*0,AND($C47="Bike"),$E47*0,AND($C47="Plane - domestic flight"),$E47*'NL '!$C71,AND($C47="Plane - international - intra EU"),$E47*'NL '!$C73,AND($C47="Plane - international (extra EU)"),$E47*'NL '!$C75)</f>
        <v>#N/A</v>
      </c>
      <c r="G47" s="31" t="e" cm="1">
        <f t="array" ref="G47">_xlfn.IFS(AND($C47="Fuel car",$D47=1),$E47*'NL '!D$7,AND($C47="Fuel car",$D47=2),$E47*'NL '!D$8,AND($C47="Fuel car",$D47=3),$E47*'NL '!D$9,AND($C47="Fuel car",$D47=4),$E47*'NL '!D$10,AND($C47="Fuel car",$D47=5),$E47*'NL '!D$11,AND($C47="Motorcycle",$D47=1),$E47*'NL '!D$13,AND($C47="Motorcycle",$D47=2),$E47*'NL '!D$14,AND($C47="Electric car",$D47=1),$E47*'NL '!D$16,AND($C47="Electric car",$D47=2),$E47*'NL '!D$17,AND($C47="Electric car",$D47=3),$E47*'NL '!D$18,AND($C47="Electric car",$D47=4),$E47*'NL '!D$19,AND($C47="Electric car",$D47=5),$E47*'NL '!D$20,AND($C47="Hybrid car",$D47=1),$E47*'NL '!D$22,AND($C47="Hybrid car",$D47=2),$E47*'NL '!D$23,AND($C47="Hybrid car",$D47=3),$E47*'NL '!D$24,AND($C47="Hybrid car",$D47=4),$E47*'NL '!D$25,AND($C47="Hybrid car",$D47=5),$E47*'NL '!D$26,AND($C47="Electric motorcycle",$D47=1),$E47*'NL '!D$28,AND($C47="Electric motorcycle",$D47=2),$E47*'NL '!D$29,AND($C47="Electric bike",$D47=1),$E47*'NL '!D$31,AND($C47="Electric scooter",$D47=1),$E47*'NL '!D$33,AND($C47="Bus",$D47="Almost empty"),$E47*'NL '!I$23,AND($C47="Bus",$D47="Average"),$E47*'NL '!I$24,AND($C47="Bus",$D47="Nearly full"),$E47*'NL '!I$25,AND($C47="Electric bus",$D47="Almost empty"),$E47*'NL '!I$7,AND($C47="Electric bus",$D47="Average"),$E47*'NL '!I$8,AND($C47="Electric bus",$D47="Nearly full"),$E47*'NL '!I$9,AND($C47="Diesel bus",$D47="Almost empty"),$E47*'NL '!I$19,AND($C47="Diesel bus",$D47="Average"),$E47*'NL '!I$20,AND($C47="Diesel bus",$D47="Nearly full"),$E47*'NL '!I$21,AND($C47="Hybrid-electric bus",$D47="Almost empty"),$E47*'NL '!I$11,AND($C47="Hybrid-electric bus",$D47="Average"),$E47*'NL '!I$12,AND($C47="Hybrid-electric bus",$D47="Nearly full"),$E47*'NL '!I$13,AND($C47="Alternative fuel bus",$D47="Almost empty"),$E47*'NL '!I$15,AND($C47="Alternative fuel bus",$D47="Average"),$E47*'NL '!I$16,AND($C47="Alternative fuel bus",$D47="Nearly full"),$E47*'NL '!I$17,AND($C47="Metro, tram, urban light train",$D47="Almost empty"),$E47*'NL '!D$35,AND($C47="Metro, tram, urban light train",$D47="Average"),$E47*'NL '!D$36,AND($C47="Metro, tram, urban light train",$D47="Nearly full"),$E47*'NL '!D$37,AND($C47="Electric passenger train",$D47="Almost empty"),$E47*'NL '!D$39,AND($C47="Electric passenger train",$D47="Average"),$E47*'NL '!D$40,AND($C47="Electric passenger train",$D47="Nearly full"),$E47*'NL '!D$41,AND($C47="Diesel passenger train",$D47="Almost empty"),$E47*'NL '!D$47,AND($C47="Diesel passenger train",$D47="Average"),$E47*'NL '!D$48,AND($C47="Diesel passenger train",$D47="Nearly full"),$E47*'NL '!D$49,AND($C47="Walking"),$E47*0,AND($C47="Bike"),$E47*0,AND($C47="Plane - domestic flight"),$E47*'NL '!$C71,AND($C47="Plane - international - intra EU"),$E47*'NL '!$C73,AND($C47="Plane - international (extra EU)"),$E47*'NL '!$C75)</f>
        <v>#N/A</v>
      </c>
      <c r="L47" s="238" t="s">
        <v>56</v>
      </c>
      <c r="M47" s="239"/>
      <c r="N47" s="240"/>
    </row>
    <row r="48" spans="1:14" ht="16" thickBot="1" x14ac:dyDescent="0.25">
      <c r="A48" s="222"/>
      <c r="B48" s="30"/>
      <c r="C48" s="15"/>
      <c r="D48" s="15"/>
      <c r="E48" s="125"/>
      <c r="F48" s="128" t="e" cm="1">
        <f t="array" ref="F48">_xlfn.IFS(AND($C48="Fuel car",$D48=1),$E48*'NL '!C$7,AND($C48="Fuel car",$D48=2),$E48*'NL '!C$8,AND($C48="Fuel car",$D48=3),$E48*'NL '!C$9,AND($C48="Fuel car",$D48=4),$E48*'NL '!C$10,AND($C48="Fuel car",$D48=5),$E48*'NL '!C$11,AND($C48="Motorcycle",$D48=1),$E48*'NL '!C$13,AND($C48="Motorcycle",$D48=2),$E48*'NL '!C$14,AND($C48="Electric car",$D48=1),$E48*'NL '!C$16,AND($C48="Electric car",$D48=2),$E48*'NL '!C$17,AND($C48="Electric car",$D48=3),$E48*'NL '!C$18,AND($C48="Electric car",$D48=4),$E48*'NL '!C$19,AND($C48="Electric car",$D48=5),$E48*'NL '!C$20,AND($C48="Hybrid car",$D48=1),$E48*'NL '!C$22,AND($C48="Hybrid car",$D48=2),$E48*'NL '!C$23,AND($C48="Hybrid car",$D48=3),$E48*'NL '!C$24,AND($C48="Hybrid car",$D48=4),$E48*'NL '!C$25,AND($C48="Hybrid car",$D48=5),$E48*'NL '!C$26,AND($C48="Electric motorcycle",$D48=1),$E48*'NL '!C$28,AND($C48="Electric motorcycle",$D48=2),$E48*'NL '!C$29,AND($C48="Electric bike",$D48=1),$E48*'NL '!C$31,AND($C48="Electric scooter",$D48=1),$E48*'NL '!C$33,AND($C48="Bus",$D48="Almost empty"),$E48*'NL '!H$23,AND($C48="Bus",$D48="Average"),$E48*'NL '!H$24,AND($C48="Bus",$D48="Nearly full"),$E48*'NL '!H$25,AND($C48="Electric bus",$D48="Almost empty"),$E48*'NL '!H$7,AND($C48="Electric bus",$D48="Average"),$E48*'NL '!H$8,AND($C48="Electric bus",$D48="Nearly full"),$E48*'NL '!H$9,AND($C48="Diesel bus",$D48="Almost empty"),$E48*'NL '!H$19,AND($C48="Diesel bus",$D48="Average"),$E48*'NL '!H$20,AND($C48="Diesel bus",$D48="Nearly full"),$E48*'NL '!H$21,AND($C48="Hybrid-electric bus",$D48="Almost empty"),$E48*'NL '!H$11,AND($C48="Hybrid-electric bus",$D48="Average"),$E48*'NL '!H$12,AND($C48="Hybrid-electric bus",$D48="Nearly full"),$E48*'NL '!H$13,AND($C48="Alternative fuel bus",$D48="Almost empty"),$E48*'NL '!H$15,AND($C48="Alternative fuel bus",$D48="Average"),$E48*'NL '!H$16,AND($C48="Alternative fuel bus",$D48="Nearly full"),$E48*'NL '!H$17,AND($C48="Metro, tram, urban light train",$D48="Almost empty"),$E48*'NL '!C$35,AND($C48="Metro, tram, urban light train",$D48="Average"),$E48*'NL '!C$36,AND($C48="Metro, tram, urban light train",$D48="Nearly full"),$E48*'NL '!C$37,AND($C48="Electric passenger train",$D48="Almost empty"),$E48*'NL '!C$39,AND($C48="Electric passenger train",$D48="Average"),$E48*'NL '!C$40,AND($C48="Electric passenger train",$D48="Nearly full"),$E48*'NL '!C$41,AND($C48="Diesel passenger train",$D48="Almost empty"),$E48*'NL '!C$47,AND($C48="Diesel passenger train",$D48="Average"),$E48*'NL '!C$48,AND($C48="Diesel passenger train",$D48="Nearly full"),$E48*'NL '!C$49,AND($C48="Walking"),$E48*0,AND($C48="Bike"),$E48*0,AND($C48="Plane - domestic flight"),$E48*'NL '!$C72,AND($C48="Plane - international - intra EU"),$E48*'NL '!$C74,AND($C48="Plane - international (extra EU)"),$E48*'NL '!$C76)</f>
        <v>#N/A</v>
      </c>
      <c r="G48" s="31" t="e" cm="1">
        <f t="array" ref="G48">_xlfn.IFS(AND($C48="Fuel car",$D48=1),$E48*'NL '!D$7,AND($C48="Fuel car",$D48=2),$E48*'NL '!D$8,AND($C48="Fuel car",$D48=3),$E48*'NL '!D$9,AND($C48="Fuel car",$D48=4),$E48*'NL '!D$10,AND($C48="Fuel car",$D48=5),$E48*'NL '!D$11,AND($C48="Motorcycle",$D48=1),$E48*'NL '!D$13,AND($C48="Motorcycle",$D48=2),$E48*'NL '!D$14,AND($C48="Electric car",$D48=1),$E48*'NL '!D$16,AND($C48="Electric car",$D48=2),$E48*'NL '!D$17,AND($C48="Electric car",$D48=3),$E48*'NL '!D$18,AND($C48="Electric car",$D48=4),$E48*'NL '!D$19,AND($C48="Electric car",$D48=5),$E48*'NL '!D$20,AND($C48="Hybrid car",$D48=1),$E48*'NL '!D$22,AND($C48="Hybrid car",$D48=2),$E48*'NL '!D$23,AND($C48="Hybrid car",$D48=3),$E48*'NL '!D$24,AND($C48="Hybrid car",$D48=4),$E48*'NL '!D$25,AND($C48="Hybrid car",$D48=5),$E48*'NL '!D$26,AND($C48="Electric motorcycle",$D48=1),$E48*'NL '!D$28,AND($C48="Electric motorcycle",$D48=2),$E48*'NL '!D$29,AND($C48="Electric bike",$D48=1),$E48*'NL '!D$31,AND($C48="Electric scooter",$D48=1),$E48*'NL '!D$33,AND($C48="Bus",$D48="Almost empty"),$E48*'NL '!I$23,AND($C48="Bus",$D48="Average"),$E48*'NL '!I$24,AND($C48="Bus",$D48="Nearly full"),$E48*'NL '!I$25,AND($C48="Electric bus",$D48="Almost empty"),$E48*'NL '!I$7,AND($C48="Electric bus",$D48="Average"),$E48*'NL '!I$8,AND($C48="Electric bus",$D48="Nearly full"),$E48*'NL '!I$9,AND($C48="Diesel bus",$D48="Almost empty"),$E48*'NL '!I$19,AND($C48="Diesel bus",$D48="Average"),$E48*'NL '!I$20,AND($C48="Diesel bus",$D48="Nearly full"),$E48*'NL '!I$21,AND($C48="Hybrid-electric bus",$D48="Almost empty"),$E48*'NL '!I$11,AND($C48="Hybrid-electric bus",$D48="Average"),$E48*'NL '!I$12,AND($C48="Hybrid-electric bus",$D48="Nearly full"),$E48*'NL '!I$13,AND($C48="Alternative fuel bus",$D48="Almost empty"),$E48*'NL '!I$15,AND($C48="Alternative fuel bus",$D48="Average"),$E48*'NL '!I$16,AND($C48="Alternative fuel bus",$D48="Nearly full"),$E48*'NL '!I$17,AND($C48="Metro, tram, urban light train",$D48="Almost empty"),$E48*'NL '!D$35,AND($C48="Metro, tram, urban light train",$D48="Average"),$E48*'NL '!D$36,AND($C48="Metro, tram, urban light train",$D48="Nearly full"),$E48*'NL '!D$37,AND($C48="Electric passenger train",$D48="Almost empty"),$E48*'NL '!D$39,AND($C48="Electric passenger train",$D48="Average"),$E48*'NL '!D$40,AND($C48="Electric passenger train",$D48="Nearly full"),$E48*'NL '!D$41,AND($C48="Diesel passenger train",$D48="Almost empty"),$E48*'NL '!D$47,AND($C48="Diesel passenger train",$D48="Average"),$E48*'NL '!D$48,AND($C48="Diesel passenger train",$D48="Nearly full"),$E48*'NL '!D$49,AND($C48="Walking"),$E48*0,AND($C48="Bike"),$E48*0,AND($C48="Plane - domestic flight"),$E48*'NL '!$C72,AND($C48="Plane - international - intra EU"),$E48*'NL '!$C74,AND($C48="Plane - international (extra EU)"),$E48*'NL '!$C76)</f>
        <v>#N/A</v>
      </c>
      <c r="H48" s="196" t="s">
        <v>67</v>
      </c>
      <c r="I48" s="197"/>
      <c r="L48" s="249"/>
      <c r="M48" s="250"/>
      <c r="N48" s="251"/>
    </row>
    <row r="49" spans="1:14" x14ac:dyDescent="0.2">
      <c r="A49" s="222"/>
      <c r="B49" s="30"/>
      <c r="C49" s="15"/>
      <c r="D49" s="15"/>
      <c r="E49" s="125"/>
      <c r="F49" s="128" t="e" cm="1">
        <f t="array" ref="F49">_xlfn.IFS(AND($C49="Fuel car",$D49=1),$E49*'NL '!C$7,AND($C49="Fuel car",$D49=2),$E49*'NL '!C$8,AND($C49="Fuel car",$D49=3),$E49*'NL '!C$9,AND($C49="Fuel car",$D49=4),$E49*'NL '!C$10,AND($C49="Fuel car",$D49=5),$E49*'NL '!C$11,AND($C49="Motorcycle",$D49=1),$E49*'NL '!C$13,AND($C49="Motorcycle",$D49=2),$E49*'NL '!C$14,AND($C49="Electric car",$D49=1),$E49*'NL '!C$16,AND($C49="Electric car",$D49=2),$E49*'NL '!C$17,AND($C49="Electric car",$D49=3),$E49*'NL '!C$18,AND($C49="Electric car",$D49=4),$E49*'NL '!C$19,AND($C49="Electric car",$D49=5),$E49*'NL '!C$20,AND($C49="Hybrid car",$D49=1),$E49*'NL '!C$22,AND($C49="Hybrid car",$D49=2),$E49*'NL '!C$23,AND($C49="Hybrid car",$D49=3),$E49*'NL '!C$24,AND($C49="Hybrid car",$D49=4),$E49*'NL '!C$25,AND($C49="Hybrid car",$D49=5),$E49*'NL '!C$26,AND($C49="Electric motorcycle",$D49=1),$E49*'NL '!C$28,AND($C49="Electric motorcycle",$D49=2),$E49*'NL '!C$29,AND($C49="Electric bike",$D49=1),$E49*'NL '!C$31,AND($C49="Electric scooter",$D49=1),$E49*'NL '!C$33,AND($C49="Bus",$D49="Almost empty"),$E49*'NL '!H$23,AND($C49="Bus",$D49="Average"),$E49*'NL '!H$24,AND($C49="Bus",$D49="Nearly full"),$E49*'NL '!H$25,AND($C49="Electric bus",$D49="Almost empty"),$E49*'NL '!H$7,AND($C49="Electric bus",$D49="Average"),$E49*'NL '!H$8,AND($C49="Electric bus",$D49="Nearly full"),$E49*'NL '!H$9,AND($C49="Diesel bus",$D49="Almost empty"),$E49*'NL '!H$19,AND($C49="Diesel bus",$D49="Average"),$E49*'NL '!H$20,AND($C49="Diesel bus",$D49="Nearly full"),$E49*'NL '!H$21,AND($C49="Hybrid-electric bus",$D49="Almost empty"),$E49*'NL '!H$11,AND($C49="Hybrid-electric bus",$D49="Average"),$E49*'NL '!H$12,AND($C49="Hybrid-electric bus",$D49="Nearly full"),$E49*'NL '!H$13,AND($C49="Alternative fuel bus",$D49="Almost empty"),$E49*'NL '!H$15,AND($C49="Alternative fuel bus",$D49="Average"),$E49*'NL '!H$16,AND($C49="Alternative fuel bus",$D49="Nearly full"),$E49*'NL '!H$17,AND($C49="Metro, tram, urban light train",$D49="Almost empty"),$E49*'NL '!C$35,AND($C49="Metro, tram, urban light train",$D49="Average"),$E49*'NL '!C$36,AND($C49="Metro, tram, urban light train",$D49="Nearly full"),$E49*'NL '!C$37,AND($C49="Electric passenger train",$D49="Almost empty"),$E49*'NL '!C$39,AND($C49="Electric passenger train",$D49="Average"),$E49*'NL '!C$40,AND($C49="Electric passenger train",$D49="Nearly full"),$E49*'NL '!C$41,AND($C49="Diesel passenger train",$D49="Almost empty"),$E49*'NL '!C$47,AND($C49="Diesel passenger train",$D49="Average"),$E49*'NL '!C$48,AND($C49="Diesel passenger train",$D49="Nearly full"),$E49*'NL '!C$49,AND($C49="Walking"),$E49*0,AND($C49="Bike"),$E49*0,AND($C49="Plane - domestic flight"),$E49*'NL '!$C73,AND($C49="Plane - international - intra EU"),$E49*'NL '!$C75,AND($C49="Plane - international (extra EU)"),$E49*'NL '!$C77)</f>
        <v>#N/A</v>
      </c>
      <c r="G49" s="31" t="e" cm="1">
        <f t="array" ref="G49">_xlfn.IFS(AND($C49="Fuel car",$D49=1),$E49*'NL '!D$7,AND($C49="Fuel car",$D49=2),$E49*'NL '!D$8,AND($C49="Fuel car",$D49=3),$E49*'NL '!D$9,AND($C49="Fuel car",$D49=4),$E49*'NL '!D$10,AND($C49="Fuel car",$D49=5),$E49*'NL '!D$11,AND($C49="Motorcycle",$D49=1),$E49*'NL '!D$13,AND($C49="Motorcycle",$D49=2),$E49*'NL '!D$14,AND($C49="Electric car",$D49=1),$E49*'NL '!D$16,AND($C49="Electric car",$D49=2),$E49*'NL '!D$17,AND($C49="Electric car",$D49=3),$E49*'NL '!D$18,AND($C49="Electric car",$D49=4),$E49*'NL '!D$19,AND($C49="Electric car",$D49=5),$E49*'NL '!D$20,AND($C49="Hybrid car",$D49=1),$E49*'NL '!D$22,AND($C49="Hybrid car",$D49=2),$E49*'NL '!D$23,AND($C49="Hybrid car",$D49=3),$E49*'NL '!D$24,AND($C49="Hybrid car",$D49=4),$E49*'NL '!D$25,AND($C49="Hybrid car",$D49=5),$E49*'NL '!D$26,AND($C49="Electric motorcycle",$D49=1),$E49*'NL '!D$28,AND($C49="Electric motorcycle",$D49=2),$E49*'NL '!D$29,AND($C49="Electric bike",$D49=1),$E49*'NL '!D$31,AND($C49="Electric scooter",$D49=1),$E49*'NL '!D$33,AND($C49="Bus",$D49="Almost empty"),$E49*'NL '!I$23,AND($C49="Bus",$D49="Average"),$E49*'NL '!I$24,AND($C49="Bus",$D49="Nearly full"),$E49*'NL '!I$25,AND($C49="Electric bus",$D49="Almost empty"),$E49*'NL '!I$7,AND($C49="Electric bus",$D49="Average"),$E49*'NL '!I$8,AND($C49="Electric bus",$D49="Nearly full"),$E49*'NL '!I$9,AND($C49="Diesel bus",$D49="Almost empty"),$E49*'NL '!I$19,AND($C49="Diesel bus",$D49="Average"),$E49*'NL '!I$20,AND($C49="Diesel bus",$D49="Nearly full"),$E49*'NL '!I$21,AND($C49="Hybrid-electric bus",$D49="Almost empty"),$E49*'NL '!I$11,AND($C49="Hybrid-electric bus",$D49="Average"),$E49*'NL '!I$12,AND($C49="Hybrid-electric bus",$D49="Nearly full"),$E49*'NL '!I$13,AND($C49="Alternative fuel bus",$D49="Almost empty"),$E49*'NL '!I$15,AND($C49="Alternative fuel bus",$D49="Average"),$E49*'NL '!I$16,AND($C49="Alternative fuel bus",$D49="Nearly full"),$E49*'NL '!I$17,AND($C49="Metro, tram, urban light train",$D49="Almost empty"),$E49*'NL '!D$35,AND($C49="Metro, tram, urban light train",$D49="Average"),$E49*'NL '!D$36,AND($C49="Metro, tram, urban light train",$D49="Nearly full"),$E49*'NL '!D$37,AND($C49="Electric passenger train",$D49="Almost empty"),$E49*'NL '!D$39,AND($C49="Electric passenger train",$D49="Average"),$E49*'NL '!D$40,AND($C49="Electric passenger train",$D49="Nearly full"),$E49*'NL '!D$41,AND($C49="Diesel passenger train",$D49="Almost empty"),$E49*'NL '!D$47,AND($C49="Diesel passenger train",$D49="Average"),$E49*'NL '!D$48,AND($C49="Diesel passenger train",$D49="Nearly full"),$E49*'NL '!D$49,AND($C49="Walking"),$E49*0,AND($C49="Bike"),$E49*0,AND($C49="Plane - domestic flight"),$E49*'NL '!$C73,AND($C49="Plane - international - intra EU"),$E49*'NL '!$C75,AND($C49="Plane - international (extra EU)"),$E49*'NL '!$C77)</f>
        <v>#N/A</v>
      </c>
      <c r="H49" s="244" t="s">
        <v>74</v>
      </c>
      <c r="I49" s="141"/>
      <c r="L49" s="252"/>
      <c r="M49" s="253"/>
      <c r="N49" s="254"/>
    </row>
    <row r="50" spans="1:14" ht="16" thickBot="1" x14ac:dyDescent="0.25">
      <c r="A50" s="222"/>
      <c r="B50" s="51"/>
      <c r="C50" s="15"/>
      <c r="D50" s="15"/>
      <c r="E50" s="126"/>
      <c r="F50" s="128" t="e" cm="1">
        <f t="array" ref="F50">_xlfn.IFS(AND($C50="Fuel car",$D50=1),$E50*'NL '!C$7,AND($C50="Fuel car",$D50=2),$E50*'NL '!C$8,AND($C50="Fuel car",$D50=3),$E50*'NL '!C$9,AND($C50="Fuel car",$D50=4),$E50*'NL '!C$10,AND($C50="Fuel car",$D50=5),$E50*'NL '!C$11,AND($C50="Motorcycle",$D50=1),$E50*'NL '!C$13,AND($C50="Motorcycle",$D50=2),$E50*'NL '!C$14,AND($C50="Electric car",$D50=1),$E50*'NL '!C$16,AND($C50="Electric car",$D50=2),$E50*'NL '!C$17,AND($C50="Electric car",$D50=3),$E50*'NL '!C$18,AND($C50="Electric car",$D50=4),$E50*'NL '!C$19,AND($C50="Electric car",$D50=5),$E50*'NL '!C$20,AND($C50="Hybrid car",$D50=1),$E50*'NL '!C$22,AND($C50="Hybrid car",$D50=2),$E50*'NL '!C$23,AND($C50="Hybrid car",$D50=3),$E50*'NL '!C$24,AND($C50="Hybrid car",$D50=4),$E50*'NL '!C$25,AND($C50="Hybrid car",$D50=5),$E50*'NL '!C$26,AND($C50="Electric motorcycle",$D50=1),$E50*'NL '!C$28,AND($C50="Electric motorcycle",$D50=2),$E50*'NL '!C$29,AND($C50="Electric bike",$D50=1),$E50*'NL '!C$31,AND($C50="Electric scooter",$D50=1),$E50*'NL '!C$33,AND($C50="Bus",$D50="Almost empty"),$E50*'NL '!H$23,AND($C50="Bus",$D50="Average"),$E50*'NL '!H$24,AND($C50="Bus",$D50="Nearly full"),$E50*'NL '!H$25,AND($C50="Electric bus",$D50="Almost empty"),$E50*'NL '!H$7,AND($C50="Electric bus",$D50="Average"),$E50*'NL '!H$8,AND($C50="Electric bus",$D50="Nearly full"),$E50*'NL '!H$9,AND($C50="Diesel bus",$D50="Almost empty"),$E50*'NL '!H$19,AND($C50="Diesel bus",$D50="Average"),$E50*'NL '!H$20,AND($C50="Diesel bus",$D50="Nearly full"),$E50*'NL '!H$21,AND($C50="Hybrid-electric bus",$D50="Almost empty"),$E50*'NL '!H$11,AND($C50="Hybrid-electric bus",$D50="Average"),$E50*'NL '!H$12,AND($C50="Hybrid-electric bus",$D50="Nearly full"),$E50*'NL '!H$13,AND($C50="Alternative fuel bus",$D50="Almost empty"),$E50*'NL '!H$15,AND($C50="Alternative fuel bus",$D50="Average"),$E50*'NL '!H$16,AND($C50="Alternative fuel bus",$D50="Nearly full"),$E50*'NL '!H$17,AND($C50="Metro, tram, urban light train",$D50="Almost empty"),$E50*'NL '!C$35,AND($C50="Metro, tram, urban light train",$D50="Average"),$E50*'NL '!C$36,AND($C50="Metro, tram, urban light train",$D50="Nearly full"),$E50*'NL '!C$37,AND($C50="Electric passenger train",$D50="Almost empty"),$E50*'NL '!C$39,AND($C50="Electric passenger train",$D50="Average"),$E50*'NL '!C$40,AND($C50="Electric passenger train",$D50="Nearly full"),$E50*'NL '!C$41,AND($C50="Diesel passenger train",$D50="Almost empty"),$E50*'NL '!C$47,AND($C50="Diesel passenger train",$D50="Average"),$E50*'NL '!C$48,AND($C50="Diesel passenger train",$D50="Nearly full"),$E50*'NL '!C$49,AND($C50="Walking"),$E50*0,AND($C50="Bike"),$E50*0,AND($C50="Plane - domestic flight"),$E50*'NL '!$C74,AND($C50="Plane - international - intra EU"),$E50*'NL '!$C76,AND($C50="Plane - international (extra EU)"),$E50*'NL '!$C78)</f>
        <v>#N/A</v>
      </c>
      <c r="G50" s="31" t="e" cm="1">
        <f t="array" ref="G50">_xlfn.IFS(AND($C50="Fuel car",$D50=1),$E50*'NL '!D$7,AND($C50="Fuel car",$D50=2),$E50*'NL '!D$8,AND($C50="Fuel car",$D50=3),$E50*'NL '!D$9,AND($C50="Fuel car",$D50=4),$E50*'NL '!D$10,AND($C50="Fuel car",$D50=5),$E50*'NL '!D$11,AND($C50="Motorcycle",$D50=1),$E50*'NL '!D$13,AND($C50="Motorcycle",$D50=2),$E50*'NL '!D$14,AND($C50="Electric car",$D50=1),$E50*'NL '!D$16,AND($C50="Electric car",$D50=2),$E50*'NL '!D$17,AND($C50="Electric car",$D50=3),$E50*'NL '!D$18,AND($C50="Electric car",$D50=4),$E50*'NL '!D$19,AND($C50="Electric car",$D50=5),$E50*'NL '!D$20,AND($C50="Hybrid car",$D50=1),$E50*'NL '!D$22,AND($C50="Hybrid car",$D50=2),$E50*'NL '!D$23,AND($C50="Hybrid car",$D50=3),$E50*'NL '!D$24,AND($C50="Hybrid car",$D50=4),$E50*'NL '!D$25,AND($C50="Hybrid car",$D50=5),$E50*'NL '!D$26,AND($C50="Electric motorcycle",$D50=1),$E50*'NL '!D$28,AND($C50="Electric motorcycle",$D50=2),$E50*'NL '!D$29,AND($C50="Electric bike",$D50=1),$E50*'NL '!D$31,AND($C50="Electric scooter",$D50=1),$E50*'NL '!D$33,AND($C50="Bus",$D50="Almost empty"),$E50*'NL '!I$23,AND($C50="Bus",$D50="Average"),$E50*'NL '!I$24,AND($C50="Bus",$D50="Nearly full"),$E50*'NL '!I$25,AND($C50="Electric bus",$D50="Almost empty"),$E50*'NL '!I$7,AND($C50="Electric bus",$D50="Average"),$E50*'NL '!I$8,AND($C50="Electric bus",$D50="Nearly full"),$E50*'NL '!I$9,AND($C50="Diesel bus",$D50="Almost empty"),$E50*'NL '!I$19,AND($C50="Diesel bus",$D50="Average"),$E50*'NL '!I$20,AND($C50="Diesel bus",$D50="Nearly full"),$E50*'NL '!I$21,AND($C50="Hybrid-electric bus",$D50="Almost empty"),$E50*'NL '!I$11,AND($C50="Hybrid-electric bus",$D50="Average"),$E50*'NL '!I$12,AND($C50="Hybrid-electric bus",$D50="Nearly full"),$E50*'NL '!I$13,AND($C50="Alternative fuel bus",$D50="Almost empty"),$E50*'NL '!I$15,AND($C50="Alternative fuel bus",$D50="Average"),$E50*'NL '!I$16,AND($C50="Alternative fuel bus",$D50="Nearly full"),$E50*'NL '!I$17,AND($C50="Metro, tram, urban light train",$D50="Almost empty"),$E50*'NL '!D$35,AND($C50="Metro, tram, urban light train",$D50="Average"),$E50*'NL '!D$36,AND($C50="Metro, tram, urban light train",$D50="Nearly full"),$E50*'NL '!D$37,AND($C50="Electric passenger train",$D50="Almost empty"),$E50*'NL '!D$39,AND($C50="Electric passenger train",$D50="Average"),$E50*'NL '!D$40,AND($C50="Electric passenger train",$D50="Nearly full"),$E50*'NL '!D$41,AND($C50="Diesel passenger train",$D50="Almost empty"),$E50*'NL '!D$47,AND($C50="Diesel passenger train",$D50="Average"),$E50*'NL '!D$48,AND($C50="Diesel passenger train",$D50="Nearly full"),$E50*'NL '!D$49,AND($C50="Walking"),$E50*0,AND($C50="Bike"),$E50*0,AND($C50="Plane - domestic flight"),$E50*'NL '!$C74,AND($C50="Plane - international - intra EU"),$E50*'NL '!$C76,AND($C50="Plane - international (extra EU)"),$E50*'NL '!$C78)</f>
        <v>#N/A</v>
      </c>
      <c r="H50" s="245"/>
      <c r="I50" s="142"/>
      <c r="L50" s="252"/>
      <c r="M50" s="253"/>
      <c r="N50" s="254"/>
    </row>
    <row r="51" spans="1:14" ht="33" thickBot="1" x14ac:dyDescent="0.25">
      <c r="A51" s="222"/>
      <c r="B51" s="53"/>
      <c r="C51" s="32"/>
      <c r="D51" s="34"/>
      <c r="E51" s="113"/>
      <c r="F51" s="129" t="e" cm="1">
        <f t="array" ref="F51">_xlfn.IFS(AND($C51="Fuel car",$D51=1),$E51*'NL '!C$7,AND($C51="Fuel car",$D51=2),$E51*'NL '!C$8,AND($C51="Fuel car",$D51=3),$E51*'NL '!C$9,AND($C51="Fuel car",$D51=4),$E51*'NL '!C$10,AND($C51="Fuel car",$D51=5),$E51*'NL '!C$11,AND($C51="Motorcycle",$D51=1),$E51*'NL '!C$13,AND($C51="Motorcycle",$D51=2),$E51*'NL '!C$14,AND($C51="Electric car",$D51=1),$E51*'NL '!C$16,AND($C51="Electric car",$D51=2),$E51*'NL '!C$17,AND($C51="Electric car",$D51=3),$E51*'NL '!C$18,AND($C51="Electric car",$D51=4),$E51*'NL '!C$19,AND($C51="Electric car",$D51=5),$E51*'NL '!C$20,AND($C51="Hybrid car",$D51=1),$E51*'NL '!C$22,AND($C51="Hybrid car",$D51=2),$E51*'NL '!C$23,AND($C51="Hybrid car",$D51=3),$E51*'NL '!C$24,AND($C51="Hybrid car",$D51=4),$E51*'NL '!C$25,AND($C51="Hybrid car",$D51=5),$E51*'NL '!C$26,AND($C51="Electric motorcycle",$D51=1),$E51*'NL '!C$28,AND($C51="Electric motorcycle",$D51=2),$E51*'NL '!C$29,AND($C51="Electric bike",$D51=1),$E51*'NL '!C$31,AND($C51="Electric scooter",$D51=1),$E51*'NL '!C$33,AND($C51="Bus",$D51="Almost empty"),$E51*'NL '!H$23,AND($C51="Bus",$D51="Average"),$E51*'NL '!H$24,AND($C51="Bus",$D51="Nearly full"),$E51*'NL '!H$25,AND($C51="Electric bus",$D51="Almost empty"),$E51*'NL '!H$7,AND($C51="Electric bus",$D51="Average"),$E51*'NL '!H$8,AND($C51="Electric bus",$D51="Nearly full"),$E51*'NL '!H$9,AND($C51="Diesel bus",$D51="Almost empty"),$E51*'NL '!H$19,AND($C51="Diesel bus",$D51="Average"),$E51*'NL '!H$20,AND($C51="Diesel bus",$D51="Nearly full"),$E51*'NL '!H$21,AND($C51="Hybrid-electric bus",$D51="Almost empty"),$E51*'NL '!H$11,AND($C51="Hybrid-electric bus",$D51="Average"),$E51*'NL '!H$12,AND($C51="Hybrid-electric bus",$D51="Nearly full"),$E51*'NL '!H$13,AND($C51="Alternative fuel bus",$D51="Almost empty"),$E51*'NL '!H$15,AND($C51="Alternative fuel bus",$D51="Average"),$E51*'NL '!H$16,AND($C51="Alternative fuel bus",$D51="Nearly full"),$E51*'NL '!H$17,AND($C51="Metro, tram, urban light train",$D51="Almost empty"),$E51*'NL '!C$35,AND($C51="Metro, tram, urban light train",$D51="Average"),$E51*'NL '!C$36,AND($C51="Metro, tram, urban light train",$D51="Nearly full"),$E51*'NL '!C$37,AND($C51="Electric passenger train",$D51="Almost empty"),$E51*'NL '!C$39,AND($C51="Electric passenger train",$D51="Average"),$E51*'NL '!C$40,AND($C51="Electric passenger train",$D51="Nearly full"),$E51*'NL '!C$41,AND($C51="Diesel passenger train",$D51="Almost empty"),$E51*'NL '!C$47,AND($C51="Diesel passenger train",$D51="Average"),$E51*'NL '!C$48,AND($C51="Diesel passenger train",$D51="Nearly full"),$E51*'NL '!C$49,AND($C51="Walking"),$E51*0,AND($C51="Bike"),$E51*0,AND($C51="Plane - domestic flight"),$E51*'NL '!$C75,AND($C51="Plane - international - intra EU"),$E51*'NL '!$C77,AND($C51="Plane - international (extra EU)"),$E51*'NL '!$C79)</f>
        <v>#N/A</v>
      </c>
      <c r="G51" s="35" t="e" cm="1">
        <f t="array" ref="G51">_xlfn.IFS(AND($C51="Fuel car",$D51=1),$E51*'NL '!D$7,AND($C51="Fuel car",$D51=2),$E51*'NL '!D$8,AND($C51="Fuel car",$D51=3),$E51*'NL '!D$9,AND($C51="Fuel car",$D51=4),$E51*'NL '!D$10,AND($C51="Fuel car",$D51=5),$E51*'NL '!D$11,AND($C51="Motorcycle",$D51=1),$E51*'NL '!D$13,AND($C51="Motorcycle",$D51=2),$E51*'NL '!D$14,AND($C51="Electric car",$D51=1),$E51*'NL '!D$16,AND($C51="Electric car",$D51=2),$E51*'NL '!D$17,AND($C51="Electric car",$D51=3),$E51*'NL '!D$18,AND($C51="Electric car",$D51=4),$E51*'NL '!D$19,AND($C51="Electric car",$D51=5),$E51*'NL '!D$20,AND($C51="Hybrid car",$D51=1),$E51*'NL '!D$22,AND($C51="Hybrid car",$D51=2),$E51*'NL '!D$23,AND($C51="Hybrid car",$D51=3),$E51*'NL '!D$24,AND($C51="Hybrid car",$D51=4),$E51*'NL '!D$25,AND($C51="Hybrid car",$D51=5),$E51*'NL '!D$26,AND($C51="Electric motorcycle",$D51=1),$E51*'NL '!D$28,AND($C51="Electric motorcycle",$D51=2),$E51*'NL '!D$29,AND($C51="Electric bike",$D51=1),$E51*'NL '!D$31,AND($C51="Electric scooter",$D51=1),$E51*'NL '!D$33,AND($C51="Bus",$D51="Almost empty"),$E51*'NL '!I$23,AND($C51="Bus",$D51="Average"),$E51*'NL '!I$24,AND($C51="Bus",$D51="Nearly full"),$E51*'NL '!I$25,AND($C51="Electric bus",$D51="Almost empty"),$E51*'NL '!I$7,AND($C51="Electric bus",$D51="Average"),$E51*'NL '!I$8,AND($C51="Electric bus",$D51="Nearly full"),$E51*'NL '!I$9,AND($C51="Diesel bus",$D51="Almost empty"),$E51*'NL '!I$19,AND($C51="Diesel bus",$D51="Average"),$E51*'NL '!I$20,AND($C51="Diesel bus",$D51="Nearly full"),$E51*'NL '!I$21,AND($C51="Hybrid-electric bus",$D51="Almost empty"),$E51*'NL '!I$11,AND($C51="Hybrid-electric bus",$D51="Average"),$E51*'NL '!I$12,AND($C51="Hybrid-electric bus",$D51="Nearly full"),$E51*'NL '!I$13,AND($C51="Alternative fuel bus",$D51="Almost empty"),$E51*'NL '!I$15,AND($C51="Alternative fuel bus",$D51="Average"),$E51*'NL '!I$16,AND($C51="Alternative fuel bus",$D51="Nearly full"),$E51*'NL '!I$17,AND($C51="Metro, tram, urban light train",$D51="Almost empty"),$E51*'NL '!D$35,AND($C51="Metro, tram, urban light train",$D51="Average"),$E51*'NL '!D$36,AND($C51="Metro, tram, urban light train",$D51="Nearly full"),$E51*'NL '!D$37,AND($C51="Electric passenger train",$D51="Almost empty"),$E51*'NL '!D$39,AND($C51="Electric passenger train",$D51="Average"),$E51*'NL '!D$40,AND($C51="Electric passenger train",$D51="Nearly full"),$E51*'NL '!D$41,AND($C51="Diesel passenger train",$D51="Almost empty"),$E51*'NL '!D$47,AND($C51="Diesel passenger train",$D51="Average"),$E51*'NL '!D$48,AND($C51="Diesel passenger train",$D51="Nearly full"),$E51*'NL '!D$49,AND($C51="Walking"),$E51*0,AND($C51="Bike"),$E51*0,AND($C51="Plane - domestic flight"),$E51*'NL '!$C75,AND($C51="Plane - international - intra EU"),$E51*'NL '!$C77,AND($C51="Plane - international (extra EU)"),$E51*'NL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_xlfn.IFS(AND(D57&lt;='NL '!L4),"A+",AND(D57&lt;='NL '!M4,D57&gt;'NL '!L4),"A",AND(D57&lt;='NL '!N4,D57&gt;'NL '!M4),"B",AND(D57&lt;='NL '!O4,D57&gt;'NL '!N4),"C",AND(D57&lt;='NL '!P4,D57&gt;'NL '!O4),"D",AND(D57&lt;='NL '!Q4,D57&gt;'NL '!P4),"E",AND(D57&lt;='NL '!R4,D57&gt;'NL '!Q4),"F",AND(D57&gt;'NL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_xlfn.IFS(D58="#","#",AND(D58&lt;='NL '!L5),"A+",AND(D58&lt;='NL '!M5,D58&gt;'NL '!L5),"A",AND(D58&lt;='NL '!N5,D58&gt;'NL '!M5),"B",AND(D58&lt;='NL '!O5,D58&gt;'NL '!N5),"C",AND(D58&lt;='NL '!P5,D58&gt;'NL '!O5),"D",AND(D58&lt;='NL '!Q5,D58&gt;'NL '!P5),"E",AND(D58&lt;='NL '!R5,D58&gt;'NL '!Q5),"F",AND(D58&gt;'NL '!R5),"G")</f>
        <v>#</v>
      </c>
    </row>
    <row r="59" spans="1:14" ht="32" x14ac:dyDescent="0.2">
      <c r="A59" s="262"/>
      <c r="B59" s="264"/>
      <c r="C59" s="21" t="s">
        <v>88</v>
      </c>
      <c r="D59" s="47" t="e">
        <f>IF(ISNUMBER(D58), D57 + D58, D57)</f>
        <v>#DIV/0!</v>
      </c>
      <c r="E59" s="277"/>
      <c r="G59" s="264"/>
      <c r="H59" t="s">
        <v>88</v>
      </c>
      <c r="I59" s="56" t="e" cm="1">
        <f t="array" ref="I59">_xlfn.IFS(AND(D59&lt;='NL '!L6),"A+",AND(D59&lt;='NL '!M6,D59&gt;'NL '!L6),"A",AND(D59&lt;='NL '!N6,D59&gt;'NL '!M6),"B",AND(D59&lt;='NL '!O6,D59&gt;'NL '!N6),"C",AND(D59&lt;='NL '!P6,D59&gt;'NL '!O6),"D",AND(D59&lt;='NL '!Q6,D59&gt;'NL '!P6),"E",AND(D59&lt;='NL '!R6,D59&gt;'NL '!Q6),"F",AND(D59&gt;'NL '!R6),"G")</f>
        <v>#DIV/0!</v>
      </c>
    </row>
    <row r="60" spans="1:14" ht="16" x14ac:dyDescent="0.2">
      <c r="A60" s="262"/>
      <c r="B60" s="264"/>
      <c r="C60" s="21" t="s">
        <v>89</v>
      </c>
      <c r="D60" s="99">
        <f>I30</f>
        <v>0</v>
      </c>
      <c r="E60" s="277"/>
      <c r="G60" s="264"/>
      <c r="H60" t="s">
        <v>89</v>
      </c>
      <c r="I60" s="56" t="str" cm="1">
        <f t="array" ref="I60">_xlfn.IFS(AND(D60&lt;='NL '!L7),"A+",AND(D60&lt;='NL '!M7,D60&gt;'NL '!L7),"A",AND(D60&lt;='NL '!N7,D60&gt;'NL '!M7),"B",AND(D60&lt;='NL '!O7,D60&gt;'NL '!N7),"C",AND(D60&lt;='NL '!P7,D60&gt;'NL '!O7),"D",AND(D60&lt;='NL '!Q7,D60&gt;'NL '!P7),"E",AND(D60&lt;='NL '!R7,D60&gt;'NL '!Q7),"F",AND(D60&gt;'NL '!R7),"G")</f>
        <v>A+</v>
      </c>
    </row>
    <row r="61" spans="1:14" ht="16" thickBot="1" x14ac:dyDescent="0.25">
      <c r="A61" s="262"/>
      <c r="B61" s="265"/>
      <c r="C61" s="16" t="s">
        <v>57</v>
      </c>
      <c r="D61" s="58" t="e">
        <f>SUM(D59:D60)</f>
        <v>#DIV/0!</v>
      </c>
      <c r="E61" s="261"/>
      <c r="G61" s="265"/>
      <c r="H61" s="16" t="s">
        <v>57</v>
      </c>
      <c r="I61" s="1" t="e" cm="1">
        <f t="array" ref="I61">_xlfn.IFS(AND(D61&lt;='NL '!L8),"A+",AND(D61&lt;='NL '!M8,D61&gt;'NL '!L8),"A",AND(D61&lt;='NL '!N8,D61&gt;'NL '!M8),"B",AND(D61&lt;='NL '!O8,D61&gt;'NL '!N8),"C",AND(D61&lt;='NL '!P8,D61&gt;'NL '!O8),"D",AND(D61&lt;='NL '!Q8,D61&gt;'NL '!P8),"E",AND(D61&lt;='NL '!R8,D61&gt;'NL '!Q8),"F",AND(D61&gt;'NL '!R8),"G")</f>
        <v>#DIV/0!</v>
      </c>
    </row>
    <row r="62" spans="1:14" ht="32" x14ac:dyDescent="0.2">
      <c r="A62" s="262"/>
      <c r="B62" s="263" t="s">
        <v>90</v>
      </c>
      <c r="C62" s="57" t="s">
        <v>85</v>
      </c>
      <c r="D62" s="100" t="e">
        <f>I16</f>
        <v>#DIV/0!</v>
      </c>
      <c r="E62" s="266" t="s">
        <v>91</v>
      </c>
      <c r="G62" s="263" t="s">
        <v>90</v>
      </c>
      <c r="H62" s="46" t="s">
        <v>85</v>
      </c>
      <c r="I62" s="55" t="e" cm="1">
        <f t="array" ref="I62">_xlfn.IFS(AND(D62&lt;='NL '!L9),"A+",AND(D62&lt;='NL '!M9,D62&gt;'NL '!L9),"A",AND(D62&lt;='NL '!N9,D62&gt;'NL '!M9),"B",AND(D62&lt;='NL '!O9,D62&gt;'NL '!N9),"C",AND(D62&lt;='NL '!P9,D62&gt;'NL '!O9),"D",AND(D62&lt;='NL '!Q9,D62&gt;'NL '!P9),"E",AND(D62&lt;='NL '!R9,D62&gt;'NL '!Q9),"F",AND(D62&gt;'NL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_xlfn.IFS(D63="#","#",AND(D63&lt;='NL '!L10),"A+",AND(D63&lt;='NL '!M10,D63&gt;'NL '!L10),"A",AND(D63&lt;='NL '!N10,D63&gt;'NL '!M10),"B",AND(D63&lt;='NL '!O10,D63&gt;'NL '!N10),"C",AND(D63&lt;='NL '!P10,D63&gt;'NL '!O10),"D",AND(D63&lt;='NL '!Q10,D63&gt;'NL '!P10),"E",AND(D63&lt;='NL '!R10,D63&gt;'NL '!Q10),"F",AND(D63&gt;'NL '!R10),"G")</f>
        <v>#</v>
      </c>
    </row>
    <row r="64" spans="1:14" ht="32" x14ac:dyDescent="0.2">
      <c r="A64" s="262"/>
      <c r="B64" s="264"/>
      <c r="C64" s="21" t="s">
        <v>92</v>
      </c>
      <c r="D64" s="47" t="e">
        <f>IF(ISNUMBER(D63), D62 + D63, D62)</f>
        <v>#DIV/0!</v>
      </c>
      <c r="E64" s="202"/>
      <c r="G64" s="264"/>
      <c r="H64" t="s">
        <v>92</v>
      </c>
      <c r="I64" s="56" t="e" cm="1">
        <f t="array" ref="I64">_xlfn.IFS(AND(D64&lt;='NL '!L11),"A+",AND(D64&lt;='NL '!M11,D64&gt;'NL '!L11),"A",AND(D64&lt;='NL '!N11,D64&gt;'NL '!M11),"B",AND(D64&lt;='NL '!O11,D64&gt;'NL '!N11),"C",AND(D64&lt;='NL '!P11,D64&gt;'NL '!O11),"D",AND(D64&lt;='NL '!Q11,D64&gt;'NL '!P11),"E",AND(D64&lt;='NL '!R11,D64&gt;'NL '!Q11),"F",AND(D64&gt;'NL '!R11),"G")</f>
        <v>#DIV/0!</v>
      </c>
    </row>
    <row r="65" spans="1:9" x14ac:dyDescent="0.2">
      <c r="A65" s="262"/>
      <c r="B65" s="264"/>
      <c r="C65" t="s">
        <v>89</v>
      </c>
      <c r="D65" s="99">
        <f>I31</f>
        <v>0</v>
      </c>
      <c r="E65" s="202"/>
      <c r="G65" s="264"/>
      <c r="H65" t="s">
        <v>89</v>
      </c>
      <c r="I65" s="56" t="str" cm="1">
        <f t="array" ref="I65">_xlfn.IFS(AND(D65&lt;='NL '!L12),"A+",AND(D65&lt;='NL '!M12,D65&gt;'NL '!L12),"A",AND(D65&lt;='NL '!N12,D65&gt;'NL '!M12),"B",AND(D65&lt;='NL '!O12,D65&gt;'NL '!N12),"C",AND(D65&lt;='NL '!P12,D65&gt;'NL '!O12),"D",AND(D65&lt;='NL '!Q12,D65&gt;'NL '!P12),"E",AND(D65&lt;='NL '!R12,D65&gt;'NL '!Q12),"F",AND(D65&gt;'NL '!R12),"G")</f>
        <v>A+</v>
      </c>
    </row>
    <row r="66" spans="1:9" ht="16" thickBot="1" x14ac:dyDescent="0.25">
      <c r="A66" s="262"/>
      <c r="B66" s="265"/>
      <c r="C66" s="16" t="s">
        <v>57</v>
      </c>
      <c r="D66" s="16" t="e">
        <f>SUM(D64:D65)</f>
        <v>#DIV/0!</v>
      </c>
      <c r="E66" s="267"/>
      <c r="G66" s="265"/>
      <c r="H66" s="16" t="s">
        <v>57</v>
      </c>
      <c r="I66" s="1" t="e" cm="1">
        <f t="array" ref="I66">_xlfn.IFS(AND(D66&lt;='NL '!L13),"A+",AND(D66&lt;='NL '!M13,D66&gt;'NL '!L13),"A",AND(D66&lt;='NL '!N13,D66&gt;'NL '!M13),"B",AND(D66&lt;='NL '!O13,D66&gt;'NL '!N13),"C",AND(D66&lt;='NL '!P13,D66&gt;'NL '!O13),"D",AND(D66&lt;='NL '!Q13,D66&gt;'NL '!P13),"E",AND(D66&lt;='NL '!R13,D66&gt;'NL '!Q13),"F",AND(D66&gt;'NL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13" priority="7" operator="equal">
      <formula>"A+"</formula>
    </cfRule>
    <cfRule type="containsText" dxfId="212" priority="8" operator="containsText" text="A">
      <formula>NOT(ISERROR(SEARCH("A",I57)))</formula>
    </cfRule>
    <cfRule type="containsText" dxfId="211" priority="9" operator="containsText" text="B">
      <formula>NOT(ISERROR(SEARCH("B",I57)))</formula>
    </cfRule>
    <cfRule type="containsText" dxfId="210" priority="10" operator="containsText" text="C">
      <formula>NOT(ISERROR(SEARCH("C",I57)))</formula>
    </cfRule>
    <cfRule type="containsText" dxfId="209" priority="11" operator="containsText" text="D">
      <formula>NOT(ISERROR(SEARCH("D",I57)))</formula>
    </cfRule>
    <cfRule type="containsText" dxfId="208" priority="12" operator="containsText" text="E">
      <formula>NOT(ISERROR(SEARCH("E",I57)))</formula>
    </cfRule>
    <cfRule type="containsText" dxfId="207" priority="13" operator="containsText" text="F">
      <formula>NOT(ISERROR(SEARCH("F",I57)))</formula>
    </cfRule>
    <cfRule type="containsText" dxfId="206" priority="14" operator="containsText" text="G">
      <formula>NOT(ISERROR(SEARCH("G",I57)))</formula>
    </cfRule>
  </conditionalFormatting>
  <conditionalFormatting sqref="K5:K15">
    <cfRule type="expression" dxfId="41" priority="2" stopIfTrue="1">
      <formula>$O$19="No"</formula>
    </cfRule>
  </conditionalFormatting>
  <conditionalFormatting sqref="L5:L15">
    <cfRule type="expression" dxfId="4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D3DF3745-1816-464E-ABDB-634DDC0AEE7B}">
      <formula1>AND(Q19="Yes", ISNUMBER(L5))</formula1>
    </dataValidation>
    <dataValidation type="custom" operator="lessThan" allowBlank="1" showErrorMessage="1" errorTitle="Error" error="You can only enter values if you have selected HOME PV. The value must be a number." sqref="K5:K15" xr:uid="{1F16CEAB-4FA3-D64F-B41E-1F742A2CE6F9}">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09CDD53-0987-4D75-B2C6-7E856D955598}">
          <x14:formula1>
            <xm:f>DATA!$J$3:$J$10</xm:f>
          </x14:formula1>
          <xm:sqref>D29:D51</xm:sqref>
        </x14:dataValidation>
        <x14:dataValidation type="list" allowBlank="1" showInputMessage="1" showErrorMessage="1" xr:uid="{BDCA066C-03EC-B848-B345-40A2DA87642B}">
          <x14:formula1>
            <xm:f>DATA!$B$15:$B$23</xm:f>
          </x14:formula1>
          <xm:sqref>J2</xm:sqref>
        </x14:dataValidation>
        <x14:dataValidation type="list" allowBlank="1" showInputMessage="1" showErrorMessage="1" xr:uid="{22BC471A-472F-40DF-A802-153B86ACF6BE}">
          <x14:formula1>
            <xm:f>DATA!$H$3:$H$23</xm:f>
          </x14:formula1>
          <xm:sqref>C29:C51</xm:sqref>
        </x14:dataValidation>
        <x14:dataValidation type="list" allowBlank="1" showInputMessage="1" showErrorMessage="1" xr:uid="{302D4980-3B14-B945-9B1C-5A6D5D166456}">
          <x14:formula1>
            <xm:f>DATA!$B$3:$B$13</xm:f>
          </x14:formula1>
          <xm:sqref>H2</xm:sqref>
        </x14:dataValidation>
        <x14:dataValidation type="list" allowBlank="1" showInputMessage="1" showErrorMessage="1" xr:uid="{FA28C541-80D1-4548-BA99-C339183DA91D}">
          <x14:formula1>
            <xm:f>DATA!$L$4:$L$5</xm:f>
          </x14:formula1>
          <xm:sqref>O18:O19 Q19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0158-37B9-4D15-8FFC-B69D494D0FA7}">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7.6640625" customWidth="1"/>
    <col min="5" max="5" width="17.1640625" customWidth="1"/>
    <col min="6" max="6" width="16.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113</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IF($O$18="Yes",(E5/$F$2)*DATA!$C$9,(E5/$F$2)*DATA!F$24)+IF(ISBLANK(K5),0,K5/$F$2)*DATA!$C$9-IF(ISBLANK(L5),0,L5/$F$2)*DATA!F$24</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IF($O$18="Yes",(E6/$F$2)*DATA!$C$9,(E6/$F$2)*DATA!F$24)+IF(ISBLANK(K6),0,K6/$F$2)*DATA!$C$9-IF(ISBLANK(L6),0,L6/$F$2)*DATA!F$24</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IF($O$18="Yes",(E7/$F$2)*DATA!$C$9,(E7/$F$2)*DATA!F$24)+IF(ISBLANK(K7),0,K7/$F$2)*DATA!$C$9-IF(ISBLANK(L7),0,L7/$F$2)*DATA!F$24</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IF($O$18="Yes",(E8/$F$2)*DATA!$C$9,(E8/$F$2)*DATA!F$24)+IF(ISBLANK(K8),0,K8/$F$2)*DATA!$C$9-IF(ISBLANK(L8),0,L8/$F$2)*DATA!F$24</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IF($O$18="Yes",(E9/$F$2)*DATA!$C$9,(E9/$F$2)*DATA!F$24)+IF(ISBLANK(K9),0,K9/$F$2)*DATA!$C$9-IF(ISBLANK(L9),0,L9/$F$2)*DATA!F$24</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IF($O$18="Yes",(E10/$F$2)*DATA!$C$9,(E10/$F$2)*DATA!F$24)+IF(ISBLANK(K10),0,K10/$F$2)*DATA!$C$9-IF(ISBLANK(L10),0,L10/$F$2)*DATA!F$24</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IF($O$18="Yes",(E11/$F$2)*DATA!$C$9,(E11/$F$2)*DATA!F$24)+IF(ISBLANK(K11),0,K11/$F$2)*DATA!$C$9-IF(ISBLANK(L11),0,L11/$F$2)*DATA!F$24</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IF($O$18="Yes",(E12/$F$2)*DATA!$C$9,(E12/$F$2)*DATA!F$24)+IF(ISBLANK(K12),0,K12/$F$2)*DATA!$C$9-IF(ISBLANK(L12),0,L12/$F$2)*DATA!F$24</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IF($O$18="Yes",(E13/$F$2)*DATA!$C$9,(E13/$F$2)*DATA!F$24)+IF(ISBLANK(K13),0,K13/$F$2)*DATA!$C$9-IF(ISBLANK(L13),0,L13/$F$2)*DATA!F$24</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IF($O$18="Yes",(E14/$F$2)*DATA!$C$9,(E14/$F$2)*DATA!F$24)+IF(ISBLANK(K14),0,K14/$F$2)*DATA!$C$9-IF(ISBLANK(L14),0,L14/$F$2)*DATA!F$24</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IF($O$18="Yes",(E15/$F$2)*DATA!$C$9,(E15/$F$2)*DATA!F$24)+IF(ISBLANK(K15),0,K15/$F$2)*DATA!$C$9-IF(ISBLANK(L15),0,L15/$F$2)*DATA!F$24</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car",$D29=1),$E29*'PL '!C$7,AND($C29="Fuel car",$D29=2),$E29*'PL '!C$8,AND($C29="Fuel car",$D29=3),$E29*'PL '!C$9,AND($C29="Fuel car",$D29=4),$E29*'PL '!C$10,AND($C29="Fuel car",$D29=5),$E29*'PL '!C$11,AND($C29="Motorcycle",$D29=1),$E29*'PL '!C$13,AND($C29="Motorcycle",$D29=2),$E29*'PL '!C$14,AND($C29="Electric car",$D29=1),$E29*'PL '!C$16,AND($C29="Electric car",$D29=2),$E29*'PL '!C$17,AND($C29="Electric car",$D29=3),$E29*'PL '!C$18,AND($C29="Electric car",$D29=4),$E29*'PL '!C$19,AND($C29="Electric car",$D29=5),$E29*'PL '!C$20,AND($C29="Hybrid car",$D29=1),$E29*'PL '!C$22,AND($C29="Hybrid car",$D29=2),$E29*'PL '!C$23,AND($C29="Hybrid car",$D29=3),$E29*'PL '!C$24,AND($C29="Hybrid car",$D29=4),$E29*'PL '!C$25,AND($C29="Hybrid car",$D29=5),$E29*'PL '!C$26,AND($C29="Electric motorcycle",$D29=1),$E29*'PL '!C$28,AND($C29="Electric motorcycle",$D29=2),$E29*'PL '!C$29,AND($C29="Electric bike",$D29=1),$E29*'PL '!C$31,AND($C29="Electric scooter",$D29=1),$E29*'PL '!C$33,AND($C29="Bus",$D29="Almost empty"),$E29*'PL '!H$23,AND($C29="Bus",$D29="Average"),$E29*'PL '!H$24,AND($C29="Bus",$D29="Nearly full"),$E29*'PL '!H$25,AND($C29="Electric bus",$D29="Almost empty"),$E29*'PL '!H$7,AND($C29="Electric bus",$D29="Average"),$E29*'PL '!H$8,AND($C29="Electric bus",$D29="Nearly full"),$E29*'PL '!H$9,AND($C29="Diesel bus",$D29="Almost empty"),$E29*'PL '!H$19,AND($C29="Diesel bus",$D29="Average"),$E29*'PL '!H$20,AND($C29="Diesel bus",$D29="Nearly full"),$E29*'PL '!H$21,AND($C29="Hybrid-electric bus",$D29="Almost empty"),$E29*'PL '!H$11,AND($C29="Hybrid-electric bus",$D29="Average"),$E29*'PL '!H$12,AND($C29="Hybrid-electric bus",$D29="Nearly full"),$E29*'PL '!H$13,AND($C29="Alternative fuel bus",$D29="Almost empty"),$E29*'PL '!H$15,AND($C29="Alternative fuel bus",$D29="Average"),$E29*'PL '!H$16,AND($C29="Alternative fuel bus",$D29="Nearly full"),$E29*'PL '!H$17,AND($C29="Metro, tram, urban light train",$D29="Almost empty"),$E29*'PL '!C$35,AND($C29="Metro, tram, urban light train",$D29="Average"),$E29*'PL '!C$36,AND($C29="Metro, tram, urban light train",$D29="Nearly full"),$E29*'PL '!C$37,AND($C29="Electric passenger train",$D29="Almost empty"),$E29*'PL '!C$39,AND($C29="Electric passenger train",$D29="Average"),$E29*'PL '!C$40,AND($C29="Electric passenger train",$D29="Nearly full"),$E29*'PL '!C$41,AND($C29="Diesel passenger train",$D29="Almost empty"),$E29*'PL '!C$47,AND($C29="Diesel passenger train",$D29="Average"),$E29*'PL '!C$48,AND($C29="Diesel passenger train",$D29="Nearly full"),$E29*'PL '!C$49,AND($C29="Walking"),$E29*0,AND($C29="Bike"),$E29*0,AND($C29="Plane - domestic flight"),$E29*'PL '!$C53,AND($C29="Plane - international - intra EU"),$E29*'PL '!$C55,AND($C29="Plane - international (extra EU)"),$E29*'PL '!$C57)</f>
        <v>#N/A</v>
      </c>
      <c r="G29" s="104" t="e" cm="1">
        <f t="array" ref="G29">_xlfn.IFS(AND($C29="Fuel car",$D29=1),$E29*'PL '!D$7,AND($C29="Fuel car",$D29=2),$E29*'PL '!D$8,AND($C29="Fuel car",$D29=3),$E29*'PL '!D$9,AND($C29="Fuel car",$D29=4),$E29*'PL '!D$10,AND($C29="Fuel car",$D29=5),$E29*'PL '!D$11,AND($C29="Motorcycle",$D29=1),$E29*'PL '!D$13,AND($C29="Motorcycle",$D29=2),$E29*'PL '!D$14,AND($C29="Electric car",$D29=1),$E29*'PL '!D$16,AND($C29="Electric car",$D29=2),$E29*'PL '!D$17,AND($C29="Electric car",$D29=3),$E29*'PL '!D$18,AND($C29="Electric car",$D29=4),$E29*'PL '!D$19,AND($C29="Electric car",$D29=5),$E29*'PL '!D$20,AND($C29="Hybrid car",$D29=1),$E29*'PL '!D$22,AND($C29="Hybrid car",$D29=2),$E29*'PL '!D$23,AND($C29="Hybrid car",$D29=3),$E29*'PL '!D$24,AND($C29="Hybrid car",$D29=4),$E29*'PL '!D$25,AND($C29="Hybrid car",$D29=5),$E29*'PL '!D$26,AND($C29="Electric motorcycle",$D29=1),$E29*'PL '!D$28,AND($C29="Electric motorcycle",$D29=2),$E29*'PL '!D$29,AND($C29="Electric bike",$D29=1),$E29*'PL '!D$31,AND($C29="Electric scooter",$D29=1),$E29*'PL '!D$33,AND($C29="Bus",$D29="Almost empty"),$E29*'PL '!I$23,AND($C29="Bus",$D29="Average"),$E29*'PL '!I$24,AND($C29="Bus",$D29="Nearly full"),$E29*'PL '!I$25,AND($C29="Electric bus",$D29="Almost empty"),$E29*'PL '!I$7,AND($C29="Electric bus",$D29="Average"),$E29*'PL '!I$8,AND($C29="Electric bus",$D29="Nearly full"),$E29*'PL '!I$9,AND($C29="Diesel bus",$D29="Almost empty"),$E29*'PL '!I$19,AND($C29="Diesel bus",$D29="Average"),$E29*'PL '!I$20,AND($C29="Diesel bus",$D29="Nearly full"),$E29*'PL '!I$21,AND($C29="Hybrid-electric bus",$D29="Almost empty"),$E29*'PL '!I$11,AND($C29="Hybrid-electric bus",$D29="Average"),$E29*'PL '!I$12,AND($C29="Hybrid-electric bus",$D29="Nearly full"),$E29*'PL '!I$13,AND($C29="Alternative fuel bus",$D29="Almost empty"),$E29*'PL '!I$15,AND($C29="Alternative fuel bus",$D29="Average"),$E29*'PL '!I$16,AND($C29="Alternative fuel bus",$D29="Nearly full"),$E29*'PL '!I$17,AND($C29="Metro, tram, urban light train",$D29="Almost empty"),$E29*'PL '!D$35,AND($C29="Metro, tram, urban light train",$D29="Average"),$E29*'PL '!D$36,AND($C29="Metro, tram, urban light train",$D29="Nearly full"),$E29*'PL '!D$37,AND($C29="Electric passenger train",$D29="Almost empty"),$E29*'PL '!D$39,AND($C29="Electric passenger train",$D29="Average"),$E29*'PL '!D$40,AND($C29="Electric passenger train",$D29="Nearly full"),$E29*'PL '!D$41,AND($C29="Diesel passenger train",$D29="Almost empty"),$E29*'PL '!D$47,AND($C29="Diesel passenger train",$D29="Average"),$E29*'PL '!D$48,AND($C29="Diesel passenger train",$D29="Nearly full"),$E29*'PL '!D$49,AND($C29="Walking"),$E29*0,AND($C29="Bike"),$E29*0,AND($C29="Plane - domestic flight"),$E29*'PL '!$C53,AND($C29="Plane - international - intra EU"),$E29*'PL '!$C55,AND($C29="Plane - international (extra EU)"),$E29*'PL '!$C57)</f>
        <v>#N/A</v>
      </c>
      <c r="H29" s="151"/>
      <c r="I29" s="152">
        <f>H29/10*E29</f>
        <v>0</v>
      </c>
      <c r="J29" s="146" t="e" cm="1">
        <f t="array" ref="J29">_xlfn.IFS(C29="Fuel car",C29*DATA!$C$17,C29="Electric car",C29*DATA!$F$24,C29="Hybrid car",I29*(0.5*DATA!$C$17+0.5*DATA!$F$24))</f>
        <v>#N/A</v>
      </c>
      <c r="L29" s="218"/>
      <c r="M29" s="219"/>
      <c r="N29" s="220"/>
    </row>
    <row r="30" spans="1:17" ht="32" customHeight="1" x14ac:dyDescent="0.2">
      <c r="A30" s="222"/>
      <c r="B30" s="30"/>
      <c r="C30" s="15"/>
      <c r="D30" s="15"/>
      <c r="E30" s="125"/>
      <c r="F30" s="128" t="e" cm="1">
        <f t="array" ref="F30">_xlfn.IFS(AND($C30="Fuel car",$D30=1),$E30*'PL '!C$7,AND($C30="Fuel car",$D30=2),$E30*'PL '!C$8,AND($C30="Fuel car",$D30=3),$E30*'PL '!C$9,AND($C30="Fuel car",$D30=4),$E30*'PL '!C$10,AND($C30="Fuel car",$D30=5),$E30*'PL '!C$11,AND($C30="Motorcycle",$D30=1),$E30*'PL '!C$13,AND($C30="Motorcycle",$D30=2),$E30*'PL '!C$14,AND($C30="Electric car",$D30=1),$E30*'PL '!C$16,AND($C30="Electric car",$D30=2),$E30*'PL '!C$17,AND($C30="Electric car",$D30=3),$E30*'PL '!C$18,AND($C30="Electric car",$D30=4),$E30*'PL '!C$19,AND($C30="Electric car",$D30=5),$E30*'PL '!C$20,AND($C30="Hybrid car",$D30=1),$E30*'PL '!C$22,AND($C30="Hybrid car",$D30=2),$E30*'PL '!C$23,AND($C30="Hybrid car",$D30=3),$E30*'PL '!C$24,AND($C30="Hybrid car",$D30=4),$E30*'PL '!C$25,AND($C30="Hybrid car",$D30=5),$E30*'PL '!C$26,AND($C30="Electric motorcycle",$D30=1),$E30*'PL '!C$28,AND($C30="Electric motorcycle",$D30=2),$E30*'PL '!C$29,AND($C30="Electric bike",$D30=1),$E30*'PL '!C$31,AND($C30="Electric scooter",$D30=1),$E30*'PL '!C$33,AND($C30="Bus",$D30="Almost empty"),$E30*'PL '!H$23,AND($C30="Bus",$D30="Average"),$E30*'PL '!H$24,AND($C30="Bus",$D30="Nearly full"),$E30*'PL '!H$25,AND($C30="Electric bus",$D30="Almost empty"),$E30*'PL '!H$7,AND($C30="Electric bus",$D30="Average"),$E30*'PL '!H$8,AND($C30="Electric bus",$D30="Nearly full"),$E30*'PL '!H$9,AND($C30="Diesel bus",$D30="Almost empty"),$E30*'PL '!H$19,AND($C30="Diesel bus",$D30="Average"),$E30*'PL '!H$20,AND($C30="Diesel bus",$D30="Nearly full"),$E30*'PL '!H$21,AND($C30="Hybrid-electric bus",$D30="Almost empty"),$E30*'PL '!H$11,AND($C30="Hybrid-electric bus",$D30="Average"),$E30*'PL '!H$12,AND($C30="Hybrid-electric bus",$D30="Nearly full"),$E30*'PL '!H$13,AND($C30="Alternative fuel bus",$D30="Almost empty"),$E30*'PL '!H$15,AND($C30="Alternative fuel bus",$D30="Average"),$E30*'PL '!H$16,AND($C30="Alternative fuel bus",$D30="Nearly full"),$E30*'PL '!H$17,AND($C30="Metro, tram, urban light train",$D30="Almost empty"),$E30*'PL '!C$35,AND($C30="Metro, tram, urban light train",$D30="Average"),$E30*'PL '!C$36,AND($C30="Metro, tram, urban light train",$D30="Nearly full"),$E30*'PL '!C$37,AND($C30="Electric passenger train",$D30="Almost empty"),$E30*'PL '!C$39,AND($C30="Electric passenger train",$D30="Average"),$E30*'PL '!C$40,AND($C30="Electric passenger train",$D30="Nearly full"),$E30*'PL '!C$41,AND($C30="Diesel passenger train",$D30="Almost empty"),$E30*'PL '!C$47,AND($C30="Diesel passenger train",$D30="Average"),$E30*'PL '!C$48,AND($C30="Diesel passenger train",$D30="Nearly full"),$E30*'PL '!C$49,AND($C30="Walking"),$E30*0,AND($C30="Bike"),$E30*0,AND($C30="Plane - domestic flight"),$E30*'PL '!$C54,AND($C30="Plane - international - intra EU"),$E30*'PL '!$C56,AND($C30="Plane - international (extra EU)"),$E30*'PL '!$C58)</f>
        <v>#N/A</v>
      </c>
      <c r="G30" s="31" t="e" cm="1">
        <f t="array" ref="G30">_xlfn.IFS(AND($C30="Fuel car",$D30=1),$E30*'PL '!D$7,AND($C30="Fuel car",$D30=2),$E30*'PL '!D$8,AND($C30="Fuel car",$D30=3),$E30*'PL '!D$9,AND($C30="Fuel car",$D30=4),$E30*'PL '!D$10,AND($C30="Fuel car",$D30=5),$E30*'PL '!D$11,AND($C30="Motorcycle",$D30=1),$E30*'PL '!D$13,AND($C30="Motorcycle",$D30=2),$E30*'PL '!D$14,AND($C30="Electric car",$D30=1),$E30*'PL '!D$16,AND($C30="Electric car",$D30=2),$E30*'PL '!D$17,AND($C30="Electric car",$D30=3),$E30*'PL '!D$18,AND($C30="Electric car",$D30=4),$E30*'PL '!D$19,AND($C30="Electric car",$D30=5),$E30*'PL '!D$20,AND($C30="Hybrid car",$D30=1),$E30*'PL '!D$22,AND($C30="Hybrid car",$D30=2),$E30*'PL '!D$23,AND($C30="Hybrid car",$D30=3),$E30*'PL '!D$24,AND($C30="Hybrid car",$D30=4),$E30*'PL '!D$25,AND($C30="Hybrid car",$D30=5),$E30*'PL '!D$26,AND($C30="Electric motorcycle",$D30=1),$E30*'PL '!D$28,AND($C30="Electric motorcycle",$D30=2),$E30*'PL '!D$29,AND($C30="Electric bike",$D30=1),$E30*'PL '!D$31,AND($C30="Electric scooter",$D30=1),$E30*'PL '!D$33,AND($C30="Bus",$D30="Almost empty"),$E30*'PL '!I$23,AND($C30="Bus",$D30="Average"),$E30*'PL '!I$24,AND($C30="Bus",$D30="Nearly full"),$E30*'PL '!I$25,AND($C30="Electric bus",$D30="Almost empty"),$E30*'PL '!I$7,AND($C30="Electric bus",$D30="Average"),$E30*'PL '!I$8,AND($C30="Electric bus",$D30="Nearly full"),$E30*'PL '!I$9,AND($C30="Diesel bus",$D30="Almost empty"),$E30*'PL '!I$19,AND($C30="Diesel bus",$D30="Average"),$E30*'PL '!I$20,AND($C30="Diesel bus",$D30="Nearly full"),$E30*'PL '!I$21,AND($C30="Hybrid-electric bus",$D30="Almost empty"),$E30*'PL '!I$11,AND($C30="Hybrid-electric bus",$D30="Average"),$E30*'PL '!I$12,AND($C30="Hybrid-electric bus",$D30="Nearly full"),$E30*'PL '!I$13,AND($C30="Alternative fuel bus",$D30="Almost empty"),$E30*'PL '!I$15,AND($C30="Alternative fuel bus",$D30="Average"),$E30*'PL '!I$16,AND($C30="Alternative fuel bus",$D30="Nearly full"),$E30*'PL '!I$17,AND($C30="Metro, tram, urban light train",$D30="Almost empty"),$E30*'PL '!D$35,AND($C30="Metro, tram, urban light train",$D30="Average"),$E30*'PL '!D$36,AND($C30="Metro, tram, urban light train",$D30="Nearly full"),$E30*'PL '!D$37,AND($C30="Electric passenger train",$D30="Almost empty"),$E30*'PL '!D$39,AND($C30="Electric passenger train",$D30="Average"),$E30*'PL '!D$40,AND($C30="Electric passenger train",$D30="Nearly full"),$E30*'PL '!D$41,AND($C30="Diesel passenger train",$D30="Almost empty"),$E30*'PL '!D$47,AND($C30="Diesel passenger train",$D30="Average"),$E30*'PL '!D$48,AND($C30="Diesel passenger train",$D30="Nearly full"),$E30*'PL '!D$49,AND($C30="Walking"),$E30*0,AND($C30="Bike"),$E30*0,AND($C30="Plane - domestic flight"),$E30*'PL '!$C54,AND($C30="Plane - international - intra EU"),$E30*'PL '!$C56,AND($C30="Plane - international (extra EU)"),$E30*'PL '!$C58)</f>
        <v>#N/A</v>
      </c>
      <c r="H30" s="145"/>
      <c r="I30" s="148">
        <f t="shared" ref="I30:I43" si="6">H30/10*E30</f>
        <v>0</v>
      </c>
      <c r="J30" s="146" t="e" cm="1">
        <f t="array" ref="J30">_xlfn.IFS(C30="Fuel car",C30*DATA!$C$17,C30="Electric car",C30*DATA!$F$24,C30="Hybrid car",I30*(0.5*DATA!$C$17+0.5*DATA!$F$24))</f>
        <v>#N/A</v>
      </c>
      <c r="L30" s="215" t="s">
        <v>76</v>
      </c>
      <c r="M30" s="216"/>
      <c r="N30" s="217"/>
    </row>
    <row r="31" spans="1:17" x14ac:dyDescent="0.2">
      <c r="A31" s="222"/>
      <c r="B31" s="30"/>
      <c r="C31" s="15"/>
      <c r="D31" s="15"/>
      <c r="E31" s="125"/>
      <c r="F31" s="128" t="e" cm="1">
        <f t="array" ref="F31">_xlfn.IFS(AND($C31="Fuel car",$D31=1),$E31*'PL '!C$7,AND($C31="Fuel car",$D31=2),$E31*'PL '!C$8,AND($C31="Fuel car",$D31=3),$E31*'PL '!C$9,AND($C31="Fuel car",$D31=4),$E31*'PL '!C$10,AND($C31="Fuel car",$D31=5),$E31*'PL '!C$11,AND($C31="Motorcycle",$D31=1),$E31*'PL '!C$13,AND($C31="Motorcycle",$D31=2),$E31*'PL '!C$14,AND($C31="Electric car",$D31=1),$E31*'PL '!C$16,AND($C31="Electric car",$D31=2),$E31*'PL '!C$17,AND($C31="Electric car",$D31=3),$E31*'PL '!C$18,AND($C31="Electric car",$D31=4),$E31*'PL '!C$19,AND($C31="Electric car",$D31=5),$E31*'PL '!C$20,AND($C31="Hybrid car",$D31=1),$E31*'PL '!C$22,AND($C31="Hybrid car",$D31=2),$E31*'PL '!C$23,AND($C31="Hybrid car",$D31=3),$E31*'PL '!C$24,AND($C31="Hybrid car",$D31=4),$E31*'PL '!C$25,AND($C31="Hybrid car",$D31=5),$E31*'PL '!C$26,AND($C31="Electric motorcycle",$D31=1),$E31*'PL '!C$28,AND($C31="Electric motorcycle",$D31=2),$E31*'PL '!C$29,AND($C31="Electric bike",$D31=1),$E31*'PL '!C$31,AND($C31="Electric scooter",$D31=1),$E31*'PL '!C$33,AND($C31="Bus",$D31="Almost empty"),$E31*'PL '!H$23,AND($C31="Bus",$D31="Average"),$E31*'PL '!H$24,AND($C31="Bus",$D31="Nearly full"),$E31*'PL '!H$25,AND($C31="Electric bus",$D31="Almost empty"),$E31*'PL '!H$7,AND($C31="Electric bus",$D31="Average"),$E31*'PL '!H$8,AND($C31="Electric bus",$D31="Nearly full"),$E31*'PL '!H$9,AND($C31="Diesel bus",$D31="Almost empty"),$E31*'PL '!H$19,AND($C31="Diesel bus",$D31="Average"),$E31*'PL '!H$20,AND($C31="Diesel bus",$D31="Nearly full"),$E31*'PL '!H$21,AND($C31="Hybrid-electric bus",$D31="Almost empty"),$E31*'PL '!H$11,AND($C31="Hybrid-electric bus",$D31="Average"),$E31*'PL '!H$12,AND($C31="Hybrid-electric bus",$D31="Nearly full"),$E31*'PL '!H$13,AND($C31="Alternative fuel bus",$D31="Almost empty"),$E31*'PL '!H$15,AND($C31="Alternative fuel bus",$D31="Average"),$E31*'PL '!H$16,AND($C31="Alternative fuel bus",$D31="Nearly full"),$E31*'PL '!H$17,AND($C31="Metro, tram, urban light train",$D31="Almost empty"),$E31*'PL '!C$35,AND($C31="Metro, tram, urban light train",$D31="Average"),$E31*'PL '!C$36,AND($C31="Metro, tram, urban light train",$D31="Nearly full"),$E31*'PL '!C$37,AND($C31="Electric passenger train",$D31="Almost empty"),$E31*'PL '!C$39,AND($C31="Electric passenger train",$D31="Average"),$E31*'PL '!C$40,AND($C31="Electric passenger train",$D31="Nearly full"),$E31*'PL '!C$41,AND($C31="Diesel passenger train",$D31="Almost empty"),$E31*'PL '!C$47,AND($C31="Diesel passenger train",$D31="Average"),$E31*'PL '!C$48,AND($C31="Diesel passenger train",$D31="Nearly full"),$E31*'PL '!C$49,AND($C31="Walking"),$E31*0,AND($C31="Bike"),$E31*0,AND($C31="Plane - domestic flight"),$E31*'PL '!$C55,AND($C31="Plane - international - intra EU"),$E31*'PL '!$C57,AND($C31="Plane - international (extra EU)"),$E31*'PL '!$C59)</f>
        <v>#N/A</v>
      </c>
      <c r="G31" s="31" t="e" cm="1">
        <f t="array" ref="G31">_xlfn.IFS(AND($C31="Fuel car",$D31=1),$E31*'PL '!D$7,AND($C31="Fuel car",$D31=2),$E31*'PL '!D$8,AND($C31="Fuel car",$D31=3),$E31*'PL '!D$9,AND($C31="Fuel car",$D31=4),$E31*'PL '!D$10,AND($C31="Fuel car",$D31=5),$E31*'PL '!D$11,AND($C31="Motorcycle",$D31=1),$E31*'PL '!D$13,AND($C31="Motorcycle",$D31=2),$E31*'PL '!D$14,AND($C31="Electric car",$D31=1),$E31*'PL '!D$16,AND($C31="Electric car",$D31=2),$E31*'PL '!D$17,AND($C31="Electric car",$D31=3),$E31*'PL '!D$18,AND($C31="Electric car",$D31=4),$E31*'PL '!D$19,AND($C31="Electric car",$D31=5),$E31*'PL '!D$20,AND($C31="Hybrid car",$D31=1),$E31*'PL '!D$22,AND($C31="Hybrid car",$D31=2),$E31*'PL '!D$23,AND($C31="Hybrid car",$D31=3),$E31*'PL '!D$24,AND($C31="Hybrid car",$D31=4),$E31*'PL '!D$25,AND($C31="Hybrid car",$D31=5),$E31*'PL '!D$26,AND($C31="Electric motorcycle",$D31=1),$E31*'PL '!D$28,AND($C31="Electric motorcycle",$D31=2),$E31*'PL '!D$29,AND($C31="Electric bike",$D31=1),$E31*'PL '!D$31,AND($C31="Electric scooter",$D31=1),$E31*'PL '!D$33,AND($C31="Bus",$D31="Almost empty"),$E31*'PL '!I$23,AND($C31="Bus",$D31="Average"),$E31*'PL '!I$24,AND($C31="Bus",$D31="Nearly full"),$E31*'PL '!I$25,AND($C31="Electric bus",$D31="Almost empty"),$E31*'PL '!I$7,AND($C31="Electric bus",$D31="Average"),$E31*'PL '!I$8,AND($C31="Electric bus",$D31="Nearly full"),$E31*'PL '!I$9,AND($C31="Diesel bus",$D31="Almost empty"),$E31*'PL '!I$19,AND($C31="Diesel bus",$D31="Average"),$E31*'PL '!I$20,AND($C31="Diesel bus",$D31="Nearly full"),$E31*'PL '!I$21,AND($C31="Hybrid-electric bus",$D31="Almost empty"),$E31*'PL '!I$11,AND($C31="Hybrid-electric bus",$D31="Average"),$E31*'PL '!I$12,AND($C31="Hybrid-electric bus",$D31="Nearly full"),$E31*'PL '!I$13,AND($C31="Alternative fuel bus",$D31="Almost empty"),$E31*'PL '!I$15,AND($C31="Alternative fuel bus",$D31="Average"),$E31*'PL '!I$16,AND($C31="Alternative fuel bus",$D31="Nearly full"),$E31*'PL '!I$17,AND($C31="Metro, tram, urban light train",$D31="Almost empty"),$E31*'PL '!D$35,AND($C31="Metro, tram, urban light train",$D31="Average"),$E31*'PL '!D$36,AND($C31="Metro, tram, urban light train",$D31="Nearly full"),$E31*'PL '!D$37,AND($C31="Electric passenger train",$D31="Almost empty"),$E31*'PL '!D$39,AND($C31="Electric passenger train",$D31="Average"),$E31*'PL '!D$40,AND($C31="Electric passenger train",$D31="Nearly full"),$E31*'PL '!D$41,AND($C31="Diesel passenger train",$D31="Almost empty"),$E31*'PL '!D$47,AND($C31="Diesel passenger train",$D31="Average"),$E31*'PL '!D$48,AND($C31="Diesel passenger train",$D31="Nearly full"),$E31*'PL '!D$49,AND($C31="Walking"),$E31*0,AND($C31="Bike"),$E31*0,AND($C31="Plane - domestic flight"),$E31*'PL '!$C55,AND($C31="Plane - international - intra EU"),$E31*'PL '!$C57,AND($C31="Plane - international (extra EU)"),$E31*'PL '!$C59)</f>
        <v>#N/A</v>
      </c>
      <c r="H31" s="145"/>
      <c r="I31" s="148">
        <f t="shared" si="6"/>
        <v>0</v>
      </c>
      <c r="J31" s="146" t="e" cm="1">
        <f t="array" ref="J31">_xlfn.IFS(C31="Fuel car",C31*DATA!$C$17,C31="Electric car",C31*DATA!$F$24,C31="Hybrid car",I31*(0.5*DATA!$C$17+0.5*DATA!$F$24))</f>
        <v>#N/A</v>
      </c>
      <c r="L31" s="223"/>
      <c r="M31" s="224"/>
      <c r="N31" s="225"/>
    </row>
    <row r="32" spans="1:17" ht="16" thickBot="1" x14ac:dyDescent="0.25">
      <c r="A32" s="222"/>
      <c r="B32" s="30"/>
      <c r="C32" s="15"/>
      <c r="D32" s="15"/>
      <c r="E32" s="125"/>
      <c r="F32" s="128" t="e" cm="1">
        <f t="array" ref="F32">_xlfn.IFS(AND($C32="Fuel car",$D32=1),$E32*'PL '!C$7,AND($C32="Fuel car",$D32=2),$E32*'PL '!C$8,AND($C32="Fuel car",$D32=3),$E32*'PL '!C$9,AND($C32="Fuel car",$D32=4),$E32*'PL '!C$10,AND($C32="Fuel car",$D32=5),$E32*'PL '!C$11,AND($C32="Motorcycle",$D32=1),$E32*'PL '!C$13,AND($C32="Motorcycle",$D32=2),$E32*'PL '!C$14,AND($C32="Electric car",$D32=1),$E32*'PL '!C$16,AND($C32="Electric car",$D32=2),$E32*'PL '!C$17,AND($C32="Electric car",$D32=3),$E32*'PL '!C$18,AND($C32="Electric car",$D32=4),$E32*'PL '!C$19,AND($C32="Electric car",$D32=5),$E32*'PL '!C$20,AND($C32="Hybrid car",$D32=1),$E32*'PL '!C$22,AND($C32="Hybrid car",$D32=2),$E32*'PL '!C$23,AND($C32="Hybrid car",$D32=3),$E32*'PL '!C$24,AND($C32="Hybrid car",$D32=4),$E32*'PL '!C$25,AND($C32="Hybrid car",$D32=5),$E32*'PL '!C$26,AND($C32="Electric motorcycle",$D32=1),$E32*'PL '!C$28,AND($C32="Electric motorcycle",$D32=2),$E32*'PL '!C$29,AND($C32="Electric bike",$D32=1),$E32*'PL '!C$31,AND($C32="Electric scooter",$D32=1),$E32*'PL '!C$33,AND($C32="Bus",$D32="Almost empty"),$E32*'PL '!H$23,AND($C32="Bus",$D32="Average"),$E32*'PL '!H$24,AND($C32="Bus",$D32="Nearly full"),$E32*'PL '!H$25,AND($C32="Electric bus",$D32="Almost empty"),$E32*'PL '!H$7,AND($C32="Electric bus",$D32="Average"),$E32*'PL '!H$8,AND($C32="Electric bus",$D32="Nearly full"),$E32*'PL '!H$9,AND($C32="Diesel bus",$D32="Almost empty"),$E32*'PL '!H$19,AND($C32="Diesel bus",$D32="Average"),$E32*'PL '!H$20,AND($C32="Diesel bus",$D32="Nearly full"),$E32*'PL '!H$21,AND($C32="Hybrid-electric bus",$D32="Almost empty"),$E32*'PL '!H$11,AND($C32="Hybrid-electric bus",$D32="Average"),$E32*'PL '!H$12,AND($C32="Hybrid-electric bus",$D32="Nearly full"),$E32*'PL '!H$13,AND($C32="Alternative fuel bus",$D32="Almost empty"),$E32*'PL '!H$15,AND($C32="Alternative fuel bus",$D32="Average"),$E32*'PL '!H$16,AND($C32="Alternative fuel bus",$D32="Nearly full"),$E32*'PL '!H$17,AND($C32="Metro, tram, urban light train",$D32="Almost empty"),$E32*'PL '!C$35,AND($C32="Metro, tram, urban light train",$D32="Average"),$E32*'PL '!C$36,AND($C32="Metro, tram, urban light train",$D32="Nearly full"),$E32*'PL '!C$37,AND($C32="Electric passenger train",$D32="Almost empty"),$E32*'PL '!C$39,AND($C32="Electric passenger train",$D32="Average"),$E32*'PL '!C$40,AND($C32="Electric passenger train",$D32="Nearly full"),$E32*'PL '!C$41,AND($C32="Diesel passenger train",$D32="Almost empty"),$E32*'PL '!C$47,AND($C32="Diesel passenger train",$D32="Average"),$E32*'PL '!C$48,AND($C32="Diesel passenger train",$D32="Nearly full"),$E32*'PL '!C$49,AND($C32="Walking"),$E32*0,AND($C32="Bike"),$E32*0,AND($C32="Plane - domestic flight"),$E32*'PL '!$C56,AND($C32="Plane - international - intra EU"),$E32*'PL '!$C58,AND($C32="Plane - international (extra EU)"),$E32*'PL '!$C60)</f>
        <v>#N/A</v>
      </c>
      <c r="G32" s="31" t="e" cm="1">
        <f t="array" ref="G32">_xlfn.IFS(AND($C32="Fuel car",$D32=1),$E32*'PL '!D$7,AND($C32="Fuel car",$D32=2),$E32*'PL '!D$8,AND($C32="Fuel car",$D32=3),$E32*'PL '!D$9,AND($C32="Fuel car",$D32=4),$E32*'PL '!D$10,AND($C32="Fuel car",$D32=5),$E32*'PL '!D$11,AND($C32="Motorcycle",$D32=1),$E32*'PL '!D$13,AND($C32="Motorcycle",$D32=2),$E32*'PL '!D$14,AND($C32="Electric car",$D32=1),$E32*'PL '!D$16,AND($C32="Electric car",$D32=2),$E32*'PL '!D$17,AND($C32="Electric car",$D32=3),$E32*'PL '!D$18,AND($C32="Electric car",$D32=4),$E32*'PL '!D$19,AND($C32="Electric car",$D32=5),$E32*'PL '!D$20,AND($C32="Hybrid car",$D32=1),$E32*'PL '!D$22,AND($C32="Hybrid car",$D32=2),$E32*'PL '!D$23,AND($C32="Hybrid car",$D32=3),$E32*'PL '!D$24,AND($C32="Hybrid car",$D32=4),$E32*'PL '!D$25,AND($C32="Hybrid car",$D32=5),$E32*'PL '!D$26,AND($C32="Electric motorcycle",$D32=1),$E32*'PL '!D$28,AND($C32="Electric motorcycle",$D32=2),$E32*'PL '!D$29,AND($C32="Electric bike",$D32=1),$E32*'PL '!D$31,AND($C32="Electric scooter",$D32=1),$E32*'PL '!D$33,AND($C32="Bus",$D32="Almost empty"),$E32*'PL '!I$23,AND($C32="Bus",$D32="Average"),$E32*'PL '!I$24,AND($C32="Bus",$D32="Nearly full"),$E32*'PL '!I$25,AND($C32="Electric bus",$D32="Almost empty"),$E32*'PL '!I$7,AND($C32="Electric bus",$D32="Average"),$E32*'PL '!I$8,AND($C32="Electric bus",$D32="Nearly full"),$E32*'PL '!I$9,AND($C32="Diesel bus",$D32="Almost empty"),$E32*'PL '!I$19,AND($C32="Diesel bus",$D32="Average"),$E32*'PL '!I$20,AND($C32="Diesel bus",$D32="Nearly full"),$E32*'PL '!I$21,AND($C32="Hybrid-electric bus",$D32="Almost empty"),$E32*'PL '!I$11,AND($C32="Hybrid-electric bus",$D32="Average"),$E32*'PL '!I$12,AND($C32="Hybrid-electric bus",$D32="Nearly full"),$E32*'PL '!I$13,AND($C32="Alternative fuel bus",$D32="Almost empty"),$E32*'PL '!I$15,AND($C32="Alternative fuel bus",$D32="Average"),$E32*'PL '!I$16,AND($C32="Alternative fuel bus",$D32="Nearly full"),$E32*'PL '!I$17,AND($C32="Metro, tram, urban light train",$D32="Almost empty"),$E32*'PL '!D$35,AND($C32="Metro, tram, urban light train",$D32="Average"),$E32*'PL '!D$36,AND($C32="Metro, tram, urban light train",$D32="Nearly full"),$E32*'PL '!D$37,AND($C32="Electric passenger train",$D32="Almost empty"),$E32*'PL '!D$39,AND($C32="Electric passenger train",$D32="Average"),$E32*'PL '!D$40,AND($C32="Electric passenger train",$D32="Nearly full"),$E32*'PL '!D$41,AND($C32="Diesel passenger train",$D32="Almost empty"),$E32*'PL '!D$47,AND($C32="Diesel passenger train",$D32="Average"),$E32*'PL '!D$48,AND($C32="Diesel passenger train",$D32="Nearly full"),$E32*'PL '!D$49,AND($C32="Walking"),$E32*0,AND($C32="Bike"),$E32*0,AND($C32="Plane - domestic flight"),$E32*'PL '!$C56,AND($C32="Plane - international - intra EU"),$E32*'PL '!$C58,AND($C32="Plane - international (extra EU)"),$E32*'PL '!$C60)</f>
        <v>#N/A</v>
      </c>
      <c r="H32" s="145"/>
      <c r="I32" s="148">
        <f t="shared" si="6"/>
        <v>0</v>
      </c>
      <c r="J32" s="146" t="e" cm="1">
        <f t="array" ref="J32">_xlfn.IFS(C32="Fuel car",C32*DATA!$C$17,C32="Electric car",C32*DATA!$F$24,C32="Hybrid car",I32*(0.5*DATA!$C$17+0.5*DATA!$F$24))</f>
        <v>#N/A</v>
      </c>
      <c r="L32" s="218"/>
      <c r="M32" s="219"/>
      <c r="N32" s="220"/>
    </row>
    <row r="33" spans="1:14" ht="14.5" customHeight="1" x14ac:dyDescent="0.2">
      <c r="A33" s="222"/>
      <c r="B33" s="30"/>
      <c r="C33" s="15"/>
      <c r="D33" s="15"/>
      <c r="E33" s="125"/>
      <c r="F33" s="128" t="e" cm="1">
        <f t="array" ref="F33">_xlfn.IFS(AND($C33="Fuel car",$D33=1),$E33*'PL '!C$7,AND($C33="Fuel car",$D33=2),$E33*'PL '!C$8,AND($C33="Fuel car",$D33=3),$E33*'PL '!C$9,AND($C33="Fuel car",$D33=4),$E33*'PL '!C$10,AND($C33="Fuel car",$D33=5),$E33*'PL '!C$11,AND($C33="Motorcycle",$D33=1),$E33*'PL '!C$13,AND($C33="Motorcycle",$D33=2),$E33*'PL '!C$14,AND($C33="Electric car",$D33=1),$E33*'PL '!C$16,AND($C33="Electric car",$D33=2),$E33*'PL '!C$17,AND($C33="Electric car",$D33=3),$E33*'PL '!C$18,AND($C33="Electric car",$D33=4),$E33*'PL '!C$19,AND($C33="Electric car",$D33=5),$E33*'PL '!C$20,AND($C33="Hybrid car",$D33=1),$E33*'PL '!C$22,AND($C33="Hybrid car",$D33=2),$E33*'PL '!C$23,AND($C33="Hybrid car",$D33=3),$E33*'PL '!C$24,AND($C33="Hybrid car",$D33=4),$E33*'PL '!C$25,AND($C33="Hybrid car",$D33=5),$E33*'PL '!C$26,AND($C33="Electric motorcycle",$D33=1),$E33*'PL '!C$28,AND($C33="Electric motorcycle",$D33=2),$E33*'PL '!C$29,AND($C33="Electric bike",$D33=1),$E33*'PL '!C$31,AND($C33="Electric scooter",$D33=1),$E33*'PL '!C$33,AND($C33="Bus",$D33="Almost empty"),$E33*'PL '!H$23,AND($C33="Bus",$D33="Average"),$E33*'PL '!H$24,AND($C33="Bus",$D33="Nearly full"),$E33*'PL '!H$25,AND($C33="Electric bus",$D33="Almost empty"),$E33*'PL '!H$7,AND($C33="Electric bus",$D33="Average"),$E33*'PL '!H$8,AND($C33="Electric bus",$D33="Nearly full"),$E33*'PL '!H$9,AND($C33="Diesel bus",$D33="Almost empty"),$E33*'PL '!H$19,AND($C33="Diesel bus",$D33="Average"),$E33*'PL '!H$20,AND($C33="Diesel bus",$D33="Nearly full"),$E33*'PL '!H$21,AND($C33="Hybrid-electric bus",$D33="Almost empty"),$E33*'PL '!H$11,AND($C33="Hybrid-electric bus",$D33="Average"),$E33*'PL '!H$12,AND($C33="Hybrid-electric bus",$D33="Nearly full"),$E33*'PL '!H$13,AND($C33="Alternative fuel bus",$D33="Almost empty"),$E33*'PL '!H$15,AND($C33="Alternative fuel bus",$D33="Average"),$E33*'PL '!H$16,AND($C33="Alternative fuel bus",$D33="Nearly full"),$E33*'PL '!H$17,AND($C33="Metro, tram, urban light train",$D33="Almost empty"),$E33*'PL '!C$35,AND($C33="Metro, tram, urban light train",$D33="Average"),$E33*'PL '!C$36,AND($C33="Metro, tram, urban light train",$D33="Nearly full"),$E33*'PL '!C$37,AND($C33="Electric passenger train",$D33="Almost empty"),$E33*'PL '!C$39,AND($C33="Electric passenger train",$D33="Average"),$E33*'PL '!C$40,AND($C33="Electric passenger train",$D33="Nearly full"),$E33*'PL '!C$41,AND($C33="Diesel passenger train",$D33="Almost empty"),$E33*'PL '!C$47,AND($C33="Diesel passenger train",$D33="Average"),$E33*'PL '!C$48,AND($C33="Diesel passenger train",$D33="Nearly full"),$E33*'PL '!C$49,AND($C33="Walking"),$E33*0,AND($C33="Bike"),$E33*0,AND($C33="Plane - domestic flight"),$E33*'PL '!$C57,AND($C33="Plane - international - intra EU"),$E33*'PL '!$C59,AND($C33="Plane - international (extra EU)"),$E33*'PL '!$C61)</f>
        <v>#N/A</v>
      </c>
      <c r="G33" s="31" t="e" cm="1">
        <f t="array" ref="G33">_xlfn.IFS(AND($C33="Fuel car",$D33=1),$E33*'PL '!D$7,AND($C33="Fuel car",$D33=2),$E33*'PL '!D$8,AND($C33="Fuel car",$D33=3),$E33*'PL '!D$9,AND($C33="Fuel car",$D33=4),$E33*'PL '!D$10,AND($C33="Fuel car",$D33=5),$E33*'PL '!D$11,AND($C33="Motorcycle",$D33=1),$E33*'PL '!D$13,AND($C33="Motorcycle",$D33=2),$E33*'PL '!D$14,AND($C33="Electric car",$D33=1),$E33*'PL '!D$16,AND($C33="Electric car",$D33=2),$E33*'PL '!D$17,AND($C33="Electric car",$D33=3),$E33*'PL '!D$18,AND($C33="Electric car",$D33=4),$E33*'PL '!D$19,AND($C33="Electric car",$D33=5),$E33*'PL '!D$20,AND($C33="Hybrid car",$D33=1),$E33*'PL '!D$22,AND($C33="Hybrid car",$D33=2),$E33*'PL '!D$23,AND($C33="Hybrid car",$D33=3),$E33*'PL '!D$24,AND($C33="Hybrid car",$D33=4),$E33*'PL '!D$25,AND($C33="Hybrid car",$D33=5),$E33*'PL '!D$26,AND($C33="Electric motorcycle",$D33=1),$E33*'PL '!D$28,AND($C33="Electric motorcycle",$D33=2),$E33*'PL '!D$29,AND($C33="Electric bike",$D33=1),$E33*'PL '!D$31,AND($C33="Electric scooter",$D33=1),$E33*'PL '!D$33,AND($C33="Bus",$D33="Almost empty"),$E33*'PL '!I$23,AND($C33="Bus",$D33="Average"),$E33*'PL '!I$24,AND($C33="Bus",$D33="Nearly full"),$E33*'PL '!I$25,AND($C33="Electric bus",$D33="Almost empty"),$E33*'PL '!I$7,AND($C33="Electric bus",$D33="Average"),$E33*'PL '!I$8,AND($C33="Electric bus",$D33="Nearly full"),$E33*'PL '!I$9,AND($C33="Diesel bus",$D33="Almost empty"),$E33*'PL '!I$19,AND($C33="Diesel bus",$D33="Average"),$E33*'PL '!I$20,AND($C33="Diesel bus",$D33="Nearly full"),$E33*'PL '!I$21,AND($C33="Hybrid-electric bus",$D33="Almost empty"),$E33*'PL '!I$11,AND($C33="Hybrid-electric bus",$D33="Average"),$E33*'PL '!I$12,AND($C33="Hybrid-electric bus",$D33="Nearly full"),$E33*'PL '!I$13,AND($C33="Alternative fuel bus",$D33="Almost empty"),$E33*'PL '!I$15,AND($C33="Alternative fuel bus",$D33="Average"),$E33*'PL '!I$16,AND($C33="Alternative fuel bus",$D33="Nearly full"),$E33*'PL '!I$17,AND($C33="Metro, tram, urban light train",$D33="Almost empty"),$E33*'PL '!D$35,AND($C33="Metro, tram, urban light train",$D33="Average"),$E33*'PL '!D$36,AND($C33="Metro, tram, urban light train",$D33="Nearly full"),$E33*'PL '!D$37,AND($C33="Electric passenger train",$D33="Almost empty"),$E33*'PL '!D$39,AND($C33="Electric passenger train",$D33="Average"),$E33*'PL '!D$40,AND($C33="Electric passenger train",$D33="Nearly full"),$E33*'PL '!D$41,AND($C33="Diesel passenger train",$D33="Almost empty"),$E33*'PL '!D$47,AND($C33="Diesel passenger train",$D33="Average"),$E33*'PL '!D$48,AND($C33="Diesel passenger train",$D33="Nearly full"),$E33*'PL '!D$49,AND($C33="Walking"),$E33*0,AND($C33="Bike"),$E33*0,AND($C33="Plane - domestic flight"),$E33*'PL '!$C57,AND($C33="Plane - international - intra EU"),$E33*'PL '!$C59,AND($C33="Plane - international (extra EU)"),$E33*'PL '!$C61)</f>
        <v>#N/A</v>
      </c>
      <c r="H33" s="145"/>
      <c r="I33" s="148">
        <f t="shared" si="6"/>
        <v>0</v>
      </c>
      <c r="J33" s="146" t="e" cm="1">
        <f t="array" ref="J33">_xlfn.IFS(C33="Fuel car",C33*DATA!$C$17,C33="Electric car",C33*DATA!$F$24,C33="Hybrid car",I33*(0.5*DATA!$C$17+0.5*DATA!$F$24))</f>
        <v>#N/A</v>
      </c>
      <c r="L33" s="223" t="s">
        <v>78</v>
      </c>
      <c r="M33" s="224"/>
      <c r="N33" s="225"/>
    </row>
    <row r="34" spans="1:14" x14ac:dyDescent="0.2">
      <c r="A34" s="222"/>
      <c r="B34" s="30"/>
      <c r="C34" s="15"/>
      <c r="D34" s="15"/>
      <c r="E34" s="125"/>
      <c r="F34" s="128" t="e" cm="1">
        <f t="array" ref="F34">_xlfn.IFS(AND($C34="Fuel car",$D34=1),$E34*'PL '!C$7,AND($C34="Fuel car",$D34=2),$E34*'PL '!C$8,AND($C34="Fuel car",$D34=3),$E34*'PL '!C$9,AND($C34="Fuel car",$D34=4),$E34*'PL '!C$10,AND($C34="Fuel car",$D34=5),$E34*'PL '!C$11,AND($C34="Motorcycle",$D34=1),$E34*'PL '!C$13,AND($C34="Motorcycle",$D34=2),$E34*'PL '!C$14,AND($C34="Electric car",$D34=1),$E34*'PL '!C$16,AND($C34="Electric car",$D34=2),$E34*'PL '!C$17,AND($C34="Electric car",$D34=3),$E34*'PL '!C$18,AND($C34="Electric car",$D34=4),$E34*'PL '!C$19,AND($C34="Electric car",$D34=5),$E34*'PL '!C$20,AND($C34="Hybrid car",$D34=1),$E34*'PL '!C$22,AND($C34="Hybrid car",$D34=2),$E34*'PL '!C$23,AND($C34="Hybrid car",$D34=3),$E34*'PL '!C$24,AND($C34="Hybrid car",$D34=4),$E34*'PL '!C$25,AND($C34="Hybrid car",$D34=5),$E34*'PL '!C$26,AND($C34="Electric motorcycle",$D34=1),$E34*'PL '!C$28,AND($C34="Electric motorcycle",$D34=2),$E34*'PL '!C$29,AND($C34="Electric bike",$D34=1),$E34*'PL '!C$31,AND($C34="Electric scooter",$D34=1),$E34*'PL '!C$33,AND($C34="Bus",$D34="Almost empty"),$E34*'PL '!H$23,AND($C34="Bus",$D34="Average"),$E34*'PL '!H$24,AND($C34="Bus",$D34="Nearly full"),$E34*'PL '!H$25,AND($C34="Electric bus",$D34="Almost empty"),$E34*'PL '!H$7,AND($C34="Electric bus",$D34="Average"),$E34*'PL '!H$8,AND($C34="Electric bus",$D34="Nearly full"),$E34*'PL '!H$9,AND($C34="Diesel bus",$D34="Almost empty"),$E34*'PL '!H$19,AND($C34="Diesel bus",$D34="Average"),$E34*'PL '!H$20,AND($C34="Diesel bus",$D34="Nearly full"),$E34*'PL '!H$21,AND($C34="Hybrid-electric bus",$D34="Almost empty"),$E34*'PL '!H$11,AND($C34="Hybrid-electric bus",$D34="Average"),$E34*'PL '!H$12,AND($C34="Hybrid-electric bus",$D34="Nearly full"),$E34*'PL '!H$13,AND($C34="Alternative fuel bus",$D34="Almost empty"),$E34*'PL '!H$15,AND($C34="Alternative fuel bus",$D34="Average"),$E34*'PL '!H$16,AND($C34="Alternative fuel bus",$D34="Nearly full"),$E34*'PL '!H$17,AND($C34="Metro, tram, urban light train",$D34="Almost empty"),$E34*'PL '!C$35,AND($C34="Metro, tram, urban light train",$D34="Average"),$E34*'PL '!C$36,AND($C34="Metro, tram, urban light train",$D34="Nearly full"),$E34*'PL '!C$37,AND($C34="Electric passenger train",$D34="Almost empty"),$E34*'PL '!C$39,AND($C34="Electric passenger train",$D34="Average"),$E34*'PL '!C$40,AND($C34="Electric passenger train",$D34="Nearly full"),$E34*'PL '!C$41,AND($C34="Diesel passenger train",$D34="Almost empty"),$E34*'PL '!C$47,AND($C34="Diesel passenger train",$D34="Average"),$E34*'PL '!C$48,AND($C34="Diesel passenger train",$D34="Nearly full"),$E34*'PL '!C$49,AND($C34="Walking"),$E34*0,AND($C34="Bike"),$E34*0,AND($C34="Plane - domestic flight"),$E34*'PL '!$C58,AND($C34="Plane - international - intra EU"),$E34*'PL '!$C60,AND($C34="Plane - international (extra EU)"),$E34*'PL '!$C62)</f>
        <v>#N/A</v>
      </c>
      <c r="G34" s="31" t="e" cm="1">
        <f t="array" ref="G34">_xlfn.IFS(AND($C34="Fuel car",$D34=1),$E34*'PL '!D$7,AND($C34="Fuel car",$D34=2),$E34*'PL '!D$8,AND($C34="Fuel car",$D34=3),$E34*'PL '!D$9,AND($C34="Fuel car",$D34=4),$E34*'PL '!D$10,AND($C34="Fuel car",$D34=5),$E34*'PL '!D$11,AND($C34="Motorcycle",$D34=1),$E34*'PL '!D$13,AND($C34="Motorcycle",$D34=2),$E34*'PL '!D$14,AND($C34="Electric car",$D34=1),$E34*'PL '!D$16,AND($C34="Electric car",$D34=2),$E34*'PL '!D$17,AND($C34="Electric car",$D34=3),$E34*'PL '!D$18,AND($C34="Electric car",$D34=4),$E34*'PL '!D$19,AND($C34="Electric car",$D34=5),$E34*'PL '!D$20,AND($C34="Hybrid car",$D34=1),$E34*'PL '!D$22,AND($C34="Hybrid car",$D34=2),$E34*'PL '!D$23,AND($C34="Hybrid car",$D34=3),$E34*'PL '!D$24,AND($C34="Hybrid car",$D34=4),$E34*'PL '!D$25,AND($C34="Hybrid car",$D34=5),$E34*'PL '!D$26,AND($C34="Electric motorcycle",$D34=1),$E34*'PL '!D$28,AND($C34="Electric motorcycle",$D34=2),$E34*'PL '!D$29,AND($C34="Electric bike",$D34=1),$E34*'PL '!D$31,AND($C34="Electric scooter",$D34=1),$E34*'PL '!D$33,AND($C34="Bus",$D34="Almost empty"),$E34*'PL '!I$23,AND($C34="Bus",$D34="Average"),$E34*'PL '!I$24,AND($C34="Bus",$D34="Nearly full"),$E34*'PL '!I$25,AND($C34="Electric bus",$D34="Almost empty"),$E34*'PL '!I$7,AND($C34="Electric bus",$D34="Average"),$E34*'PL '!I$8,AND($C34="Electric bus",$D34="Nearly full"),$E34*'PL '!I$9,AND($C34="Diesel bus",$D34="Almost empty"),$E34*'PL '!I$19,AND($C34="Diesel bus",$D34="Average"),$E34*'PL '!I$20,AND($C34="Diesel bus",$D34="Nearly full"),$E34*'PL '!I$21,AND($C34="Hybrid-electric bus",$D34="Almost empty"),$E34*'PL '!I$11,AND($C34="Hybrid-electric bus",$D34="Average"),$E34*'PL '!I$12,AND($C34="Hybrid-electric bus",$D34="Nearly full"),$E34*'PL '!I$13,AND($C34="Alternative fuel bus",$D34="Almost empty"),$E34*'PL '!I$15,AND($C34="Alternative fuel bus",$D34="Average"),$E34*'PL '!I$16,AND($C34="Alternative fuel bus",$D34="Nearly full"),$E34*'PL '!I$17,AND($C34="Metro, tram, urban light train",$D34="Almost empty"),$E34*'PL '!D$35,AND($C34="Metro, tram, urban light train",$D34="Average"),$E34*'PL '!D$36,AND($C34="Metro, tram, urban light train",$D34="Nearly full"),$E34*'PL '!D$37,AND($C34="Electric passenger train",$D34="Almost empty"),$E34*'PL '!D$39,AND($C34="Electric passenger train",$D34="Average"),$E34*'PL '!D$40,AND($C34="Electric passenger train",$D34="Nearly full"),$E34*'PL '!D$41,AND($C34="Diesel passenger train",$D34="Almost empty"),$E34*'PL '!D$47,AND($C34="Diesel passenger train",$D34="Average"),$E34*'PL '!D$48,AND($C34="Diesel passenger train",$D34="Nearly full"),$E34*'PL '!D$49,AND($C34="Walking"),$E34*0,AND($C34="Bike"),$E34*0,AND($C34="Plane - domestic flight"),$E34*'PL '!$C58,AND($C34="Plane - international - intra EU"),$E34*'PL '!$C60,AND($C34="Plane - international (extra EU)"),$E34*'PL '!$C62)</f>
        <v>#N/A</v>
      </c>
      <c r="H34" s="145"/>
      <c r="I34" s="148">
        <f t="shared" si="6"/>
        <v>0</v>
      </c>
      <c r="J34" s="146" t="e" cm="1">
        <f t="array" ref="J34">_xlfn.IFS(C34="Fuel car",C34*DATA!$C$17,C34="Electric car",C34*DATA!$F$24,C34="Hybrid car",I34*(0.5*DATA!$C$17+0.5*DATA!$F$24))</f>
        <v>#N/A</v>
      </c>
      <c r="L34" s="223"/>
      <c r="M34" s="224"/>
      <c r="N34" s="225"/>
    </row>
    <row r="35" spans="1:14" ht="14.5" customHeight="1" x14ac:dyDescent="0.2">
      <c r="A35" s="222"/>
      <c r="B35" s="30"/>
      <c r="C35" s="15"/>
      <c r="D35" s="15"/>
      <c r="E35" s="125"/>
      <c r="F35" s="128" t="e" cm="1">
        <f t="array" ref="F35">_xlfn.IFS(AND($C35="Fuel car",$D35=1),$E35*'PL '!C$7,AND($C35="Fuel car",$D35=2),$E35*'PL '!C$8,AND($C35="Fuel car",$D35=3),$E35*'PL '!C$9,AND($C35="Fuel car",$D35=4),$E35*'PL '!C$10,AND($C35="Fuel car",$D35=5),$E35*'PL '!C$11,AND($C35="Motorcycle",$D35=1),$E35*'PL '!C$13,AND($C35="Motorcycle",$D35=2),$E35*'PL '!C$14,AND($C35="Electric car",$D35=1),$E35*'PL '!C$16,AND($C35="Electric car",$D35=2),$E35*'PL '!C$17,AND($C35="Electric car",$D35=3),$E35*'PL '!C$18,AND($C35="Electric car",$D35=4),$E35*'PL '!C$19,AND($C35="Electric car",$D35=5),$E35*'PL '!C$20,AND($C35="Hybrid car",$D35=1),$E35*'PL '!C$22,AND($C35="Hybrid car",$D35=2),$E35*'PL '!C$23,AND($C35="Hybrid car",$D35=3),$E35*'PL '!C$24,AND($C35="Hybrid car",$D35=4),$E35*'PL '!C$25,AND($C35="Hybrid car",$D35=5),$E35*'PL '!C$26,AND($C35="Electric motorcycle",$D35=1),$E35*'PL '!C$28,AND($C35="Electric motorcycle",$D35=2),$E35*'PL '!C$29,AND($C35="Electric bike",$D35=1),$E35*'PL '!C$31,AND($C35="Electric scooter",$D35=1),$E35*'PL '!C$33,AND($C35="Bus",$D35="Almost empty"),$E35*'PL '!H$23,AND($C35="Bus",$D35="Average"),$E35*'PL '!H$24,AND($C35="Bus",$D35="Nearly full"),$E35*'PL '!H$25,AND($C35="Electric bus",$D35="Almost empty"),$E35*'PL '!H$7,AND($C35="Electric bus",$D35="Average"),$E35*'PL '!H$8,AND($C35="Electric bus",$D35="Nearly full"),$E35*'PL '!H$9,AND($C35="Diesel bus",$D35="Almost empty"),$E35*'PL '!H$19,AND($C35="Diesel bus",$D35="Average"),$E35*'PL '!H$20,AND($C35="Diesel bus",$D35="Nearly full"),$E35*'PL '!H$21,AND($C35="Hybrid-electric bus",$D35="Almost empty"),$E35*'PL '!H$11,AND($C35="Hybrid-electric bus",$D35="Average"),$E35*'PL '!H$12,AND($C35="Hybrid-electric bus",$D35="Nearly full"),$E35*'PL '!H$13,AND($C35="Alternative fuel bus",$D35="Almost empty"),$E35*'PL '!H$15,AND($C35="Alternative fuel bus",$D35="Average"),$E35*'PL '!H$16,AND($C35="Alternative fuel bus",$D35="Nearly full"),$E35*'PL '!H$17,AND($C35="Metro, tram, urban light train",$D35="Almost empty"),$E35*'PL '!C$35,AND($C35="Metro, tram, urban light train",$D35="Average"),$E35*'PL '!C$36,AND($C35="Metro, tram, urban light train",$D35="Nearly full"),$E35*'PL '!C$37,AND($C35="Electric passenger train",$D35="Almost empty"),$E35*'PL '!C$39,AND($C35="Electric passenger train",$D35="Average"),$E35*'PL '!C$40,AND($C35="Electric passenger train",$D35="Nearly full"),$E35*'PL '!C$41,AND($C35="Diesel passenger train",$D35="Almost empty"),$E35*'PL '!C$47,AND($C35="Diesel passenger train",$D35="Average"),$E35*'PL '!C$48,AND($C35="Diesel passenger train",$D35="Nearly full"),$E35*'PL '!C$49,AND($C35="Walking"),$E35*0,AND($C35="Bike"),$E35*0,AND($C35="Plane - domestic flight"),$E35*'PL '!$C59,AND($C35="Plane - international - intra EU"),$E35*'PL '!$C61,AND($C35="Plane - international (extra EU)"),$E35*'PL '!$C63)</f>
        <v>#N/A</v>
      </c>
      <c r="G35" s="31" t="e" cm="1">
        <f t="array" ref="G35">_xlfn.IFS(AND($C35="Fuel car",$D35=1),$E35*'PL '!D$7,AND($C35="Fuel car",$D35=2),$E35*'PL '!D$8,AND($C35="Fuel car",$D35=3),$E35*'PL '!D$9,AND($C35="Fuel car",$D35=4),$E35*'PL '!D$10,AND($C35="Fuel car",$D35=5),$E35*'PL '!D$11,AND($C35="Motorcycle",$D35=1),$E35*'PL '!D$13,AND($C35="Motorcycle",$D35=2),$E35*'PL '!D$14,AND($C35="Electric car",$D35=1),$E35*'PL '!D$16,AND($C35="Electric car",$D35=2),$E35*'PL '!D$17,AND($C35="Electric car",$D35=3),$E35*'PL '!D$18,AND($C35="Electric car",$D35=4),$E35*'PL '!D$19,AND($C35="Electric car",$D35=5),$E35*'PL '!D$20,AND($C35="Hybrid car",$D35=1),$E35*'PL '!D$22,AND($C35="Hybrid car",$D35=2),$E35*'PL '!D$23,AND($C35="Hybrid car",$D35=3),$E35*'PL '!D$24,AND($C35="Hybrid car",$D35=4),$E35*'PL '!D$25,AND($C35="Hybrid car",$D35=5),$E35*'PL '!D$26,AND($C35="Electric motorcycle",$D35=1),$E35*'PL '!D$28,AND($C35="Electric motorcycle",$D35=2),$E35*'PL '!D$29,AND($C35="Electric bike",$D35=1),$E35*'PL '!D$31,AND($C35="Electric scooter",$D35=1),$E35*'PL '!D$33,AND($C35="Bus",$D35="Almost empty"),$E35*'PL '!I$23,AND($C35="Bus",$D35="Average"),$E35*'PL '!I$24,AND($C35="Bus",$D35="Nearly full"),$E35*'PL '!I$25,AND($C35="Electric bus",$D35="Almost empty"),$E35*'PL '!I$7,AND($C35="Electric bus",$D35="Average"),$E35*'PL '!I$8,AND($C35="Electric bus",$D35="Nearly full"),$E35*'PL '!I$9,AND($C35="Diesel bus",$D35="Almost empty"),$E35*'PL '!I$19,AND($C35="Diesel bus",$D35="Average"),$E35*'PL '!I$20,AND($C35="Diesel bus",$D35="Nearly full"),$E35*'PL '!I$21,AND($C35="Hybrid-electric bus",$D35="Almost empty"),$E35*'PL '!I$11,AND($C35="Hybrid-electric bus",$D35="Average"),$E35*'PL '!I$12,AND($C35="Hybrid-electric bus",$D35="Nearly full"),$E35*'PL '!I$13,AND($C35="Alternative fuel bus",$D35="Almost empty"),$E35*'PL '!I$15,AND($C35="Alternative fuel bus",$D35="Average"),$E35*'PL '!I$16,AND($C35="Alternative fuel bus",$D35="Nearly full"),$E35*'PL '!I$17,AND($C35="Metro, tram, urban light train",$D35="Almost empty"),$E35*'PL '!D$35,AND($C35="Metro, tram, urban light train",$D35="Average"),$E35*'PL '!D$36,AND($C35="Metro, tram, urban light train",$D35="Nearly full"),$E35*'PL '!D$37,AND($C35="Electric passenger train",$D35="Almost empty"),$E35*'PL '!D$39,AND($C35="Electric passenger train",$D35="Average"),$E35*'PL '!D$40,AND($C35="Electric passenger train",$D35="Nearly full"),$E35*'PL '!D$41,AND($C35="Diesel passenger train",$D35="Almost empty"),$E35*'PL '!D$47,AND($C35="Diesel passenger train",$D35="Average"),$E35*'PL '!D$48,AND($C35="Diesel passenger train",$D35="Nearly full"),$E35*'PL '!D$49,AND($C35="Walking"),$E35*0,AND($C35="Bike"),$E35*0,AND($C35="Plane - domestic flight"),$E35*'PL '!$C59,AND($C35="Plane - international - intra EU"),$E35*'PL '!$C61,AND($C35="Plane - international (extra EU)"),$E35*'PL '!$C63)</f>
        <v>#N/A</v>
      </c>
      <c r="H35" s="145"/>
      <c r="I35" s="148">
        <f t="shared" si="6"/>
        <v>0</v>
      </c>
      <c r="J35" s="146" t="e" cm="1">
        <f t="array" ref="J35">_xlfn.IFS(C35="Fuel car",C35*DATA!$C$17,C35="Electric car",C35*DATA!$F$24,C35="Hybrid car",I35*(0.5*DATA!$C$17+0.5*DATA!$F$24))</f>
        <v>#N/A</v>
      </c>
      <c r="L35" s="223"/>
      <c r="M35" s="224"/>
      <c r="N35" s="225"/>
    </row>
    <row r="36" spans="1:14" ht="16" thickBot="1" x14ac:dyDescent="0.25">
      <c r="A36" s="222"/>
      <c r="B36" s="30"/>
      <c r="C36" s="15"/>
      <c r="D36" s="15"/>
      <c r="E36" s="125"/>
      <c r="F36" s="128" t="e" cm="1">
        <f t="array" ref="F36">_xlfn.IFS(AND($C36="Fuel car",$D36=1),$E36*'PL '!C$7,AND($C36="Fuel car",$D36=2),$E36*'PL '!C$8,AND($C36="Fuel car",$D36=3),$E36*'PL '!C$9,AND($C36="Fuel car",$D36=4),$E36*'PL '!C$10,AND($C36="Fuel car",$D36=5),$E36*'PL '!C$11,AND($C36="Motorcycle",$D36=1),$E36*'PL '!C$13,AND($C36="Motorcycle",$D36=2),$E36*'PL '!C$14,AND($C36="Electric car",$D36=1),$E36*'PL '!C$16,AND($C36="Electric car",$D36=2),$E36*'PL '!C$17,AND($C36="Electric car",$D36=3),$E36*'PL '!C$18,AND($C36="Electric car",$D36=4),$E36*'PL '!C$19,AND($C36="Electric car",$D36=5),$E36*'PL '!C$20,AND($C36="Hybrid car",$D36=1),$E36*'PL '!C$22,AND($C36="Hybrid car",$D36=2),$E36*'PL '!C$23,AND($C36="Hybrid car",$D36=3),$E36*'PL '!C$24,AND($C36="Hybrid car",$D36=4),$E36*'PL '!C$25,AND($C36="Hybrid car",$D36=5),$E36*'PL '!C$26,AND($C36="Electric motorcycle",$D36=1),$E36*'PL '!C$28,AND($C36="Electric motorcycle",$D36=2),$E36*'PL '!C$29,AND($C36="Electric bike",$D36=1),$E36*'PL '!C$31,AND($C36="Electric scooter",$D36=1),$E36*'PL '!C$33,AND($C36="Bus",$D36="Almost empty"),$E36*'PL '!H$23,AND($C36="Bus",$D36="Average"),$E36*'PL '!H$24,AND($C36="Bus",$D36="Nearly full"),$E36*'PL '!H$25,AND($C36="Electric bus",$D36="Almost empty"),$E36*'PL '!H$7,AND($C36="Electric bus",$D36="Average"),$E36*'PL '!H$8,AND($C36="Electric bus",$D36="Nearly full"),$E36*'PL '!H$9,AND($C36="Diesel bus",$D36="Almost empty"),$E36*'PL '!H$19,AND($C36="Diesel bus",$D36="Average"),$E36*'PL '!H$20,AND($C36="Diesel bus",$D36="Nearly full"),$E36*'PL '!H$21,AND($C36="Hybrid-electric bus",$D36="Almost empty"),$E36*'PL '!H$11,AND($C36="Hybrid-electric bus",$D36="Average"),$E36*'PL '!H$12,AND($C36="Hybrid-electric bus",$D36="Nearly full"),$E36*'PL '!H$13,AND($C36="Alternative fuel bus",$D36="Almost empty"),$E36*'PL '!H$15,AND($C36="Alternative fuel bus",$D36="Average"),$E36*'PL '!H$16,AND($C36="Alternative fuel bus",$D36="Nearly full"),$E36*'PL '!H$17,AND($C36="Metro, tram, urban light train",$D36="Almost empty"),$E36*'PL '!C$35,AND($C36="Metro, tram, urban light train",$D36="Average"),$E36*'PL '!C$36,AND($C36="Metro, tram, urban light train",$D36="Nearly full"),$E36*'PL '!C$37,AND($C36="Electric passenger train",$D36="Almost empty"),$E36*'PL '!C$39,AND($C36="Electric passenger train",$D36="Average"),$E36*'PL '!C$40,AND($C36="Electric passenger train",$D36="Nearly full"),$E36*'PL '!C$41,AND($C36="Diesel passenger train",$D36="Almost empty"),$E36*'PL '!C$47,AND($C36="Diesel passenger train",$D36="Average"),$E36*'PL '!C$48,AND($C36="Diesel passenger train",$D36="Nearly full"),$E36*'PL '!C$49,AND($C36="Walking"),$E36*0,AND($C36="Bike"),$E36*0,AND($C36="Plane - domestic flight"),$E36*'PL '!$C60,AND($C36="Plane - international - intra EU"),$E36*'PL '!$C62,AND($C36="Plane - international (extra EU)"),$E36*'PL '!$C64)</f>
        <v>#N/A</v>
      </c>
      <c r="G36" s="31" t="e" cm="1">
        <f t="array" ref="G36">_xlfn.IFS(AND($C36="Fuel car",$D36=1),$E36*'PL '!D$7,AND($C36="Fuel car",$D36=2),$E36*'PL '!D$8,AND($C36="Fuel car",$D36=3),$E36*'PL '!D$9,AND($C36="Fuel car",$D36=4),$E36*'PL '!D$10,AND($C36="Fuel car",$D36=5),$E36*'PL '!D$11,AND($C36="Motorcycle",$D36=1),$E36*'PL '!D$13,AND($C36="Motorcycle",$D36=2),$E36*'PL '!D$14,AND($C36="Electric car",$D36=1),$E36*'PL '!D$16,AND($C36="Electric car",$D36=2),$E36*'PL '!D$17,AND($C36="Electric car",$D36=3),$E36*'PL '!D$18,AND($C36="Electric car",$D36=4),$E36*'PL '!D$19,AND($C36="Electric car",$D36=5),$E36*'PL '!D$20,AND($C36="Hybrid car",$D36=1),$E36*'PL '!D$22,AND($C36="Hybrid car",$D36=2),$E36*'PL '!D$23,AND($C36="Hybrid car",$D36=3),$E36*'PL '!D$24,AND($C36="Hybrid car",$D36=4),$E36*'PL '!D$25,AND($C36="Hybrid car",$D36=5),$E36*'PL '!D$26,AND($C36="Electric motorcycle",$D36=1),$E36*'PL '!D$28,AND($C36="Electric motorcycle",$D36=2),$E36*'PL '!D$29,AND($C36="Electric bike",$D36=1),$E36*'PL '!D$31,AND($C36="Electric scooter",$D36=1),$E36*'PL '!D$33,AND($C36="Bus",$D36="Almost empty"),$E36*'PL '!I$23,AND($C36="Bus",$D36="Average"),$E36*'PL '!I$24,AND($C36="Bus",$D36="Nearly full"),$E36*'PL '!I$25,AND($C36="Electric bus",$D36="Almost empty"),$E36*'PL '!I$7,AND($C36="Electric bus",$D36="Average"),$E36*'PL '!I$8,AND($C36="Electric bus",$D36="Nearly full"),$E36*'PL '!I$9,AND($C36="Diesel bus",$D36="Almost empty"),$E36*'PL '!I$19,AND($C36="Diesel bus",$D36="Average"),$E36*'PL '!I$20,AND($C36="Diesel bus",$D36="Nearly full"),$E36*'PL '!I$21,AND($C36="Hybrid-electric bus",$D36="Almost empty"),$E36*'PL '!I$11,AND($C36="Hybrid-electric bus",$D36="Average"),$E36*'PL '!I$12,AND($C36="Hybrid-electric bus",$D36="Nearly full"),$E36*'PL '!I$13,AND($C36="Alternative fuel bus",$D36="Almost empty"),$E36*'PL '!I$15,AND($C36="Alternative fuel bus",$D36="Average"),$E36*'PL '!I$16,AND($C36="Alternative fuel bus",$D36="Nearly full"),$E36*'PL '!I$17,AND($C36="Metro, tram, urban light train",$D36="Almost empty"),$E36*'PL '!D$35,AND($C36="Metro, tram, urban light train",$D36="Average"),$E36*'PL '!D$36,AND($C36="Metro, tram, urban light train",$D36="Nearly full"),$E36*'PL '!D$37,AND($C36="Electric passenger train",$D36="Almost empty"),$E36*'PL '!D$39,AND($C36="Electric passenger train",$D36="Average"),$E36*'PL '!D$40,AND($C36="Electric passenger train",$D36="Nearly full"),$E36*'PL '!D$41,AND($C36="Diesel passenger train",$D36="Almost empty"),$E36*'PL '!D$47,AND($C36="Diesel passenger train",$D36="Average"),$E36*'PL '!D$48,AND($C36="Diesel passenger train",$D36="Nearly full"),$E36*'PL '!D$49,AND($C36="Walking"),$E36*0,AND($C36="Bike"),$E36*0,AND($C36="Plane - domestic flight"),$E36*'PL '!$C60,AND($C36="Plane - international - intra EU"),$E36*'PL '!$C62,AND($C36="Plane - international (extra EU)"),$E36*'PL '!$C64)</f>
        <v>#N/A</v>
      </c>
      <c r="H36" s="145"/>
      <c r="I36" s="148">
        <f t="shared" si="6"/>
        <v>0</v>
      </c>
      <c r="J36" s="146" t="e" cm="1">
        <f t="array" ref="J36">_xlfn.IFS(C36="Fuel car",C36*DATA!$C$17,C36="Electric car",C36*DATA!$F$24,C36="Hybrid car",I36*(0.5*DATA!$C$17+0.5*DATA!$F$24))</f>
        <v>#N/A</v>
      </c>
      <c r="L36" s="218"/>
      <c r="M36" s="219"/>
      <c r="N36" s="220"/>
    </row>
    <row r="37" spans="1:14" ht="14.5" customHeight="1" x14ac:dyDescent="0.2">
      <c r="A37" s="222"/>
      <c r="B37" s="30"/>
      <c r="C37" s="15"/>
      <c r="D37" s="15"/>
      <c r="E37" s="125"/>
      <c r="F37" s="128" t="e" cm="1">
        <f t="array" ref="F37">_xlfn.IFS(AND($C37="Fuel car",$D37=1),$E37*'PL '!C$7,AND($C37="Fuel car",$D37=2),$E37*'PL '!C$8,AND($C37="Fuel car",$D37=3),$E37*'PL '!C$9,AND($C37="Fuel car",$D37=4),$E37*'PL '!C$10,AND($C37="Fuel car",$D37=5),$E37*'PL '!C$11,AND($C37="Motorcycle",$D37=1),$E37*'PL '!C$13,AND($C37="Motorcycle",$D37=2),$E37*'PL '!C$14,AND($C37="Electric car",$D37=1),$E37*'PL '!C$16,AND($C37="Electric car",$D37=2),$E37*'PL '!C$17,AND($C37="Electric car",$D37=3),$E37*'PL '!C$18,AND($C37="Electric car",$D37=4),$E37*'PL '!C$19,AND($C37="Electric car",$D37=5),$E37*'PL '!C$20,AND($C37="Hybrid car",$D37=1),$E37*'PL '!C$22,AND($C37="Hybrid car",$D37=2),$E37*'PL '!C$23,AND($C37="Hybrid car",$D37=3),$E37*'PL '!C$24,AND($C37="Hybrid car",$D37=4),$E37*'PL '!C$25,AND($C37="Hybrid car",$D37=5),$E37*'PL '!C$26,AND($C37="Electric motorcycle",$D37=1),$E37*'PL '!C$28,AND($C37="Electric motorcycle",$D37=2),$E37*'PL '!C$29,AND($C37="Electric bike",$D37=1),$E37*'PL '!C$31,AND($C37="Electric scooter",$D37=1),$E37*'PL '!C$33,AND($C37="Bus",$D37="Almost empty"),$E37*'PL '!H$23,AND($C37="Bus",$D37="Average"),$E37*'PL '!H$24,AND($C37="Bus",$D37="Nearly full"),$E37*'PL '!H$25,AND($C37="Electric bus",$D37="Almost empty"),$E37*'PL '!H$7,AND($C37="Electric bus",$D37="Average"),$E37*'PL '!H$8,AND($C37="Electric bus",$D37="Nearly full"),$E37*'PL '!H$9,AND($C37="Diesel bus",$D37="Almost empty"),$E37*'PL '!H$19,AND($C37="Diesel bus",$D37="Average"),$E37*'PL '!H$20,AND($C37="Diesel bus",$D37="Nearly full"),$E37*'PL '!H$21,AND($C37="Hybrid-electric bus",$D37="Almost empty"),$E37*'PL '!H$11,AND($C37="Hybrid-electric bus",$D37="Average"),$E37*'PL '!H$12,AND($C37="Hybrid-electric bus",$D37="Nearly full"),$E37*'PL '!H$13,AND($C37="Alternative fuel bus",$D37="Almost empty"),$E37*'PL '!H$15,AND($C37="Alternative fuel bus",$D37="Average"),$E37*'PL '!H$16,AND($C37="Alternative fuel bus",$D37="Nearly full"),$E37*'PL '!H$17,AND($C37="Metro, tram, urban light train",$D37="Almost empty"),$E37*'PL '!C$35,AND($C37="Metro, tram, urban light train",$D37="Average"),$E37*'PL '!C$36,AND($C37="Metro, tram, urban light train",$D37="Nearly full"),$E37*'PL '!C$37,AND($C37="Electric passenger train",$D37="Almost empty"),$E37*'PL '!C$39,AND($C37="Electric passenger train",$D37="Average"),$E37*'PL '!C$40,AND($C37="Electric passenger train",$D37="Nearly full"),$E37*'PL '!C$41,AND($C37="Diesel passenger train",$D37="Almost empty"),$E37*'PL '!C$47,AND($C37="Diesel passenger train",$D37="Average"),$E37*'PL '!C$48,AND($C37="Diesel passenger train",$D37="Nearly full"),$E37*'PL '!C$49,AND($C37="Walking"),$E37*0,AND($C37="Bike"),$E37*0,AND($C37="Plane - domestic flight"),$E37*'PL '!$C61,AND($C37="Plane - international - intra EU"),$E37*'PL '!$C63,AND($C37="Plane - international (extra EU)"),$E37*'PL '!$C65)</f>
        <v>#N/A</v>
      </c>
      <c r="G37" s="31" t="e" cm="1">
        <f t="array" ref="G37">_xlfn.IFS(AND($C37="Fuel car",$D37=1),$E37*'PL '!D$7,AND($C37="Fuel car",$D37=2),$E37*'PL '!D$8,AND($C37="Fuel car",$D37=3),$E37*'PL '!D$9,AND($C37="Fuel car",$D37=4),$E37*'PL '!D$10,AND($C37="Fuel car",$D37=5),$E37*'PL '!D$11,AND($C37="Motorcycle",$D37=1),$E37*'PL '!D$13,AND($C37="Motorcycle",$D37=2),$E37*'PL '!D$14,AND($C37="Electric car",$D37=1),$E37*'PL '!D$16,AND($C37="Electric car",$D37=2),$E37*'PL '!D$17,AND($C37="Electric car",$D37=3),$E37*'PL '!D$18,AND($C37="Electric car",$D37=4),$E37*'PL '!D$19,AND($C37="Electric car",$D37=5),$E37*'PL '!D$20,AND($C37="Hybrid car",$D37=1),$E37*'PL '!D$22,AND($C37="Hybrid car",$D37=2),$E37*'PL '!D$23,AND($C37="Hybrid car",$D37=3),$E37*'PL '!D$24,AND($C37="Hybrid car",$D37=4),$E37*'PL '!D$25,AND($C37="Hybrid car",$D37=5),$E37*'PL '!D$26,AND($C37="Electric motorcycle",$D37=1),$E37*'PL '!D$28,AND($C37="Electric motorcycle",$D37=2),$E37*'PL '!D$29,AND($C37="Electric bike",$D37=1),$E37*'PL '!D$31,AND($C37="Electric scooter",$D37=1),$E37*'PL '!D$33,AND($C37="Bus",$D37="Almost empty"),$E37*'PL '!I$23,AND($C37="Bus",$D37="Average"),$E37*'PL '!I$24,AND($C37="Bus",$D37="Nearly full"),$E37*'PL '!I$25,AND($C37="Electric bus",$D37="Almost empty"),$E37*'PL '!I$7,AND($C37="Electric bus",$D37="Average"),$E37*'PL '!I$8,AND($C37="Electric bus",$D37="Nearly full"),$E37*'PL '!I$9,AND($C37="Diesel bus",$D37="Almost empty"),$E37*'PL '!I$19,AND($C37="Diesel bus",$D37="Average"),$E37*'PL '!I$20,AND($C37="Diesel bus",$D37="Nearly full"),$E37*'PL '!I$21,AND($C37="Hybrid-electric bus",$D37="Almost empty"),$E37*'PL '!I$11,AND($C37="Hybrid-electric bus",$D37="Average"),$E37*'PL '!I$12,AND($C37="Hybrid-electric bus",$D37="Nearly full"),$E37*'PL '!I$13,AND($C37="Alternative fuel bus",$D37="Almost empty"),$E37*'PL '!I$15,AND($C37="Alternative fuel bus",$D37="Average"),$E37*'PL '!I$16,AND($C37="Alternative fuel bus",$D37="Nearly full"),$E37*'PL '!I$17,AND($C37="Metro, tram, urban light train",$D37="Almost empty"),$E37*'PL '!D$35,AND($C37="Metro, tram, urban light train",$D37="Average"),$E37*'PL '!D$36,AND($C37="Metro, tram, urban light train",$D37="Nearly full"),$E37*'PL '!D$37,AND($C37="Electric passenger train",$D37="Almost empty"),$E37*'PL '!D$39,AND($C37="Electric passenger train",$D37="Average"),$E37*'PL '!D$40,AND($C37="Electric passenger train",$D37="Nearly full"),$E37*'PL '!D$41,AND($C37="Diesel passenger train",$D37="Almost empty"),$E37*'PL '!D$47,AND($C37="Diesel passenger train",$D37="Average"),$E37*'PL '!D$48,AND($C37="Diesel passenger train",$D37="Nearly full"),$E37*'PL '!D$49,AND($C37="Walking"),$E37*0,AND($C37="Bike"),$E37*0,AND($C37="Plane - domestic flight"),$E37*'PL '!$C61,AND($C37="Plane - international - intra EU"),$E37*'PL '!$C63,AND($C37="Plane - international (extra EU)"),$E37*'PL '!$C65)</f>
        <v>#N/A</v>
      </c>
      <c r="H37" s="145"/>
      <c r="I37" s="148">
        <f t="shared" si="6"/>
        <v>0</v>
      </c>
      <c r="J37" s="146" t="e" cm="1">
        <f t="array" ref="J37">_xlfn.IFS(C37="Fuel car",C37*DATA!$C$17,C37="Electric car",C37*DATA!$F$24,C37="Hybrid car",I37*(0.5*DATA!$C$17+0.5*DATA!$F$24))</f>
        <v>#N/A</v>
      </c>
      <c r="L37" s="215" t="s">
        <v>79</v>
      </c>
      <c r="M37" s="216"/>
      <c r="N37" s="217"/>
    </row>
    <row r="38" spans="1:14" ht="16" thickBot="1" x14ac:dyDescent="0.25">
      <c r="A38" s="222"/>
      <c r="B38" s="30"/>
      <c r="C38" s="15"/>
      <c r="D38" s="15"/>
      <c r="E38" s="125"/>
      <c r="F38" s="128" t="e" cm="1">
        <f t="array" ref="F38">_xlfn.IFS(AND($C38="Fuel car",$D38=1),$E38*'PL '!C$7,AND($C38="Fuel car",$D38=2),$E38*'PL '!C$8,AND($C38="Fuel car",$D38=3),$E38*'PL '!C$9,AND($C38="Fuel car",$D38=4),$E38*'PL '!C$10,AND($C38="Fuel car",$D38=5),$E38*'PL '!C$11,AND($C38="Motorcycle",$D38=1),$E38*'PL '!C$13,AND($C38="Motorcycle",$D38=2),$E38*'PL '!C$14,AND($C38="Electric car",$D38=1),$E38*'PL '!C$16,AND($C38="Electric car",$D38=2),$E38*'PL '!C$17,AND($C38="Electric car",$D38=3),$E38*'PL '!C$18,AND($C38="Electric car",$D38=4),$E38*'PL '!C$19,AND($C38="Electric car",$D38=5),$E38*'PL '!C$20,AND($C38="Hybrid car",$D38=1),$E38*'PL '!C$22,AND($C38="Hybrid car",$D38=2),$E38*'PL '!C$23,AND($C38="Hybrid car",$D38=3),$E38*'PL '!C$24,AND($C38="Hybrid car",$D38=4),$E38*'PL '!C$25,AND($C38="Hybrid car",$D38=5),$E38*'PL '!C$26,AND($C38="Electric motorcycle",$D38=1),$E38*'PL '!C$28,AND($C38="Electric motorcycle",$D38=2),$E38*'PL '!C$29,AND($C38="Electric bike",$D38=1),$E38*'PL '!C$31,AND($C38="Electric scooter",$D38=1),$E38*'PL '!C$33,AND($C38="Bus",$D38="Almost empty"),$E38*'PL '!H$23,AND($C38="Bus",$D38="Average"),$E38*'PL '!H$24,AND($C38="Bus",$D38="Nearly full"),$E38*'PL '!H$25,AND($C38="Electric bus",$D38="Almost empty"),$E38*'PL '!H$7,AND($C38="Electric bus",$D38="Average"),$E38*'PL '!H$8,AND($C38="Electric bus",$D38="Nearly full"),$E38*'PL '!H$9,AND($C38="Diesel bus",$D38="Almost empty"),$E38*'PL '!H$19,AND($C38="Diesel bus",$D38="Average"),$E38*'PL '!H$20,AND($C38="Diesel bus",$D38="Nearly full"),$E38*'PL '!H$21,AND($C38="Hybrid-electric bus",$D38="Almost empty"),$E38*'PL '!H$11,AND($C38="Hybrid-electric bus",$D38="Average"),$E38*'PL '!H$12,AND($C38="Hybrid-electric bus",$D38="Nearly full"),$E38*'PL '!H$13,AND($C38="Alternative fuel bus",$D38="Almost empty"),$E38*'PL '!H$15,AND($C38="Alternative fuel bus",$D38="Average"),$E38*'PL '!H$16,AND($C38="Alternative fuel bus",$D38="Nearly full"),$E38*'PL '!H$17,AND($C38="Metro, tram, urban light train",$D38="Almost empty"),$E38*'PL '!C$35,AND($C38="Metro, tram, urban light train",$D38="Average"),$E38*'PL '!C$36,AND($C38="Metro, tram, urban light train",$D38="Nearly full"),$E38*'PL '!C$37,AND($C38="Electric passenger train",$D38="Almost empty"),$E38*'PL '!C$39,AND($C38="Electric passenger train",$D38="Average"),$E38*'PL '!C$40,AND($C38="Electric passenger train",$D38="Nearly full"),$E38*'PL '!C$41,AND($C38="Diesel passenger train",$D38="Almost empty"),$E38*'PL '!C$47,AND($C38="Diesel passenger train",$D38="Average"),$E38*'PL '!C$48,AND($C38="Diesel passenger train",$D38="Nearly full"),$E38*'PL '!C$49,AND($C38="Walking"),$E38*0,AND($C38="Bike"),$E38*0,AND($C38="Plane - domestic flight"),$E38*'PL '!$C62,AND($C38="Plane - international - intra EU"),$E38*'PL '!$C64,AND($C38="Plane - international (extra EU)"),$E38*'PL '!$C66)</f>
        <v>#N/A</v>
      </c>
      <c r="G38" s="31" t="e" cm="1">
        <f t="array" ref="G38">_xlfn.IFS(AND($C38="Fuel car",$D38=1),$E38*'PL '!D$7,AND($C38="Fuel car",$D38=2),$E38*'PL '!D$8,AND($C38="Fuel car",$D38=3),$E38*'PL '!D$9,AND($C38="Fuel car",$D38=4),$E38*'PL '!D$10,AND($C38="Fuel car",$D38=5),$E38*'PL '!D$11,AND($C38="Motorcycle",$D38=1),$E38*'PL '!D$13,AND($C38="Motorcycle",$D38=2),$E38*'PL '!D$14,AND($C38="Electric car",$D38=1),$E38*'PL '!D$16,AND($C38="Electric car",$D38=2),$E38*'PL '!D$17,AND($C38="Electric car",$D38=3),$E38*'PL '!D$18,AND($C38="Electric car",$D38=4),$E38*'PL '!D$19,AND($C38="Electric car",$D38=5),$E38*'PL '!D$20,AND($C38="Hybrid car",$D38=1),$E38*'PL '!D$22,AND($C38="Hybrid car",$D38=2),$E38*'PL '!D$23,AND($C38="Hybrid car",$D38=3),$E38*'PL '!D$24,AND($C38="Hybrid car",$D38=4),$E38*'PL '!D$25,AND($C38="Hybrid car",$D38=5),$E38*'PL '!D$26,AND($C38="Electric motorcycle",$D38=1),$E38*'PL '!D$28,AND($C38="Electric motorcycle",$D38=2),$E38*'PL '!D$29,AND($C38="Electric bike",$D38=1),$E38*'PL '!D$31,AND($C38="Electric scooter",$D38=1),$E38*'PL '!D$33,AND($C38="Bus",$D38="Almost empty"),$E38*'PL '!I$23,AND($C38="Bus",$D38="Average"),$E38*'PL '!I$24,AND($C38="Bus",$D38="Nearly full"),$E38*'PL '!I$25,AND($C38="Electric bus",$D38="Almost empty"),$E38*'PL '!I$7,AND($C38="Electric bus",$D38="Average"),$E38*'PL '!I$8,AND($C38="Electric bus",$D38="Nearly full"),$E38*'PL '!I$9,AND($C38="Diesel bus",$D38="Almost empty"),$E38*'PL '!I$19,AND($C38="Diesel bus",$D38="Average"),$E38*'PL '!I$20,AND($C38="Diesel bus",$D38="Nearly full"),$E38*'PL '!I$21,AND($C38="Hybrid-electric bus",$D38="Almost empty"),$E38*'PL '!I$11,AND($C38="Hybrid-electric bus",$D38="Average"),$E38*'PL '!I$12,AND($C38="Hybrid-electric bus",$D38="Nearly full"),$E38*'PL '!I$13,AND($C38="Alternative fuel bus",$D38="Almost empty"),$E38*'PL '!I$15,AND($C38="Alternative fuel bus",$D38="Average"),$E38*'PL '!I$16,AND($C38="Alternative fuel bus",$D38="Nearly full"),$E38*'PL '!I$17,AND($C38="Metro, tram, urban light train",$D38="Almost empty"),$E38*'PL '!D$35,AND($C38="Metro, tram, urban light train",$D38="Average"),$E38*'PL '!D$36,AND($C38="Metro, tram, urban light train",$D38="Nearly full"),$E38*'PL '!D$37,AND($C38="Electric passenger train",$D38="Almost empty"),$E38*'PL '!D$39,AND($C38="Electric passenger train",$D38="Average"),$E38*'PL '!D$40,AND($C38="Electric passenger train",$D38="Nearly full"),$E38*'PL '!D$41,AND($C38="Diesel passenger train",$D38="Almost empty"),$E38*'PL '!D$47,AND($C38="Diesel passenger train",$D38="Average"),$E38*'PL '!D$48,AND($C38="Diesel passenger train",$D38="Nearly full"),$E38*'PL '!D$49,AND($C38="Walking"),$E38*0,AND($C38="Bike"),$E38*0,AND($C38="Plane - domestic flight"),$E38*'PL '!$C62,AND($C38="Plane - international - intra EU"),$E38*'PL '!$C64,AND($C38="Plane - international (extra EU)"),$E38*'PL '!$C66)</f>
        <v>#N/A</v>
      </c>
      <c r="H38" s="145"/>
      <c r="I38" s="148">
        <f t="shared" si="6"/>
        <v>0</v>
      </c>
      <c r="J38" s="146" t="e" cm="1">
        <f t="array" ref="J38">_xlfn.IFS(C38="Fuel car",C38*DATA!$C$17,C38="Electric car",C38*DATA!$F$24,C38="Hybrid car",I38*(0.5*DATA!$C$17+0.5*DATA!$F$24))</f>
        <v>#N/A</v>
      </c>
      <c r="L38" s="218"/>
      <c r="M38" s="219"/>
      <c r="N38" s="220"/>
    </row>
    <row r="39" spans="1:14" ht="14.5" customHeight="1" x14ac:dyDescent="0.2">
      <c r="A39" s="222"/>
      <c r="B39" s="30"/>
      <c r="C39" s="15"/>
      <c r="D39" s="15"/>
      <c r="E39" s="125"/>
      <c r="F39" s="128" t="e" cm="1">
        <f t="array" ref="F39">_xlfn.IFS(AND($C39="Fuel car",$D39=1),$E39*'PL '!C$7,AND($C39="Fuel car",$D39=2),$E39*'PL '!C$8,AND($C39="Fuel car",$D39=3),$E39*'PL '!C$9,AND($C39="Fuel car",$D39=4),$E39*'PL '!C$10,AND($C39="Fuel car",$D39=5),$E39*'PL '!C$11,AND($C39="Motorcycle",$D39=1),$E39*'PL '!C$13,AND($C39="Motorcycle",$D39=2),$E39*'PL '!C$14,AND($C39="Electric car",$D39=1),$E39*'PL '!C$16,AND($C39="Electric car",$D39=2),$E39*'PL '!C$17,AND($C39="Electric car",$D39=3),$E39*'PL '!C$18,AND($C39="Electric car",$D39=4),$E39*'PL '!C$19,AND($C39="Electric car",$D39=5),$E39*'PL '!C$20,AND($C39="Hybrid car",$D39=1),$E39*'PL '!C$22,AND($C39="Hybrid car",$D39=2),$E39*'PL '!C$23,AND($C39="Hybrid car",$D39=3),$E39*'PL '!C$24,AND($C39="Hybrid car",$D39=4),$E39*'PL '!C$25,AND($C39="Hybrid car",$D39=5),$E39*'PL '!C$26,AND($C39="Electric motorcycle",$D39=1),$E39*'PL '!C$28,AND($C39="Electric motorcycle",$D39=2),$E39*'PL '!C$29,AND($C39="Electric bike",$D39=1),$E39*'PL '!C$31,AND($C39="Electric scooter",$D39=1),$E39*'PL '!C$33,AND($C39="Bus",$D39="Almost empty"),$E39*'PL '!H$23,AND($C39="Bus",$D39="Average"),$E39*'PL '!H$24,AND($C39="Bus",$D39="Nearly full"),$E39*'PL '!H$25,AND($C39="Electric bus",$D39="Almost empty"),$E39*'PL '!H$7,AND($C39="Electric bus",$D39="Average"),$E39*'PL '!H$8,AND($C39="Electric bus",$D39="Nearly full"),$E39*'PL '!H$9,AND($C39="Diesel bus",$D39="Almost empty"),$E39*'PL '!H$19,AND($C39="Diesel bus",$D39="Average"),$E39*'PL '!H$20,AND($C39="Diesel bus",$D39="Nearly full"),$E39*'PL '!H$21,AND($C39="Hybrid-electric bus",$D39="Almost empty"),$E39*'PL '!H$11,AND($C39="Hybrid-electric bus",$D39="Average"),$E39*'PL '!H$12,AND($C39="Hybrid-electric bus",$D39="Nearly full"),$E39*'PL '!H$13,AND($C39="Alternative fuel bus",$D39="Almost empty"),$E39*'PL '!H$15,AND($C39="Alternative fuel bus",$D39="Average"),$E39*'PL '!H$16,AND($C39="Alternative fuel bus",$D39="Nearly full"),$E39*'PL '!H$17,AND($C39="Metro, tram, urban light train",$D39="Almost empty"),$E39*'PL '!C$35,AND($C39="Metro, tram, urban light train",$D39="Average"),$E39*'PL '!C$36,AND($C39="Metro, tram, urban light train",$D39="Nearly full"),$E39*'PL '!C$37,AND($C39="Electric passenger train",$D39="Almost empty"),$E39*'PL '!C$39,AND($C39="Electric passenger train",$D39="Average"),$E39*'PL '!C$40,AND($C39="Electric passenger train",$D39="Nearly full"),$E39*'PL '!C$41,AND($C39="Diesel passenger train",$D39="Almost empty"),$E39*'PL '!C$47,AND($C39="Diesel passenger train",$D39="Average"),$E39*'PL '!C$48,AND($C39="Diesel passenger train",$D39="Nearly full"),$E39*'PL '!C$49,AND($C39="Walking"),$E39*0,AND($C39="Bike"),$E39*0,AND($C39="Plane - domestic flight"),$E39*'PL '!$C63,AND($C39="Plane - international - intra EU"),$E39*'PL '!$C65,AND($C39="Plane - international (extra EU)"),$E39*'PL '!$C67)</f>
        <v>#N/A</v>
      </c>
      <c r="G39" s="31" t="e" cm="1">
        <f t="array" ref="G39">_xlfn.IFS(AND($C39="Fuel car",$D39=1),$E39*'PL '!D$7,AND($C39="Fuel car",$D39=2),$E39*'PL '!D$8,AND($C39="Fuel car",$D39=3),$E39*'PL '!D$9,AND($C39="Fuel car",$D39=4),$E39*'PL '!D$10,AND($C39="Fuel car",$D39=5),$E39*'PL '!D$11,AND($C39="Motorcycle",$D39=1),$E39*'PL '!D$13,AND($C39="Motorcycle",$D39=2),$E39*'PL '!D$14,AND($C39="Electric car",$D39=1),$E39*'PL '!D$16,AND($C39="Electric car",$D39=2),$E39*'PL '!D$17,AND($C39="Electric car",$D39=3),$E39*'PL '!D$18,AND($C39="Electric car",$D39=4),$E39*'PL '!D$19,AND($C39="Electric car",$D39=5),$E39*'PL '!D$20,AND($C39="Hybrid car",$D39=1),$E39*'PL '!D$22,AND($C39="Hybrid car",$D39=2),$E39*'PL '!D$23,AND($C39="Hybrid car",$D39=3),$E39*'PL '!D$24,AND($C39="Hybrid car",$D39=4),$E39*'PL '!D$25,AND($C39="Hybrid car",$D39=5),$E39*'PL '!D$26,AND($C39="Electric motorcycle",$D39=1),$E39*'PL '!D$28,AND($C39="Electric motorcycle",$D39=2),$E39*'PL '!D$29,AND($C39="Electric bike",$D39=1),$E39*'PL '!D$31,AND($C39="Electric scooter",$D39=1),$E39*'PL '!D$33,AND($C39="Bus",$D39="Almost empty"),$E39*'PL '!I$23,AND($C39="Bus",$D39="Average"),$E39*'PL '!I$24,AND($C39="Bus",$D39="Nearly full"),$E39*'PL '!I$25,AND($C39="Electric bus",$D39="Almost empty"),$E39*'PL '!I$7,AND($C39="Electric bus",$D39="Average"),$E39*'PL '!I$8,AND($C39="Electric bus",$D39="Nearly full"),$E39*'PL '!I$9,AND($C39="Diesel bus",$D39="Almost empty"),$E39*'PL '!I$19,AND($C39="Diesel bus",$D39="Average"),$E39*'PL '!I$20,AND($C39="Diesel bus",$D39="Nearly full"),$E39*'PL '!I$21,AND($C39="Hybrid-electric bus",$D39="Almost empty"),$E39*'PL '!I$11,AND($C39="Hybrid-electric bus",$D39="Average"),$E39*'PL '!I$12,AND($C39="Hybrid-electric bus",$D39="Nearly full"),$E39*'PL '!I$13,AND($C39="Alternative fuel bus",$D39="Almost empty"),$E39*'PL '!I$15,AND($C39="Alternative fuel bus",$D39="Average"),$E39*'PL '!I$16,AND($C39="Alternative fuel bus",$D39="Nearly full"),$E39*'PL '!I$17,AND($C39="Metro, tram, urban light train",$D39="Almost empty"),$E39*'PL '!D$35,AND($C39="Metro, tram, urban light train",$D39="Average"),$E39*'PL '!D$36,AND($C39="Metro, tram, urban light train",$D39="Nearly full"),$E39*'PL '!D$37,AND($C39="Electric passenger train",$D39="Almost empty"),$E39*'PL '!D$39,AND($C39="Electric passenger train",$D39="Average"),$E39*'PL '!D$40,AND($C39="Electric passenger train",$D39="Nearly full"),$E39*'PL '!D$41,AND($C39="Diesel passenger train",$D39="Almost empty"),$E39*'PL '!D$47,AND($C39="Diesel passenger train",$D39="Average"),$E39*'PL '!D$48,AND($C39="Diesel passenger train",$D39="Nearly full"),$E39*'PL '!D$49,AND($C39="Walking"),$E39*0,AND($C39="Bike"),$E39*0,AND($C39="Plane - domestic flight"),$E39*'PL '!$C63,AND($C39="Plane - international - intra EU"),$E39*'PL '!$C65,AND($C39="Plane - international (extra EU)"),$E39*'PL '!$C67)</f>
        <v>#N/A</v>
      </c>
      <c r="H39" s="145"/>
      <c r="I39" s="148">
        <f t="shared" si="6"/>
        <v>0</v>
      </c>
      <c r="J39" s="146" t="e" cm="1">
        <f t="array" ref="J39">_xlfn.IFS(C39="Fuel car",C39*DATA!$C$17,C39="Electric car",C39*DATA!$F$24,C39="Hybrid car",I39*(0.5*DATA!$C$17+0.5*DATA!$F$24))</f>
        <v>#N/A</v>
      </c>
      <c r="L39" s="226" t="s">
        <v>80</v>
      </c>
      <c r="M39" s="227"/>
      <c r="N39" s="228"/>
    </row>
    <row r="40" spans="1:14" x14ac:dyDescent="0.2">
      <c r="A40" s="222"/>
      <c r="B40" s="30"/>
      <c r="C40" s="15"/>
      <c r="D40" s="15"/>
      <c r="E40" s="125"/>
      <c r="F40" s="128" t="e" cm="1">
        <f t="array" ref="F40">_xlfn.IFS(AND($C40="Fuel car",$D40=1),$E40*'PL '!C$7,AND($C40="Fuel car",$D40=2),$E40*'PL '!C$8,AND($C40="Fuel car",$D40=3),$E40*'PL '!C$9,AND($C40="Fuel car",$D40=4),$E40*'PL '!C$10,AND($C40="Fuel car",$D40=5),$E40*'PL '!C$11,AND($C40="Motorcycle",$D40=1),$E40*'PL '!C$13,AND($C40="Motorcycle",$D40=2),$E40*'PL '!C$14,AND($C40="Electric car",$D40=1),$E40*'PL '!C$16,AND($C40="Electric car",$D40=2),$E40*'PL '!C$17,AND($C40="Electric car",$D40=3),$E40*'PL '!C$18,AND($C40="Electric car",$D40=4),$E40*'PL '!C$19,AND($C40="Electric car",$D40=5),$E40*'PL '!C$20,AND($C40="Hybrid car",$D40=1),$E40*'PL '!C$22,AND($C40="Hybrid car",$D40=2),$E40*'PL '!C$23,AND($C40="Hybrid car",$D40=3),$E40*'PL '!C$24,AND($C40="Hybrid car",$D40=4),$E40*'PL '!C$25,AND($C40="Hybrid car",$D40=5),$E40*'PL '!C$26,AND($C40="Electric motorcycle",$D40=1),$E40*'PL '!C$28,AND($C40="Electric motorcycle",$D40=2),$E40*'PL '!C$29,AND($C40="Electric bike",$D40=1),$E40*'PL '!C$31,AND($C40="Electric scooter",$D40=1),$E40*'PL '!C$33,AND($C40="Bus",$D40="Almost empty"),$E40*'PL '!H$23,AND($C40="Bus",$D40="Average"),$E40*'PL '!H$24,AND($C40="Bus",$D40="Nearly full"),$E40*'PL '!H$25,AND($C40="Electric bus",$D40="Almost empty"),$E40*'PL '!H$7,AND($C40="Electric bus",$D40="Average"),$E40*'PL '!H$8,AND($C40="Electric bus",$D40="Nearly full"),$E40*'PL '!H$9,AND($C40="Diesel bus",$D40="Almost empty"),$E40*'PL '!H$19,AND($C40="Diesel bus",$D40="Average"),$E40*'PL '!H$20,AND($C40="Diesel bus",$D40="Nearly full"),$E40*'PL '!H$21,AND($C40="Hybrid-electric bus",$D40="Almost empty"),$E40*'PL '!H$11,AND($C40="Hybrid-electric bus",$D40="Average"),$E40*'PL '!H$12,AND($C40="Hybrid-electric bus",$D40="Nearly full"),$E40*'PL '!H$13,AND($C40="Alternative fuel bus",$D40="Almost empty"),$E40*'PL '!H$15,AND($C40="Alternative fuel bus",$D40="Average"),$E40*'PL '!H$16,AND($C40="Alternative fuel bus",$D40="Nearly full"),$E40*'PL '!H$17,AND($C40="Metro, tram, urban light train",$D40="Almost empty"),$E40*'PL '!C$35,AND($C40="Metro, tram, urban light train",$D40="Average"),$E40*'PL '!C$36,AND($C40="Metro, tram, urban light train",$D40="Nearly full"),$E40*'PL '!C$37,AND($C40="Electric passenger train",$D40="Almost empty"),$E40*'PL '!C$39,AND($C40="Electric passenger train",$D40="Average"),$E40*'PL '!C$40,AND($C40="Electric passenger train",$D40="Nearly full"),$E40*'PL '!C$41,AND($C40="Diesel passenger train",$D40="Almost empty"),$E40*'PL '!C$47,AND($C40="Diesel passenger train",$D40="Average"),$E40*'PL '!C$48,AND($C40="Diesel passenger train",$D40="Nearly full"),$E40*'PL '!C$49,AND($C40="Walking"),$E40*0,AND($C40="Bike"),$E40*0,AND($C40="Plane - domestic flight"),$E40*'PL '!$C64,AND($C40="Plane - international - intra EU"),$E40*'PL '!$C66,AND($C40="Plane - international (extra EU)"),$E40*'PL '!$C68)</f>
        <v>#N/A</v>
      </c>
      <c r="G40" s="31" t="e" cm="1">
        <f t="array" ref="G40">_xlfn.IFS(AND($C40="Fuel car",$D40=1),$E40*'PL '!D$7,AND($C40="Fuel car",$D40=2),$E40*'PL '!D$8,AND($C40="Fuel car",$D40=3),$E40*'PL '!D$9,AND($C40="Fuel car",$D40=4),$E40*'PL '!D$10,AND($C40="Fuel car",$D40=5),$E40*'PL '!D$11,AND($C40="Motorcycle",$D40=1),$E40*'PL '!D$13,AND($C40="Motorcycle",$D40=2),$E40*'PL '!D$14,AND($C40="Electric car",$D40=1),$E40*'PL '!D$16,AND($C40="Electric car",$D40=2),$E40*'PL '!D$17,AND($C40="Electric car",$D40=3),$E40*'PL '!D$18,AND($C40="Electric car",$D40=4),$E40*'PL '!D$19,AND($C40="Electric car",$D40=5),$E40*'PL '!D$20,AND($C40="Hybrid car",$D40=1),$E40*'PL '!D$22,AND($C40="Hybrid car",$D40=2),$E40*'PL '!D$23,AND($C40="Hybrid car",$D40=3),$E40*'PL '!D$24,AND($C40="Hybrid car",$D40=4),$E40*'PL '!D$25,AND($C40="Hybrid car",$D40=5),$E40*'PL '!D$26,AND($C40="Electric motorcycle",$D40=1),$E40*'PL '!D$28,AND($C40="Electric motorcycle",$D40=2),$E40*'PL '!D$29,AND($C40="Electric bike",$D40=1),$E40*'PL '!D$31,AND($C40="Electric scooter",$D40=1),$E40*'PL '!D$33,AND($C40="Bus",$D40="Almost empty"),$E40*'PL '!I$23,AND($C40="Bus",$D40="Average"),$E40*'PL '!I$24,AND($C40="Bus",$D40="Nearly full"),$E40*'PL '!I$25,AND($C40="Electric bus",$D40="Almost empty"),$E40*'PL '!I$7,AND($C40="Electric bus",$D40="Average"),$E40*'PL '!I$8,AND($C40="Electric bus",$D40="Nearly full"),$E40*'PL '!I$9,AND($C40="Diesel bus",$D40="Almost empty"),$E40*'PL '!I$19,AND($C40="Diesel bus",$D40="Average"),$E40*'PL '!I$20,AND($C40="Diesel bus",$D40="Nearly full"),$E40*'PL '!I$21,AND($C40="Hybrid-electric bus",$D40="Almost empty"),$E40*'PL '!I$11,AND($C40="Hybrid-electric bus",$D40="Average"),$E40*'PL '!I$12,AND($C40="Hybrid-electric bus",$D40="Nearly full"),$E40*'PL '!I$13,AND($C40="Alternative fuel bus",$D40="Almost empty"),$E40*'PL '!I$15,AND($C40="Alternative fuel bus",$D40="Average"),$E40*'PL '!I$16,AND($C40="Alternative fuel bus",$D40="Nearly full"),$E40*'PL '!I$17,AND($C40="Metro, tram, urban light train",$D40="Almost empty"),$E40*'PL '!D$35,AND($C40="Metro, tram, urban light train",$D40="Average"),$E40*'PL '!D$36,AND($C40="Metro, tram, urban light train",$D40="Nearly full"),$E40*'PL '!D$37,AND($C40="Electric passenger train",$D40="Almost empty"),$E40*'PL '!D$39,AND($C40="Electric passenger train",$D40="Average"),$E40*'PL '!D$40,AND($C40="Electric passenger train",$D40="Nearly full"),$E40*'PL '!D$41,AND($C40="Diesel passenger train",$D40="Almost empty"),$E40*'PL '!D$47,AND($C40="Diesel passenger train",$D40="Average"),$E40*'PL '!D$48,AND($C40="Diesel passenger train",$D40="Nearly full"),$E40*'PL '!D$49,AND($C40="Walking"),$E40*0,AND($C40="Bike"),$E40*0,AND($C40="Plane - domestic flight"),$E40*'PL '!$C64,AND($C40="Plane - international - intra EU"),$E40*'PL '!$C66,AND($C40="Plane - international (extra EU)"),$E40*'PL '!$C68)</f>
        <v>#N/A</v>
      </c>
      <c r="H40" s="145"/>
      <c r="I40" s="148">
        <f t="shared" si="6"/>
        <v>0</v>
      </c>
      <c r="J40" s="146" t="e" cm="1">
        <f t="array" ref="J40">_xlfn.IFS(C40="Fuel car",C40*DATA!$C$17,C40="Electric car",C40*DATA!$F$24,C40="Hybrid car",I40*(0.5*DATA!$C$17+0.5*DATA!$F$24))</f>
        <v>#N/A</v>
      </c>
      <c r="L40" s="229"/>
      <c r="M40" s="230"/>
      <c r="N40" s="231"/>
    </row>
    <row r="41" spans="1:14" ht="14.5" customHeight="1" x14ac:dyDescent="0.2">
      <c r="A41" s="222"/>
      <c r="B41" s="30"/>
      <c r="C41" s="15"/>
      <c r="D41" s="15"/>
      <c r="E41" s="125"/>
      <c r="F41" s="128" t="e" cm="1">
        <f t="array" ref="F41">_xlfn.IFS(AND($C41="Fuel car",$D41=1),$E41*'PL '!C$7,AND($C41="Fuel car",$D41=2),$E41*'PL '!C$8,AND($C41="Fuel car",$D41=3),$E41*'PL '!C$9,AND($C41="Fuel car",$D41=4),$E41*'PL '!C$10,AND($C41="Fuel car",$D41=5),$E41*'PL '!C$11,AND($C41="Motorcycle",$D41=1),$E41*'PL '!C$13,AND($C41="Motorcycle",$D41=2),$E41*'PL '!C$14,AND($C41="Electric car",$D41=1),$E41*'PL '!C$16,AND($C41="Electric car",$D41=2),$E41*'PL '!C$17,AND($C41="Electric car",$D41=3),$E41*'PL '!C$18,AND($C41="Electric car",$D41=4),$E41*'PL '!C$19,AND($C41="Electric car",$D41=5),$E41*'PL '!C$20,AND($C41="Hybrid car",$D41=1),$E41*'PL '!C$22,AND($C41="Hybrid car",$D41=2),$E41*'PL '!C$23,AND($C41="Hybrid car",$D41=3),$E41*'PL '!C$24,AND($C41="Hybrid car",$D41=4),$E41*'PL '!C$25,AND($C41="Hybrid car",$D41=5),$E41*'PL '!C$26,AND($C41="Electric motorcycle",$D41=1),$E41*'PL '!C$28,AND($C41="Electric motorcycle",$D41=2),$E41*'PL '!C$29,AND($C41="Electric bike",$D41=1),$E41*'PL '!C$31,AND($C41="Electric scooter",$D41=1),$E41*'PL '!C$33,AND($C41="Bus",$D41="Almost empty"),$E41*'PL '!H$23,AND($C41="Bus",$D41="Average"),$E41*'PL '!H$24,AND($C41="Bus",$D41="Nearly full"),$E41*'PL '!H$25,AND($C41="Electric bus",$D41="Almost empty"),$E41*'PL '!H$7,AND($C41="Electric bus",$D41="Average"),$E41*'PL '!H$8,AND($C41="Electric bus",$D41="Nearly full"),$E41*'PL '!H$9,AND($C41="Diesel bus",$D41="Almost empty"),$E41*'PL '!H$19,AND($C41="Diesel bus",$D41="Average"),$E41*'PL '!H$20,AND($C41="Diesel bus",$D41="Nearly full"),$E41*'PL '!H$21,AND($C41="Hybrid-electric bus",$D41="Almost empty"),$E41*'PL '!H$11,AND($C41="Hybrid-electric bus",$D41="Average"),$E41*'PL '!H$12,AND($C41="Hybrid-electric bus",$D41="Nearly full"),$E41*'PL '!H$13,AND($C41="Alternative fuel bus",$D41="Almost empty"),$E41*'PL '!H$15,AND($C41="Alternative fuel bus",$D41="Average"),$E41*'PL '!H$16,AND($C41="Alternative fuel bus",$D41="Nearly full"),$E41*'PL '!H$17,AND($C41="Metro, tram, urban light train",$D41="Almost empty"),$E41*'PL '!C$35,AND($C41="Metro, tram, urban light train",$D41="Average"),$E41*'PL '!C$36,AND($C41="Metro, tram, urban light train",$D41="Nearly full"),$E41*'PL '!C$37,AND($C41="Electric passenger train",$D41="Almost empty"),$E41*'PL '!C$39,AND($C41="Electric passenger train",$D41="Average"),$E41*'PL '!C$40,AND($C41="Electric passenger train",$D41="Nearly full"),$E41*'PL '!C$41,AND($C41="Diesel passenger train",$D41="Almost empty"),$E41*'PL '!C$47,AND($C41="Diesel passenger train",$D41="Average"),$E41*'PL '!C$48,AND($C41="Diesel passenger train",$D41="Nearly full"),$E41*'PL '!C$49,AND($C41="Walking"),$E41*0,AND($C41="Bike"),$E41*0,AND($C41="Plane - domestic flight"),$E41*'PL '!$C65,AND($C41="Plane - international - intra EU"),$E41*'PL '!$C67,AND($C41="Plane - international (extra EU)"),$E41*'PL '!$C69)</f>
        <v>#N/A</v>
      </c>
      <c r="G41" s="31" t="e" cm="1">
        <f t="array" ref="G41">_xlfn.IFS(AND($C41="Fuel car",$D41=1),$E41*'PL '!D$7,AND($C41="Fuel car",$D41=2),$E41*'PL '!D$8,AND($C41="Fuel car",$D41=3),$E41*'PL '!D$9,AND($C41="Fuel car",$D41=4),$E41*'PL '!D$10,AND($C41="Fuel car",$D41=5),$E41*'PL '!D$11,AND($C41="Motorcycle",$D41=1),$E41*'PL '!D$13,AND($C41="Motorcycle",$D41=2),$E41*'PL '!D$14,AND($C41="Electric car",$D41=1),$E41*'PL '!D$16,AND($C41="Electric car",$D41=2),$E41*'PL '!D$17,AND($C41="Electric car",$D41=3),$E41*'PL '!D$18,AND($C41="Electric car",$D41=4),$E41*'PL '!D$19,AND($C41="Electric car",$D41=5),$E41*'PL '!D$20,AND($C41="Hybrid car",$D41=1),$E41*'PL '!D$22,AND($C41="Hybrid car",$D41=2),$E41*'PL '!D$23,AND($C41="Hybrid car",$D41=3),$E41*'PL '!D$24,AND($C41="Hybrid car",$D41=4),$E41*'PL '!D$25,AND($C41="Hybrid car",$D41=5),$E41*'PL '!D$26,AND($C41="Electric motorcycle",$D41=1),$E41*'PL '!D$28,AND($C41="Electric motorcycle",$D41=2),$E41*'PL '!D$29,AND($C41="Electric bike",$D41=1),$E41*'PL '!D$31,AND($C41="Electric scooter",$D41=1),$E41*'PL '!D$33,AND($C41="Bus",$D41="Almost empty"),$E41*'PL '!I$23,AND($C41="Bus",$D41="Average"),$E41*'PL '!I$24,AND($C41="Bus",$D41="Nearly full"),$E41*'PL '!I$25,AND($C41="Electric bus",$D41="Almost empty"),$E41*'PL '!I$7,AND($C41="Electric bus",$D41="Average"),$E41*'PL '!I$8,AND($C41="Electric bus",$D41="Nearly full"),$E41*'PL '!I$9,AND($C41="Diesel bus",$D41="Almost empty"),$E41*'PL '!I$19,AND($C41="Diesel bus",$D41="Average"),$E41*'PL '!I$20,AND($C41="Diesel bus",$D41="Nearly full"),$E41*'PL '!I$21,AND($C41="Hybrid-electric bus",$D41="Almost empty"),$E41*'PL '!I$11,AND($C41="Hybrid-electric bus",$D41="Average"),$E41*'PL '!I$12,AND($C41="Hybrid-electric bus",$D41="Nearly full"),$E41*'PL '!I$13,AND($C41="Alternative fuel bus",$D41="Almost empty"),$E41*'PL '!I$15,AND($C41="Alternative fuel bus",$D41="Average"),$E41*'PL '!I$16,AND($C41="Alternative fuel bus",$D41="Nearly full"),$E41*'PL '!I$17,AND($C41="Metro, tram, urban light train",$D41="Almost empty"),$E41*'PL '!D$35,AND($C41="Metro, tram, urban light train",$D41="Average"),$E41*'PL '!D$36,AND($C41="Metro, tram, urban light train",$D41="Nearly full"),$E41*'PL '!D$37,AND($C41="Electric passenger train",$D41="Almost empty"),$E41*'PL '!D$39,AND($C41="Electric passenger train",$D41="Average"),$E41*'PL '!D$40,AND($C41="Electric passenger train",$D41="Nearly full"),$E41*'PL '!D$41,AND($C41="Diesel passenger train",$D41="Almost empty"),$E41*'PL '!D$47,AND($C41="Diesel passenger train",$D41="Average"),$E41*'PL '!D$48,AND($C41="Diesel passenger train",$D41="Nearly full"),$E41*'PL '!D$49,AND($C41="Walking"),$E41*0,AND($C41="Bike"),$E41*0,AND($C41="Plane - domestic flight"),$E41*'PL '!$C65,AND($C41="Plane - international - intra EU"),$E41*'PL '!$C67,AND($C41="Plane - international (extra EU)"),$E41*'PL '!$C69)</f>
        <v>#N/A</v>
      </c>
      <c r="H41" s="145"/>
      <c r="I41" s="148">
        <f t="shared" si="6"/>
        <v>0</v>
      </c>
      <c r="J41" s="146" t="e" cm="1">
        <f t="array" ref="J41">_xlfn.IFS(C41="Fuel car",C41*DATA!$C$17,C41="Electric car",C41*DATA!$F$24,C41="Hybrid car",I41*(0.5*DATA!$C$17+0.5*DATA!$F$24))</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car",$D42=1),$E42*'PL '!C$7,AND($C42="Fuel car",$D42=2),$E42*'PL '!C$8,AND($C42="Fuel car",$D42=3),$E42*'PL '!C$9,AND($C42="Fuel car",$D42=4),$E42*'PL '!C$10,AND($C42="Fuel car",$D42=5),$E42*'PL '!C$11,AND($C42="Motorcycle",$D42=1),$E42*'PL '!C$13,AND($C42="Motorcycle",$D42=2),$E42*'PL '!C$14,AND($C42="Electric car",$D42=1),$E42*'PL '!C$16,AND($C42="Electric car",$D42=2),$E42*'PL '!C$17,AND($C42="Electric car",$D42=3),$E42*'PL '!C$18,AND($C42="Electric car",$D42=4),$E42*'PL '!C$19,AND($C42="Electric car",$D42=5),$E42*'PL '!C$20,AND($C42="Hybrid car",$D42=1),$E42*'PL '!C$22,AND($C42="Hybrid car",$D42=2),$E42*'PL '!C$23,AND($C42="Hybrid car",$D42=3),$E42*'PL '!C$24,AND($C42="Hybrid car",$D42=4),$E42*'PL '!C$25,AND($C42="Hybrid car",$D42=5),$E42*'PL '!C$26,AND($C42="Electric motorcycle",$D42=1),$E42*'PL '!C$28,AND($C42="Electric motorcycle",$D42=2),$E42*'PL '!C$29,AND($C42="Electric bike",$D42=1),$E42*'PL '!C$31,AND($C42="Electric scooter",$D42=1),$E42*'PL '!C$33,AND($C42="Bus",$D42="Almost empty"),$E42*'PL '!H$23,AND($C42="Bus",$D42="Average"),$E42*'PL '!H$24,AND($C42="Bus",$D42="Nearly full"),$E42*'PL '!H$25,AND($C42="Electric bus",$D42="Almost empty"),$E42*'PL '!H$7,AND($C42="Electric bus",$D42="Average"),$E42*'PL '!H$8,AND($C42="Electric bus",$D42="Nearly full"),$E42*'PL '!H$9,AND($C42="Diesel bus",$D42="Almost empty"),$E42*'PL '!H$19,AND($C42="Diesel bus",$D42="Average"),$E42*'PL '!H$20,AND($C42="Diesel bus",$D42="Nearly full"),$E42*'PL '!H$21,AND($C42="Hybrid-electric bus",$D42="Almost empty"),$E42*'PL '!H$11,AND($C42="Hybrid-electric bus",$D42="Average"),$E42*'PL '!H$12,AND($C42="Hybrid-electric bus",$D42="Nearly full"),$E42*'PL '!H$13,AND($C42="Alternative fuel bus",$D42="Almost empty"),$E42*'PL '!H$15,AND($C42="Alternative fuel bus",$D42="Average"),$E42*'PL '!H$16,AND($C42="Alternative fuel bus",$D42="Nearly full"),$E42*'PL '!H$17,AND($C42="Metro, tram, urban light train",$D42="Almost empty"),$E42*'PL '!C$35,AND($C42="Metro, tram, urban light train",$D42="Average"),$E42*'PL '!C$36,AND($C42="Metro, tram, urban light train",$D42="Nearly full"),$E42*'PL '!C$37,AND($C42="Electric passenger train",$D42="Almost empty"),$E42*'PL '!C$39,AND($C42="Electric passenger train",$D42="Average"),$E42*'PL '!C$40,AND($C42="Electric passenger train",$D42="Nearly full"),$E42*'PL '!C$41,AND($C42="Diesel passenger train",$D42="Almost empty"),$E42*'PL '!C$47,AND($C42="Diesel passenger train",$D42="Average"),$E42*'PL '!C$48,AND($C42="Diesel passenger train",$D42="Nearly full"),$E42*'PL '!C$49,AND($C42="Walking"),$E42*0,AND($C42="Bike"),$E42*0,AND($C42="Plane - domestic flight"),$E42*'PL '!$C66,AND($C42="Plane - international - intra EU"),$E42*'PL '!$C68,AND($C42="Plane - international (extra EU)"),$E42*'PL '!$C70)</f>
        <v>#N/A</v>
      </c>
      <c r="G42" s="31" t="e" cm="1">
        <f t="array" ref="G42">_xlfn.IFS(AND($C42="Fuel car",$D42=1),$E42*'PL '!D$7,AND($C42="Fuel car",$D42=2),$E42*'PL '!D$8,AND($C42="Fuel car",$D42=3),$E42*'PL '!D$9,AND($C42="Fuel car",$D42=4),$E42*'PL '!D$10,AND($C42="Fuel car",$D42=5),$E42*'PL '!D$11,AND($C42="Motorcycle",$D42=1),$E42*'PL '!D$13,AND($C42="Motorcycle",$D42=2),$E42*'PL '!D$14,AND($C42="Electric car",$D42=1),$E42*'PL '!D$16,AND($C42="Electric car",$D42=2),$E42*'PL '!D$17,AND($C42="Electric car",$D42=3),$E42*'PL '!D$18,AND($C42="Electric car",$D42=4),$E42*'PL '!D$19,AND($C42="Electric car",$D42=5),$E42*'PL '!D$20,AND($C42="Hybrid car",$D42=1),$E42*'PL '!D$22,AND($C42="Hybrid car",$D42=2),$E42*'PL '!D$23,AND($C42="Hybrid car",$D42=3),$E42*'PL '!D$24,AND($C42="Hybrid car",$D42=4),$E42*'PL '!D$25,AND($C42="Hybrid car",$D42=5),$E42*'PL '!D$26,AND($C42="Electric motorcycle",$D42=1),$E42*'PL '!D$28,AND($C42="Electric motorcycle",$D42=2),$E42*'PL '!D$29,AND($C42="Electric bike",$D42=1),$E42*'PL '!D$31,AND($C42="Electric scooter",$D42=1),$E42*'PL '!D$33,AND($C42="Bus",$D42="Almost empty"),$E42*'PL '!I$23,AND($C42="Bus",$D42="Average"),$E42*'PL '!I$24,AND($C42="Bus",$D42="Nearly full"),$E42*'PL '!I$25,AND($C42="Electric bus",$D42="Almost empty"),$E42*'PL '!I$7,AND($C42="Electric bus",$D42="Average"),$E42*'PL '!I$8,AND($C42="Electric bus",$D42="Nearly full"),$E42*'PL '!I$9,AND($C42="Diesel bus",$D42="Almost empty"),$E42*'PL '!I$19,AND($C42="Diesel bus",$D42="Average"),$E42*'PL '!I$20,AND($C42="Diesel bus",$D42="Nearly full"),$E42*'PL '!I$21,AND($C42="Hybrid-electric bus",$D42="Almost empty"),$E42*'PL '!I$11,AND($C42="Hybrid-electric bus",$D42="Average"),$E42*'PL '!I$12,AND($C42="Hybrid-electric bus",$D42="Nearly full"),$E42*'PL '!I$13,AND($C42="Alternative fuel bus",$D42="Almost empty"),$E42*'PL '!I$15,AND($C42="Alternative fuel bus",$D42="Average"),$E42*'PL '!I$16,AND($C42="Alternative fuel bus",$D42="Nearly full"),$E42*'PL '!I$17,AND($C42="Metro, tram, urban light train",$D42="Almost empty"),$E42*'PL '!D$35,AND($C42="Metro, tram, urban light train",$D42="Average"),$E42*'PL '!D$36,AND($C42="Metro, tram, urban light train",$D42="Nearly full"),$E42*'PL '!D$37,AND($C42="Electric passenger train",$D42="Almost empty"),$E42*'PL '!D$39,AND($C42="Electric passenger train",$D42="Average"),$E42*'PL '!D$40,AND($C42="Electric passenger train",$D42="Nearly full"),$E42*'PL '!D$41,AND($C42="Diesel passenger train",$D42="Almost empty"),$E42*'PL '!D$47,AND($C42="Diesel passenger train",$D42="Average"),$E42*'PL '!D$48,AND($C42="Diesel passenger train",$D42="Nearly full"),$E42*'PL '!D$49,AND($C42="Walking"),$E42*0,AND($C42="Bike"),$E42*0,AND($C42="Plane - domestic flight"),$E42*'PL '!$C66,AND($C42="Plane - international - intra EU"),$E42*'PL '!$C68,AND($C42="Plane - international (extra EU)"),$E42*'PL '!$C70)</f>
        <v>#N/A</v>
      </c>
      <c r="H42" s="145"/>
      <c r="I42" s="148">
        <f t="shared" si="6"/>
        <v>0</v>
      </c>
      <c r="J42" s="146" t="e" cm="1">
        <f t="array" ref="J42">_xlfn.IFS(C42="Fuel car",C42*DATA!$C$17,C42="Electric car",C42*DATA!$F$24,C42="Hybrid car",I42*(0.5*DATA!$C$17+0.5*DATA!$F$24))</f>
        <v>#N/A</v>
      </c>
      <c r="L42" s="235"/>
      <c r="M42" s="236"/>
      <c r="N42" s="237"/>
    </row>
    <row r="43" spans="1:14" ht="14.5" customHeight="1" thickBot="1" x14ac:dyDescent="0.25">
      <c r="A43" s="222"/>
      <c r="B43" s="30"/>
      <c r="C43" s="15"/>
      <c r="D43" s="15"/>
      <c r="E43" s="125"/>
      <c r="F43" s="128" t="e" cm="1">
        <f t="array" ref="F43">_xlfn.IFS(AND($C43="Fuel car",$D43=1),$E43*'PL '!C$7,AND($C43="Fuel car",$D43=2),$E43*'PL '!C$8,AND($C43="Fuel car",$D43=3),$E43*'PL '!C$9,AND($C43="Fuel car",$D43=4),$E43*'PL '!C$10,AND($C43="Fuel car",$D43=5),$E43*'PL '!C$11,AND($C43="Motorcycle",$D43=1),$E43*'PL '!C$13,AND($C43="Motorcycle",$D43=2),$E43*'PL '!C$14,AND($C43="Electric car",$D43=1),$E43*'PL '!C$16,AND($C43="Electric car",$D43=2),$E43*'PL '!C$17,AND($C43="Electric car",$D43=3),$E43*'PL '!C$18,AND($C43="Electric car",$D43=4),$E43*'PL '!C$19,AND($C43="Electric car",$D43=5),$E43*'PL '!C$20,AND($C43="Hybrid car",$D43=1),$E43*'PL '!C$22,AND($C43="Hybrid car",$D43=2),$E43*'PL '!C$23,AND($C43="Hybrid car",$D43=3),$E43*'PL '!C$24,AND($C43="Hybrid car",$D43=4),$E43*'PL '!C$25,AND($C43="Hybrid car",$D43=5),$E43*'PL '!C$26,AND($C43="Electric motorcycle",$D43=1),$E43*'PL '!C$28,AND($C43="Electric motorcycle",$D43=2),$E43*'PL '!C$29,AND($C43="Electric bike",$D43=1),$E43*'PL '!C$31,AND($C43="Electric scooter",$D43=1),$E43*'PL '!C$33,AND($C43="Bus",$D43="Almost empty"),$E43*'PL '!H$23,AND($C43="Bus",$D43="Average"),$E43*'PL '!H$24,AND($C43="Bus",$D43="Nearly full"),$E43*'PL '!H$25,AND($C43="Electric bus",$D43="Almost empty"),$E43*'PL '!H$7,AND($C43="Electric bus",$D43="Average"),$E43*'PL '!H$8,AND($C43="Electric bus",$D43="Nearly full"),$E43*'PL '!H$9,AND($C43="Diesel bus",$D43="Almost empty"),$E43*'PL '!H$19,AND($C43="Diesel bus",$D43="Average"),$E43*'PL '!H$20,AND($C43="Diesel bus",$D43="Nearly full"),$E43*'PL '!H$21,AND($C43="Hybrid-electric bus",$D43="Almost empty"),$E43*'PL '!H$11,AND($C43="Hybrid-electric bus",$D43="Average"),$E43*'PL '!H$12,AND($C43="Hybrid-electric bus",$D43="Nearly full"),$E43*'PL '!H$13,AND($C43="Alternative fuel bus",$D43="Almost empty"),$E43*'PL '!H$15,AND($C43="Alternative fuel bus",$D43="Average"),$E43*'PL '!H$16,AND($C43="Alternative fuel bus",$D43="Nearly full"),$E43*'PL '!H$17,AND($C43="Metro, tram, urban light train",$D43="Almost empty"),$E43*'PL '!C$35,AND($C43="Metro, tram, urban light train",$D43="Average"),$E43*'PL '!C$36,AND($C43="Metro, tram, urban light train",$D43="Nearly full"),$E43*'PL '!C$37,AND($C43="Electric passenger train",$D43="Almost empty"),$E43*'PL '!C$39,AND($C43="Electric passenger train",$D43="Average"),$E43*'PL '!C$40,AND($C43="Electric passenger train",$D43="Nearly full"),$E43*'PL '!C$41,AND($C43="Diesel passenger train",$D43="Almost empty"),$E43*'PL '!C$47,AND($C43="Diesel passenger train",$D43="Average"),$E43*'PL '!C$48,AND($C43="Diesel passenger train",$D43="Nearly full"),$E43*'PL '!C$49,AND($C43="Walking"),$E43*0,AND($C43="Bike"),$E43*0,AND($C43="Plane - domestic flight"),$E43*'PL '!$C67,AND($C43="Plane - international - intra EU"),$E43*'PL '!$C69,AND($C43="Plane - international (extra EU)"),$E43*'PL '!$C71)</f>
        <v>#N/A</v>
      </c>
      <c r="G43" s="31" t="e" cm="1">
        <f t="array" ref="G43">_xlfn.IFS(AND($C43="Fuel car",$D43=1),$E43*'PL '!D$7,AND($C43="Fuel car",$D43=2),$E43*'PL '!D$8,AND($C43="Fuel car",$D43=3),$E43*'PL '!D$9,AND($C43="Fuel car",$D43=4),$E43*'PL '!D$10,AND($C43="Fuel car",$D43=5),$E43*'PL '!D$11,AND($C43="Motorcycle",$D43=1),$E43*'PL '!D$13,AND($C43="Motorcycle",$D43=2),$E43*'PL '!D$14,AND($C43="Electric car",$D43=1),$E43*'PL '!D$16,AND($C43="Electric car",$D43=2),$E43*'PL '!D$17,AND($C43="Electric car",$D43=3),$E43*'PL '!D$18,AND($C43="Electric car",$D43=4),$E43*'PL '!D$19,AND($C43="Electric car",$D43=5),$E43*'PL '!D$20,AND($C43="Hybrid car",$D43=1),$E43*'PL '!D$22,AND($C43="Hybrid car",$D43=2),$E43*'PL '!D$23,AND($C43="Hybrid car",$D43=3),$E43*'PL '!D$24,AND($C43="Hybrid car",$D43=4),$E43*'PL '!D$25,AND($C43="Hybrid car",$D43=5),$E43*'PL '!D$26,AND($C43="Electric motorcycle",$D43=1),$E43*'PL '!D$28,AND($C43="Electric motorcycle",$D43=2),$E43*'PL '!D$29,AND($C43="Electric bike",$D43=1),$E43*'PL '!D$31,AND($C43="Electric scooter",$D43=1),$E43*'PL '!D$33,AND($C43="Bus",$D43="Almost empty"),$E43*'PL '!I$23,AND($C43="Bus",$D43="Average"),$E43*'PL '!I$24,AND($C43="Bus",$D43="Nearly full"),$E43*'PL '!I$25,AND($C43="Electric bus",$D43="Almost empty"),$E43*'PL '!I$7,AND($C43="Electric bus",$D43="Average"),$E43*'PL '!I$8,AND($C43="Electric bus",$D43="Nearly full"),$E43*'PL '!I$9,AND($C43="Diesel bus",$D43="Almost empty"),$E43*'PL '!I$19,AND($C43="Diesel bus",$D43="Average"),$E43*'PL '!I$20,AND($C43="Diesel bus",$D43="Nearly full"),$E43*'PL '!I$21,AND($C43="Hybrid-electric bus",$D43="Almost empty"),$E43*'PL '!I$11,AND($C43="Hybrid-electric bus",$D43="Average"),$E43*'PL '!I$12,AND($C43="Hybrid-electric bus",$D43="Nearly full"),$E43*'PL '!I$13,AND($C43="Alternative fuel bus",$D43="Almost empty"),$E43*'PL '!I$15,AND($C43="Alternative fuel bus",$D43="Average"),$E43*'PL '!I$16,AND($C43="Alternative fuel bus",$D43="Nearly full"),$E43*'PL '!I$17,AND($C43="Metro, tram, urban light train",$D43="Almost empty"),$E43*'PL '!D$35,AND($C43="Metro, tram, urban light train",$D43="Average"),$E43*'PL '!D$36,AND($C43="Metro, tram, urban light train",$D43="Nearly full"),$E43*'PL '!D$37,AND($C43="Electric passenger train",$D43="Almost empty"),$E43*'PL '!D$39,AND($C43="Electric passenger train",$D43="Average"),$E43*'PL '!D$40,AND($C43="Electric passenger train",$D43="Nearly full"),$E43*'PL '!D$41,AND($C43="Diesel passenger train",$D43="Almost empty"),$E43*'PL '!D$47,AND($C43="Diesel passenger train",$D43="Average"),$E43*'PL '!D$48,AND($C43="Diesel passenger train",$D43="Nearly full"),$E43*'PL '!D$49,AND($C43="Walking"),$E43*0,AND($C43="Bike"),$E43*0,AND($C43="Plane - domestic flight"),$E43*'PL '!$C67,AND($C43="Plane - international - intra EU"),$E43*'PL '!$C69,AND($C43="Plane - international (extra EU)"),$E43*'PL '!$C71)</f>
        <v>#N/A</v>
      </c>
      <c r="H43" s="109"/>
      <c r="I43" s="154">
        <f t="shared" si="6"/>
        <v>0</v>
      </c>
      <c r="J43" s="147" t="e" cm="1">
        <f t="array" ref="J43">_xlfn.IFS(C43="Fuel car",C43*DATA!$C$17,C43="Electric car",C43*DATA!$F$24,C43="Hybrid car",I43*(0.5*DATA!$C$17+0.5*DATA!$F$24))</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car",$D44=1),$E44*'PL '!C$7,AND($C44="Fuel car",$D44=2),$E44*'PL '!C$8,AND($C44="Fuel car",$D44=3),$E44*'PL '!C$9,AND($C44="Fuel car",$D44=4),$E44*'PL '!C$10,AND($C44="Fuel car",$D44=5),$E44*'PL '!C$11,AND($C44="Motorcycle",$D44=1),$E44*'PL '!C$13,AND($C44="Motorcycle",$D44=2),$E44*'PL '!C$14,AND($C44="Electric car",$D44=1),$E44*'PL '!C$16,AND($C44="Electric car",$D44=2),$E44*'PL '!C$17,AND($C44="Electric car",$D44=3),$E44*'PL '!C$18,AND($C44="Electric car",$D44=4),$E44*'PL '!C$19,AND($C44="Electric car",$D44=5),$E44*'PL '!C$20,AND($C44="Hybrid car",$D44=1),$E44*'PL '!C$22,AND($C44="Hybrid car",$D44=2),$E44*'PL '!C$23,AND($C44="Hybrid car",$D44=3),$E44*'PL '!C$24,AND($C44="Hybrid car",$D44=4),$E44*'PL '!C$25,AND($C44="Hybrid car",$D44=5),$E44*'PL '!C$26,AND($C44="Electric motorcycle",$D44=1),$E44*'PL '!C$28,AND($C44="Electric motorcycle",$D44=2),$E44*'PL '!C$29,AND($C44="Electric bike",$D44=1),$E44*'PL '!C$31,AND($C44="Electric scooter",$D44=1),$E44*'PL '!C$33,AND($C44="Bus",$D44="Almost empty"),$E44*'PL '!H$23,AND($C44="Bus",$D44="Average"),$E44*'PL '!H$24,AND($C44="Bus",$D44="Nearly full"),$E44*'PL '!H$25,AND($C44="Electric bus",$D44="Almost empty"),$E44*'PL '!H$7,AND($C44="Electric bus",$D44="Average"),$E44*'PL '!H$8,AND($C44="Electric bus",$D44="Nearly full"),$E44*'PL '!H$9,AND($C44="Diesel bus",$D44="Almost empty"),$E44*'PL '!H$19,AND($C44="Diesel bus",$D44="Average"),$E44*'PL '!H$20,AND($C44="Diesel bus",$D44="Nearly full"),$E44*'PL '!H$21,AND($C44="Hybrid-electric bus",$D44="Almost empty"),$E44*'PL '!H$11,AND($C44="Hybrid-electric bus",$D44="Average"),$E44*'PL '!H$12,AND($C44="Hybrid-electric bus",$D44="Nearly full"),$E44*'PL '!H$13,AND($C44="Alternative fuel bus",$D44="Almost empty"),$E44*'PL '!H$15,AND($C44="Alternative fuel bus",$D44="Average"),$E44*'PL '!H$16,AND($C44="Alternative fuel bus",$D44="Nearly full"),$E44*'PL '!H$17,AND($C44="Metro, tram, urban light train",$D44="Almost empty"),$E44*'PL '!C$35,AND($C44="Metro, tram, urban light train",$D44="Average"),$E44*'PL '!C$36,AND($C44="Metro, tram, urban light train",$D44="Nearly full"),$E44*'PL '!C$37,AND($C44="Electric passenger train",$D44="Almost empty"),$E44*'PL '!C$39,AND($C44="Electric passenger train",$D44="Average"),$E44*'PL '!C$40,AND($C44="Electric passenger train",$D44="Nearly full"),$E44*'PL '!C$41,AND($C44="Diesel passenger train",$D44="Almost empty"),$E44*'PL '!C$47,AND($C44="Diesel passenger train",$D44="Average"),$E44*'PL '!C$48,AND($C44="Diesel passenger train",$D44="Nearly full"),$E44*'PL '!C$49,AND($C44="Walking"),$E44*0,AND($C44="Bike"),$E44*0,AND($C44="Plane - domestic flight"),$E44*'PL '!$C68,AND($C44="Plane - international - intra EU"),$E44*'PL '!$C70,AND($C44="Plane - international (extra EU)"),$E44*'PL '!$C72)</f>
        <v>#N/A</v>
      </c>
      <c r="G44" s="31" t="e" cm="1">
        <f t="array" ref="G44">_xlfn.IFS(AND($C44="Fuel car",$D44=1),$E44*'PL '!D$7,AND($C44="Fuel car",$D44=2),$E44*'PL '!D$8,AND($C44="Fuel car",$D44=3),$E44*'PL '!D$9,AND($C44="Fuel car",$D44=4),$E44*'PL '!D$10,AND($C44="Fuel car",$D44=5),$E44*'PL '!D$11,AND($C44="Motorcycle",$D44=1),$E44*'PL '!D$13,AND($C44="Motorcycle",$D44=2),$E44*'PL '!D$14,AND($C44="Electric car",$D44=1),$E44*'PL '!D$16,AND($C44="Electric car",$D44=2),$E44*'PL '!D$17,AND($C44="Electric car",$D44=3),$E44*'PL '!D$18,AND($C44="Electric car",$D44=4),$E44*'PL '!D$19,AND($C44="Electric car",$D44=5),$E44*'PL '!D$20,AND($C44="Hybrid car",$D44=1),$E44*'PL '!D$22,AND($C44="Hybrid car",$D44=2),$E44*'PL '!D$23,AND($C44="Hybrid car",$D44=3),$E44*'PL '!D$24,AND($C44="Hybrid car",$D44=4),$E44*'PL '!D$25,AND($C44="Hybrid car",$D44=5),$E44*'PL '!D$26,AND($C44="Electric motorcycle",$D44=1),$E44*'PL '!D$28,AND($C44="Electric motorcycle",$D44=2),$E44*'PL '!D$29,AND($C44="Electric bike",$D44=1),$E44*'PL '!D$31,AND($C44="Electric scooter",$D44=1),$E44*'PL '!D$33,AND($C44="Bus",$D44="Almost empty"),$E44*'PL '!I$23,AND($C44="Bus",$D44="Average"),$E44*'PL '!I$24,AND($C44="Bus",$D44="Nearly full"),$E44*'PL '!I$25,AND($C44="Electric bus",$D44="Almost empty"),$E44*'PL '!I$7,AND($C44="Electric bus",$D44="Average"),$E44*'PL '!I$8,AND($C44="Electric bus",$D44="Nearly full"),$E44*'PL '!I$9,AND($C44="Diesel bus",$D44="Almost empty"),$E44*'PL '!I$19,AND($C44="Diesel bus",$D44="Average"),$E44*'PL '!I$20,AND($C44="Diesel bus",$D44="Nearly full"),$E44*'PL '!I$21,AND($C44="Hybrid-electric bus",$D44="Almost empty"),$E44*'PL '!I$11,AND($C44="Hybrid-electric bus",$D44="Average"),$E44*'PL '!I$12,AND($C44="Hybrid-electric bus",$D44="Nearly full"),$E44*'PL '!I$13,AND($C44="Alternative fuel bus",$D44="Almost empty"),$E44*'PL '!I$15,AND($C44="Alternative fuel bus",$D44="Average"),$E44*'PL '!I$16,AND($C44="Alternative fuel bus",$D44="Nearly full"),$E44*'PL '!I$17,AND($C44="Metro, tram, urban light train",$D44="Almost empty"),$E44*'PL '!D$35,AND($C44="Metro, tram, urban light train",$D44="Average"),$E44*'PL '!D$36,AND($C44="Metro, tram, urban light train",$D44="Nearly full"),$E44*'PL '!D$37,AND($C44="Electric passenger train",$D44="Almost empty"),$E44*'PL '!D$39,AND($C44="Electric passenger train",$D44="Average"),$E44*'PL '!D$40,AND($C44="Electric passenger train",$D44="Nearly full"),$E44*'PL '!D$41,AND($C44="Diesel passenger train",$D44="Almost empty"),$E44*'PL '!D$47,AND($C44="Diesel passenger train",$D44="Average"),$E44*'PL '!D$48,AND($C44="Diesel passenger train",$D44="Nearly full"),$E44*'PL '!D$49,AND($C44="Walking"),$E44*0,AND($C44="Bike"),$E44*0,AND($C44="Plane - domestic flight"),$E44*'PL '!$C68,AND($C44="Plane - international - intra EU"),$E44*'PL '!$C70,AND($C44="Plane - international (extra EU)"),$E44*'PL '!$C72)</f>
        <v>#N/A</v>
      </c>
      <c r="L44" s="218"/>
      <c r="M44" s="219"/>
      <c r="N44" s="220"/>
    </row>
    <row r="45" spans="1:14" ht="14.5" customHeight="1" x14ac:dyDescent="0.2">
      <c r="A45" s="222"/>
      <c r="B45" s="30"/>
      <c r="C45" s="15"/>
      <c r="D45" s="15"/>
      <c r="E45" s="125"/>
      <c r="F45" s="128" t="e" cm="1">
        <f t="array" ref="F45">_xlfn.IFS(AND($C45="Fuel car",$D45=1),$E45*'PL '!C$7,AND($C45="Fuel car",$D45=2),$E45*'PL '!C$8,AND($C45="Fuel car",$D45=3),$E45*'PL '!C$9,AND($C45="Fuel car",$D45=4),$E45*'PL '!C$10,AND($C45="Fuel car",$D45=5),$E45*'PL '!C$11,AND($C45="Motorcycle",$D45=1),$E45*'PL '!C$13,AND($C45="Motorcycle",$D45=2),$E45*'PL '!C$14,AND($C45="Electric car",$D45=1),$E45*'PL '!C$16,AND($C45="Electric car",$D45=2),$E45*'PL '!C$17,AND($C45="Electric car",$D45=3),$E45*'PL '!C$18,AND($C45="Electric car",$D45=4),$E45*'PL '!C$19,AND($C45="Electric car",$D45=5),$E45*'PL '!C$20,AND($C45="Hybrid car",$D45=1),$E45*'PL '!C$22,AND($C45="Hybrid car",$D45=2),$E45*'PL '!C$23,AND($C45="Hybrid car",$D45=3),$E45*'PL '!C$24,AND($C45="Hybrid car",$D45=4),$E45*'PL '!C$25,AND($C45="Hybrid car",$D45=5),$E45*'PL '!C$26,AND($C45="Electric motorcycle",$D45=1),$E45*'PL '!C$28,AND($C45="Electric motorcycle",$D45=2),$E45*'PL '!C$29,AND($C45="Electric bike",$D45=1),$E45*'PL '!C$31,AND($C45="Electric scooter",$D45=1),$E45*'PL '!C$33,AND($C45="Bus",$D45="Almost empty"),$E45*'PL '!H$23,AND($C45="Bus",$D45="Average"),$E45*'PL '!H$24,AND($C45="Bus",$D45="Nearly full"),$E45*'PL '!H$25,AND($C45="Electric bus",$D45="Almost empty"),$E45*'PL '!H$7,AND($C45="Electric bus",$D45="Average"),$E45*'PL '!H$8,AND($C45="Electric bus",$D45="Nearly full"),$E45*'PL '!H$9,AND($C45="Diesel bus",$D45="Almost empty"),$E45*'PL '!H$19,AND($C45="Diesel bus",$D45="Average"),$E45*'PL '!H$20,AND($C45="Diesel bus",$D45="Nearly full"),$E45*'PL '!H$21,AND($C45="Hybrid-electric bus",$D45="Almost empty"),$E45*'PL '!H$11,AND($C45="Hybrid-electric bus",$D45="Average"),$E45*'PL '!H$12,AND($C45="Hybrid-electric bus",$D45="Nearly full"),$E45*'PL '!H$13,AND($C45="Alternative fuel bus",$D45="Almost empty"),$E45*'PL '!H$15,AND($C45="Alternative fuel bus",$D45="Average"),$E45*'PL '!H$16,AND($C45="Alternative fuel bus",$D45="Nearly full"),$E45*'PL '!H$17,AND($C45="Metro, tram, urban light train",$D45="Almost empty"),$E45*'PL '!C$35,AND($C45="Metro, tram, urban light train",$D45="Average"),$E45*'PL '!C$36,AND($C45="Metro, tram, urban light train",$D45="Nearly full"),$E45*'PL '!C$37,AND($C45="Electric passenger train",$D45="Almost empty"),$E45*'PL '!C$39,AND($C45="Electric passenger train",$D45="Average"),$E45*'PL '!C$40,AND($C45="Electric passenger train",$D45="Nearly full"),$E45*'PL '!C$41,AND($C45="Diesel passenger train",$D45="Almost empty"),$E45*'PL '!C$47,AND($C45="Diesel passenger train",$D45="Average"),$E45*'PL '!C$48,AND($C45="Diesel passenger train",$D45="Nearly full"),$E45*'PL '!C$49,AND($C45="Walking"),$E45*0,AND($C45="Bike"),$E45*0,AND($C45="Plane - domestic flight"),$E45*'PL '!$C69,AND($C45="Plane - international - intra EU"),$E45*'PL '!$C71,AND($C45="Plane - international (extra EU)"),$E45*'PL '!$C73)</f>
        <v>#N/A</v>
      </c>
      <c r="G45" s="31" t="e" cm="1">
        <f t="array" ref="G45">_xlfn.IFS(AND($C45="Fuel car",$D45=1),$E45*'PL '!D$7,AND($C45="Fuel car",$D45=2),$E45*'PL '!D$8,AND($C45="Fuel car",$D45=3),$E45*'PL '!D$9,AND($C45="Fuel car",$D45=4),$E45*'PL '!D$10,AND($C45="Fuel car",$D45=5),$E45*'PL '!D$11,AND($C45="Motorcycle",$D45=1),$E45*'PL '!D$13,AND($C45="Motorcycle",$D45=2),$E45*'PL '!D$14,AND($C45="Electric car",$D45=1),$E45*'PL '!D$16,AND($C45="Electric car",$D45=2),$E45*'PL '!D$17,AND($C45="Electric car",$D45=3),$E45*'PL '!D$18,AND($C45="Electric car",$D45=4),$E45*'PL '!D$19,AND($C45="Electric car",$D45=5),$E45*'PL '!D$20,AND($C45="Hybrid car",$D45=1),$E45*'PL '!D$22,AND($C45="Hybrid car",$D45=2),$E45*'PL '!D$23,AND($C45="Hybrid car",$D45=3),$E45*'PL '!D$24,AND($C45="Hybrid car",$D45=4),$E45*'PL '!D$25,AND($C45="Hybrid car",$D45=5),$E45*'PL '!D$26,AND($C45="Electric motorcycle",$D45=1),$E45*'PL '!D$28,AND($C45="Electric motorcycle",$D45=2),$E45*'PL '!D$29,AND($C45="Electric bike",$D45=1),$E45*'PL '!D$31,AND($C45="Electric scooter",$D45=1),$E45*'PL '!D$33,AND($C45="Bus",$D45="Almost empty"),$E45*'PL '!I$23,AND($C45="Bus",$D45="Average"),$E45*'PL '!I$24,AND($C45="Bus",$D45="Nearly full"),$E45*'PL '!I$25,AND($C45="Electric bus",$D45="Almost empty"),$E45*'PL '!I$7,AND($C45="Electric bus",$D45="Average"),$E45*'PL '!I$8,AND($C45="Electric bus",$D45="Nearly full"),$E45*'PL '!I$9,AND($C45="Diesel bus",$D45="Almost empty"),$E45*'PL '!I$19,AND($C45="Diesel bus",$D45="Average"),$E45*'PL '!I$20,AND($C45="Diesel bus",$D45="Nearly full"),$E45*'PL '!I$21,AND($C45="Hybrid-electric bus",$D45="Almost empty"),$E45*'PL '!I$11,AND($C45="Hybrid-electric bus",$D45="Average"),$E45*'PL '!I$12,AND($C45="Hybrid-electric bus",$D45="Nearly full"),$E45*'PL '!I$13,AND($C45="Alternative fuel bus",$D45="Almost empty"),$E45*'PL '!I$15,AND($C45="Alternative fuel bus",$D45="Average"),$E45*'PL '!I$16,AND($C45="Alternative fuel bus",$D45="Nearly full"),$E45*'PL '!I$17,AND($C45="Metro, tram, urban light train",$D45="Almost empty"),$E45*'PL '!D$35,AND($C45="Metro, tram, urban light train",$D45="Average"),$E45*'PL '!D$36,AND($C45="Metro, tram, urban light train",$D45="Nearly full"),$E45*'PL '!D$37,AND($C45="Electric passenger train",$D45="Almost empty"),$E45*'PL '!D$39,AND($C45="Electric passenger train",$D45="Average"),$E45*'PL '!D$40,AND($C45="Electric passenger train",$D45="Nearly full"),$E45*'PL '!D$41,AND($C45="Diesel passenger train",$D45="Almost empty"),$E45*'PL '!D$47,AND($C45="Diesel passenger train",$D45="Average"),$E45*'PL '!D$48,AND($C45="Diesel passenger train",$D45="Nearly full"),$E45*'PL '!D$49,AND($C45="Walking"),$E45*0,AND($C45="Bike"),$E45*0,AND($C45="Plane - domestic flight"),$E45*'PL '!$C69,AND($C45="Plane - international - intra EU"),$E45*'PL '!$C71,AND($C45="Plane - international (extra EU)"),$E45*'PL '!$C73)</f>
        <v>#N/A</v>
      </c>
      <c r="L45" s="198" t="s">
        <v>256</v>
      </c>
      <c r="M45" s="199"/>
      <c r="N45" s="200"/>
    </row>
    <row r="46" spans="1:14" ht="16" thickBot="1" x14ac:dyDescent="0.25">
      <c r="A46" s="222"/>
      <c r="B46" s="30"/>
      <c r="C46" s="15"/>
      <c r="D46" s="15"/>
      <c r="E46" s="125"/>
      <c r="F46" s="128" t="e" cm="1">
        <f t="array" ref="F46">_xlfn.IFS(AND($C46="Fuel car",$D46=1),$E46*'PL '!C$7,AND($C46="Fuel car",$D46=2),$E46*'PL '!C$8,AND($C46="Fuel car",$D46=3),$E46*'PL '!C$9,AND($C46="Fuel car",$D46=4),$E46*'PL '!C$10,AND($C46="Fuel car",$D46=5),$E46*'PL '!C$11,AND($C46="Motorcycle",$D46=1),$E46*'PL '!C$13,AND($C46="Motorcycle",$D46=2),$E46*'PL '!C$14,AND($C46="Electric car",$D46=1),$E46*'PL '!C$16,AND($C46="Electric car",$D46=2),$E46*'PL '!C$17,AND($C46="Electric car",$D46=3),$E46*'PL '!C$18,AND($C46="Electric car",$D46=4),$E46*'PL '!C$19,AND($C46="Electric car",$D46=5),$E46*'PL '!C$20,AND($C46="Hybrid car",$D46=1),$E46*'PL '!C$22,AND($C46="Hybrid car",$D46=2),$E46*'PL '!C$23,AND($C46="Hybrid car",$D46=3),$E46*'PL '!C$24,AND($C46="Hybrid car",$D46=4),$E46*'PL '!C$25,AND($C46="Hybrid car",$D46=5),$E46*'PL '!C$26,AND($C46="Electric motorcycle",$D46=1),$E46*'PL '!C$28,AND($C46="Electric motorcycle",$D46=2),$E46*'PL '!C$29,AND($C46="Electric bike",$D46=1),$E46*'PL '!C$31,AND($C46="Electric scooter",$D46=1),$E46*'PL '!C$33,AND($C46="Bus",$D46="Almost empty"),$E46*'PL '!H$23,AND($C46="Bus",$D46="Average"),$E46*'PL '!H$24,AND($C46="Bus",$D46="Nearly full"),$E46*'PL '!H$25,AND($C46="Electric bus",$D46="Almost empty"),$E46*'PL '!H$7,AND($C46="Electric bus",$D46="Average"),$E46*'PL '!H$8,AND($C46="Electric bus",$D46="Nearly full"),$E46*'PL '!H$9,AND($C46="Diesel bus",$D46="Almost empty"),$E46*'PL '!H$19,AND($C46="Diesel bus",$D46="Average"),$E46*'PL '!H$20,AND($C46="Diesel bus",$D46="Nearly full"),$E46*'PL '!H$21,AND($C46="Hybrid-electric bus",$D46="Almost empty"),$E46*'PL '!H$11,AND($C46="Hybrid-electric bus",$D46="Average"),$E46*'PL '!H$12,AND($C46="Hybrid-electric bus",$D46="Nearly full"),$E46*'PL '!H$13,AND($C46="Alternative fuel bus",$D46="Almost empty"),$E46*'PL '!H$15,AND($C46="Alternative fuel bus",$D46="Average"),$E46*'PL '!H$16,AND($C46="Alternative fuel bus",$D46="Nearly full"),$E46*'PL '!H$17,AND($C46="Metro, tram, urban light train",$D46="Almost empty"),$E46*'PL '!C$35,AND($C46="Metro, tram, urban light train",$D46="Average"),$E46*'PL '!C$36,AND($C46="Metro, tram, urban light train",$D46="Nearly full"),$E46*'PL '!C$37,AND($C46="Electric passenger train",$D46="Almost empty"),$E46*'PL '!C$39,AND($C46="Electric passenger train",$D46="Average"),$E46*'PL '!C$40,AND($C46="Electric passenger train",$D46="Nearly full"),$E46*'PL '!C$41,AND($C46="Diesel passenger train",$D46="Almost empty"),$E46*'PL '!C$47,AND($C46="Diesel passenger train",$D46="Average"),$E46*'PL '!C$48,AND($C46="Diesel passenger train",$D46="Nearly full"),$E46*'PL '!C$49,AND($C46="Walking"),$E46*0,AND($C46="Bike"),$E46*0,AND($C46="Plane - domestic flight"),$E46*'PL '!$C70,AND($C46="Plane - international - intra EU"),$E46*'PL '!$C72,AND($C46="Plane - international (extra EU)"),$E46*'PL '!$C74)</f>
        <v>#N/A</v>
      </c>
      <c r="G46" s="31" t="e" cm="1">
        <f t="array" ref="G46">_xlfn.IFS(AND($C46="Fuel car",$D46=1),$E46*'PL '!D$7,AND($C46="Fuel car",$D46=2),$E46*'PL '!D$8,AND($C46="Fuel car",$D46=3),$E46*'PL '!D$9,AND($C46="Fuel car",$D46=4),$E46*'PL '!D$10,AND($C46="Fuel car",$D46=5),$E46*'PL '!D$11,AND($C46="Motorcycle",$D46=1),$E46*'PL '!D$13,AND($C46="Motorcycle",$D46=2),$E46*'PL '!D$14,AND($C46="Electric car",$D46=1),$E46*'PL '!D$16,AND($C46="Electric car",$D46=2),$E46*'PL '!D$17,AND($C46="Electric car",$D46=3),$E46*'PL '!D$18,AND($C46="Electric car",$D46=4),$E46*'PL '!D$19,AND($C46="Electric car",$D46=5),$E46*'PL '!D$20,AND($C46="Hybrid car",$D46=1),$E46*'PL '!D$22,AND($C46="Hybrid car",$D46=2),$E46*'PL '!D$23,AND($C46="Hybrid car",$D46=3),$E46*'PL '!D$24,AND($C46="Hybrid car",$D46=4),$E46*'PL '!D$25,AND($C46="Hybrid car",$D46=5),$E46*'PL '!D$26,AND($C46="Electric motorcycle",$D46=1),$E46*'PL '!D$28,AND($C46="Electric motorcycle",$D46=2),$E46*'PL '!D$29,AND($C46="Electric bike",$D46=1),$E46*'PL '!D$31,AND($C46="Electric scooter",$D46=1),$E46*'PL '!D$33,AND($C46="Bus",$D46="Almost empty"),$E46*'PL '!I$23,AND($C46="Bus",$D46="Average"),$E46*'PL '!I$24,AND($C46="Bus",$D46="Nearly full"),$E46*'PL '!I$25,AND($C46="Electric bus",$D46="Almost empty"),$E46*'PL '!I$7,AND($C46="Electric bus",$D46="Average"),$E46*'PL '!I$8,AND($C46="Electric bus",$D46="Nearly full"),$E46*'PL '!I$9,AND($C46="Diesel bus",$D46="Almost empty"),$E46*'PL '!I$19,AND($C46="Diesel bus",$D46="Average"),$E46*'PL '!I$20,AND($C46="Diesel bus",$D46="Nearly full"),$E46*'PL '!I$21,AND($C46="Hybrid-electric bus",$D46="Almost empty"),$E46*'PL '!I$11,AND($C46="Hybrid-electric bus",$D46="Average"),$E46*'PL '!I$12,AND($C46="Hybrid-electric bus",$D46="Nearly full"),$E46*'PL '!I$13,AND($C46="Alternative fuel bus",$D46="Almost empty"),$E46*'PL '!I$15,AND($C46="Alternative fuel bus",$D46="Average"),$E46*'PL '!I$16,AND($C46="Alternative fuel bus",$D46="Nearly full"),$E46*'PL '!I$17,AND($C46="Metro, tram, urban light train",$D46="Almost empty"),$E46*'PL '!D$35,AND($C46="Metro, tram, urban light train",$D46="Average"),$E46*'PL '!D$36,AND($C46="Metro, tram, urban light train",$D46="Nearly full"),$E46*'PL '!D$37,AND($C46="Electric passenger train",$D46="Almost empty"),$E46*'PL '!D$39,AND($C46="Electric passenger train",$D46="Average"),$E46*'PL '!D$40,AND($C46="Electric passenger train",$D46="Nearly full"),$E46*'PL '!D$41,AND($C46="Diesel passenger train",$D46="Almost empty"),$E46*'PL '!D$47,AND($C46="Diesel passenger train",$D46="Average"),$E46*'PL '!D$48,AND($C46="Diesel passenger train",$D46="Nearly full"),$E46*'PL '!D$49,AND($C46="Walking"),$E46*0,AND($C46="Bike"),$E46*0,AND($C46="Plane - domestic flight"),$E46*'PL '!$C70,AND($C46="Plane - international - intra EU"),$E46*'PL '!$C72,AND($C46="Plane - international (extra EU)"),$E46*'PL '!$C74)</f>
        <v>#N/A</v>
      </c>
      <c r="L46" s="246"/>
      <c r="M46" s="247"/>
      <c r="N46" s="248"/>
    </row>
    <row r="47" spans="1:14" ht="20" thickBot="1" x14ac:dyDescent="0.25">
      <c r="A47" s="222"/>
      <c r="B47" s="30"/>
      <c r="C47" s="15"/>
      <c r="D47" s="15"/>
      <c r="E47" s="125"/>
      <c r="F47" s="128" t="e" cm="1">
        <f t="array" ref="F47">_xlfn.IFS(AND($C47="Fuel car",$D47=1),$E47*'PL '!C$7,AND($C47="Fuel car",$D47=2),$E47*'PL '!C$8,AND($C47="Fuel car",$D47=3),$E47*'PL '!C$9,AND($C47="Fuel car",$D47=4),$E47*'PL '!C$10,AND($C47="Fuel car",$D47=5),$E47*'PL '!C$11,AND($C47="Motorcycle",$D47=1),$E47*'PL '!C$13,AND($C47="Motorcycle",$D47=2),$E47*'PL '!C$14,AND($C47="Electric car",$D47=1),$E47*'PL '!C$16,AND($C47="Electric car",$D47=2),$E47*'PL '!C$17,AND($C47="Electric car",$D47=3),$E47*'PL '!C$18,AND($C47="Electric car",$D47=4),$E47*'PL '!C$19,AND($C47="Electric car",$D47=5),$E47*'PL '!C$20,AND($C47="Hybrid car",$D47=1),$E47*'PL '!C$22,AND($C47="Hybrid car",$D47=2),$E47*'PL '!C$23,AND($C47="Hybrid car",$D47=3),$E47*'PL '!C$24,AND($C47="Hybrid car",$D47=4),$E47*'PL '!C$25,AND($C47="Hybrid car",$D47=5),$E47*'PL '!C$26,AND($C47="Electric motorcycle",$D47=1),$E47*'PL '!C$28,AND($C47="Electric motorcycle",$D47=2),$E47*'PL '!C$29,AND($C47="Electric bike",$D47=1),$E47*'PL '!C$31,AND($C47="Electric scooter",$D47=1),$E47*'PL '!C$33,AND($C47="Bus",$D47="Almost empty"),$E47*'PL '!H$23,AND($C47="Bus",$D47="Average"),$E47*'PL '!H$24,AND($C47="Bus",$D47="Nearly full"),$E47*'PL '!H$25,AND($C47="Electric bus",$D47="Almost empty"),$E47*'PL '!H$7,AND($C47="Electric bus",$D47="Average"),$E47*'PL '!H$8,AND($C47="Electric bus",$D47="Nearly full"),$E47*'PL '!H$9,AND($C47="Diesel bus",$D47="Almost empty"),$E47*'PL '!H$19,AND($C47="Diesel bus",$D47="Average"),$E47*'PL '!H$20,AND($C47="Diesel bus",$D47="Nearly full"),$E47*'PL '!H$21,AND($C47="Hybrid-electric bus",$D47="Almost empty"),$E47*'PL '!H$11,AND($C47="Hybrid-electric bus",$D47="Average"),$E47*'PL '!H$12,AND($C47="Hybrid-electric bus",$D47="Nearly full"),$E47*'PL '!H$13,AND($C47="Alternative fuel bus",$D47="Almost empty"),$E47*'PL '!H$15,AND($C47="Alternative fuel bus",$D47="Average"),$E47*'PL '!H$16,AND($C47="Alternative fuel bus",$D47="Nearly full"),$E47*'PL '!H$17,AND($C47="Metro, tram, urban light train",$D47="Almost empty"),$E47*'PL '!C$35,AND($C47="Metro, tram, urban light train",$D47="Average"),$E47*'PL '!C$36,AND($C47="Metro, tram, urban light train",$D47="Nearly full"),$E47*'PL '!C$37,AND($C47="Electric passenger train",$D47="Almost empty"),$E47*'PL '!C$39,AND($C47="Electric passenger train",$D47="Average"),$E47*'PL '!C$40,AND($C47="Electric passenger train",$D47="Nearly full"),$E47*'PL '!C$41,AND($C47="Diesel passenger train",$D47="Almost empty"),$E47*'PL '!C$47,AND($C47="Diesel passenger train",$D47="Average"),$E47*'PL '!C$48,AND($C47="Diesel passenger train",$D47="Nearly full"),$E47*'PL '!C$49,AND($C47="Walking"),$E47*0,AND($C47="Bike"),$E47*0,AND($C47="Plane - domestic flight"),$E47*'PL '!$C71,AND($C47="Plane - international - intra EU"),$E47*'PL '!$C73,AND($C47="Plane - international (extra EU)"),$E47*'PL '!$C75)</f>
        <v>#N/A</v>
      </c>
      <c r="G47" s="31" t="e" cm="1">
        <f t="array" ref="G47">_xlfn.IFS(AND($C47="Fuel car",$D47=1),$E47*'PL '!D$7,AND($C47="Fuel car",$D47=2),$E47*'PL '!D$8,AND($C47="Fuel car",$D47=3),$E47*'PL '!D$9,AND($C47="Fuel car",$D47=4),$E47*'PL '!D$10,AND($C47="Fuel car",$D47=5),$E47*'PL '!D$11,AND($C47="Motorcycle",$D47=1),$E47*'PL '!D$13,AND($C47="Motorcycle",$D47=2),$E47*'PL '!D$14,AND($C47="Electric car",$D47=1),$E47*'PL '!D$16,AND($C47="Electric car",$D47=2),$E47*'PL '!D$17,AND($C47="Electric car",$D47=3),$E47*'PL '!D$18,AND($C47="Electric car",$D47=4),$E47*'PL '!D$19,AND($C47="Electric car",$D47=5),$E47*'PL '!D$20,AND($C47="Hybrid car",$D47=1),$E47*'PL '!D$22,AND($C47="Hybrid car",$D47=2),$E47*'PL '!D$23,AND($C47="Hybrid car",$D47=3),$E47*'PL '!D$24,AND($C47="Hybrid car",$D47=4),$E47*'PL '!D$25,AND($C47="Hybrid car",$D47=5),$E47*'PL '!D$26,AND($C47="Electric motorcycle",$D47=1),$E47*'PL '!D$28,AND($C47="Electric motorcycle",$D47=2),$E47*'PL '!D$29,AND($C47="Electric bike",$D47=1),$E47*'PL '!D$31,AND($C47="Electric scooter",$D47=1),$E47*'PL '!D$33,AND($C47="Bus",$D47="Almost empty"),$E47*'PL '!I$23,AND($C47="Bus",$D47="Average"),$E47*'PL '!I$24,AND($C47="Bus",$D47="Nearly full"),$E47*'PL '!I$25,AND($C47="Electric bus",$D47="Almost empty"),$E47*'PL '!I$7,AND($C47="Electric bus",$D47="Average"),$E47*'PL '!I$8,AND($C47="Electric bus",$D47="Nearly full"),$E47*'PL '!I$9,AND($C47="Diesel bus",$D47="Almost empty"),$E47*'PL '!I$19,AND($C47="Diesel bus",$D47="Average"),$E47*'PL '!I$20,AND($C47="Diesel bus",$D47="Nearly full"),$E47*'PL '!I$21,AND($C47="Hybrid-electric bus",$D47="Almost empty"),$E47*'PL '!I$11,AND($C47="Hybrid-electric bus",$D47="Average"),$E47*'PL '!I$12,AND($C47="Hybrid-electric bus",$D47="Nearly full"),$E47*'PL '!I$13,AND($C47="Alternative fuel bus",$D47="Almost empty"),$E47*'PL '!I$15,AND($C47="Alternative fuel bus",$D47="Average"),$E47*'PL '!I$16,AND($C47="Alternative fuel bus",$D47="Nearly full"),$E47*'PL '!I$17,AND($C47="Metro, tram, urban light train",$D47="Almost empty"),$E47*'PL '!D$35,AND($C47="Metro, tram, urban light train",$D47="Average"),$E47*'PL '!D$36,AND($C47="Metro, tram, urban light train",$D47="Nearly full"),$E47*'PL '!D$37,AND($C47="Electric passenger train",$D47="Almost empty"),$E47*'PL '!D$39,AND($C47="Electric passenger train",$D47="Average"),$E47*'PL '!D$40,AND($C47="Electric passenger train",$D47="Nearly full"),$E47*'PL '!D$41,AND($C47="Diesel passenger train",$D47="Almost empty"),$E47*'PL '!D$47,AND($C47="Diesel passenger train",$D47="Average"),$E47*'PL '!D$48,AND($C47="Diesel passenger train",$D47="Nearly full"),$E47*'PL '!D$49,AND($C47="Walking"),$E47*0,AND($C47="Bike"),$E47*0,AND($C47="Plane - domestic flight"),$E47*'PL '!$C71,AND($C47="Plane - international - intra EU"),$E47*'PL '!$C73,AND($C47="Plane - international (extra EU)"),$E47*'PL '!$C75)</f>
        <v>#N/A</v>
      </c>
      <c r="L47" s="238" t="s">
        <v>56</v>
      </c>
      <c r="M47" s="239"/>
      <c r="N47" s="240"/>
    </row>
    <row r="48" spans="1:14" ht="16" thickBot="1" x14ac:dyDescent="0.25">
      <c r="A48" s="222"/>
      <c r="B48" s="30"/>
      <c r="C48" s="15"/>
      <c r="D48" s="15"/>
      <c r="E48" s="125"/>
      <c r="F48" s="128" t="e" cm="1">
        <f t="array" ref="F48">_xlfn.IFS(AND($C48="Fuel car",$D48=1),$E48*'PL '!C$7,AND($C48="Fuel car",$D48=2),$E48*'PL '!C$8,AND($C48="Fuel car",$D48=3),$E48*'PL '!C$9,AND($C48="Fuel car",$D48=4),$E48*'PL '!C$10,AND($C48="Fuel car",$D48=5),$E48*'PL '!C$11,AND($C48="Motorcycle",$D48=1),$E48*'PL '!C$13,AND($C48="Motorcycle",$D48=2),$E48*'PL '!C$14,AND($C48="Electric car",$D48=1),$E48*'PL '!C$16,AND($C48="Electric car",$D48=2),$E48*'PL '!C$17,AND($C48="Electric car",$D48=3),$E48*'PL '!C$18,AND($C48="Electric car",$D48=4),$E48*'PL '!C$19,AND($C48="Electric car",$D48=5),$E48*'PL '!C$20,AND($C48="Hybrid car",$D48=1),$E48*'PL '!C$22,AND($C48="Hybrid car",$D48=2),$E48*'PL '!C$23,AND($C48="Hybrid car",$D48=3),$E48*'PL '!C$24,AND($C48="Hybrid car",$D48=4),$E48*'PL '!C$25,AND($C48="Hybrid car",$D48=5),$E48*'PL '!C$26,AND($C48="Electric motorcycle",$D48=1),$E48*'PL '!C$28,AND($C48="Electric motorcycle",$D48=2),$E48*'PL '!C$29,AND($C48="Electric bike",$D48=1),$E48*'PL '!C$31,AND($C48="Electric scooter",$D48=1),$E48*'PL '!C$33,AND($C48="Bus",$D48="Almost empty"),$E48*'PL '!H$23,AND($C48="Bus",$D48="Average"),$E48*'PL '!H$24,AND($C48="Bus",$D48="Nearly full"),$E48*'PL '!H$25,AND($C48="Electric bus",$D48="Almost empty"),$E48*'PL '!H$7,AND($C48="Electric bus",$D48="Average"),$E48*'PL '!H$8,AND($C48="Electric bus",$D48="Nearly full"),$E48*'PL '!H$9,AND($C48="Diesel bus",$D48="Almost empty"),$E48*'PL '!H$19,AND($C48="Diesel bus",$D48="Average"),$E48*'PL '!H$20,AND($C48="Diesel bus",$D48="Nearly full"),$E48*'PL '!H$21,AND($C48="Hybrid-electric bus",$D48="Almost empty"),$E48*'PL '!H$11,AND($C48="Hybrid-electric bus",$D48="Average"),$E48*'PL '!H$12,AND($C48="Hybrid-electric bus",$D48="Nearly full"),$E48*'PL '!H$13,AND($C48="Alternative fuel bus",$D48="Almost empty"),$E48*'PL '!H$15,AND($C48="Alternative fuel bus",$D48="Average"),$E48*'PL '!H$16,AND($C48="Alternative fuel bus",$D48="Nearly full"),$E48*'PL '!H$17,AND($C48="Metro, tram, urban light train",$D48="Almost empty"),$E48*'PL '!C$35,AND($C48="Metro, tram, urban light train",$D48="Average"),$E48*'PL '!C$36,AND($C48="Metro, tram, urban light train",$D48="Nearly full"),$E48*'PL '!C$37,AND($C48="Electric passenger train",$D48="Almost empty"),$E48*'PL '!C$39,AND($C48="Electric passenger train",$D48="Average"),$E48*'PL '!C$40,AND($C48="Electric passenger train",$D48="Nearly full"),$E48*'PL '!C$41,AND($C48="Diesel passenger train",$D48="Almost empty"),$E48*'PL '!C$47,AND($C48="Diesel passenger train",$D48="Average"),$E48*'PL '!C$48,AND($C48="Diesel passenger train",$D48="Nearly full"),$E48*'PL '!C$49,AND($C48="Walking"),$E48*0,AND($C48="Bike"),$E48*0,AND($C48="Plane - domestic flight"),$E48*'PL '!$C72,AND($C48="Plane - international - intra EU"),$E48*'PL '!$C74,AND($C48="Plane - international (extra EU)"),$E48*'PL '!$C76)</f>
        <v>#N/A</v>
      </c>
      <c r="G48" s="31" t="e" cm="1">
        <f t="array" ref="G48">_xlfn.IFS(AND($C48="Fuel car",$D48=1),$E48*'PL '!D$7,AND($C48="Fuel car",$D48=2),$E48*'PL '!D$8,AND($C48="Fuel car",$D48=3),$E48*'PL '!D$9,AND($C48="Fuel car",$D48=4),$E48*'PL '!D$10,AND($C48="Fuel car",$D48=5),$E48*'PL '!D$11,AND($C48="Motorcycle",$D48=1),$E48*'PL '!D$13,AND($C48="Motorcycle",$D48=2),$E48*'PL '!D$14,AND($C48="Electric car",$D48=1),$E48*'PL '!D$16,AND($C48="Electric car",$D48=2),$E48*'PL '!D$17,AND($C48="Electric car",$D48=3),$E48*'PL '!D$18,AND($C48="Electric car",$D48=4),$E48*'PL '!D$19,AND($C48="Electric car",$D48=5),$E48*'PL '!D$20,AND($C48="Hybrid car",$D48=1),$E48*'PL '!D$22,AND($C48="Hybrid car",$D48=2),$E48*'PL '!D$23,AND($C48="Hybrid car",$D48=3),$E48*'PL '!D$24,AND($C48="Hybrid car",$D48=4),$E48*'PL '!D$25,AND($C48="Hybrid car",$D48=5),$E48*'PL '!D$26,AND($C48="Electric motorcycle",$D48=1),$E48*'PL '!D$28,AND($C48="Electric motorcycle",$D48=2),$E48*'PL '!D$29,AND($C48="Electric bike",$D48=1),$E48*'PL '!D$31,AND($C48="Electric scooter",$D48=1),$E48*'PL '!D$33,AND($C48="Bus",$D48="Almost empty"),$E48*'PL '!I$23,AND($C48="Bus",$D48="Average"),$E48*'PL '!I$24,AND($C48="Bus",$D48="Nearly full"),$E48*'PL '!I$25,AND($C48="Electric bus",$D48="Almost empty"),$E48*'PL '!I$7,AND($C48="Electric bus",$D48="Average"),$E48*'PL '!I$8,AND($C48="Electric bus",$D48="Nearly full"),$E48*'PL '!I$9,AND($C48="Diesel bus",$D48="Almost empty"),$E48*'PL '!I$19,AND($C48="Diesel bus",$D48="Average"),$E48*'PL '!I$20,AND($C48="Diesel bus",$D48="Nearly full"),$E48*'PL '!I$21,AND($C48="Hybrid-electric bus",$D48="Almost empty"),$E48*'PL '!I$11,AND($C48="Hybrid-electric bus",$D48="Average"),$E48*'PL '!I$12,AND($C48="Hybrid-electric bus",$D48="Nearly full"),$E48*'PL '!I$13,AND($C48="Alternative fuel bus",$D48="Almost empty"),$E48*'PL '!I$15,AND($C48="Alternative fuel bus",$D48="Average"),$E48*'PL '!I$16,AND($C48="Alternative fuel bus",$D48="Nearly full"),$E48*'PL '!I$17,AND($C48="Metro, tram, urban light train",$D48="Almost empty"),$E48*'PL '!D$35,AND($C48="Metro, tram, urban light train",$D48="Average"),$E48*'PL '!D$36,AND($C48="Metro, tram, urban light train",$D48="Nearly full"),$E48*'PL '!D$37,AND($C48="Electric passenger train",$D48="Almost empty"),$E48*'PL '!D$39,AND($C48="Electric passenger train",$D48="Average"),$E48*'PL '!D$40,AND($C48="Electric passenger train",$D48="Nearly full"),$E48*'PL '!D$41,AND($C48="Diesel passenger train",$D48="Almost empty"),$E48*'PL '!D$47,AND($C48="Diesel passenger train",$D48="Average"),$E48*'PL '!D$48,AND($C48="Diesel passenger train",$D48="Nearly full"),$E48*'PL '!D$49,AND($C48="Walking"),$E48*0,AND($C48="Bike"),$E48*0,AND($C48="Plane - domestic flight"),$E48*'PL '!$C72,AND($C48="Plane - international - intra EU"),$E48*'PL '!$C74,AND($C48="Plane - international (extra EU)"),$E48*'PL '!$C76)</f>
        <v>#N/A</v>
      </c>
      <c r="H48" s="196" t="s">
        <v>67</v>
      </c>
      <c r="I48" s="197"/>
      <c r="L48" s="249"/>
      <c r="M48" s="250"/>
      <c r="N48" s="251"/>
    </row>
    <row r="49" spans="1:14" x14ac:dyDescent="0.2">
      <c r="A49" s="222"/>
      <c r="B49" s="30"/>
      <c r="C49" s="15"/>
      <c r="D49" s="15"/>
      <c r="E49" s="125"/>
      <c r="F49" s="128" t="e" cm="1">
        <f t="array" ref="F49">_xlfn.IFS(AND($C49="Fuel car",$D49=1),$E49*'PL '!C$7,AND($C49="Fuel car",$D49=2),$E49*'PL '!C$8,AND($C49="Fuel car",$D49=3),$E49*'PL '!C$9,AND($C49="Fuel car",$D49=4),$E49*'PL '!C$10,AND($C49="Fuel car",$D49=5),$E49*'PL '!C$11,AND($C49="Motorcycle",$D49=1),$E49*'PL '!C$13,AND($C49="Motorcycle",$D49=2),$E49*'PL '!C$14,AND($C49="Electric car",$D49=1),$E49*'PL '!C$16,AND($C49="Electric car",$D49=2),$E49*'PL '!C$17,AND($C49="Electric car",$D49=3),$E49*'PL '!C$18,AND($C49="Electric car",$D49=4),$E49*'PL '!C$19,AND($C49="Electric car",$D49=5),$E49*'PL '!C$20,AND($C49="Hybrid car",$D49=1),$E49*'PL '!C$22,AND($C49="Hybrid car",$D49=2),$E49*'PL '!C$23,AND($C49="Hybrid car",$D49=3),$E49*'PL '!C$24,AND($C49="Hybrid car",$D49=4),$E49*'PL '!C$25,AND($C49="Hybrid car",$D49=5),$E49*'PL '!C$26,AND($C49="Electric motorcycle",$D49=1),$E49*'PL '!C$28,AND($C49="Electric motorcycle",$D49=2),$E49*'PL '!C$29,AND($C49="Electric bike",$D49=1),$E49*'PL '!C$31,AND($C49="Electric scooter",$D49=1),$E49*'PL '!C$33,AND($C49="Bus",$D49="Almost empty"),$E49*'PL '!H$23,AND($C49="Bus",$D49="Average"),$E49*'PL '!H$24,AND($C49="Bus",$D49="Nearly full"),$E49*'PL '!H$25,AND($C49="Electric bus",$D49="Almost empty"),$E49*'PL '!H$7,AND($C49="Electric bus",$D49="Average"),$E49*'PL '!H$8,AND($C49="Electric bus",$D49="Nearly full"),$E49*'PL '!H$9,AND($C49="Diesel bus",$D49="Almost empty"),$E49*'PL '!H$19,AND($C49="Diesel bus",$D49="Average"),$E49*'PL '!H$20,AND($C49="Diesel bus",$D49="Nearly full"),$E49*'PL '!H$21,AND($C49="Hybrid-electric bus",$D49="Almost empty"),$E49*'PL '!H$11,AND($C49="Hybrid-electric bus",$D49="Average"),$E49*'PL '!H$12,AND($C49="Hybrid-electric bus",$D49="Nearly full"),$E49*'PL '!H$13,AND($C49="Alternative fuel bus",$D49="Almost empty"),$E49*'PL '!H$15,AND($C49="Alternative fuel bus",$D49="Average"),$E49*'PL '!H$16,AND($C49="Alternative fuel bus",$D49="Nearly full"),$E49*'PL '!H$17,AND($C49="Metro, tram, urban light train",$D49="Almost empty"),$E49*'PL '!C$35,AND($C49="Metro, tram, urban light train",$D49="Average"),$E49*'PL '!C$36,AND($C49="Metro, tram, urban light train",$D49="Nearly full"),$E49*'PL '!C$37,AND($C49="Electric passenger train",$D49="Almost empty"),$E49*'PL '!C$39,AND($C49="Electric passenger train",$D49="Average"),$E49*'PL '!C$40,AND($C49="Electric passenger train",$D49="Nearly full"),$E49*'PL '!C$41,AND($C49="Diesel passenger train",$D49="Almost empty"),$E49*'PL '!C$47,AND($C49="Diesel passenger train",$D49="Average"),$E49*'PL '!C$48,AND($C49="Diesel passenger train",$D49="Nearly full"),$E49*'PL '!C$49,AND($C49="Walking"),$E49*0,AND($C49="Bike"),$E49*0,AND($C49="Plane - domestic flight"),$E49*'PL '!$C73,AND($C49="Plane - international - intra EU"),$E49*'PL '!$C75,AND($C49="Plane - international (extra EU)"),$E49*'PL '!$C77)</f>
        <v>#N/A</v>
      </c>
      <c r="G49" s="31" t="e" cm="1">
        <f t="array" ref="G49">_xlfn.IFS(AND($C49="Fuel car",$D49=1),$E49*'PL '!D$7,AND($C49="Fuel car",$D49=2),$E49*'PL '!D$8,AND($C49="Fuel car",$D49=3),$E49*'PL '!D$9,AND($C49="Fuel car",$D49=4),$E49*'PL '!D$10,AND($C49="Fuel car",$D49=5),$E49*'PL '!D$11,AND($C49="Motorcycle",$D49=1),$E49*'PL '!D$13,AND($C49="Motorcycle",$D49=2),$E49*'PL '!D$14,AND($C49="Electric car",$D49=1),$E49*'PL '!D$16,AND($C49="Electric car",$D49=2),$E49*'PL '!D$17,AND($C49="Electric car",$D49=3),$E49*'PL '!D$18,AND($C49="Electric car",$D49=4),$E49*'PL '!D$19,AND($C49="Electric car",$D49=5),$E49*'PL '!D$20,AND($C49="Hybrid car",$D49=1),$E49*'PL '!D$22,AND($C49="Hybrid car",$D49=2),$E49*'PL '!D$23,AND($C49="Hybrid car",$D49=3),$E49*'PL '!D$24,AND($C49="Hybrid car",$D49=4),$E49*'PL '!D$25,AND($C49="Hybrid car",$D49=5),$E49*'PL '!D$26,AND($C49="Electric motorcycle",$D49=1),$E49*'PL '!D$28,AND($C49="Electric motorcycle",$D49=2),$E49*'PL '!D$29,AND($C49="Electric bike",$D49=1),$E49*'PL '!D$31,AND($C49="Electric scooter",$D49=1),$E49*'PL '!D$33,AND($C49="Bus",$D49="Almost empty"),$E49*'PL '!I$23,AND($C49="Bus",$D49="Average"),$E49*'PL '!I$24,AND($C49="Bus",$D49="Nearly full"),$E49*'PL '!I$25,AND($C49="Electric bus",$D49="Almost empty"),$E49*'PL '!I$7,AND($C49="Electric bus",$D49="Average"),$E49*'PL '!I$8,AND($C49="Electric bus",$D49="Nearly full"),$E49*'PL '!I$9,AND($C49="Diesel bus",$D49="Almost empty"),$E49*'PL '!I$19,AND($C49="Diesel bus",$D49="Average"),$E49*'PL '!I$20,AND($C49="Diesel bus",$D49="Nearly full"),$E49*'PL '!I$21,AND($C49="Hybrid-electric bus",$D49="Almost empty"),$E49*'PL '!I$11,AND($C49="Hybrid-electric bus",$D49="Average"),$E49*'PL '!I$12,AND($C49="Hybrid-electric bus",$D49="Nearly full"),$E49*'PL '!I$13,AND($C49="Alternative fuel bus",$D49="Almost empty"),$E49*'PL '!I$15,AND($C49="Alternative fuel bus",$D49="Average"),$E49*'PL '!I$16,AND($C49="Alternative fuel bus",$D49="Nearly full"),$E49*'PL '!I$17,AND($C49="Metro, tram, urban light train",$D49="Almost empty"),$E49*'PL '!D$35,AND($C49="Metro, tram, urban light train",$D49="Average"),$E49*'PL '!D$36,AND($C49="Metro, tram, urban light train",$D49="Nearly full"),$E49*'PL '!D$37,AND($C49="Electric passenger train",$D49="Almost empty"),$E49*'PL '!D$39,AND($C49="Electric passenger train",$D49="Average"),$E49*'PL '!D$40,AND($C49="Electric passenger train",$D49="Nearly full"),$E49*'PL '!D$41,AND($C49="Diesel passenger train",$D49="Almost empty"),$E49*'PL '!D$47,AND($C49="Diesel passenger train",$D49="Average"),$E49*'PL '!D$48,AND($C49="Diesel passenger train",$D49="Nearly full"),$E49*'PL '!D$49,AND($C49="Walking"),$E49*0,AND($C49="Bike"),$E49*0,AND($C49="Plane - domestic flight"),$E49*'PL '!$C73,AND($C49="Plane - international - intra EU"),$E49*'PL '!$C75,AND($C49="Plane - international (extra EU)"),$E49*'PL '!$C77)</f>
        <v>#N/A</v>
      </c>
      <c r="H49" s="244" t="s">
        <v>74</v>
      </c>
      <c r="I49" s="141"/>
      <c r="L49" s="252"/>
      <c r="M49" s="253"/>
      <c r="N49" s="254"/>
    </row>
    <row r="50" spans="1:14" ht="16" thickBot="1" x14ac:dyDescent="0.25">
      <c r="A50" s="222"/>
      <c r="B50" s="51"/>
      <c r="C50" s="15"/>
      <c r="D50" s="15"/>
      <c r="E50" s="126"/>
      <c r="F50" s="128" t="e" cm="1">
        <f t="array" ref="F50">_xlfn.IFS(AND($C50="Fuel car",$D50=1),$E50*'PL '!C$7,AND($C50="Fuel car",$D50=2),$E50*'PL '!C$8,AND($C50="Fuel car",$D50=3),$E50*'PL '!C$9,AND($C50="Fuel car",$D50=4),$E50*'PL '!C$10,AND($C50="Fuel car",$D50=5),$E50*'PL '!C$11,AND($C50="Motorcycle",$D50=1),$E50*'PL '!C$13,AND($C50="Motorcycle",$D50=2),$E50*'PL '!C$14,AND($C50="Electric car",$D50=1),$E50*'PL '!C$16,AND($C50="Electric car",$D50=2),$E50*'PL '!C$17,AND($C50="Electric car",$D50=3),$E50*'PL '!C$18,AND($C50="Electric car",$D50=4),$E50*'PL '!C$19,AND($C50="Electric car",$D50=5),$E50*'PL '!C$20,AND($C50="Hybrid car",$D50=1),$E50*'PL '!C$22,AND($C50="Hybrid car",$D50=2),$E50*'PL '!C$23,AND($C50="Hybrid car",$D50=3),$E50*'PL '!C$24,AND($C50="Hybrid car",$D50=4),$E50*'PL '!C$25,AND($C50="Hybrid car",$D50=5),$E50*'PL '!C$26,AND($C50="Electric motorcycle",$D50=1),$E50*'PL '!C$28,AND($C50="Electric motorcycle",$D50=2),$E50*'PL '!C$29,AND($C50="Electric bike",$D50=1),$E50*'PL '!C$31,AND($C50="Electric scooter",$D50=1),$E50*'PL '!C$33,AND($C50="Bus",$D50="Almost empty"),$E50*'PL '!H$23,AND($C50="Bus",$D50="Average"),$E50*'PL '!H$24,AND($C50="Bus",$D50="Nearly full"),$E50*'PL '!H$25,AND($C50="Electric bus",$D50="Almost empty"),$E50*'PL '!H$7,AND($C50="Electric bus",$D50="Average"),$E50*'PL '!H$8,AND($C50="Electric bus",$D50="Nearly full"),$E50*'PL '!H$9,AND($C50="Diesel bus",$D50="Almost empty"),$E50*'PL '!H$19,AND($C50="Diesel bus",$D50="Average"),$E50*'PL '!H$20,AND($C50="Diesel bus",$D50="Nearly full"),$E50*'PL '!H$21,AND($C50="Hybrid-electric bus",$D50="Almost empty"),$E50*'PL '!H$11,AND($C50="Hybrid-electric bus",$D50="Average"),$E50*'PL '!H$12,AND($C50="Hybrid-electric bus",$D50="Nearly full"),$E50*'PL '!H$13,AND($C50="Alternative fuel bus",$D50="Almost empty"),$E50*'PL '!H$15,AND($C50="Alternative fuel bus",$D50="Average"),$E50*'PL '!H$16,AND($C50="Alternative fuel bus",$D50="Nearly full"),$E50*'PL '!H$17,AND($C50="Metro, tram, urban light train",$D50="Almost empty"),$E50*'PL '!C$35,AND($C50="Metro, tram, urban light train",$D50="Average"),$E50*'PL '!C$36,AND($C50="Metro, tram, urban light train",$D50="Nearly full"),$E50*'PL '!C$37,AND($C50="Electric passenger train",$D50="Almost empty"),$E50*'PL '!C$39,AND($C50="Electric passenger train",$D50="Average"),$E50*'PL '!C$40,AND($C50="Electric passenger train",$D50="Nearly full"),$E50*'PL '!C$41,AND($C50="Diesel passenger train",$D50="Almost empty"),$E50*'PL '!C$47,AND($C50="Diesel passenger train",$D50="Average"),$E50*'PL '!C$48,AND($C50="Diesel passenger train",$D50="Nearly full"),$E50*'PL '!C$49,AND($C50="Walking"),$E50*0,AND($C50="Bike"),$E50*0,AND($C50="Plane - domestic flight"),$E50*'PL '!$C74,AND($C50="Plane - international - intra EU"),$E50*'PL '!$C76,AND($C50="Plane - international (extra EU)"),$E50*'PL '!$C78)</f>
        <v>#N/A</v>
      </c>
      <c r="G50" s="31" t="e" cm="1">
        <f t="array" ref="G50">_xlfn.IFS(AND($C50="Fuel car",$D50=1),$E50*'PL '!D$7,AND($C50="Fuel car",$D50=2),$E50*'PL '!D$8,AND($C50="Fuel car",$D50=3),$E50*'PL '!D$9,AND($C50="Fuel car",$D50=4),$E50*'PL '!D$10,AND($C50="Fuel car",$D50=5),$E50*'PL '!D$11,AND($C50="Motorcycle",$D50=1),$E50*'PL '!D$13,AND($C50="Motorcycle",$D50=2),$E50*'PL '!D$14,AND($C50="Electric car",$D50=1),$E50*'PL '!D$16,AND($C50="Electric car",$D50=2),$E50*'PL '!D$17,AND($C50="Electric car",$D50=3),$E50*'PL '!D$18,AND($C50="Electric car",$D50=4),$E50*'PL '!D$19,AND($C50="Electric car",$D50=5),$E50*'PL '!D$20,AND($C50="Hybrid car",$D50=1),$E50*'PL '!D$22,AND($C50="Hybrid car",$D50=2),$E50*'PL '!D$23,AND($C50="Hybrid car",$D50=3),$E50*'PL '!D$24,AND($C50="Hybrid car",$D50=4),$E50*'PL '!D$25,AND($C50="Hybrid car",$D50=5),$E50*'PL '!D$26,AND($C50="Electric motorcycle",$D50=1),$E50*'PL '!D$28,AND($C50="Electric motorcycle",$D50=2),$E50*'PL '!D$29,AND($C50="Electric bike",$D50=1),$E50*'PL '!D$31,AND($C50="Electric scooter",$D50=1),$E50*'PL '!D$33,AND($C50="Bus",$D50="Almost empty"),$E50*'PL '!I$23,AND($C50="Bus",$D50="Average"),$E50*'PL '!I$24,AND($C50="Bus",$D50="Nearly full"),$E50*'PL '!I$25,AND($C50="Electric bus",$D50="Almost empty"),$E50*'PL '!I$7,AND($C50="Electric bus",$D50="Average"),$E50*'PL '!I$8,AND($C50="Electric bus",$D50="Nearly full"),$E50*'PL '!I$9,AND($C50="Diesel bus",$D50="Almost empty"),$E50*'PL '!I$19,AND($C50="Diesel bus",$D50="Average"),$E50*'PL '!I$20,AND($C50="Diesel bus",$D50="Nearly full"),$E50*'PL '!I$21,AND($C50="Hybrid-electric bus",$D50="Almost empty"),$E50*'PL '!I$11,AND($C50="Hybrid-electric bus",$D50="Average"),$E50*'PL '!I$12,AND($C50="Hybrid-electric bus",$D50="Nearly full"),$E50*'PL '!I$13,AND($C50="Alternative fuel bus",$D50="Almost empty"),$E50*'PL '!I$15,AND($C50="Alternative fuel bus",$D50="Average"),$E50*'PL '!I$16,AND($C50="Alternative fuel bus",$D50="Nearly full"),$E50*'PL '!I$17,AND($C50="Metro, tram, urban light train",$D50="Almost empty"),$E50*'PL '!D$35,AND($C50="Metro, tram, urban light train",$D50="Average"),$E50*'PL '!D$36,AND($C50="Metro, tram, urban light train",$D50="Nearly full"),$E50*'PL '!D$37,AND($C50="Electric passenger train",$D50="Almost empty"),$E50*'PL '!D$39,AND($C50="Electric passenger train",$D50="Average"),$E50*'PL '!D$40,AND($C50="Electric passenger train",$D50="Nearly full"),$E50*'PL '!D$41,AND($C50="Diesel passenger train",$D50="Almost empty"),$E50*'PL '!D$47,AND($C50="Diesel passenger train",$D50="Average"),$E50*'PL '!D$48,AND($C50="Diesel passenger train",$D50="Nearly full"),$E50*'PL '!D$49,AND($C50="Walking"),$E50*0,AND($C50="Bike"),$E50*0,AND($C50="Plane - domestic flight"),$E50*'PL '!$C74,AND($C50="Plane - international - intra EU"),$E50*'PL '!$C76,AND($C50="Plane - international (extra EU)"),$E50*'PL '!$C78)</f>
        <v>#N/A</v>
      </c>
      <c r="H50" s="245"/>
      <c r="I50" s="142"/>
      <c r="L50" s="252"/>
      <c r="M50" s="253"/>
      <c r="N50" s="254"/>
    </row>
    <row r="51" spans="1:14" ht="33" thickBot="1" x14ac:dyDescent="0.25">
      <c r="A51" s="222"/>
      <c r="B51" s="53"/>
      <c r="C51" s="32"/>
      <c r="D51" s="34"/>
      <c r="E51" s="113"/>
      <c r="F51" s="129" t="e" cm="1">
        <f t="array" ref="F51">_xlfn.IFS(AND($C51="Fuel car",$D51=1),$E51*'PL '!C$7,AND($C51="Fuel car",$D51=2),$E51*'PL '!C$8,AND($C51="Fuel car",$D51=3),$E51*'PL '!C$9,AND($C51="Fuel car",$D51=4),$E51*'PL '!C$10,AND($C51="Fuel car",$D51=5),$E51*'PL '!C$11,AND($C51="Motorcycle",$D51=1),$E51*'PL '!C$13,AND($C51="Motorcycle",$D51=2),$E51*'PL '!C$14,AND($C51="Electric car",$D51=1),$E51*'PL '!C$16,AND($C51="Electric car",$D51=2),$E51*'PL '!C$17,AND($C51="Electric car",$D51=3),$E51*'PL '!C$18,AND($C51="Electric car",$D51=4),$E51*'PL '!C$19,AND($C51="Electric car",$D51=5),$E51*'PL '!C$20,AND($C51="Hybrid car",$D51=1),$E51*'PL '!C$22,AND($C51="Hybrid car",$D51=2),$E51*'PL '!C$23,AND($C51="Hybrid car",$D51=3),$E51*'PL '!C$24,AND($C51="Hybrid car",$D51=4),$E51*'PL '!C$25,AND($C51="Hybrid car",$D51=5),$E51*'PL '!C$26,AND($C51="Electric motorcycle",$D51=1),$E51*'PL '!C$28,AND($C51="Electric motorcycle",$D51=2),$E51*'PL '!C$29,AND($C51="Electric bike",$D51=1),$E51*'PL '!C$31,AND($C51="Electric scooter",$D51=1),$E51*'PL '!C$33,AND($C51="Bus",$D51="Almost empty"),$E51*'PL '!H$23,AND($C51="Bus",$D51="Average"),$E51*'PL '!H$24,AND($C51="Bus",$D51="Nearly full"),$E51*'PL '!H$25,AND($C51="Electric bus",$D51="Almost empty"),$E51*'PL '!H$7,AND($C51="Electric bus",$D51="Average"),$E51*'PL '!H$8,AND($C51="Electric bus",$D51="Nearly full"),$E51*'PL '!H$9,AND($C51="Diesel bus",$D51="Almost empty"),$E51*'PL '!H$19,AND($C51="Diesel bus",$D51="Average"),$E51*'PL '!H$20,AND($C51="Diesel bus",$D51="Nearly full"),$E51*'PL '!H$21,AND($C51="Hybrid-electric bus",$D51="Almost empty"),$E51*'PL '!H$11,AND($C51="Hybrid-electric bus",$D51="Average"),$E51*'PL '!H$12,AND($C51="Hybrid-electric bus",$D51="Nearly full"),$E51*'PL '!H$13,AND($C51="Alternative fuel bus",$D51="Almost empty"),$E51*'PL '!H$15,AND($C51="Alternative fuel bus",$D51="Average"),$E51*'PL '!H$16,AND($C51="Alternative fuel bus",$D51="Nearly full"),$E51*'PL '!H$17,AND($C51="Metro, tram, urban light train",$D51="Almost empty"),$E51*'PL '!C$35,AND($C51="Metro, tram, urban light train",$D51="Average"),$E51*'PL '!C$36,AND($C51="Metro, tram, urban light train",$D51="Nearly full"),$E51*'PL '!C$37,AND($C51="Electric passenger train",$D51="Almost empty"),$E51*'PL '!C$39,AND($C51="Electric passenger train",$D51="Average"),$E51*'PL '!C$40,AND($C51="Electric passenger train",$D51="Nearly full"),$E51*'PL '!C$41,AND($C51="Diesel passenger train",$D51="Almost empty"),$E51*'PL '!C$47,AND($C51="Diesel passenger train",$D51="Average"),$E51*'PL '!C$48,AND($C51="Diesel passenger train",$D51="Nearly full"),$E51*'PL '!C$49,AND($C51="Walking"),$E51*0,AND($C51="Bike"),$E51*0,AND($C51="Plane - domestic flight"),$E51*'PL '!$C75,AND($C51="Plane - international - intra EU"),$E51*'PL '!$C77,AND($C51="Plane - international (extra EU)"),$E51*'PL '!$C79)</f>
        <v>#N/A</v>
      </c>
      <c r="G51" s="35" t="e" cm="1">
        <f t="array" ref="G51">_xlfn.IFS(AND($C51="Fuel car",$D51=1),$E51*'PL '!D$7,AND($C51="Fuel car",$D51=2),$E51*'PL '!D$8,AND($C51="Fuel car",$D51=3),$E51*'PL '!D$9,AND($C51="Fuel car",$D51=4),$E51*'PL '!D$10,AND($C51="Fuel car",$D51=5),$E51*'PL '!D$11,AND($C51="Motorcycle",$D51=1),$E51*'PL '!D$13,AND($C51="Motorcycle",$D51=2),$E51*'PL '!D$14,AND($C51="Electric car",$D51=1),$E51*'PL '!D$16,AND($C51="Electric car",$D51=2),$E51*'PL '!D$17,AND($C51="Electric car",$D51=3),$E51*'PL '!D$18,AND($C51="Electric car",$D51=4),$E51*'PL '!D$19,AND($C51="Electric car",$D51=5),$E51*'PL '!D$20,AND($C51="Hybrid car",$D51=1),$E51*'PL '!D$22,AND($C51="Hybrid car",$D51=2),$E51*'PL '!D$23,AND($C51="Hybrid car",$D51=3),$E51*'PL '!D$24,AND($C51="Hybrid car",$D51=4),$E51*'PL '!D$25,AND($C51="Hybrid car",$D51=5),$E51*'PL '!D$26,AND($C51="Electric motorcycle",$D51=1),$E51*'PL '!D$28,AND($C51="Electric motorcycle",$D51=2),$E51*'PL '!D$29,AND($C51="Electric bike",$D51=1),$E51*'PL '!D$31,AND($C51="Electric scooter",$D51=1),$E51*'PL '!D$33,AND($C51="Bus",$D51="Almost empty"),$E51*'PL '!I$23,AND($C51="Bus",$D51="Average"),$E51*'PL '!I$24,AND($C51="Bus",$D51="Nearly full"),$E51*'PL '!I$25,AND($C51="Electric bus",$D51="Almost empty"),$E51*'PL '!I$7,AND($C51="Electric bus",$D51="Average"),$E51*'PL '!I$8,AND($C51="Electric bus",$D51="Nearly full"),$E51*'PL '!I$9,AND($C51="Diesel bus",$D51="Almost empty"),$E51*'PL '!I$19,AND($C51="Diesel bus",$D51="Average"),$E51*'PL '!I$20,AND($C51="Diesel bus",$D51="Nearly full"),$E51*'PL '!I$21,AND($C51="Hybrid-electric bus",$D51="Almost empty"),$E51*'PL '!I$11,AND($C51="Hybrid-electric bus",$D51="Average"),$E51*'PL '!I$12,AND($C51="Hybrid-electric bus",$D51="Nearly full"),$E51*'PL '!I$13,AND($C51="Alternative fuel bus",$D51="Almost empty"),$E51*'PL '!I$15,AND($C51="Alternative fuel bus",$D51="Average"),$E51*'PL '!I$16,AND($C51="Alternative fuel bus",$D51="Nearly full"),$E51*'PL '!I$17,AND($C51="Metro, tram, urban light train",$D51="Almost empty"),$E51*'PL '!D$35,AND($C51="Metro, tram, urban light train",$D51="Average"),$E51*'PL '!D$36,AND($C51="Metro, tram, urban light train",$D51="Nearly full"),$E51*'PL '!D$37,AND($C51="Electric passenger train",$D51="Almost empty"),$E51*'PL '!D$39,AND($C51="Electric passenger train",$D51="Average"),$E51*'PL '!D$40,AND($C51="Electric passenger train",$D51="Nearly full"),$E51*'PL '!D$41,AND($C51="Diesel passenger train",$D51="Almost empty"),$E51*'PL '!D$47,AND($C51="Diesel passenger train",$D51="Average"),$E51*'PL '!D$48,AND($C51="Diesel passenger train",$D51="Nearly full"),$E51*'PL '!D$49,AND($C51="Walking"),$E51*0,AND($C51="Bike"),$E51*0,AND($C51="Plane - domestic flight"),$E51*'PL '!$C75,AND($C51="Plane - international - intra EU"),$E51*'PL '!$C77,AND($C51="Plane - international (extra EU)"),$E51*'PL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_xlfn.IFS(AND(D57&lt;='PL '!L4),"A+",AND(D57&lt;='PL '!M4,D57&gt;'PL '!L4),"A",AND(D57&lt;='PL '!N4,D57&gt;'PL '!M4),"B",AND(D57&lt;='PL '!O4,D57&gt;'PL '!N4),"C",AND(D57&lt;='PL '!P4,D57&gt;'PL '!O4),"D",AND(D57&lt;='PL '!Q4,D57&gt;'PL '!P4),"E",AND(D57&lt;='PL '!R4,D57&gt;'PL '!Q4),"F",AND(D57&gt;'PL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_xlfn.IFS(D58="#","#",AND(D58&lt;='PL '!L5),"A+",AND(D58&lt;='PL '!M5,D58&gt;'PL '!L5),"A",AND(D58&lt;='PL '!N5,D58&gt;'PL '!M5),"B",AND(D58&lt;='PL '!O5,D58&gt;'PL '!N5),"C",AND(D58&lt;='PL '!P5,D58&gt;'PL '!O5),"D",AND(D58&lt;='PL '!Q5,D58&gt;'PL '!P5),"E",AND(D58&lt;='PL '!R5,D58&gt;'PL '!Q5),"F",AND(D58&gt;'PL '!R5),"G")</f>
        <v>#</v>
      </c>
    </row>
    <row r="59" spans="1:14" ht="32" x14ac:dyDescent="0.2">
      <c r="A59" s="262"/>
      <c r="B59" s="264"/>
      <c r="C59" s="21" t="s">
        <v>88</v>
      </c>
      <c r="D59" s="47" t="e">
        <f>IF(ISNUMBER(D58), D57 + D58, D57)</f>
        <v>#DIV/0!</v>
      </c>
      <c r="E59" s="277"/>
      <c r="G59" s="264"/>
      <c r="H59" t="s">
        <v>88</v>
      </c>
      <c r="I59" s="56" t="e" cm="1">
        <f t="array" ref="I59">_xlfn.IFS(AND(D59&lt;='PL '!L6),"A+",AND(D59&lt;='PL '!M6,D59&gt;'PL '!L6),"A",AND(D59&lt;='PL '!N6,D59&gt;'PL '!M6),"B",AND(D59&lt;='PL '!O6,D59&gt;'PL '!N6),"C",AND(D59&lt;='PL '!P6,D59&gt;'PL '!O6),"D",AND(D59&lt;='PL '!Q6,D59&gt;'PL '!P6),"E",AND(D59&lt;='PL '!R6,D59&gt;'PL '!Q6),"F",AND(D59&gt;'PL '!R6),"G")</f>
        <v>#DIV/0!</v>
      </c>
    </row>
    <row r="60" spans="1:14" ht="16" x14ac:dyDescent="0.2">
      <c r="A60" s="262"/>
      <c r="B60" s="264"/>
      <c r="C60" s="21" t="s">
        <v>89</v>
      </c>
      <c r="D60" s="99">
        <f>I30</f>
        <v>0</v>
      </c>
      <c r="E60" s="277"/>
      <c r="G60" s="264"/>
      <c r="H60" t="s">
        <v>89</v>
      </c>
      <c r="I60" s="56" t="str" cm="1">
        <f t="array" ref="I60">_xlfn.IFS(AND(D60&lt;='PL '!L7),"A+",AND(D60&lt;='PL '!M7,D60&gt;'PL '!L7),"A",AND(D60&lt;='PL '!N7,D60&gt;'PL '!M7),"B",AND(D60&lt;='PL '!O7,D60&gt;'PL '!N7),"C",AND(D60&lt;='PL '!P7,D60&gt;'PL '!O7),"D",AND(D60&lt;='PL '!Q7,D60&gt;'PL '!P7),"E",AND(D60&lt;='PL '!R7,D60&gt;'PL '!Q7),"F",AND(D60&gt;'PL '!R7),"G")</f>
        <v>A+</v>
      </c>
    </row>
    <row r="61" spans="1:14" ht="16" thickBot="1" x14ac:dyDescent="0.25">
      <c r="A61" s="262"/>
      <c r="B61" s="265"/>
      <c r="C61" s="16" t="s">
        <v>57</v>
      </c>
      <c r="D61" s="58" t="e">
        <f>SUM(D59:D60)</f>
        <v>#DIV/0!</v>
      </c>
      <c r="E61" s="261"/>
      <c r="G61" s="265"/>
      <c r="H61" s="16" t="s">
        <v>57</v>
      </c>
      <c r="I61" s="1" t="e" cm="1">
        <f t="array" ref="I61">_xlfn.IFS(AND(D61&lt;='PL '!L8),"A+",AND(D61&lt;='PL '!M8,D61&gt;'PL '!L8),"A",AND(D61&lt;='PL '!N8,D61&gt;'PL '!M8),"B",AND(D61&lt;='PL '!O8,D61&gt;'PL '!N8),"C",AND(D61&lt;='PL '!P8,D61&gt;'PL '!O8),"D",AND(D61&lt;='PL '!Q8,D61&gt;'PL '!P8),"E",AND(D61&lt;='PL '!R8,D61&gt;'PL '!Q8),"F",AND(D61&gt;'PL '!R8),"G")</f>
        <v>#DIV/0!</v>
      </c>
    </row>
    <row r="62" spans="1:14" ht="32" x14ac:dyDescent="0.2">
      <c r="A62" s="262"/>
      <c r="B62" s="263" t="s">
        <v>90</v>
      </c>
      <c r="C62" s="57" t="s">
        <v>85</v>
      </c>
      <c r="D62" s="100" t="e">
        <f>I16</f>
        <v>#DIV/0!</v>
      </c>
      <c r="E62" s="266" t="s">
        <v>91</v>
      </c>
      <c r="G62" s="263" t="s">
        <v>90</v>
      </c>
      <c r="H62" s="46" t="s">
        <v>85</v>
      </c>
      <c r="I62" s="55" t="e" cm="1">
        <f t="array" ref="I62">_xlfn.IFS(AND(D62&lt;='PL '!L9),"A+",AND(D62&lt;='PL '!M9,D62&gt;'PL '!L9),"A",AND(D62&lt;='PL '!N9,D62&gt;'PL '!M9),"B",AND(D62&lt;='PL '!O9,D62&gt;'PL '!N9),"C",AND(D62&lt;='PL '!P9,D62&gt;'PL '!O9),"D",AND(D62&lt;='PL '!Q9,D62&gt;'PL '!P9),"E",AND(D62&lt;='PL '!R9,D62&gt;'PL '!Q9),"F",AND(D62&gt;'PL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_xlfn.IFS(D63="#","#",AND(D63&lt;='PL '!L10),"A+",AND(D63&lt;='PL '!M10,D63&gt;'PL '!L10),"A",AND(D63&lt;='PL '!N10,D63&gt;'PL '!M10),"B",AND(D63&lt;='PL '!O10,D63&gt;'PL '!N10),"C",AND(D63&lt;='PL '!P10,D63&gt;'PL '!O10),"D",AND(D63&lt;='PL '!Q10,D63&gt;'PL '!P10),"E",AND(D63&lt;='PL '!R10,D63&gt;'PL '!Q10),"F",AND(D63&gt;'PL '!R10),"G")</f>
        <v>#</v>
      </c>
    </row>
    <row r="64" spans="1:14" ht="32" x14ac:dyDescent="0.2">
      <c r="A64" s="262"/>
      <c r="B64" s="264"/>
      <c r="C64" s="21" t="s">
        <v>92</v>
      </c>
      <c r="D64" s="47" t="e">
        <f>IF(ISNUMBER(D63), D62 + D63, D62)</f>
        <v>#DIV/0!</v>
      </c>
      <c r="E64" s="202"/>
      <c r="G64" s="264"/>
      <c r="H64" t="s">
        <v>92</v>
      </c>
      <c r="I64" s="56" t="e" cm="1">
        <f t="array" ref="I64">_xlfn.IFS(AND(D64&lt;='PL '!L11),"A+",AND(D64&lt;='PL '!M11,D64&gt;'PL '!L11),"A",AND(D64&lt;='PL '!N11,D64&gt;'PL '!M11),"B",AND(D64&lt;='PL '!O11,D64&gt;'PL '!N11),"C",AND(D64&lt;='PL '!P11,D64&gt;'PL '!O11),"D",AND(D64&lt;='PL '!Q11,D64&gt;'PL '!P11),"E",AND(D64&lt;='PL '!R11,D64&gt;'PL '!Q11),"F",AND(D64&gt;'PL '!R11),"G")</f>
        <v>#DIV/0!</v>
      </c>
    </row>
    <row r="65" spans="1:9" x14ac:dyDescent="0.2">
      <c r="A65" s="262"/>
      <c r="B65" s="264"/>
      <c r="C65" t="s">
        <v>89</v>
      </c>
      <c r="D65" s="99">
        <f>I31</f>
        <v>0</v>
      </c>
      <c r="E65" s="202"/>
      <c r="G65" s="264"/>
      <c r="H65" t="s">
        <v>89</v>
      </c>
      <c r="I65" s="56" t="str" cm="1">
        <f t="array" ref="I65">_xlfn.IFS(AND(D65&lt;='PL '!L12),"A+",AND(D65&lt;='PL '!M12,D65&gt;'PL '!L12),"A",AND(D65&lt;='PL '!N12,D65&gt;'PL '!M12),"B",AND(D65&lt;='PL '!O12,D65&gt;'PL '!N12),"C",AND(D65&lt;='PL '!P12,D65&gt;'PL '!O12),"D",AND(D65&lt;='PL '!Q12,D65&gt;'PL '!P12),"E",AND(D65&lt;='PL '!R12,D65&gt;'PL '!Q12),"F",AND(D65&gt;'PL '!R12),"G")</f>
        <v>A+</v>
      </c>
    </row>
    <row r="66" spans="1:9" ht="16" thickBot="1" x14ac:dyDescent="0.25">
      <c r="A66" s="262"/>
      <c r="B66" s="265"/>
      <c r="C66" s="16" t="s">
        <v>57</v>
      </c>
      <c r="D66" s="16" t="e">
        <f>SUM(D64:D65)</f>
        <v>#DIV/0!</v>
      </c>
      <c r="E66" s="267"/>
      <c r="G66" s="265"/>
      <c r="H66" s="16" t="s">
        <v>57</v>
      </c>
      <c r="I66" s="1" t="e" cm="1">
        <f t="array" ref="I66">_xlfn.IFS(AND(D66&lt;='PL '!L13),"A+",AND(D66&lt;='PL '!M13,D66&gt;'PL '!L13),"A",AND(D66&lt;='PL '!N13,D66&gt;'PL '!M13),"B",AND(D66&lt;='PL '!O13,D66&gt;'PL '!N13),"C",AND(D66&lt;='PL '!P13,D66&gt;'PL '!O13),"D",AND(D66&lt;='PL '!Q13,D66&gt;'PL '!P13),"E",AND(D66&lt;='PL '!R13,D66&gt;'PL '!Q13),"F",AND(D66&gt;'PL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203" priority="7" operator="equal">
      <formula>"A+"</formula>
    </cfRule>
    <cfRule type="containsText" dxfId="202" priority="8" operator="containsText" text="A">
      <formula>NOT(ISERROR(SEARCH("A",I57)))</formula>
    </cfRule>
    <cfRule type="containsText" dxfId="201" priority="9" operator="containsText" text="B">
      <formula>NOT(ISERROR(SEARCH("B",I57)))</formula>
    </cfRule>
    <cfRule type="containsText" dxfId="200" priority="10" operator="containsText" text="C">
      <formula>NOT(ISERROR(SEARCH("C",I57)))</formula>
    </cfRule>
    <cfRule type="containsText" dxfId="199" priority="11" operator="containsText" text="D">
      <formula>NOT(ISERROR(SEARCH("D",I57)))</formula>
    </cfRule>
    <cfRule type="containsText" dxfId="198" priority="12" operator="containsText" text="E">
      <formula>NOT(ISERROR(SEARCH("E",I57)))</formula>
    </cfRule>
    <cfRule type="containsText" dxfId="197" priority="13" operator="containsText" text="F">
      <formula>NOT(ISERROR(SEARCH("F",I57)))</formula>
    </cfRule>
    <cfRule type="containsText" dxfId="196" priority="14" operator="containsText" text="G">
      <formula>NOT(ISERROR(SEARCH("G",I57)))</formula>
    </cfRule>
  </conditionalFormatting>
  <conditionalFormatting sqref="K5:K15">
    <cfRule type="expression" dxfId="43" priority="2" stopIfTrue="1">
      <formula>$O$19="No"</formula>
    </cfRule>
  </conditionalFormatting>
  <conditionalFormatting sqref="L5:L15">
    <cfRule type="expression" dxfId="4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020127F6-AB0F-2343-9664-D6BA1347B9CB}">
      <formula1>AND(Q19="Yes", ISNUMBER(L5))</formula1>
    </dataValidation>
    <dataValidation type="custom" operator="lessThan" allowBlank="1" showErrorMessage="1" errorTitle="Error" error="You can only enter values if you have selected HOME PV. The value must be a number." sqref="K5:K15" xr:uid="{19C38DFA-29E6-1647-B582-31776ECF7D1F}">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C9114FB-8D59-4948-BDB8-A130A2B900A7}">
          <x14:formula1>
            <xm:f>DATA!$J$3:$J$10</xm:f>
          </x14:formula1>
          <xm:sqref>D29:D51</xm:sqref>
        </x14:dataValidation>
        <x14:dataValidation type="list" allowBlank="1" showInputMessage="1" showErrorMessage="1" xr:uid="{B63A8CC1-104C-CA44-940E-0BDD00094770}">
          <x14:formula1>
            <xm:f>DATA!$B$15:$B$23</xm:f>
          </x14:formula1>
          <xm:sqref>J2</xm:sqref>
        </x14:dataValidation>
        <x14:dataValidation type="list" allowBlank="1" showInputMessage="1" showErrorMessage="1" xr:uid="{04AA4E27-63C5-490A-8674-B7C5732BE73F}">
          <x14:formula1>
            <xm:f>DATA!$H$3:$H$23</xm:f>
          </x14:formula1>
          <xm:sqref>C29:C51</xm:sqref>
        </x14:dataValidation>
        <x14:dataValidation type="list" allowBlank="1" showInputMessage="1" showErrorMessage="1" xr:uid="{CF3CD4DC-EFD6-534D-A893-60BDDE79C6F3}">
          <x14:formula1>
            <xm:f>DATA!$B$3:$B$13</xm:f>
          </x14:formula1>
          <xm:sqref>H2</xm:sqref>
        </x14:dataValidation>
        <x14:dataValidation type="list" allowBlank="1" showInputMessage="1" showErrorMessage="1" xr:uid="{6F9EAA3C-126E-F74E-A427-AC9040AFAE56}">
          <x14:formula1>
            <xm:f>DATA!$L$4:$L$5</xm:f>
          </x14:formula1>
          <xm:sqref>O18:O19 Q19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F615-C584-4B58-8263-422774250D28}">
  <dimension ref="A1:Q66"/>
  <sheetViews>
    <sheetView topLeftCell="B1" zoomScale="80" zoomScaleNormal="80" workbookViewId="0">
      <selection activeCell="I5" sqref="I5:I15"/>
    </sheetView>
  </sheetViews>
  <sheetFormatPr baseColWidth="10" defaultColWidth="11.5" defaultRowHeight="15" x14ac:dyDescent="0.2"/>
  <cols>
    <col min="1" max="1" width="6.5" customWidth="1"/>
    <col min="4" max="4" width="16.83203125" customWidth="1"/>
    <col min="5" max="5" width="18.5" customWidth="1"/>
    <col min="6" max="6" width="16.1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114</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IF($O$18="Yes",(E5/$F$2)*DATA!$C$9,(E5/$F$2)*DATA!F$25)+IF(ISBLANK(K5),0,K5/$F$2)*DATA!$C$9-IF(ISBLANK(L5),0,L5/$F$2)*DATA!F$25</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IF($O$18="Yes",(E6/$F$2)*DATA!$C$9,(E6/$F$2)*DATA!F$25)+IF(ISBLANK(K6),0,K6/$F$2)*DATA!$C$9-IF(ISBLANK(L6),0,L6/$F$2)*DATA!F$25</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IF($O$18="Yes",(E7/$F$2)*DATA!$C$9,(E7/$F$2)*DATA!F$25)+IF(ISBLANK(K7),0,K7/$F$2)*DATA!$C$9-IF(ISBLANK(L7),0,L7/$F$2)*DATA!F$25</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IF($O$18="Yes",(E8/$F$2)*DATA!$C$9,(E8/$F$2)*DATA!F$25)+IF(ISBLANK(K8),0,K8/$F$2)*DATA!$C$9-IF(ISBLANK(L8),0,L8/$F$2)*DATA!F$25</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IF($O$18="Yes",(E9/$F$2)*DATA!$C$9,(E9/$F$2)*DATA!F$25)+IF(ISBLANK(K9),0,K9/$F$2)*DATA!$C$9-IF(ISBLANK(L9),0,L9/$F$2)*DATA!F$25</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IF($O$18="Yes",(E10/$F$2)*DATA!$C$9,(E10/$F$2)*DATA!F$25)+IF(ISBLANK(K10),0,K10/$F$2)*DATA!$C$9-IF(ISBLANK(L10),0,L10/$F$2)*DATA!F$25</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IF($O$18="Yes",(E11/$F$2)*DATA!$C$9,(E11/$F$2)*DATA!F$25)+IF(ISBLANK(K11),0,K11/$F$2)*DATA!$C$9-IF(ISBLANK(L11),0,L11/$F$2)*DATA!F$25</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IF($O$18="Yes",(E12/$F$2)*DATA!$C$9,(E12/$F$2)*DATA!F$25)+IF(ISBLANK(K12),0,K12/$F$2)*DATA!$C$9-IF(ISBLANK(L12),0,L12/$F$2)*DATA!F$25</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IF($O$18="Yes",(E13/$F$2)*DATA!$C$9,(E13/$F$2)*DATA!F$25)+IF(ISBLANK(K13),0,K13/$F$2)*DATA!$C$9-IF(ISBLANK(L13),0,L13/$F$2)*DATA!F$25</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IF($O$18="Yes",(E14/$F$2)*DATA!$C$9,(E14/$F$2)*DATA!F$25)+IF(ISBLANK(K14),0,K14/$F$2)*DATA!$C$9-IF(ISBLANK(L14),0,L14/$F$2)*DATA!F$25</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IF($O$18="Yes",(E15/$F$2)*DATA!$C$9,(E15/$F$2)*DATA!F$25)+IF(ISBLANK(K15),0,K15/$F$2)*DATA!$C$9-IF(ISBLANK(L15),0,L15/$F$2)*DATA!F$25</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car",$D29=1),$E29*'PT '!C$7,AND($C29="Fuel car",$D29=2),$E29*'PT '!C$8,AND($C29="Fuel car",$D29=3),$E29*'PT '!C$9,AND($C29="Fuel car",$D29=4),$E29*'PT '!C$10,AND($C29="Fuel car",$D29=5),$E29*'PT '!C$11,AND($C29="Motorcycle",$D29=1),$E29*'PT '!C$13,AND($C29="Motorcycle",$D29=2),$E29*'PT '!C$14,AND($C29="Electric car",$D29=1),$E29*'PT '!C$16,AND($C29="Electric car",$D29=2),$E29*'PT '!C$17,AND($C29="Electric car",$D29=3),$E29*'PT '!C$18,AND($C29="Electric car",$D29=4),$E29*'PT '!C$19,AND($C29="Electric car",$D29=5),$E29*'PT '!C$20,AND($C29="Hybrid car",$D29=1),$E29*'PT '!C$22,AND($C29="Hybrid car",$D29=2),$E29*'PT '!C$23,AND($C29="Hybrid car",$D29=3),$E29*'PT '!C$24,AND($C29="Hybrid car",$D29=4),$E29*'PT '!C$25,AND($C29="Hybrid car",$D29=5),$E29*'PT '!C$26,AND($C29="Electric motorcycle",$D29=1),$E29*'PT '!C$28,AND($C29="Electric motorcycle",$D29=2),$E29*'PT '!C$29,AND($C29="Electric bike",$D29=1),$E29*'PT '!C$31,AND($C29="Electric scooter",$D29=1),$E29*'PT '!C$33,AND($C29="Bus",$D29="Almost empty"),$E29*'PT '!H$23,AND($C29="Bus",$D29="Average"),$E29*'PT '!H$24,AND($C29="Bus",$D29="Nearly full"),$E29*'PT '!H$25,AND($C29="Electric bus",$D29="Almost empty"),$E29*'PT '!H$7,AND($C29="Electric bus",$D29="Average"),$E29*'PT '!H$8,AND($C29="Electric bus",$D29="Nearly full"),$E29*'PT '!H$9,AND($C29="Diesel bus",$D29="Almost empty"),$E29*'PT '!H$19,AND($C29="Diesel bus",$D29="Average"),$E29*'PT '!H$20,AND($C29="Diesel bus",$D29="Nearly full"),$E29*'PT '!H$21,AND($C29="Hybrid-electric bus",$D29="Almost empty"),$E29*'PT '!H$11,AND($C29="Hybrid-electric bus",$D29="Average"),$E29*'PT '!H$12,AND($C29="Hybrid-electric bus",$D29="Nearly full"),$E29*'PT '!H$13,AND($C29="Alternative fuel bus",$D29="Almost empty"),$E29*'PT '!H$15,AND($C29="Alternative fuel bus",$D29="Average"),$E29*'PT '!H$16,AND($C29="Alternative fuel bus",$D29="Nearly full"),$E29*'PT '!H$17,AND($C29="Metro, tram, urban light train",$D29="Almost empty"),$E29*'PT '!C$35,AND($C29="Metro, tram, urban light train",$D29="Average"),$E29*'PT '!C$36,AND($C29="Metro, tram, urban light train",$D29="Nearly full"),$E29*'PT '!C$37,AND($C29="Electric passenger train",$D29="Almost empty"),$E29*'PT '!C$39,AND($C29="Electric passenger train",$D29="Average"),$E29*'PT '!C$40,AND($C29="Electric passenger train",$D29="Nearly full"),$E29*'PT '!C$41,AND($C29="Diesel passenger train",$D29="Almost empty"),$E29*'PT '!C$47,AND($C29="Diesel passenger train",$D29="Average"),$E29*'PT '!C$48,AND($C29="Diesel passenger train",$D29="Nearly full"),$E29*'PT '!C$49,AND($C29="Walking"),$E29*0,AND($C29="Bike"),$E29*0,AND($C29="Plane - domestic flight"),$E29*'PT '!$C53,AND($C29="Plane - international - intra EU"),$E29*'PT '!$C55,AND($C29="Plane - international (extra EU)"),$E29*'PT '!$C57)</f>
        <v>#N/A</v>
      </c>
      <c r="G29" s="104" t="e" cm="1">
        <f t="array" ref="G29">_xlfn.IFS(AND($C29="Fuel car",$D29=1),$E29*'PT '!D$7,AND($C29="Fuel car",$D29=2),$E29*'PT '!D$8,AND($C29="Fuel car",$D29=3),$E29*'PT '!D$9,AND($C29="Fuel car",$D29=4),$E29*'PT '!D$10,AND($C29="Fuel car",$D29=5),$E29*'PT '!D$11,AND($C29="Motorcycle",$D29=1),$E29*'PT '!D$13,AND($C29="Motorcycle",$D29=2),$E29*'PT '!D$14,AND($C29="Electric car",$D29=1),$E29*'PT '!D$16,AND($C29="Electric car",$D29=2),$E29*'PT '!D$17,AND($C29="Electric car",$D29=3),$E29*'PT '!D$18,AND($C29="Electric car",$D29=4),$E29*'PT '!D$19,AND($C29="Electric car",$D29=5),$E29*'PT '!D$20,AND($C29="Hybrid car",$D29=1),$E29*'PT '!D$22,AND($C29="Hybrid car",$D29=2),$E29*'PT '!D$23,AND($C29="Hybrid car",$D29=3),$E29*'PT '!D$24,AND($C29="Hybrid car",$D29=4),$E29*'PT '!D$25,AND($C29="Hybrid car",$D29=5),$E29*'PT '!D$26,AND($C29="Electric motorcycle",$D29=1),$E29*'PT '!D$28,AND($C29="Electric motorcycle",$D29=2),$E29*'PT '!D$29,AND($C29="Electric bike",$D29=1),$E29*'PT '!D$31,AND($C29="Electric scooter",$D29=1),$E29*'PT '!D$33,AND($C29="Bus",$D29="Almost empty"),$E29*'PT '!I$23,AND($C29="Bus",$D29="Average"),$E29*'PT '!I$24,AND($C29="Bus",$D29="Nearly full"),$E29*'PT '!I$25,AND($C29="Electric bus",$D29="Almost empty"),$E29*'PT '!I$7,AND($C29="Electric bus",$D29="Average"),$E29*'PT '!I$8,AND($C29="Electric bus",$D29="Nearly full"),$E29*'PT '!I$9,AND($C29="Diesel bus",$D29="Almost empty"),$E29*'PT '!I$19,AND($C29="Diesel bus",$D29="Average"),$E29*'PT '!I$20,AND($C29="Diesel bus",$D29="Nearly full"),$E29*'PT '!I$21,AND($C29="Hybrid-electric bus",$D29="Almost empty"),$E29*'PT '!I$11,AND($C29="Hybrid-electric bus",$D29="Average"),$E29*'PT '!I$12,AND($C29="Hybrid-electric bus",$D29="Nearly full"),$E29*'PT '!I$13,AND($C29="Alternative fuel bus",$D29="Almost empty"),$E29*'PT '!I$15,AND($C29="Alternative fuel bus",$D29="Average"),$E29*'PT '!I$16,AND($C29="Alternative fuel bus",$D29="Nearly full"),$E29*'PT '!I$17,AND($C29="Metro, tram, urban light train",$D29="Almost empty"),$E29*'PT '!D$35,AND($C29="Metro, tram, urban light train",$D29="Average"),$E29*'PT '!D$36,AND($C29="Metro, tram, urban light train",$D29="Nearly full"),$E29*'PT '!D$37,AND($C29="Electric passenger train",$D29="Almost empty"),$E29*'PT '!D$39,AND($C29="Electric passenger train",$D29="Average"),$E29*'PT '!D$40,AND($C29="Electric passenger train",$D29="Nearly full"),$E29*'PT '!D$41,AND($C29="Diesel passenger train",$D29="Almost empty"),$E29*'PT '!D$47,AND($C29="Diesel passenger train",$D29="Average"),$E29*'PT '!D$48,AND($C29="Diesel passenger train",$D29="Nearly full"),$E29*'PT '!D$49,AND($C29="Walking"),$E29*0,AND($C29="Bike"),$E29*0,AND($C29="Plane - domestic flight"),$E29*'PT '!$C53,AND($C29="Plane - international - intra EU"),$E29*'PT '!$C55,AND($C29="Plane - international (extra EU)"),$E29*'PT '!$C57)</f>
        <v>#N/A</v>
      </c>
      <c r="H29" s="151"/>
      <c r="I29" s="152">
        <f>H29/10*E29</f>
        <v>0</v>
      </c>
      <c r="J29" s="146" t="e" cm="1">
        <f t="array" ref="J29">_xlfn.IFS(C29="Fuel car",C29*DATA!$C$17,C29="Electric car",C29*DATA!$F$25,C29="Hybrid car",I29*(0.5*DATA!$C$17+0.5*DATA!$F$25))</f>
        <v>#N/A</v>
      </c>
      <c r="L29" s="218"/>
      <c r="M29" s="219"/>
      <c r="N29" s="220"/>
    </row>
    <row r="30" spans="1:17" ht="32" customHeight="1" x14ac:dyDescent="0.2">
      <c r="A30" s="222"/>
      <c r="B30" s="30"/>
      <c r="C30" s="15"/>
      <c r="D30" s="15"/>
      <c r="E30" s="125"/>
      <c r="F30" s="128" t="e" cm="1">
        <f t="array" ref="F30">_xlfn.IFS(AND($C30="Fuel car",$D30=1),$E30*'PT '!C$7,AND($C30="Fuel car",$D30=2),$E30*'PT '!C$8,AND($C30="Fuel car",$D30=3),$E30*'PT '!C$9,AND($C30="Fuel car",$D30=4),$E30*'PT '!C$10,AND($C30="Fuel car",$D30=5),$E30*'PT '!C$11,AND($C30="Motorcycle",$D30=1),$E30*'PT '!C$13,AND($C30="Motorcycle",$D30=2),$E30*'PT '!C$14,AND($C30="Electric car",$D30=1),$E30*'PT '!C$16,AND($C30="Electric car",$D30=2),$E30*'PT '!C$17,AND($C30="Electric car",$D30=3),$E30*'PT '!C$18,AND($C30="Electric car",$D30=4),$E30*'PT '!C$19,AND($C30="Electric car",$D30=5),$E30*'PT '!C$20,AND($C30="Hybrid car",$D30=1),$E30*'PT '!C$22,AND($C30="Hybrid car",$D30=2),$E30*'PT '!C$23,AND($C30="Hybrid car",$D30=3),$E30*'PT '!C$24,AND($C30="Hybrid car",$D30=4),$E30*'PT '!C$25,AND($C30="Hybrid car",$D30=5),$E30*'PT '!C$26,AND($C30="Electric motorcycle",$D30=1),$E30*'PT '!C$28,AND($C30="Electric motorcycle",$D30=2),$E30*'PT '!C$29,AND($C30="Electric bike",$D30=1),$E30*'PT '!C$31,AND($C30="Electric scooter",$D30=1),$E30*'PT '!C$33,AND($C30="Bus",$D30="Almost empty"),$E30*'PT '!H$23,AND($C30="Bus",$D30="Average"),$E30*'PT '!H$24,AND($C30="Bus",$D30="Nearly full"),$E30*'PT '!H$25,AND($C30="Electric bus",$D30="Almost empty"),$E30*'PT '!H$7,AND($C30="Electric bus",$D30="Average"),$E30*'PT '!H$8,AND($C30="Electric bus",$D30="Nearly full"),$E30*'PT '!H$9,AND($C30="Diesel bus",$D30="Almost empty"),$E30*'PT '!H$19,AND($C30="Diesel bus",$D30="Average"),$E30*'PT '!H$20,AND($C30="Diesel bus",$D30="Nearly full"),$E30*'PT '!H$21,AND($C30="Hybrid-electric bus",$D30="Almost empty"),$E30*'PT '!H$11,AND($C30="Hybrid-electric bus",$D30="Average"),$E30*'PT '!H$12,AND($C30="Hybrid-electric bus",$D30="Nearly full"),$E30*'PT '!H$13,AND($C30="Alternative fuel bus",$D30="Almost empty"),$E30*'PT '!H$15,AND($C30="Alternative fuel bus",$D30="Average"),$E30*'PT '!H$16,AND($C30="Alternative fuel bus",$D30="Nearly full"),$E30*'PT '!H$17,AND($C30="Metro, tram, urban light train",$D30="Almost empty"),$E30*'PT '!C$35,AND($C30="Metro, tram, urban light train",$D30="Average"),$E30*'PT '!C$36,AND($C30="Metro, tram, urban light train",$D30="Nearly full"),$E30*'PT '!C$37,AND($C30="Electric passenger train",$D30="Almost empty"),$E30*'PT '!C$39,AND($C30="Electric passenger train",$D30="Average"),$E30*'PT '!C$40,AND($C30="Electric passenger train",$D30="Nearly full"),$E30*'PT '!C$41,AND($C30="Diesel passenger train",$D30="Almost empty"),$E30*'PT '!C$47,AND($C30="Diesel passenger train",$D30="Average"),$E30*'PT '!C$48,AND($C30="Diesel passenger train",$D30="Nearly full"),$E30*'PT '!C$49,AND($C30="Walking"),$E30*0,AND($C30="Bike"),$E30*0,AND($C30="Plane - domestic flight"),$E30*'PT '!$C54,AND($C30="Plane - international - intra EU"),$E30*'PT '!$C56,AND($C30="Plane - international (extra EU)"),$E30*'PT '!$C58)</f>
        <v>#N/A</v>
      </c>
      <c r="G30" s="31" t="e" cm="1">
        <f t="array" ref="G30">_xlfn.IFS(AND($C30="Fuel car",$D30=1),$E30*'PT '!D$7,AND($C30="Fuel car",$D30=2),$E30*'PT '!D$8,AND($C30="Fuel car",$D30=3),$E30*'PT '!D$9,AND($C30="Fuel car",$D30=4),$E30*'PT '!D$10,AND($C30="Fuel car",$D30=5),$E30*'PT '!D$11,AND($C30="Motorcycle",$D30=1),$E30*'PT '!D$13,AND($C30="Motorcycle",$D30=2),$E30*'PT '!D$14,AND($C30="Electric car",$D30=1),$E30*'PT '!D$16,AND($C30="Electric car",$D30=2),$E30*'PT '!D$17,AND($C30="Electric car",$D30=3),$E30*'PT '!D$18,AND($C30="Electric car",$D30=4),$E30*'PT '!D$19,AND($C30="Electric car",$D30=5),$E30*'PT '!D$20,AND($C30="Hybrid car",$D30=1),$E30*'PT '!D$22,AND($C30="Hybrid car",$D30=2),$E30*'PT '!D$23,AND($C30="Hybrid car",$D30=3),$E30*'PT '!D$24,AND($C30="Hybrid car",$D30=4),$E30*'PT '!D$25,AND($C30="Hybrid car",$D30=5),$E30*'PT '!D$26,AND($C30="Electric motorcycle",$D30=1),$E30*'PT '!D$28,AND($C30="Electric motorcycle",$D30=2),$E30*'PT '!D$29,AND($C30="Electric bike",$D30=1),$E30*'PT '!D$31,AND($C30="Electric scooter",$D30=1),$E30*'PT '!D$33,AND($C30="Bus",$D30="Almost empty"),$E30*'PT '!I$23,AND($C30="Bus",$D30="Average"),$E30*'PT '!I$24,AND($C30="Bus",$D30="Nearly full"),$E30*'PT '!I$25,AND($C30="Electric bus",$D30="Almost empty"),$E30*'PT '!I$7,AND($C30="Electric bus",$D30="Average"),$E30*'PT '!I$8,AND($C30="Electric bus",$D30="Nearly full"),$E30*'PT '!I$9,AND($C30="Diesel bus",$D30="Almost empty"),$E30*'PT '!I$19,AND($C30="Diesel bus",$D30="Average"),$E30*'PT '!I$20,AND($C30="Diesel bus",$D30="Nearly full"),$E30*'PT '!I$21,AND($C30="Hybrid-electric bus",$D30="Almost empty"),$E30*'PT '!I$11,AND($C30="Hybrid-electric bus",$D30="Average"),$E30*'PT '!I$12,AND($C30="Hybrid-electric bus",$D30="Nearly full"),$E30*'PT '!I$13,AND($C30="Alternative fuel bus",$D30="Almost empty"),$E30*'PT '!I$15,AND($C30="Alternative fuel bus",$D30="Average"),$E30*'PT '!I$16,AND($C30="Alternative fuel bus",$D30="Nearly full"),$E30*'PT '!I$17,AND($C30="Metro, tram, urban light train",$D30="Almost empty"),$E30*'PT '!D$35,AND($C30="Metro, tram, urban light train",$D30="Average"),$E30*'PT '!D$36,AND($C30="Metro, tram, urban light train",$D30="Nearly full"),$E30*'PT '!D$37,AND($C30="Electric passenger train",$D30="Almost empty"),$E30*'PT '!D$39,AND($C30="Electric passenger train",$D30="Average"),$E30*'PT '!D$40,AND($C30="Electric passenger train",$D30="Nearly full"),$E30*'PT '!D$41,AND($C30="Diesel passenger train",$D30="Almost empty"),$E30*'PT '!D$47,AND($C30="Diesel passenger train",$D30="Average"),$E30*'PT '!D$48,AND($C30="Diesel passenger train",$D30="Nearly full"),$E30*'PT '!D$49,AND($C30="Walking"),$E30*0,AND($C30="Bike"),$E30*0,AND($C30="Plane - domestic flight"),$E30*'PT '!$C54,AND($C30="Plane - international - intra EU"),$E30*'PT '!$C56,AND($C30="Plane - international (extra EU)"),$E30*'PT '!$C58)</f>
        <v>#N/A</v>
      </c>
      <c r="H30" s="145"/>
      <c r="I30" s="148">
        <f t="shared" ref="I30:I43" si="6">H30/10*E30</f>
        <v>0</v>
      </c>
      <c r="J30" s="146" t="e" cm="1">
        <f t="array" ref="J30">_xlfn.IFS(C30="Fuel car",C30*DATA!$C$17,C30="Electric car",C30*DATA!$F$25,C30="Hybrid car",I30*(0.5*DATA!$C$17+0.5*DATA!$F$25))</f>
        <v>#N/A</v>
      </c>
      <c r="L30" s="215" t="s">
        <v>76</v>
      </c>
      <c r="M30" s="216"/>
      <c r="N30" s="217"/>
    </row>
    <row r="31" spans="1:17" x14ac:dyDescent="0.2">
      <c r="A31" s="222"/>
      <c r="B31" s="30"/>
      <c r="C31" s="15"/>
      <c r="D31" s="15"/>
      <c r="E31" s="125"/>
      <c r="F31" s="128" t="e" cm="1">
        <f t="array" ref="F31">_xlfn.IFS(AND($C31="Fuel car",$D31=1),$E31*'PT '!C$7,AND($C31="Fuel car",$D31=2),$E31*'PT '!C$8,AND($C31="Fuel car",$D31=3),$E31*'PT '!C$9,AND($C31="Fuel car",$D31=4),$E31*'PT '!C$10,AND($C31="Fuel car",$D31=5),$E31*'PT '!C$11,AND($C31="Motorcycle",$D31=1),$E31*'PT '!C$13,AND($C31="Motorcycle",$D31=2),$E31*'PT '!C$14,AND($C31="Electric car",$D31=1),$E31*'PT '!C$16,AND($C31="Electric car",$D31=2),$E31*'PT '!C$17,AND($C31="Electric car",$D31=3),$E31*'PT '!C$18,AND($C31="Electric car",$D31=4),$E31*'PT '!C$19,AND($C31="Electric car",$D31=5),$E31*'PT '!C$20,AND($C31="Hybrid car",$D31=1),$E31*'PT '!C$22,AND($C31="Hybrid car",$D31=2),$E31*'PT '!C$23,AND($C31="Hybrid car",$D31=3),$E31*'PT '!C$24,AND($C31="Hybrid car",$D31=4),$E31*'PT '!C$25,AND($C31="Hybrid car",$D31=5),$E31*'PT '!C$26,AND($C31="Electric motorcycle",$D31=1),$E31*'PT '!C$28,AND($C31="Electric motorcycle",$D31=2),$E31*'PT '!C$29,AND($C31="Electric bike",$D31=1),$E31*'PT '!C$31,AND($C31="Electric scooter",$D31=1),$E31*'PT '!C$33,AND($C31="Bus",$D31="Almost empty"),$E31*'PT '!H$23,AND($C31="Bus",$D31="Average"),$E31*'PT '!H$24,AND($C31="Bus",$D31="Nearly full"),$E31*'PT '!H$25,AND($C31="Electric bus",$D31="Almost empty"),$E31*'PT '!H$7,AND($C31="Electric bus",$D31="Average"),$E31*'PT '!H$8,AND($C31="Electric bus",$D31="Nearly full"),$E31*'PT '!H$9,AND($C31="Diesel bus",$D31="Almost empty"),$E31*'PT '!H$19,AND($C31="Diesel bus",$D31="Average"),$E31*'PT '!H$20,AND($C31="Diesel bus",$D31="Nearly full"),$E31*'PT '!H$21,AND($C31="Hybrid-electric bus",$D31="Almost empty"),$E31*'PT '!H$11,AND($C31="Hybrid-electric bus",$D31="Average"),$E31*'PT '!H$12,AND($C31="Hybrid-electric bus",$D31="Nearly full"),$E31*'PT '!H$13,AND($C31="Alternative fuel bus",$D31="Almost empty"),$E31*'PT '!H$15,AND($C31="Alternative fuel bus",$D31="Average"),$E31*'PT '!H$16,AND($C31="Alternative fuel bus",$D31="Nearly full"),$E31*'PT '!H$17,AND($C31="Metro, tram, urban light train",$D31="Almost empty"),$E31*'PT '!C$35,AND($C31="Metro, tram, urban light train",$D31="Average"),$E31*'PT '!C$36,AND($C31="Metro, tram, urban light train",$D31="Nearly full"),$E31*'PT '!C$37,AND($C31="Electric passenger train",$D31="Almost empty"),$E31*'PT '!C$39,AND($C31="Electric passenger train",$D31="Average"),$E31*'PT '!C$40,AND($C31="Electric passenger train",$D31="Nearly full"),$E31*'PT '!C$41,AND($C31="Diesel passenger train",$D31="Almost empty"),$E31*'PT '!C$47,AND($C31="Diesel passenger train",$D31="Average"),$E31*'PT '!C$48,AND($C31="Diesel passenger train",$D31="Nearly full"),$E31*'PT '!C$49,AND($C31="Walking"),$E31*0,AND($C31="Bike"),$E31*0,AND($C31="Plane - domestic flight"),$E31*'PT '!$C55,AND($C31="Plane - international - intra EU"),$E31*'PT '!$C57,AND($C31="Plane - international (extra EU)"),$E31*'PT '!$C59)</f>
        <v>#N/A</v>
      </c>
      <c r="G31" s="31" t="e" cm="1">
        <f t="array" ref="G31">_xlfn.IFS(AND($C31="Fuel car",$D31=1),$E31*'PT '!D$7,AND($C31="Fuel car",$D31=2),$E31*'PT '!D$8,AND($C31="Fuel car",$D31=3),$E31*'PT '!D$9,AND($C31="Fuel car",$D31=4),$E31*'PT '!D$10,AND($C31="Fuel car",$D31=5),$E31*'PT '!D$11,AND($C31="Motorcycle",$D31=1),$E31*'PT '!D$13,AND($C31="Motorcycle",$D31=2),$E31*'PT '!D$14,AND($C31="Electric car",$D31=1),$E31*'PT '!D$16,AND($C31="Electric car",$D31=2),$E31*'PT '!D$17,AND($C31="Electric car",$D31=3),$E31*'PT '!D$18,AND($C31="Electric car",$D31=4),$E31*'PT '!D$19,AND($C31="Electric car",$D31=5),$E31*'PT '!D$20,AND($C31="Hybrid car",$D31=1),$E31*'PT '!D$22,AND($C31="Hybrid car",$D31=2),$E31*'PT '!D$23,AND($C31="Hybrid car",$D31=3),$E31*'PT '!D$24,AND($C31="Hybrid car",$D31=4),$E31*'PT '!D$25,AND($C31="Hybrid car",$D31=5),$E31*'PT '!D$26,AND($C31="Electric motorcycle",$D31=1),$E31*'PT '!D$28,AND($C31="Electric motorcycle",$D31=2),$E31*'PT '!D$29,AND($C31="Electric bike",$D31=1),$E31*'PT '!D$31,AND($C31="Electric scooter",$D31=1),$E31*'PT '!D$33,AND($C31="Bus",$D31="Almost empty"),$E31*'PT '!I$23,AND($C31="Bus",$D31="Average"),$E31*'PT '!I$24,AND($C31="Bus",$D31="Nearly full"),$E31*'PT '!I$25,AND($C31="Electric bus",$D31="Almost empty"),$E31*'PT '!I$7,AND($C31="Electric bus",$D31="Average"),$E31*'PT '!I$8,AND($C31="Electric bus",$D31="Nearly full"),$E31*'PT '!I$9,AND($C31="Diesel bus",$D31="Almost empty"),$E31*'PT '!I$19,AND($C31="Diesel bus",$D31="Average"),$E31*'PT '!I$20,AND($C31="Diesel bus",$D31="Nearly full"),$E31*'PT '!I$21,AND($C31="Hybrid-electric bus",$D31="Almost empty"),$E31*'PT '!I$11,AND($C31="Hybrid-electric bus",$D31="Average"),$E31*'PT '!I$12,AND($C31="Hybrid-electric bus",$D31="Nearly full"),$E31*'PT '!I$13,AND($C31="Alternative fuel bus",$D31="Almost empty"),$E31*'PT '!I$15,AND($C31="Alternative fuel bus",$D31="Average"),$E31*'PT '!I$16,AND($C31="Alternative fuel bus",$D31="Nearly full"),$E31*'PT '!I$17,AND($C31="Metro, tram, urban light train",$D31="Almost empty"),$E31*'PT '!D$35,AND($C31="Metro, tram, urban light train",$D31="Average"),$E31*'PT '!D$36,AND($C31="Metro, tram, urban light train",$D31="Nearly full"),$E31*'PT '!D$37,AND($C31="Electric passenger train",$D31="Almost empty"),$E31*'PT '!D$39,AND($C31="Electric passenger train",$D31="Average"),$E31*'PT '!D$40,AND($C31="Electric passenger train",$D31="Nearly full"),$E31*'PT '!D$41,AND($C31="Diesel passenger train",$D31="Almost empty"),$E31*'PT '!D$47,AND($C31="Diesel passenger train",$D31="Average"),$E31*'PT '!D$48,AND($C31="Diesel passenger train",$D31="Nearly full"),$E31*'PT '!D$49,AND($C31="Walking"),$E31*0,AND($C31="Bike"),$E31*0,AND($C31="Plane - domestic flight"),$E31*'PT '!$C55,AND($C31="Plane - international - intra EU"),$E31*'PT '!$C57,AND($C31="Plane - international (extra EU)"),$E31*'PT '!$C59)</f>
        <v>#N/A</v>
      </c>
      <c r="H31" s="145"/>
      <c r="I31" s="148">
        <f t="shared" si="6"/>
        <v>0</v>
      </c>
      <c r="J31" s="146" t="e" cm="1">
        <f t="array" ref="J31">_xlfn.IFS(C31="Fuel car",C31*DATA!$C$17,C31="Electric car",C31*DATA!$F$25,C31="Hybrid car",I31*(0.5*DATA!$C$17+0.5*DATA!$F$25))</f>
        <v>#N/A</v>
      </c>
      <c r="L31" s="223"/>
      <c r="M31" s="224"/>
      <c r="N31" s="225"/>
    </row>
    <row r="32" spans="1:17" ht="16" thickBot="1" x14ac:dyDescent="0.25">
      <c r="A32" s="222"/>
      <c r="B32" s="30"/>
      <c r="C32" s="15"/>
      <c r="D32" s="15"/>
      <c r="E32" s="125"/>
      <c r="F32" s="128" t="e" cm="1">
        <f t="array" ref="F32">_xlfn.IFS(AND($C32="Fuel car",$D32=1),$E32*'PT '!C$7,AND($C32="Fuel car",$D32=2),$E32*'PT '!C$8,AND($C32="Fuel car",$D32=3),$E32*'PT '!C$9,AND($C32="Fuel car",$D32=4),$E32*'PT '!C$10,AND($C32="Fuel car",$D32=5),$E32*'PT '!C$11,AND($C32="Motorcycle",$D32=1),$E32*'PT '!C$13,AND($C32="Motorcycle",$D32=2),$E32*'PT '!C$14,AND($C32="Electric car",$D32=1),$E32*'PT '!C$16,AND($C32="Electric car",$D32=2),$E32*'PT '!C$17,AND($C32="Electric car",$D32=3),$E32*'PT '!C$18,AND($C32="Electric car",$D32=4),$E32*'PT '!C$19,AND($C32="Electric car",$D32=5),$E32*'PT '!C$20,AND($C32="Hybrid car",$D32=1),$E32*'PT '!C$22,AND($C32="Hybrid car",$D32=2),$E32*'PT '!C$23,AND($C32="Hybrid car",$D32=3),$E32*'PT '!C$24,AND($C32="Hybrid car",$D32=4),$E32*'PT '!C$25,AND($C32="Hybrid car",$D32=5),$E32*'PT '!C$26,AND($C32="Electric motorcycle",$D32=1),$E32*'PT '!C$28,AND($C32="Electric motorcycle",$D32=2),$E32*'PT '!C$29,AND($C32="Electric bike",$D32=1),$E32*'PT '!C$31,AND($C32="Electric scooter",$D32=1),$E32*'PT '!C$33,AND($C32="Bus",$D32="Almost empty"),$E32*'PT '!H$23,AND($C32="Bus",$D32="Average"),$E32*'PT '!H$24,AND($C32="Bus",$D32="Nearly full"),$E32*'PT '!H$25,AND($C32="Electric bus",$D32="Almost empty"),$E32*'PT '!H$7,AND($C32="Electric bus",$D32="Average"),$E32*'PT '!H$8,AND($C32="Electric bus",$D32="Nearly full"),$E32*'PT '!H$9,AND($C32="Diesel bus",$D32="Almost empty"),$E32*'PT '!H$19,AND($C32="Diesel bus",$D32="Average"),$E32*'PT '!H$20,AND($C32="Diesel bus",$D32="Nearly full"),$E32*'PT '!H$21,AND($C32="Hybrid-electric bus",$D32="Almost empty"),$E32*'PT '!H$11,AND($C32="Hybrid-electric bus",$D32="Average"),$E32*'PT '!H$12,AND($C32="Hybrid-electric bus",$D32="Nearly full"),$E32*'PT '!H$13,AND($C32="Alternative fuel bus",$D32="Almost empty"),$E32*'PT '!H$15,AND($C32="Alternative fuel bus",$D32="Average"),$E32*'PT '!H$16,AND($C32="Alternative fuel bus",$D32="Nearly full"),$E32*'PT '!H$17,AND($C32="Metro, tram, urban light train",$D32="Almost empty"),$E32*'PT '!C$35,AND($C32="Metro, tram, urban light train",$D32="Average"),$E32*'PT '!C$36,AND($C32="Metro, tram, urban light train",$D32="Nearly full"),$E32*'PT '!C$37,AND($C32="Electric passenger train",$D32="Almost empty"),$E32*'PT '!C$39,AND($C32="Electric passenger train",$D32="Average"),$E32*'PT '!C$40,AND($C32="Electric passenger train",$D32="Nearly full"),$E32*'PT '!C$41,AND($C32="Diesel passenger train",$D32="Almost empty"),$E32*'PT '!C$47,AND($C32="Diesel passenger train",$D32="Average"),$E32*'PT '!C$48,AND($C32="Diesel passenger train",$D32="Nearly full"),$E32*'PT '!C$49,AND($C32="Walking"),$E32*0,AND($C32="Bike"),$E32*0,AND($C32="Plane - domestic flight"),$E32*'PT '!$C56,AND($C32="Plane - international - intra EU"),$E32*'PT '!$C58,AND($C32="Plane - international (extra EU)"),$E32*'PT '!$C60)</f>
        <v>#N/A</v>
      </c>
      <c r="G32" s="31" t="e" cm="1">
        <f t="array" ref="G32">_xlfn.IFS(AND($C32="Fuel car",$D32=1),$E32*'PT '!D$7,AND($C32="Fuel car",$D32=2),$E32*'PT '!D$8,AND($C32="Fuel car",$D32=3),$E32*'PT '!D$9,AND($C32="Fuel car",$D32=4),$E32*'PT '!D$10,AND($C32="Fuel car",$D32=5),$E32*'PT '!D$11,AND($C32="Motorcycle",$D32=1),$E32*'PT '!D$13,AND($C32="Motorcycle",$D32=2),$E32*'PT '!D$14,AND($C32="Electric car",$D32=1),$E32*'PT '!D$16,AND($C32="Electric car",$D32=2),$E32*'PT '!D$17,AND($C32="Electric car",$D32=3),$E32*'PT '!D$18,AND($C32="Electric car",$D32=4),$E32*'PT '!D$19,AND($C32="Electric car",$D32=5),$E32*'PT '!D$20,AND($C32="Hybrid car",$D32=1),$E32*'PT '!D$22,AND($C32="Hybrid car",$D32=2),$E32*'PT '!D$23,AND($C32="Hybrid car",$D32=3),$E32*'PT '!D$24,AND($C32="Hybrid car",$D32=4),$E32*'PT '!D$25,AND($C32="Hybrid car",$D32=5),$E32*'PT '!D$26,AND($C32="Electric motorcycle",$D32=1),$E32*'PT '!D$28,AND($C32="Electric motorcycle",$D32=2),$E32*'PT '!D$29,AND($C32="Electric bike",$D32=1),$E32*'PT '!D$31,AND($C32="Electric scooter",$D32=1),$E32*'PT '!D$33,AND($C32="Bus",$D32="Almost empty"),$E32*'PT '!I$23,AND($C32="Bus",$D32="Average"),$E32*'PT '!I$24,AND($C32="Bus",$D32="Nearly full"),$E32*'PT '!I$25,AND($C32="Electric bus",$D32="Almost empty"),$E32*'PT '!I$7,AND($C32="Electric bus",$D32="Average"),$E32*'PT '!I$8,AND($C32="Electric bus",$D32="Nearly full"),$E32*'PT '!I$9,AND($C32="Diesel bus",$D32="Almost empty"),$E32*'PT '!I$19,AND($C32="Diesel bus",$D32="Average"),$E32*'PT '!I$20,AND($C32="Diesel bus",$D32="Nearly full"),$E32*'PT '!I$21,AND($C32="Hybrid-electric bus",$D32="Almost empty"),$E32*'PT '!I$11,AND($C32="Hybrid-electric bus",$D32="Average"),$E32*'PT '!I$12,AND($C32="Hybrid-electric bus",$D32="Nearly full"),$E32*'PT '!I$13,AND($C32="Alternative fuel bus",$D32="Almost empty"),$E32*'PT '!I$15,AND($C32="Alternative fuel bus",$D32="Average"),$E32*'PT '!I$16,AND($C32="Alternative fuel bus",$D32="Nearly full"),$E32*'PT '!I$17,AND($C32="Metro, tram, urban light train",$D32="Almost empty"),$E32*'PT '!D$35,AND($C32="Metro, tram, urban light train",$D32="Average"),$E32*'PT '!D$36,AND($C32="Metro, tram, urban light train",$D32="Nearly full"),$E32*'PT '!D$37,AND($C32="Electric passenger train",$D32="Almost empty"),$E32*'PT '!D$39,AND($C32="Electric passenger train",$D32="Average"),$E32*'PT '!D$40,AND($C32="Electric passenger train",$D32="Nearly full"),$E32*'PT '!D$41,AND($C32="Diesel passenger train",$D32="Almost empty"),$E32*'PT '!D$47,AND($C32="Diesel passenger train",$D32="Average"),$E32*'PT '!D$48,AND($C32="Diesel passenger train",$D32="Nearly full"),$E32*'PT '!D$49,AND($C32="Walking"),$E32*0,AND($C32="Bike"),$E32*0,AND($C32="Plane - domestic flight"),$E32*'PT '!$C56,AND($C32="Plane - international - intra EU"),$E32*'PT '!$C58,AND($C32="Plane - international (extra EU)"),$E32*'PT '!$C60)</f>
        <v>#N/A</v>
      </c>
      <c r="H32" s="145"/>
      <c r="I32" s="148">
        <f t="shared" si="6"/>
        <v>0</v>
      </c>
      <c r="J32" s="146" t="e" cm="1">
        <f t="array" ref="J32">_xlfn.IFS(C32="Fuel car",C32*DATA!$C$17,C32="Electric car",C32*DATA!$F$25,C32="Hybrid car",I32*(0.5*DATA!$C$17+0.5*DATA!$F$25))</f>
        <v>#N/A</v>
      </c>
      <c r="L32" s="218"/>
      <c r="M32" s="219"/>
      <c r="N32" s="220"/>
    </row>
    <row r="33" spans="1:14" ht="14.5" customHeight="1" x14ac:dyDescent="0.2">
      <c r="A33" s="222"/>
      <c r="B33" s="30"/>
      <c r="C33" s="15"/>
      <c r="D33" s="15"/>
      <c r="E33" s="125"/>
      <c r="F33" s="128" t="e" cm="1">
        <f t="array" ref="F33">_xlfn.IFS(AND($C33="Fuel car",$D33=1),$E33*'PT '!C$7,AND($C33="Fuel car",$D33=2),$E33*'PT '!C$8,AND($C33="Fuel car",$D33=3),$E33*'PT '!C$9,AND($C33="Fuel car",$D33=4),$E33*'PT '!C$10,AND($C33="Fuel car",$D33=5),$E33*'PT '!C$11,AND($C33="Motorcycle",$D33=1),$E33*'PT '!C$13,AND($C33="Motorcycle",$D33=2),$E33*'PT '!C$14,AND($C33="Electric car",$D33=1),$E33*'PT '!C$16,AND($C33="Electric car",$D33=2),$E33*'PT '!C$17,AND($C33="Electric car",$D33=3),$E33*'PT '!C$18,AND($C33="Electric car",$D33=4),$E33*'PT '!C$19,AND($C33="Electric car",$D33=5),$E33*'PT '!C$20,AND($C33="Hybrid car",$D33=1),$E33*'PT '!C$22,AND($C33="Hybrid car",$D33=2),$E33*'PT '!C$23,AND($C33="Hybrid car",$D33=3),$E33*'PT '!C$24,AND($C33="Hybrid car",$D33=4),$E33*'PT '!C$25,AND($C33="Hybrid car",$D33=5),$E33*'PT '!C$26,AND($C33="Electric motorcycle",$D33=1),$E33*'PT '!C$28,AND($C33="Electric motorcycle",$D33=2),$E33*'PT '!C$29,AND($C33="Electric bike",$D33=1),$E33*'PT '!C$31,AND($C33="Electric scooter",$D33=1),$E33*'PT '!C$33,AND($C33="Bus",$D33="Almost empty"),$E33*'PT '!H$23,AND($C33="Bus",$D33="Average"),$E33*'PT '!H$24,AND($C33="Bus",$D33="Nearly full"),$E33*'PT '!H$25,AND($C33="Electric bus",$D33="Almost empty"),$E33*'PT '!H$7,AND($C33="Electric bus",$D33="Average"),$E33*'PT '!H$8,AND($C33="Electric bus",$D33="Nearly full"),$E33*'PT '!H$9,AND($C33="Diesel bus",$D33="Almost empty"),$E33*'PT '!H$19,AND($C33="Diesel bus",$D33="Average"),$E33*'PT '!H$20,AND($C33="Diesel bus",$D33="Nearly full"),$E33*'PT '!H$21,AND($C33="Hybrid-electric bus",$D33="Almost empty"),$E33*'PT '!H$11,AND($C33="Hybrid-electric bus",$D33="Average"),$E33*'PT '!H$12,AND($C33="Hybrid-electric bus",$D33="Nearly full"),$E33*'PT '!H$13,AND($C33="Alternative fuel bus",$D33="Almost empty"),$E33*'PT '!H$15,AND($C33="Alternative fuel bus",$D33="Average"),$E33*'PT '!H$16,AND($C33="Alternative fuel bus",$D33="Nearly full"),$E33*'PT '!H$17,AND($C33="Metro, tram, urban light train",$D33="Almost empty"),$E33*'PT '!C$35,AND($C33="Metro, tram, urban light train",$D33="Average"),$E33*'PT '!C$36,AND($C33="Metro, tram, urban light train",$D33="Nearly full"),$E33*'PT '!C$37,AND($C33="Electric passenger train",$D33="Almost empty"),$E33*'PT '!C$39,AND($C33="Electric passenger train",$D33="Average"),$E33*'PT '!C$40,AND($C33="Electric passenger train",$D33="Nearly full"),$E33*'PT '!C$41,AND($C33="Diesel passenger train",$D33="Almost empty"),$E33*'PT '!C$47,AND($C33="Diesel passenger train",$D33="Average"),$E33*'PT '!C$48,AND($C33="Diesel passenger train",$D33="Nearly full"),$E33*'PT '!C$49,AND($C33="Walking"),$E33*0,AND($C33="Bike"),$E33*0,AND($C33="Plane - domestic flight"),$E33*'PT '!$C57,AND($C33="Plane - international - intra EU"),$E33*'PT '!$C59,AND($C33="Plane - international (extra EU)"),$E33*'PT '!$C61)</f>
        <v>#N/A</v>
      </c>
      <c r="G33" s="31" t="e" cm="1">
        <f t="array" ref="G33">_xlfn.IFS(AND($C33="Fuel car",$D33=1),$E33*'PT '!D$7,AND($C33="Fuel car",$D33=2),$E33*'PT '!D$8,AND($C33="Fuel car",$D33=3),$E33*'PT '!D$9,AND($C33="Fuel car",$D33=4),$E33*'PT '!D$10,AND($C33="Fuel car",$D33=5),$E33*'PT '!D$11,AND($C33="Motorcycle",$D33=1),$E33*'PT '!D$13,AND($C33="Motorcycle",$D33=2),$E33*'PT '!D$14,AND($C33="Electric car",$D33=1),$E33*'PT '!D$16,AND($C33="Electric car",$D33=2),$E33*'PT '!D$17,AND($C33="Electric car",$D33=3),$E33*'PT '!D$18,AND($C33="Electric car",$D33=4),$E33*'PT '!D$19,AND($C33="Electric car",$D33=5),$E33*'PT '!D$20,AND($C33="Hybrid car",$D33=1),$E33*'PT '!D$22,AND($C33="Hybrid car",$D33=2),$E33*'PT '!D$23,AND($C33="Hybrid car",$D33=3),$E33*'PT '!D$24,AND($C33="Hybrid car",$D33=4),$E33*'PT '!D$25,AND($C33="Hybrid car",$D33=5),$E33*'PT '!D$26,AND($C33="Electric motorcycle",$D33=1),$E33*'PT '!D$28,AND($C33="Electric motorcycle",$D33=2),$E33*'PT '!D$29,AND($C33="Electric bike",$D33=1),$E33*'PT '!D$31,AND($C33="Electric scooter",$D33=1),$E33*'PT '!D$33,AND($C33="Bus",$D33="Almost empty"),$E33*'PT '!I$23,AND($C33="Bus",$D33="Average"),$E33*'PT '!I$24,AND($C33="Bus",$D33="Nearly full"),$E33*'PT '!I$25,AND($C33="Electric bus",$D33="Almost empty"),$E33*'PT '!I$7,AND($C33="Electric bus",$D33="Average"),$E33*'PT '!I$8,AND($C33="Electric bus",$D33="Nearly full"),$E33*'PT '!I$9,AND($C33="Diesel bus",$D33="Almost empty"),$E33*'PT '!I$19,AND($C33="Diesel bus",$D33="Average"),$E33*'PT '!I$20,AND($C33="Diesel bus",$D33="Nearly full"),$E33*'PT '!I$21,AND($C33="Hybrid-electric bus",$D33="Almost empty"),$E33*'PT '!I$11,AND($C33="Hybrid-electric bus",$D33="Average"),$E33*'PT '!I$12,AND($C33="Hybrid-electric bus",$D33="Nearly full"),$E33*'PT '!I$13,AND($C33="Alternative fuel bus",$D33="Almost empty"),$E33*'PT '!I$15,AND($C33="Alternative fuel bus",$D33="Average"),$E33*'PT '!I$16,AND($C33="Alternative fuel bus",$D33="Nearly full"),$E33*'PT '!I$17,AND($C33="Metro, tram, urban light train",$D33="Almost empty"),$E33*'PT '!D$35,AND($C33="Metro, tram, urban light train",$D33="Average"),$E33*'PT '!D$36,AND($C33="Metro, tram, urban light train",$D33="Nearly full"),$E33*'PT '!D$37,AND($C33="Electric passenger train",$D33="Almost empty"),$E33*'PT '!D$39,AND($C33="Electric passenger train",$D33="Average"),$E33*'PT '!D$40,AND($C33="Electric passenger train",$D33="Nearly full"),$E33*'PT '!D$41,AND($C33="Diesel passenger train",$D33="Almost empty"),$E33*'PT '!D$47,AND($C33="Diesel passenger train",$D33="Average"),$E33*'PT '!D$48,AND($C33="Diesel passenger train",$D33="Nearly full"),$E33*'PT '!D$49,AND($C33="Walking"),$E33*0,AND($C33="Bike"),$E33*0,AND($C33="Plane - domestic flight"),$E33*'PT '!$C57,AND($C33="Plane - international - intra EU"),$E33*'PT '!$C59,AND($C33="Plane - international (extra EU)"),$E33*'PT '!$C61)</f>
        <v>#N/A</v>
      </c>
      <c r="H33" s="145"/>
      <c r="I33" s="148">
        <f t="shared" si="6"/>
        <v>0</v>
      </c>
      <c r="J33" s="146" t="e" cm="1">
        <f t="array" ref="J33">_xlfn.IFS(C33="Fuel car",C33*DATA!$C$17,C33="Electric car",C33*DATA!$F$25,C33="Hybrid car",I33*(0.5*DATA!$C$17+0.5*DATA!$F$25))</f>
        <v>#N/A</v>
      </c>
      <c r="L33" s="223" t="s">
        <v>78</v>
      </c>
      <c r="M33" s="224"/>
      <c r="N33" s="225"/>
    </row>
    <row r="34" spans="1:14" x14ac:dyDescent="0.2">
      <c r="A34" s="222"/>
      <c r="B34" s="30"/>
      <c r="C34" s="15"/>
      <c r="D34" s="15"/>
      <c r="E34" s="125"/>
      <c r="F34" s="128" t="e" cm="1">
        <f t="array" ref="F34">_xlfn.IFS(AND($C34="Fuel car",$D34=1),$E34*'PT '!C$7,AND($C34="Fuel car",$D34=2),$E34*'PT '!C$8,AND($C34="Fuel car",$D34=3),$E34*'PT '!C$9,AND($C34="Fuel car",$D34=4),$E34*'PT '!C$10,AND($C34="Fuel car",$D34=5),$E34*'PT '!C$11,AND($C34="Motorcycle",$D34=1),$E34*'PT '!C$13,AND($C34="Motorcycle",$D34=2),$E34*'PT '!C$14,AND($C34="Electric car",$D34=1),$E34*'PT '!C$16,AND($C34="Electric car",$D34=2),$E34*'PT '!C$17,AND($C34="Electric car",$D34=3),$E34*'PT '!C$18,AND($C34="Electric car",$D34=4),$E34*'PT '!C$19,AND($C34="Electric car",$D34=5),$E34*'PT '!C$20,AND($C34="Hybrid car",$D34=1),$E34*'PT '!C$22,AND($C34="Hybrid car",$D34=2),$E34*'PT '!C$23,AND($C34="Hybrid car",$D34=3),$E34*'PT '!C$24,AND($C34="Hybrid car",$D34=4),$E34*'PT '!C$25,AND($C34="Hybrid car",$D34=5),$E34*'PT '!C$26,AND($C34="Electric motorcycle",$D34=1),$E34*'PT '!C$28,AND($C34="Electric motorcycle",$D34=2),$E34*'PT '!C$29,AND($C34="Electric bike",$D34=1),$E34*'PT '!C$31,AND($C34="Electric scooter",$D34=1),$E34*'PT '!C$33,AND($C34="Bus",$D34="Almost empty"),$E34*'PT '!H$23,AND($C34="Bus",$D34="Average"),$E34*'PT '!H$24,AND($C34="Bus",$D34="Nearly full"),$E34*'PT '!H$25,AND($C34="Electric bus",$D34="Almost empty"),$E34*'PT '!H$7,AND($C34="Electric bus",$D34="Average"),$E34*'PT '!H$8,AND($C34="Electric bus",$D34="Nearly full"),$E34*'PT '!H$9,AND($C34="Diesel bus",$D34="Almost empty"),$E34*'PT '!H$19,AND($C34="Diesel bus",$D34="Average"),$E34*'PT '!H$20,AND($C34="Diesel bus",$D34="Nearly full"),$E34*'PT '!H$21,AND($C34="Hybrid-electric bus",$D34="Almost empty"),$E34*'PT '!H$11,AND($C34="Hybrid-electric bus",$D34="Average"),$E34*'PT '!H$12,AND($C34="Hybrid-electric bus",$D34="Nearly full"),$E34*'PT '!H$13,AND($C34="Alternative fuel bus",$D34="Almost empty"),$E34*'PT '!H$15,AND($C34="Alternative fuel bus",$D34="Average"),$E34*'PT '!H$16,AND($C34="Alternative fuel bus",$D34="Nearly full"),$E34*'PT '!H$17,AND($C34="Metro, tram, urban light train",$D34="Almost empty"),$E34*'PT '!C$35,AND($C34="Metro, tram, urban light train",$D34="Average"),$E34*'PT '!C$36,AND($C34="Metro, tram, urban light train",$D34="Nearly full"),$E34*'PT '!C$37,AND($C34="Electric passenger train",$D34="Almost empty"),$E34*'PT '!C$39,AND($C34="Electric passenger train",$D34="Average"),$E34*'PT '!C$40,AND($C34="Electric passenger train",$D34="Nearly full"),$E34*'PT '!C$41,AND($C34="Diesel passenger train",$D34="Almost empty"),$E34*'PT '!C$47,AND($C34="Diesel passenger train",$D34="Average"),$E34*'PT '!C$48,AND($C34="Diesel passenger train",$D34="Nearly full"),$E34*'PT '!C$49,AND($C34="Walking"),$E34*0,AND($C34="Bike"),$E34*0,AND($C34="Plane - domestic flight"),$E34*'PT '!$C58,AND($C34="Plane - international - intra EU"),$E34*'PT '!$C60,AND($C34="Plane - international (extra EU)"),$E34*'PT '!$C62)</f>
        <v>#N/A</v>
      </c>
      <c r="G34" s="31" t="e" cm="1">
        <f t="array" ref="G34">_xlfn.IFS(AND($C34="Fuel car",$D34=1),$E34*'PT '!D$7,AND($C34="Fuel car",$D34=2),$E34*'PT '!D$8,AND($C34="Fuel car",$D34=3),$E34*'PT '!D$9,AND($C34="Fuel car",$D34=4),$E34*'PT '!D$10,AND($C34="Fuel car",$D34=5),$E34*'PT '!D$11,AND($C34="Motorcycle",$D34=1),$E34*'PT '!D$13,AND($C34="Motorcycle",$D34=2),$E34*'PT '!D$14,AND($C34="Electric car",$D34=1),$E34*'PT '!D$16,AND($C34="Electric car",$D34=2),$E34*'PT '!D$17,AND($C34="Electric car",$D34=3),$E34*'PT '!D$18,AND($C34="Electric car",$D34=4),$E34*'PT '!D$19,AND($C34="Electric car",$D34=5),$E34*'PT '!D$20,AND($C34="Hybrid car",$D34=1),$E34*'PT '!D$22,AND($C34="Hybrid car",$D34=2),$E34*'PT '!D$23,AND($C34="Hybrid car",$D34=3),$E34*'PT '!D$24,AND($C34="Hybrid car",$D34=4),$E34*'PT '!D$25,AND($C34="Hybrid car",$D34=5),$E34*'PT '!D$26,AND($C34="Electric motorcycle",$D34=1),$E34*'PT '!D$28,AND($C34="Electric motorcycle",$D34=2),$E34*'PT '!D$29,AND($C34="Electric bike",$D34=1),$E34*'PT '!D$31,AND($C34="Electric scooter",$D34=1),$E34*'PT '!D$33,AND($C34="Bus",$D34="Almost empty"),$E34*'PT '!I$23,AND($C34="Bus",$D34="Average"),$E34*'PT '!I$24,AND($C34="Bus",$D34="Nearly full"),$E34*'PT '!I$25,AND($C34="Electric bus",$D34="Almost empty"),$E34*'PT '!I$7,AND($C34="Electric bus",$D34="Average"),$E34*'PT '!I$8,AND($C34="Electric bus",$D34="Nearly full"),$E34*'PT '!I$9,AND($C34="Diesel bus",$D34="Almost empty"),$E34*'PT '!I$19,AND($C34="Diesel bus",$D34="Average"),$E34*'PT '!I$20,AND($C34="Diesel bus",$D34="Nearly full"),$E34*'PT '!I$21,AND($C34="Hybrid-electric bus",$D34="Almost empty"),$E34*'PT '!I$11,AND($C34="Hybrid-electric bus",$D34="Average"),$E34*'PT '!I$12,AND($C34="Hybrid-electric bus",$D34="Nearly full"),$E34*'PT '!I$13,AND($C34="Alternative fuel bus",$D34="Almost empty"),$E34*'PT '!I$15,AND($C34="Alternative fuel bus",$D34="Average"),$E34*'PT '!I$16,AND($C34="Alternative fuel bus",$D34="Nearly full"),$E34*'PT '!I$17,AND($C34="Metro, tram, urban light train",$D34="Almost empty"),$E34*'PT '!D$35,AND($C34="Metro, tram, urban light train",$D34="Average"),$E34*'PT '!D$36,AND($C34="Metro, tram, urban light train",$D34="Nearly full"),$E34*'PT '!D$37,AND($C34="Electric passenger train",$D34="Almost empty"),$E34*'PT '!D$39,AND($C34="Electric passenger train",$D34="Average"),$E34*'PT '!D$40,AND($C34="Electric passenger train",$D34="Nearly full"),$E34*'PT '!D$41,AND($C34="Diesel passenger train",$D34="Almost empty"),$E34*'PT '!D$47,AND($C34="Diesel passenger train",$D34="Average"),$E34*'PT '!D$48,AND($C34="Diesel passenger train",$D34="Nearly full"),$E34*'PT '!D$49,AND($C34="Walking"),$E34*0,AND($C34="Bike"),$E34*0,AND($C34="Plane - domestic flight"),$E34*'PT '!$C58,AND($C34="Plane - international - intra EU"),$E34*'PT '!$C60,AND($C34="Plane - international (extra EU)"),$E34*'PT '!$C62)</f>
        <v>#N/A</v>
      </c>
      <c r="H34" s="145"/>
      <c r="I34" s="148">
        <f t="shared" si="6"/>
        <v>0</v>
      </c>
      <c r="J34" s="146" t="e" cm="1">
        <f t="array" ref="J34">_xlfn.IFS(C34="Fuel car",C34*DATA!$C$17,C34="Electric car",C34*DATA!$F$25,C34="Hybrid car",I34*(0.5*DATA!$C$17+0.5*DATA!$F$25))</f>
        <v>#N/A</v>
      </c>
      <c r="L34" s="223"/>
      <c r="M34" s="224"/>
      <c r="N34" s="225"/>
    </row>
    <row r="35" spans="1:14" ht="14.5" customHeight="1" x14ac:dyDescent="0.2">
      <c r="A35" s="222"/>
      <c r="B35" s="30"/>
      <c r="C35" s="15"/>
      <c r="D35" s="15"/>
      <c r="E35" s="125"/>
      <c r="F35" s="128" t="e" cm="1">
        <f t="array" ref="F35">_xlfn.IFS(AND($C35="Fuel car",$D35=1),$E35*'PT '!C$7,AND($C35="Fuel car",$D35=2),$E35*'PT '!C$8,AND($C35="Fuel car",$D35=3),$E35*'PT '!C$9,AND($C35="Fuel car",$D35=4),$E35*'PT '!C$10,AND($C35="Fuel car",$D35=5),$E35*'PT '!C$11,AND($C35="Motorcycle",$D35=1),$E35*'PT '!C$13,AND($C35="Motorcycle",$D35=2),$E35*'PT '!C$14,AND($C35="Electric car",$D35=1),$E35*'PT '!C$16,AND($C35="Electric car",$D35=2),$E35*'PT '!C$17,AND($C35="Electric car",$D35=3),$E35*'PT '!C$18,AND($C35="Electric car",$D35=4),$E35*'PT '!C$19,AND($C35="Electric car",$D35=5),$E35*'PT '!C$20,AND($C35="Hybrid car",$D35=1),$E35*'PT '!C$22,AND($C35="Hybrid car",$D35=2),$E35*'PT '!C$23,AND($C35="Hybrid car",$D35=3),$E35*'PT '!C$24,AND($C35="Hybrid car",$D35=4),$E35*'PT '!C$25,AND($C35="Hybrid car",$D35=5),$E35*'PT '!C$26,AND($C35="Electric motorcycle",$D35=1),$E35*'PT '!C$28,AND($C35="Electric motorcycle",$D35=2),$E35*'PT '!C$29,AND($C35="Electric bike",$D35=1),$E35*'PT '!C$31,AND($C35="Electric scooter",$D35=1),$E35*'PT '!C$33,AND($C35="Bus",$D35="Almost empty"),$E35*'PT '!H$23,AND($C35="Bus",$D35="Average"),$E35*'PT '!H$24,AND($C35="Bus",$D35="Nearly full"),$E35*'PT '!H$25,AND($C35="Electric bus",$D35="Almost empty"),$E35*'PT '!H$7,AND($C35="Electric bus",$D35="Average"),$E35*'PT '!H$8,AND($C35="Electric bus",$D35="Nearly full"),$E35*'PT '!H$9,AND($C35="Diesel bus",$D35="Almost empty"),$E35*'PT '!H$19,AND($C35="Diesel bus",$D35="Average"),$E35*'PT '!H$20,AND($C35="Diesel bus",$D35="Nearly full"),$E35*'PT '!H$21,AND($C35="Hybrid-electric bus",$D35="Almost empty"),$E35*'PT '!H$11,AND($C35="Hybrid-electric bus",$D35="Average"),$E35*'PT '!H$12,AND($C35="Hybrid-electric bus",$D35="Nearly full"),$E35*'PT '!H$13,AND($C35="Alternative fuel bus",$D35="Almost empty"),$E35*'PT '!H$15,AND($C35="Alternative fuel bus",$D35="Average"),$E35*'PT '!H$16,AND($C35="Alternative fuel bus",$D35="Nearly full"),$E35*'PT '!H$17,AND($C35="Metro, tram, urban light train",$D35="Almost empty"),$E35*'PT '!C$35,AND($C35="Metro, tram, urban light train",$D35="Average"),$E35*'PT '!C$36,AND($C35="Metro, tram, urban light train",$D35="Nearly full"),$E35*'PT '!C$37,AND($C35="Electric passenger train",$D35="Almost empty"),$E35*'PT '!C$39,AND($C35="Electric passenger train",$D35="Average"),$E35*'PT '!C$40,AND($C35="Electric passenger train",$D35="Nearly full"),$E35*'PT '!C$41,AND($C35="Diesel passenger train",$D35="Almost empty"),$E35*'PT '!C$47,AND($C35="Diesel passenger train",$D35="Average"),$E35*'PT '!C$48,AND($C35="Diesel passenger train",$D35="Nearly full"),$E35*'PT '!C$49,AND($C35="Walking"),$E35*0,AND($C35="Bike"),$E35*0,AND($C35="Plane - domestic flight"),$E35*'PT '!$C59,AND($C35="Plane - international - intra EU"),$E35*'PT '!$C61,AND($C35="Plane - international (extra EU)"),$E35*'PT '!$C63)</f>
        <v>#N/A</v>
      </c>
      <c r="G35" s="31" t="e" cm="1">
        <f t="array" ref="G35">_xlfn.IFS(AND($C35="Fuel car",$D35=1),$E35*'PT '!D$7,AND($C35="Fuel car",$D35=2),$E35*'PT '!D$8,AND($C35="Fuel car",$D35=3),$E35*'PT '!D$9,AND($C35="Fuel car",$D35=4),$E35*'PT '!D$10,AND($C35="Fuel car",$D35=5),$E35*'PT '!D$11,AND($C35="Motorcycle",$D35=1),$E35*'PT '!D$13,AND($C35="Motorcycle",$D35=2),$E35*'PT '!D$14,AND($C35="Electric car",$D35=1),$E35*'PT '!D$16,AND($C35="Electric car",$D35=2),$E35*'PT '!D$17,AND($C35="Electric car",$D35=3),$E35*'PT '!D$18,AND($C35="Electric car",$D35=4),$E35*'PT '!D$19,AND($C35="Electric car",$D35=5),$E35*'PT '!D$20,AND($C35="Hybrid car",$D35=1),$E35*'PT '!D$22,AND($C35="Hybrid car",$D35=2),$E35*'PT '!D$23,AND($C35="Hybrid car",$D35=3),$E35*'PT '!D$24,AND($C35="Hybrid car",$D35=4),$E35*'PT '!D$25,AND($C35="Hybrid car",$D35=5),$E35*'PT '!D$26,AND($C35="Electric motorcycle",$D35=1),$E35*'PT '!D$28,AND($C35="Electric motorcycle",$D35=2),$E35*'PT '!D$29,AND($C35="Electric bike",$D35=1),$E35*'PT '!D$31,AND($C35="Electric scooter",$D35=1),$E35*'PT '!D$33,AND($C35="Bus",$D35="Almost empty"),$E35*'PT '!I$23,AND($C35="Bus",$D35="Average"),$E35*'PT '!I$24,AND($C35="Bus",$D35="Nearly full"),$E35*'PT '!I$25,AND($C35="Electric bus",$D35="Almost empty"),$E35*'PT '!I$7,AND($C35="Electric bus",$D35="Average"),$E35*'PT '!I$8,AND($C35="Electric bus",$D35="Nearly full"),$E35*'PT '!I$9,AND($C35="Diesel bus",$D35="Almost empty"),$E35*'PT '!I$19,AND($C35="Diesel bus",$D35="Average"),$E35*'PT '!I$20,AND($C35="Diesel bus",$D35="Nearly full"),$E35*'PT '!I$21,AND($C35="Hybrid-electric bus",$D35="Almost empty"),$E35*'PT '!I$11,AND($C35="Hybrid-electric bus",$D35="Average"),$E35*'PT '!I$12,AND($C35="Hybrid-electric bus",$D35="Nearly full"),$E35*'PT '!I$13,AND($C35="Alternative fuel bus",$D35="Almost empty"),$E35*'PT '!I$15,AND($C35="Alternative fuel bus",$D35="Average"),$E35*'PT '!I$16,AND($C35="Alternative fuel bus",$D35="Nearly full"),$E35*'PT '!I$17,AND($C35="Metro, tram, urban light train",$D35="Almost empty"),$E35*'PT '!D$35,AND($C35="Metro, tram, urban light train",$D35="Average"),$E35*'PT '!D$36,AND($C35="Metro, tram, urban light train",$D35="Nearly full"),$E35*'PT '!D$37,AND($C35="Electric passenger train",$D35="Almost empty"),$E35*'PT '!D$39,AND($C35="Electric passenger train",$D35="Average"),$E35*'PT '!D$40,AND($C35="Electric passenger train",$D35="Nearly full"),$E35*'PT '!D$41,AND($C35="Diesel passenger train",$D35="Almost empty"),$E35*'PT '!D$47,AND($C35="Diesel passenger train",$D35="Average"),$E35*'PT '!D$48,AND($C35="Diesel passenger train",$D35="Nearly full"),$E35*'PT '!D$49,AND($C35="Walking"),$E35*0,AND($C35="Bike"),$E35*0,AND($C35="Plane - domestic flight"),$E35*'PT '!$C59,AND($C35="Plane - international - intra EU"),$E35*'PT '!$C61,AND($C35="Plane - international (extra EU)"),$E35*'PT '!$C63)</f>
        <v>#N/A</v>
      </c>
      <c r="H35" s="145"/>
      <c r="I35" s="148">
        <f t="shared" si="6"/>
        <v>0</v>
      </c>
      <c r="J35" s="146" t="e" cm="1">
        <f t="array" ref="J35">_xlfn.IFS(C35="Fuel car",C35*DATA!$C$17,C35="Electric car",C35*DATA!$F$25,C35="Hybrid car",I35*(0.5*DATA!$C$17+0.5*DATA!$F$25))</f>
        <v>#N/A</v>
      </c>
      <c r="L35" s="223"/>
      <c r="M35" s="224"/>
      <c r="N35" s="225"/>
    </row>
    <row r="36" spans="1:14" ht="16" thickBot="1" x14ac:dyDescent="0.25">
      <c r="A36" s="222"/>
      <c r="B36" s="30"/>
      <c r="C36" s="15"/>
      <c r="D36" s="15"/>
      <c r="E36" s="125"/>
      <c r="F36" s="128" t="e" cm="1">
        <f t="array" ref="F36">_xlfn.IFS(AND($C36="Fuel car",$D36=1),$E36*'PT '!C$7,AND($C36="Fuel car",$D36=2),$E36*'PT '!C$8,AND($C36="Fuel car",$D36=3),$E36*'PT '!C$9,AND($C36="Fuel car",$D36=4),$E36*'PT '!C$10,AND($C36="Fuel car",$D36=5),$E36*'PT '!C$11,AND($C36="Motorcycle",$D36=1),$E36*'PT '!C$13,AND($C36="Motorcycle",$D36=2),$E36*'PT '!C$14,AND($C36="Electric car",$D36=1),$E36*'PT '!C$16,AND($C36="Electric car",$D36=2),$E36*'PT '!C$17,AND($C36="Electric car",$D36=3),$E36*'PT '!C$18,AND($C36="Electric car",$D36=4),$E36*'PT '!C$19,AND($C36="Electric car",$D36=5),$E36*'PT '!C$20,AND($C36="Hybrid car",$D36=1),$E36*'PT '!C$22,AND($C36="Hybrid car",$D36=2),$E36*'PT '!C$23,AND($C36="Hybrid car",$D36=3),$E36*'PT '!C$24,AND($C36="Hybrid car",$D36=4),$E36*'PT '!C$25,AND($C36="Hybrid car",$D36=5),$E36*'PT '!C$26,AND($C36="Electric motorcycle",$D36=1),$E36*'PT '!C$28,AND($C36="Electric motorcycle",$D36=2),$E36*'PT '!C$29,AND($C36="Electric bike",$D36=1),$E36*'PT '!C$31,AND($C36="Electric scooter",$D36=1),$E36*'PT '!C$33,AND($C36="Bus",$D36="Almost empty"),$E36*'PT '!H$23,AND($C36="Bus",$D36="Average"),$E36*'PT '!H$24,AND($C36="Bus",$D36="Nearly full"),$E36*'PT '!H$25,AND($C36="Electric bus",$D36="Almost empty"),$E36*'PT '!H$7,AND($C36="Electric bus",$D36="Average"),$E36*'PT '!H$8,AND($C36="Electric bus",$D36="Nearly full"),$E36*'PT '!H$9,AND($C36="Diesel bus",$D36="Almost empty"),$E36*'PT '!H$19,AND($C36="Diesel bus",$D36="Average"),$E36*'PT '!H$20,AND($C36="Diesel bus",$D36="Nearly full"),$E36*'PT '!H$21,AND($C36="Hybrid-electric bus",$D36="Almost empty"),$E36*'PT '!H$11,AND($C36="Hybrid-electric bus",$D36="Average"),$E36*'PT '!H$12,AND($C36="Hybrid-electric bus",$D36="Nearly full"),$E36*'PT '!H$13,AND($C36="Alternative fuel bus",$D36="Almost empty"),$E36*'PT '!H$15,AND($C36="Alternative fuel bus",$D36="Average"),$E36*'PT '!H$16,AND($C36="Alternative fuel bus",$D36="Nearly full"),$E36*'PT '!H$17,AND($C36="Metro, tram, urban light train",$D36="Almost empty"),$E36*'PT '!C$35,AND($C36="Metro, tram, urban light train",$D36="Average"),$E36*'PT '!C$36,AND($C36="Metro, tram, urban light train",$D36="Nearly full"),$E36*'PT '!C$37,AND($C36="Electric passenger train",$D36="Almost empty"),$E36*'PT '!C$39,AND($C36="Electric passenger train",$D36="Average"),$E36*'PT '!C$40,AND($C36="Electric passenger train",$D36="Nearly full"),$E36*'PT '!C$41,AND($C36="Diesel passenger train",$D36="Almost empty"),$E36*'PT '!C$47,AND($C36="Diesel passenger train",$D36="Average"),$E36*'PT '!C$48,AND($C36="Diesel passenger train",$D36="Nearly full"),$E36*'PT '!C$49,AND($C36="Walking"),$E36*0,AND($C36="Bike"),$E36*0,AND($C36="Plane - domestic flight"),$E36*'PT '!$C60,AND($C36="Plane - international - intra EU"),$E36*'PT '!$C62,AND($C36="Plane - international (extra EU)"),$E36*'PT '!$C64)</f>
        <v>#N/A</v>
      </c>
      <c r="G36" s="31" t="e" cm="1">
        <f t="array" ref="G36">_xlfn.IFS(AND($C36="Fuel car",$D36=1),$E36*'PT '!D$7,AND($C36="Fuel car",$D36=2),$E36*'PT '!D$8,AND($C36="Fuel car",$D36=3),$E36*'PT '!D$9,AND($C36="Fuel car",$D36=4),$E36*'PT '!D$10,AND($C36="Fuel car",$D36=5),$E36*'PT '!D$11,AND($C36="Motorcycle",$D36=1),$E36*'PT '!D$13,AND($C36="Motorcycle",$D36=2),$E36*'PT '!D$14,AND($C36="Electric car",$D36=1),$E36*'PT '!D$16,AND($C36="Electric car",$D36=2),$E36*'PT '!D$17,AND($C36="Electric car",$D36=3),$E36*'PT '!D$18,AND($C36="Electric car",$D36=4),$E36*'PT '!D$19,AND($C36="Electric car",$D36=5),$E36*'PT '!D$20,AND($C36="Hybrid car",$D36=1),$E36*'PT '!D$22,AND($C36="Hybrid car",$D36=2),$E36*'PT '!D$23,AND($C36="Hybrid car",$D36=3),$E36*'PT '!D$24,AND($C36="Hybrid car",$D36=4),$E36*'PT '!D$25,AND($C36="Hybrid car",$D36=5),$E36*'PT '!D$26,AND($C36="Electric motorcycle",$D36=1),$E36*'PT '!D$28,AND($C36="Electric motorcycle",$D36=2),$E36*'PT '!D$29,AND($C36="Electric bike",$D36=1),$E36*'PT '!D$31,AND($C36="Electric scooter",$D36=1),$E36*'PT '!D$33,AND($C36="Bus",$D36="Almost empty"),$E36*'PT '!I$23,AND($C36="Bus",$D36="Average"),$E36*'PT '!I$24,AND($C36="Bus",$D36="Nearly full"),$E36*'PT '!I$25,AND($C36="Electric bus",$D36="Almost empty"),$E36*'PT '!I$7,AND($C36="Electric bus",$D36="Average"),$E36*'PT '!I$8,AND($C36="Electric bus",$D36="Nearly full"),$E36*'PT '!I$9,AND($C36="Diesel bus",$D36="Almost empty"),$E36*'PT '!I$19,AND($C36="Diesel bus",$D36="Average"),$E36*'PT '!I$20,AND($C36="Diesel bus",$D36="Nearly full"),$E36*'PT '!I$21,AND($C36="Hybrid-electric bus",$D36="Almost empty"),$E36*'PT '!I$11,AND($C36="Hybrid-electric bus",$D36="Average"),$E36*'PT '!I$12,AND($C36="Hybrid-electric bus",$D36="Nearly full"),$E36*'PT '!I$13,AND($C36="Alternative fuel bus",$D36="Almost empty"),$E36*'PT '!I$15,AND($C36="Alternative fuel bus",$D36="Average"),$E36*'PT '!I$16,AND($C36="Alternative fuel bus",$D36="Nearly full"),$E36*'PT '!I$17,AND($C36="Metro, tram, urban light train",$D36="Almost empty"),$E36*'PT '!D$35,AND($C36="Metro, tram, urban light train",$D36="Average"),$E36*'PT '!D$36,AND($C36="Metro, tram, urban light train",$D36="Nearly full"),$E36*'PT '!D$37,AND($C36="Electric passenger train",$D36="Almost empty"),$E36*'PT '!D$39,AND($C36="Electric passenger train",$D36="Average"),$E36*'PT '!D$40,AND($C36="Electric passenger train",$D36="Nearly full"),$E36*'PT '!D$41,AND($C36="Diesel passenger train",$D36="Almost empty"),$E36*'PT '!D$47,AND($C36="Diesel passenger train",$D36="Average"),$E36*'PT '!D$48,AND($C36="Diesel passenger train",$D36="Nearly full"),$E36*'PT '!D$49,AND($C36="Walking"),$E36*0,AND($C36="Bike"),$E36*0,AND($C36="Plane - domestic flight"),$E36*'PT '!$C60,AND($C36="Plane - international - intra EU"),$E36*'PT '!$C62,AND($C36="Plane - international (extra EU)"),$E36*'PT '!$C64)</f>
        <v>#N/A</v>
      </c>
      <c r="H36" s="145"/>
      <c r="I36" s="148">
        <f t="shared" si="6"/>
        <v>0</v>
      </c>
      <c r="J36" s="146" t="e" cm="1">
        <f t="array" ref="J36">_xlfn.IFS(C36="Fuel car",C36*DATA!$C$17,C36="Electric car",C36*DATA!$F$25,C36="Hybrid car",I36*(0.5*DATA!$C$17+0.5*DATA!$F$25))</f>
        <v>#N/A</v>
      </c>
      <c r="L36" s="218"/>
      <c r="M36" s="219"/>
      <c r="N36" s="220"/>
    </row>
    <row r="37" spans="1:14" ht="14.5" customHeight="1" x14ac:dyDescent="0.2">
      <c r="A37" s="222"/>
      <c r="B37" s="30"/>
      <c r="C37" s="15"/>
      <c r="D37" s="15"/>
      <c r="E37" s="125"/>
      <c r="F37" s="128" t="e" cm="1">
        <f t="array" ref="F37">_xlfn.IFS(AND($C37="Fuel car",$D37=1),$E37*'PT '!C$7,AND($C37="Fuel car",$D37=2),$E37*'PT '!C$8,AND($C37="Fuel car",$D37=3),$E37*'PT '!C$9,AND($C37="Fuel car",$D37=4),$E37*'PT '!C$10,AND($C37="Fuel car",$D37=5),$E37*'PT '!C$11,AND($C37="Motorcycle",$D37=1),$E37*'PT '!C$13,AND($C37="Motorcycle",$D37=2),$E37*'PT '!C$14,AND($C37="Electric car",$D37=1),$E37*'PT '!C$16,AND($C37="Electric car",$D37=2),$E37*'PT '!C$17,AND($C37="Electric car",$D37=3),$E37*'PT '!C$18,AND($C37="Electric car",$D37=4),$E37*'PT '!C$19,AND($C37="Electric car",$D37=5),$E37*'PT '!C$20,AND($C37="Hybrid car",$D37=1),$E37*'PT '!C$22,AND($C37="Hybrid car",$D37=2),$E37*'PT '!C$23,AND($C37="Hybrid car",$D37=3),$E37*'PT '!C$24,AND($C37="Hybrid car",$D37=4),$E37*'PT '!C$25,AND($C37="Hybrid car",$D37=5),$E37*'PT '!C$26,AND($C37="Electric motorcycle",$D37=1),$E37*'PT '!C$28,AND($C37="Electric motorcycle",$D37=2),$E37*'PT '!C$29,AND($C37="Electric bike",$D37=1),$E37*'PT '!C$31,AND($C37="Electric scooter",$D37=1),$E37*'PT '!C$33,AND($C37="Bus",$D37="Almost empty"),$E37*'PT '!H$23,AND($C37="Bus",$D37="Average"),$E37*'PT '!H$24,AND($C37="Bus",$D37="Nearly full"),$E37*'PT '!H$25,AND($C37="Electric bus",$D37="Almost empty"),$E37*'PT '!H$7,AND($C37="Electric bus",$D37="Average"),$E37*'PT '!H$8,AND($C37="Electric bus",$D37="Nearly full"),$E37*'PT '!H$9,AND($C37="Diesel bus",$D37="Almost empty"),$E37*'PT '!H$19,AND($C37="Diesel bus",$D37="Average"),$E37*'PT '!H$20,AND($C37="Diesel bus",$D37="Nearly full"),$E37*'PT '!H$21,AND($C37="Hybrid-electric bus",$D37="Almost empty"),$E37*'PT '!H$11,AND($C37="Hybrid-electric bus",$D37="Average"),$E37*'PT '!H$12,AND($C37="Hybrid-electric bus",$D37="Nearly full"),$E37*'PT '!H$13,AND($C37="Alternative fuel bus",$D37="Almost empty"),$E37*'PT '!H$15,AND($C37="Alternative fuel bus",$D37="Average"),$E37*'PT '!H$16,AND($C37="Alternative fuel bus",$D37="Nearly full"),$E37*'PT '!H$17,AND($C37="Metro, tram, urban light train",$D37="Almost empty"),$E37*'PT '!C$35,AND($C37="Metro, tram, urban light train",$D37="Average"),$E37*'PT '!C$36,AND($C37="Metro, tram, urban light train",$D37="Nearly full"),$E37*'PT '!C$37,AND($C37="Electric passenger train",$D37="Almost empty"),$E37*'PT '!C$39,AND($C37="Electric passenger train",$D37="Average"),$E37*'PT '!C$40,AND($C37="Electric passenger train",$D37="Nearly full"),$E37*'PT '!C$41,AND($C37="Diesel passenger train",$D37="Almost empty"),$E37*'PT '!C$47,AND($C37="Diesel passenger train",$D37="Average"),$E37*'PT '!C$48,AND($C37="Diesel passenger train",$D37="Nearly full"),$E37*'PT '!C$49,AND($C37="Walking"),$E37*0,AND($C37="Bike"),$E37*0,AND($C37="Plane - domestic flight"),$E37*'PT '!$C61,AND($C37="Plane - international - intra EU"),$E37*'PT '!$C63,AND($C37="Plane - international (extra EU)"),$E37*'PT '!$C65)</f>
        <v>#N/A</v>
      </c>
      <c r="G37" s="31" t="e" cm="1">
        <f t="array" ref="G37">_xlfn.IFS(AND($C37="Fuel car",$D37=1),$E37*'PT '!D$7,AND($C37="Fuel car",$D37=2),$E37*'PT '!D$8,AND($C37="Fuel car",$D37=3),$E37*'PT '!D$9,AND($C37="Fuel car",$D37=4),$E37*'PT '!D$10,AND($C37="Fuel car",$D37=5),$E37*'PT '!D$11,AND($C37="Motorcycle",$D37=1),$E37*'PT '!D$13,AND($C37="Motorcycle",$D37=2),$E37*'PT '!D$14,AND($C37="Electric car",$D37=1),$E37*'PT '!D$16,AND($C37="Electric car",$D37=2),$E37*'PT '!D$17,AND($C37="Electric car",$D37=3),$E37*'PT '!D$18,AND($C37="Electric car",$D37=4),$E37*'PT '!D$19,AND($C37="Electric car",$D37=5),$E37*'PT '!D$20,AND($C37="Hybrid car",$D37=1),$E37*'PT '!D$22,AND($C37="Hybrid car",$D37=2),$E37*'PT '!D$23,AND($C37="Hybrid car",$D37=3),$E37*'PT '!D$24,AND($C37="Hybrid car",$D37=4),$E37*'PT '!D$25,AND($C37="Hybrid car",$D37=5),$E37*'PT '!D$26,AND($C37="Electric motorcycle",$D37=1),$E37*'PT '!D$28,AND($C37="Electric motorcycle",$D37=2),$E37*'PT '!D$29,AND($C37="Electric bike",$D37=1),$E37*'PT '!D$31,AND($C37="Electric scooter",$D37=1),$E37*'PT '!D$33,AND($C37="Bus",$D37="Almost empty"),$E37*'PT '!I$23,AND($C37="Bus",$D37="Average"),$E37*'PT '!I$24,AND($C37="Bus",$D37="Nearly full"),$E37*'PT '!I$25,AND($C37="Electric bus",$D37="Almost empty"),$E37*'PT '!I$7,AND($C37="Electric bus",$D37="Average"),$E37*'PT '!I$8,AND($C37="Electric bus",$D37="Nearly full"),$E37*'PT '!I$9,AND($C37="Diesel bus",$D37="Almost empty"),$E37*'PT '!I$19,AND($C37="Diesel bus",$D37="Average"),$E37*'PT '!I$20,AND($C37="Diesel bus",$D37="Nearly full"),$E37*'PT '!I$21,AND($C37="Hybrid-electric bus",$D37="Almost empty"),$E37*'PT '!I$11,AND($C37="Hybrid-electric bus",$D37="Average"),$E37*'PT '!I$12,AND($C37="Hybrid-electric bus",$D37="Nearly full"),$E37*'PT '!I$13,AND($C37="Alternative fuel bus",$D37="Almost empty"),$E37*'PT '!I$15,AND($C37="Alternative fuel bus",$D37="Average"),$E37*'PT '!I$16,AND($C37="Alternative fuel bus",$D37="Nearly full"),$E37*'PT '!I$17,AND($C37="Metro, tram, urban light train",$D37="Almost empty"),$E37*'PT '!D$35,AND($C37="Metro, tram, urban light train",$D37="Average"),$E37*'PT '!D$36,AND($C37="Metro, tram, urban light train",$D37="Nearly full"),$E37*'PT '!D$37,AND($C37="Electric passenger train",$D37="Almost empty"),$E37*'PT '!D$39,AND($C37="Electric passenger train",$D37="Average"),$E37*'PT '!D$40,AND($C37="Electric passenger train",$D37="Nearly full"),$E37*'PT '!D$41,AND($C37="Diesel passenger train",$D37="Almost empty"),$E37*'PT '!D$47,AND($C37="Diesel passenger train",$D37="Average"),$E37*'PT '!D$48,AND($C37="Diesel passenger train",$D37="Nearly full"),$E37*'PT '!D$49,AND($C37="Walking"),$E37*0,AND($C37="Bike"),$E37*0,AND($C37="Plane - domestic flight"),$E37*'PT '!$C61,AND($C37="Plane - international - intra EU"),$E37*'PT '!$C63,AND($C37="Plane - international (extra EU)"),$E37*'PT '!$C65)</f>
        <v>#N/A</v>
      </c>
      <c r="H37" s="145"/>
      <c r="I37" s="148">
        <f t="shared" si="6"/>
        <v>0</v>
      </c>
      <c r="J37" s="146" t="e" cm="1">
        <f t="array" ref="J37">_xlfn.IFS(C37="Fuel car",C37*DATA!$C$17,C37="Electric car",C37*DATA!$F$25,C37="Hybrid car",I37*(0.5*DATA!$C$17+0.5*DATA!$F$25))</f>
        <v>#N/A</v>
      </c>
      <c r="L37" s="215" t="s">
        <v>79</v>
      </c>
      <c r="M37" s="216"/>
      <c r="N37" s="217"/>
    </row>
    <row r="38" spans="1:14" ht="16" thickBot="1" x14ac:dyDescent="0.25">
      <c r="A38" s="222"/>
      <c r="B38" s="30"/>
      <c r="C38" s="15"/>
      <c r="D38" s="15"/>
      <c r="E38" s="125"/>
      <c r="F38" s="128" t="e" cm="1">
        <f t="array" ref="F38">_xlfn.IFS(AND($C38="Fuel car",$D38=1),$E38*'PT '!C$7,AND($C38="Fuel car",$D38=2),$E38*'PT '!C$8,AND($C38="Fuel car",$D38=3),$E38*'PT '!C$9,AND($C38="Fuel car",$D38=4),$E38*'PT '!C$10,AND($C38="Fuel car",$D38=5),$E38*'PT '!C$11,AND($C38="Motorcycle",$D38=1),$E38*'PT '!C$13,AND($C38="Motorcycle",$D38=2),$E38*'PT '!C$14,AND($C38="Electric car",$D38=1),$E38*'PT '!C$16,AND($C38="Electric car",$D38=2),$E38*'PT '!C$17,AND($C38="Electric car",$D38=3),$E38*'PT '!C$18,AND($C38="Electric car",$D38=4),$E38*'PT '!C$19,AND($C38="Electric car",$D38=5),$E38*'PT '!C$20,AND($C38="Hybrid car",$D38=1),$E38*'PT '!C$22,AND($C38="Hybrid car",$D38=2),$E38*'PT '!C$23,AND($C38="Hybrid car",$D38=3),$E38*'PT '!C$24,AND($C38="Hybrid car",$D38=4),$E38*'PT '!C$25,AND($C38="Hybrid car",$D38=5),$E38*'PT '!C$26,AND($C38="Electric motorcycle",$D38=1),$E38*'PT '!C$28,AND($C38="Electric motorcycle",$D38=2),$E38*'PT '!C$29,AND($C38="Electric bike",$D38=1),$E38*'PT '!C$31,AND($C38="Electric scooter",$D38=1),$E38*'PT '!C$33,AND($C38="Bus",$D38="Almost empty"),$E38*'PT '!H$23,AND($C38="Bus",$D38="Average"),$E38*'PT '!H$24,AND($C38="Bus",$D38="Nearly full"),$E38*'PT '!H$25,AND($C38="Electric bus",$D38="Almost empty"),$E38*'PT '!H$7,AND($C38="Electric bus",$D38="Average"),$E38*'PT '!H$8,AND($C38="Electric bus",$D38="Nearly full"),$E38*'PT '!H$9,AND($C38="Diesel bus",$D38="Almost empty"),$E38*'PT '!H$19,AND($C38="Diesel bus",$D38="Average"),$E38*'PT '!H$20,AND($C38="Diesel bus",$D38="Nearly full"),$E38*'PT '!H$21,AND($C38="Hybrid-electric bus",$D38="Almost empty"),$E38*'PT '!H$11,AND($C38="Hybrid-electric bus",$D38="Average"),$E38*'PT '!H$12,AND($C38="Hybrid-electric bus",$D38="Nearly full"),$E38*'PT '!H$13,AND($C38="Alternative fuel bus",$D38="Almost empty"),$E38*'PT '!H$15,AND($C38="Alternative fuel bus",$D38="Average"),$E38*'PT '!H$16,AND($C38="Alternative fuel bus",$D38="Nearly full"),$E38*'PT '!H$17,AND($C38="Metro, tram, urban light train",$D38="Almost empty"),$E38*'PT '!C$35,AND($C38="Metro, tram, urban light train",$D38="Average"),$E38*'PT '!C$36,AND($C38="Metro, tram, urban light train",$D38="Nearly full"),$E38*'PT '!C$37,AND($C38="Electric passenger train",$D38="Almost empty"),$E38*'PT '!C$39,AND($C38="Electric passenger train",$D38="Average"),$E38*'PT '!C$40,AND($C38="Electric passenger train",$D38="Nearly full"),$E38*'PT '!C$41,AND($C38="Diesel passenger train",$D38="Almost empty"),$E38*'PT '!C$47,AND($C38="Diesel passenger train",$D38="Average"),$E38*'PT '!C$48,AND($C38="Diesel passenger train",$D38="Nearly full"),$E38*'PT '!C$49,AND($C38="Walking"),$E38*0,AND($C38="Bike"),$E38*0,AND($C38="Plane - domestic flight"),$E38*'PT '!$C62,AND($C38="Plane - international - intra EU"),$E38*'PT '!$C64,AND($C38="Plane - international (extra EU)"),$E38*'PT '!$C66)</f>
        <v>#N/A</v>
      </c>
      <c r="G38" s="31" t="e" cm="1">
        <f t="array" ref="G38">_xlfn.IFS(AND($C38="Fuel car",$D38=1),$E38*'PT '!D$7,AND($C38="Fuel car",$D38=2),$E38*'PT '!D$8,AND($C38="Fuel car",$D38=3),$E38*'PT '!D$9,AND($C38="Fuel car",$D38=4),$E38*'PT '!D$10,AND($C38="Fuel car",$D38=5),$E38*'PT '!D$11,AND($C38="Motorcycle",$D38=1),$E38*'PT '!D$13,AND($C38="Motorcycle",$D38=2),$E38*'PT '!D$14,AND($C38="Electric car",$D38=1),$E38*'PT '!D$16,AND($C38="Electric car",$D38=2),$E38*'PT '!D$17,AND($C38="Electric car",$D38=3),$E38*'PT '!D$18,AND($C38="Electric car",$D38=4),$E38*'PT '!D$19,AND($C38="Electric car",$D38=5),$E38*'PT '!D$20,AND($C38="Hybrid car",$D38=1),$E38*'PT '!D$22,AND($C38="Hybrid car",$D38=2),$E38*'PT '!D$23,AND($C38="Hybrid car",$D38=3),$E38*'PT '!D$24,AND($C38="Hybrid car",$D38=4),$E38*'PT '!D$25,AND($C38="Hybrid car",$D38=5),$E38*'PT '!D$26,AND($C38="Electric motorcycle",$D38=1),$E38*'PT '!D$28,AND($C38="Electric motorcycle",$D38=2),$E38*'PT '!D$29,AND($C38="Electric bike",$D38=1),$E38*'PT '!D$31,AND($C38="Electric scooter",$D38=1),$E38*'PT '!D$33,AND($C38="Bus",$D38="Almost empty"),$E38*'PT '!I$23,AND($C38="Bus",$D38="Average"),$E38*'PT '!I$24,AND($C38="Bus",$D38="Nearly full"),$E38*'PT '!I$25,AND($C38="Electric bus",$D38="Almost empty"),$E38*'PT '!I$7,AND($C38="Electric bus",$D38="Average"),$E38*'PT '!I$8,AND($C38="Electric bus",$D38="Nearly full"),$E38*'PT '!I$9,AND($C38="Diesel bus",$D38="Almost empty"),$E38*'PT '!I$19,AND($C38="Diesel bus",$D38="Average"),$E38*'PT '!I$20,AND($C38="Diesel bus",$D38="Nearly full"),$E38*'PT '!I$21,AND($C38="Hybrid-electric bus",$D38="Almost empty"),$E38*'PT '!I$11,AND($C38="Hybrid-electric bus",$D38="Average"),$E38*'PT '!I$12,AND($C38="Hybrid-electric bus",$D38="Nearly full"),$E38*'PT '!I$13,AND($C38="Alternative fuel bus",$D38="Almost empty"),$E38*'PT '!I$15,AND($C38="Alternative fuel bus",$D38="Average"),$E38*'PT '!I$16,AND($C38="Alternative fuel bus",$D38="Nearly full"),$E38*'PT '!I$17,AND($C38="Metro, tram, urban light train",$D38="Almost empty"),$E38*'PT '!D$35,AND($C38="Metro, tram, urban light train",$D38="Average"),$E38*'PT '!D$36,AND($C38="Metro, tram, urban light train",$D38="Nearly full"),$E38*'PT '!D$37,AND($C38="Electric passenger train",$D38="Almost empty"),$E38*'PT '!D$39,AND($C38="Electric passenger train",$D38="Average"),$E38*'PT '!D$40,AND($C38="Electric passenger train",$D38="Nearly full"),$E38*'PT '!D$41,AND($C38="Diesel passenger train",$D38="Almost empty"),$E38*'PT '!D$47,AND($C38="Diesel passenger train",$D38="Average"),$E38*'PT '!D$48,AND($C38="Diesel passenger train",$D38="Nearly full"),$E38*'PT '!D$49,AND($C38="Walking"),$E38*0,AND($C38="Bike"),$E38*0,AND($C38="Plane - domestic flight"),$E38*'PT '!$C62,AND($C38="Plane - international - intra EU"),$E38*'PT '!$C64,AND($C38="Plane - international (extra EU)"),$E38*'PT '!$C66)</f>
        <v>#N/A</v>
      </c>
      <c r="H38" s="145"/>
      <c r="I38" s="148">
        <f t="shared" si="6"/>
        <v>0</v>
      </c>
      <c r="J38" s="146" t="e" cm="1">
        <f t="array" ref="J38">_xlfn.IFS(C38="Fuel car",C38*DATA!$C$17,C38="Electric car",C38*DATA!$F$25,C38="Hybrid car",I38*(0.5*DATA!$C$17+0.5*DATA!$F$25))</f>
        <v>#N/A</v>
      </c>
      <c r="L38" s="218"/>
      <c r="M38" s="219"/>
      <c r="N38" s="220"/>
    </row>
    <row r="39" spans="1:14" ht="14.5" customHeight="1" x14ac:dyDescent="0.2">
      <c r="A39" s="222"/>
      <c r="B39" s="30"/>
      <c r="C39" s="15"/>
      <c r="D39" s="15"/>
      <c r="E39" s="125"/>
      <c r="F39" s="128" t="e" cm="1">
        <f t="array" ref="F39">_xlfn.IFS(AND($C39="Fuel car",$D39=1),$E39*'PT '!C$7,AND($C39="Fuel car",$D39=2),$E39*'PT '!C$8,AND($C39="Fuel car",$D39=3),$E39*'PT '!C$9,AND($C39="Fuel car",$D39=4),$E39*'PT '!C$10,AND($C39="Fuel car",$D39=5),$E39*'PT '!C$11,AND($C39="Motorcycle",$D39=1),$E39*'PT '!C$13,AND($C39="Motorcycle",$D39=2),$E39*'PT '!C$14,AND($C39="Electric car",$D39=1),$E39*'PT '!C$16,AND($C39="Electric car",$D39=2),$E39*'PT '!C$17,AND($C39="Electric car",$D39=3),$E39*'PT '!C$18,AND($C39="Electric car",$D39=4),$E39*'PT '!C$19,AND($C39="Electric car",$D39=5),$E39*'PT '!C$20,AND($C39="Hybrid car",$D39=1),$E39*'PT '!C$22,AND($C39="Hybrid car",$D39=2),$E39*'PT '!C$23,AND($C39="Hybrid car",$D39=3),$E39*'PT '!C$24,AND($C39="Hybrid car",$D39=4),$E39*'PT '!C$25,AND($C39="Hybrid car",$D39=5),$E39*'PT '!C$26,AND($C39="Electric motorcycle",$D39=1),$E39*'PT '!C$28,AND($C39="Electric motorcycle",$D39=2),$E39*'PT '!C$29,AND($C39="Electric bike",$D39=1),$E39*'PT '!C$31,AND($C39="Electric scooter",$D39=1),$E39*'PT '!C$33,AND($C39="Bus",$D39="Almost empty"),$E39*'PT '!H$23,AND($C39="Bus",$D39="Average"),$E39*'PT '!H$24,AND($C39="Bus",$D39="Nearly full"),$E39*'PT '!H$25,AND($C39="Electric bus",$D39="Almost empty"),$E39*'PT '!H$7,AND($C39="Electric bus",$D39="Average"),$E39*'PT '!H$8,AND($C39="Electric bus",$D39="Nearly full"),$E39*'PT '!H$9,AND($C39="Diesel bus",$D39="Almost empty"),$E39*'PT '!H$19,AND($C39="Diesel bus",$D39="Average"),$E39*'PT '!H$20,AND($C39="Diesel bus",$D39="Nearly full"),$E39*'PT '!H$21,AND($C39="Hybrid-electric bus",$D39="Almost empty"),$E39*'PT '!H$11,AND($C39="Hybrid-electric bus",$D39="Average"),$E39*'PT '!H$12,AND($C39="Hybrid-electric bus",$D39="Nearly full"),$E39*'PT '!H$13,AND($C39="Alternative fuel bus",$D39="Almost empty"),$E39*'PT '!H$15,AND($C39="Alternative fuel bus",$D39="Average"),$E39*'PT '!H$16,AND($C39="Alternative fuel bus",$D39="Nearly full"),$E39*'PT '!H$17,AND($C39="Metro, tram, urban light train",$D39="Almost empty"),$E39*'PT '!C$35,AND($C39="Metro, tram, urban light train",$D39="Average"),$E39*'PT '!C$36,AND($C39="Metro, tram, urban light train",$D39="Nearly full"),$E39*'PT '!C$37,AND($C39="Electric passenger train",$D39="Almost empty"),$E39*'PT '!C$39,AND($C39="Electric passenger train",$D39="Average"),$E39*'PT '!C$40,AND($C39="Electric passenger train",$D39="Nearly full"),$E39*'PT '!C$41,AND($C39="Diesel passenger train",$D39="Almost empty"),$E39*'PT '!C$47,AND($C39="Diesel passenger train",$D39="Average"),$E39*'PT '!C$48,AND($C39="Diesel passenger train",$D39="Nearly full"),$E39*'PT '!C$49,AND($C39="Walking"),$E39*0,AND($C39="Bike"),$E39*0,AND($C39="Plane - domestic flight"),$E39*'PT '!$C63,AND($C39="Plane - international - intra EU"),$E39*'PT '!$C65,AND($C39="Plane - international (extra EU)"),$E39*'PT '!$C67)</f>
        <v>#N/A</v>
      </c>
      <c r="G39" s="31" t="e" cm="1">
        <f t="array" ref="G39">_xlfn.IFS(AND($C39="Fuel car",$D39=1),$E39*'PT '!D$7,AND($C39="Fuel car",$D39=2),$E39*'PT '!D$8,AND($C39="Fuel car",$D39=3),$E39*'PT '!D$9,AND($C39="Fuel car",$D39=4),$E39*'PT '!D$10,AND($C39="Fuel car",$D39=5),$E39*'PT '!D$11,AND($C39="Motorcycle",$D39=1),$E39*'PT '!D$13,AND($C39="Motorcycle",$D39=2),$E39*'PT '!D$14,AND($C39="Electric car",$D39=1),$E39*'PT '!D$16,AND($C39="Electric car",$D39=2),$E39*'PT '!D$17,AND($C39="Electric car",$D39=3),$E39*'PT '!D$18,AND($C39="Electric car",$D39=4),$E39*'PT '!D$19,AND($C39="Electric car",$D39=5),$E39*'PT '!D$20,AND($C39="Hybrid car",$D39=1),$E39*'PT '!D$22,AND($C39="Hybrid car",$D39=2),$E39*'PT '!D$23,AND($C39="Hybrid car",$D39=3),$E39*'PT '!D$24,AND($C39="Hybrid car",$D39=4),$E39*'PT '!D$25,AND($C39="Hybrid car",$D39=5),$E39*'PT '!D$26,AND($C39="Electric motorcycle",$D39=1),$E39*'PT '!D$28,AND($C39="Electric motorcycle",$D39=2),$E39*'PT '!D$29,AND($C39="Electric bike",$D39=1),$E39*'PT '!D$31,AND($C39="Electric scooter",$D39=1),$E39*'PT '!D$33,AND($C39="Bus",$D39="Almost empty"),$E39*'PT '!I$23,AND($C39="Bus",$D39="Average"),$E39*'PT '!I$24,AND($C39="Bus",$D39="Nearly full"),$E39*'PT '!I$25,AND($C39="Electric bus",$D39="Almost empty"),$E39*'PT '!I$7,AND($C39="Electric bus",$D39="Average"),$E39*'PT '!I$8,AND($C39="Electric bus",$D39="Nearly full"),$E39*'PT '!I$9,AND($C39="Diesel bus",$D39="Almost empty"),$E39*'PT '!I$19,AND($C39="Diesel bus",$D39="Average"),$E39*'PT '!I$20,AND($C39="Diesel bus",$D39="Nearly full"),$E39*'PT '!I$21,AND($C39="Hybrid-electric bus",$D39="Almost empty"),$E39*'PT '!I$11,AND($C39="Hybrid-electric bus",$D39="Average"),$E39*'PT '!I$12,AND($C39="Hybrid-electric bus",$D39="Nearly full"),$E39*'PT '!I$13,AND($C39="Alternative fuel bus",$D39="Almost empty"),$E39*'PT '!I$15,AND($C39="Alternative fuel bus",$D39="Average"),$E39*'PT '!I$16,AND($C39="Alternative fuel bus",$D39="Nearly full"),$E39*'PT '!I$17,AND($C39="Metro, tram, urban light train",$D39="Almost empty"),$E39*'PT '!D$35,AND($C39="Metro, tram, urban light train",$D39="Average"),$E39*'PT '!D$36,AND($C39="Metro, tram, urban light train",$D39="Nearly full"),$E39*'PT '!D$37,AND($C39="Electric passenger train",$D39="Almost empty"),$E39*'PT '!D$39,AND($C39="Electric passenger train",$D39="Average"),$E39*'PT '!D$40,AND($C39="Electric passenger train",$D39="Nearly full"),$E39*'PT '!D$41,AND($C39="Diesel passenger train",$D39="Almost empty"),$E39*'PT '!D$47,AND($C39="Diesel passenger train",$D39="Average"),$E39*'PT '!D$48,AND($C39="Diesel passenger train",$D39="Nearly full"),$E39*'PT '!D$49,AND($C39="Walking"),$E39*0,AND($C39="Bike"),$E39*0,AND($C39="Plane - domestic flight"),$E39*'PT '!$C63,AND($C39="Plane - international - intra EU"),$E39*'PT '!$C65,AND($C39="Plane - international (extra EU)"),$E39*'PT '!$C67)</f>
        <v>#N/A</v>
      </c>
      <c r="H39" s="145"/>
      <c r="I39" s="148">
        <f t="shared" si="6"/>
        <v>0</v>
      </c>
      <c r="J39" s="146" t="e" cm="1">
        <f t="array" ref="J39">_xlfn.IFS(C39="Fuel car",C39*DATA!$C$17,C39="Electric car",C39*DATA!$F$25,C39="Hybrid car",I39*(0.5*DATA!$C$17+0.5*DATA!$F$25))</f>
        <v>#N/A</v>
      </c>
      <c r="L39" s="226" t="s">
        <v>80</v>
      </c>
      <c r="M39" s="227"/>
      <c r="N39" s="228"/>
    </row>
    <row r="40" spans="1:14" x14ac:dyDescent="0.2">
      <c r="A40" s="222"/>
      <c r="B40" s="30"/>
      <c r="C40" s="15"/>
      <c r="D40" s="15"/>
      <c r="E40" s="125"/>
      <c r="F40" s="128" t="e" cm="1">
        <f t="array" ref="F40">_xlfn.IFS(AND($C40="Fuel car",$D40=1),$E40*'PT '!C$7,AND($C40="Fuel car",$D40=2),$E40*'PT '!C$8,AND($C40="Fuel car",$D40=3),$E40*'PT '!C$9,AND($C40="Fuel car",$D40=4),$E40*'PT '!C$10,AND($C40="Fuel car",$D40=5),$E40*'PT '!C$11,AND($C40="Motorcycle",$D40=1),$E40*'PT '!C$13,AND($C40="Motorcycle",$D40=2),$E40*'PT '!C$14,AND($C40="Electric car",$D40=1),$E40*'PT '!C$16,AND($C40="Electric car",$D40=2),$E40*'PT '!C$17,AND($C40="Electric car",$D40=3),$E40*'PT '!C$18,AND($C40="Electric car",$D40=4),$E40*'PT '!C$19,AND($C40="Electric car",$D40=5),$E40*'PT '!C$20,AND($C40="Hybrid car",$D40=1),$E40*'PT '!C$22,AND($C40="Hybrid car",$D40=2),$E40*'PT '!C$23,AND($C40="Hybrid car",$D40=3),$E40*'PT '!C$24,AND($C40="Hybrid car",$D40=4),$E40*'PT '!C$25,AND($C40="Hybrid car",$D40=5),$E40*'PT '!C$26,AND($C40="Electric motorcycle",$D40=1),$E40*'PT '!C$28,AND($C40="Electric motorcycle",$D40=2),$E40*'PT '!C$29,AND($C40="Electric bike",$D40=1),$E40*'PT '!C$31,AND($C40="Electric scooter",$D40=1),$E40*'PT '!C$33,AND($C40="Bus",$D40="Almost empty"),$E40*'PT '!H$23,AND($C40="Bus",$D40="Average"),$E40*'PT '!H$24,AND($C40="Bus",$D40="Nearly full"),$E40*'PT '!H$25,AND($C40="Electric bus",$D40="Almost empty"),$E40*'PT '!H$7,AND($C40="Electric bus",$D40="Average"),$E40*'PT '!H$8,AND($C40="Electric bus",$D40="Nearly full"),$E40*'PT '!H$9,AND($C40="Diesel bus",$D40="Almost empty"),$E40*'PT '!H$19,AND($C40="Diesel bus",$D40="Average"),$E40*'PT '!H$20,AND($C40="Diesel bus",$D40="Nearly full"),$E40*'PT '!H$21,AND($C40="Hybrid-electric bus",$D40="Almost empty"),$E40*'PT '!H$11,AND($C40="Hybrid-electric bus",$D40="Average"),$E40*'PT '!H$12,AND($C40="Hybrid-electric bus",$D40="Nearly full"),$E40*'PT '!H$13,AND($C40="Alternative fuel bus",$D40="Almost empty"),$E40*'PT '!H$15,AND($C40="Alternative fuel bus",$D40="Average"),$E40*'PT '!H$16,AND($C40="Alternative fuel bus",$D40="Nearly full"),$E40*'PT '!H$17,AND($C40="Metro, tram, urban light train",$D40="Almost empty"),$E40*'PT '!C$35,AND($C40="Metro, tram, urban light train",$D40="Average"),$E40*'PT '!C$36,AND($C40="Metro, tram, urban light train",$D40="Nearly full"),$E40*'PT '!C$37,AND($C40="Electric passenger train",$D40="Almost empty"),$E40*'PT '!C$39,AND($C40="Electric passenger train",$D40="Average"),$E40*'PT '!C$40,AND($C40="Electric passenger train",$D40="Nearly full"),$E40*'PT '!C$41,AND($C40="Diesel passenger train",$D40="Almost empty"),$E40*'PT '!C$47,AND($C40="Diesel passenger train",$D40="Average"),$E40*'PT '!C$48,AND($C40="Diesel passenger train",$D40="Nearly full"),$E40*'PT '!C$49,AND($C40="Walking"),$E40*0,AND($C40="Bike"),$E40*0,AND($C40="Plane - domestic flight"),$E40*'PT '!$C64,AND($C40="Plane - international - intra EU"),$E40*'PT '!$C66,AND($C40="Plane - international (extra EU)"),$E40*'PT '!$C68)</f>
        <v>#N/A</v>
      </c>
      <c r="G40" s="31" t="e" cm="1">
        <f t="array" ref="G40">_xlfn.IFS(AND($C40="Fuel car",$D40=1),$E40*'PT '!D$7,AND($C40="Fuel car",$D40=2),$E40*'PT '!D$8,AND($C40="Fuel car",$D40=3),$E40*'PT '!D$9,AND($C40="Fuel car",$D40=4),$E40*'PT '!D$10,AND($C40="Fuel car",$D40=5),$E40*'PT '!D$11,AND($C40="Motorcycle",$D40=1),$E40*'PT '!D$13,AND($C40="Motorcycle",$D40=2),$E40*'PT '!D$14,AND($C40="Electric car",$D40=1),$E40*'PT '!D$16,AND($C40="Electric car",$D40=2),$E40*'PT '!D$17,AND($C40="Electric car",$D40=3),$E40*'PT '!D$18,AND($C40="Electric car",$D40=4),$E40*'PT '!D$19,AND($C40="Electric car",$D40=5),$E40*'PT '!D$20,AND($C40="Hybrid car",$D40=1),$E40*'PT '!D$22,AND($C40="Hybrid car",$D40=2),$E40*'PT '!D$23,AND($C40="Hybrid car",$D40=3),$E40*'PT '!D$24,AND($C40="Hybrid car",$D40=4),$E40*'PT '!D$25,AND($C40="Hybrid car",$D40=5),$E40*'PT '!D$26,AND($C40="Electric motorcycle",$D40=1),$E40*'PT '!D$28,AND($C40="Electric motorcycle",$D40=2),$E40*'PT '!D$29,AND($C40="Electric bike",$D40=1),$E40*'PT '!D$31,AND($C40="Electric scooter",$D40=1),$E40*'PT '!D$33,AND($C40="Bus",$D40="Almost empty"),$E40*'PT '!I$23,AND($C40="Bus",$D40="Average"),$E40*'PT '!I$24,AND($C40="Bus",$D40="Nearly full"),$E40*'PT '!I$25,AND($C40="Electric bus",$D40="Almost empty"),$E40*'PT '!I$7,AND($C40="Electric bus",$D40="Average"),$E40*'PT '!I$8,AND($C40="Electric bus",$D40="Nearly full"),$E40*'PT '!I$9,AND($C40="Diesel bus",$D40="Almost empty"),$E40*'PT '!I$19,AND($C40="Diesel bus",$D40="Average"),$E40*'PT '!I$20,AND($C40="Diesel bus",$D40="Nearly full"),$E40*'PT '!I$21,AND($C40="Hybrid-electric bus",$D40="Almost empty"),$E40*'PT '!I$11,AND($C40="Hybrid-electric bus",$D40="Average"),$E40*'PT '!I$12,AND($C40="Hybrid-electric bus",$D40="Nearly full"),$E40*'PT '!I$13,AND($C40="Alternative fuel bus",$D40="Almost empty"),$E40*'PT '!I$15,AND($C40="Alternative fuel bus",$D40="Average"),$E40*'PT '!I$16,AND($C40="Alternative fuel bus",$D40="Nearly full"),$E40*'PT '!I$17,AND($C40="Metro, tram, urban light train",$D40="Almost empty"),$E40*'PT '!D$35,AND($C40="Metro, tram, urban light train",$D40="Average"),$E40*'PT '!D$36,AND($C40="Metro, tram, urban light train",$D40="Nearly full"),$E40*'PT '!D$37,AND($C40="Electric passenger train",$D40="Almost empty"),$E40*'PT '!D$39,AND($C40="Electric passenger train",$D40="Average"),$E40*'PT '!D$40,AND($C40="Electric passenger train",$D40="Nearly full"),$E40*'PT '!D$41,AND($C40="Diesel passenger train",$D40="Almost empty"),$E40*'PT '!D$47,AND($C40="Diesel passenger train",$D40="Average"),$E40*'PT '!D$48,AND($C40="Diesel passenger train",$D40="Nearly full"),$E40*'PT '!D$49,AND($C40="Walking"),$E40*0,AND($C40="Bike"),$E40*0,AND($C40="Plane - domestic flight"),$E40*'PT '!$C64,AND($C40="Plane - international - intra EU"),$E40*'PT '!$C66,AND($C40="Plane - international (extra EU)"),$E40*'PT '!$C68)</f>
        <v>#N/A</v>
      </c>
      <c r="H40" s="145"/>
      <c r="I40" s="148">
        <f t="shared" si="6"/>
        <v>0</v>
      </c>
      <c r="J40" s="146" t="e" cm="1">
        <f t="array" ref="J40">_xlfn.IFS(C40="Fuel car",C40*DATA!$C$17,C40="Electric car",C40*DATA!$F$25,C40="Hybrid car",I40*(0.5*DATA!$C$17+0.5*DATA!$F$25))</f>
        <v>#N/A</v>
      </c>
      <c r="L40" s="229"/>
      <c r="M40" s="230"/>
      <c r="N40" s="231"/>
    </row>
    <row r="41" spans="1:14" ht="14.5" customHeight="1" x14ac:dyDescent="0.2">
      <c r="A41" s="222"/>
      <c r="B41" s="30"/>
      <c r="C41" s="15"/>
      <c r="D41" s="15"/>
      <c r="E41" s="125"/>
      <c r="F41" s="128" t="e" cm="1">
        <f t="array" ref="F41">_xlfn.IFS(AND($C41="Fuel car",$D41=1),$E41*'PT '!C$7,AND($C41="Fuel car",$D41=2),$E41*'PT '!C$8,AND($C41="Fuel car",$D41=3),$E41*'PT '!C$9,AND($C41="Fuel car",$D41=4),$E41*'PT '!C$10,AND($C41="Fuel car",$D41=5),$E41*'PT '!C$11,AND($C41="Motorcycle",$D41=1),$E41*'PT '!C$13,AND($C41="Motorcycle",$D41=2),$E41*'PT '!C$14,AND($C41="Electric car",$D41=1),$E41*'PT '!C$16,AND($C41="Electric car",$D41=2),$E41*'PT '!C$17,AND($C41="Electric car",$D41=3),$E41*'PT '!C$18,AND($C41="Electric car",$D41=4),$E41*'PT '!C$19,AND($C41="Electric car",$D41=5),$E41*'PT '!C$20,AND($C41="Hybrid car",$D41=1),$E41*'PT '!C$22,AND($C41="Hybrid car",$D41=2),$E41*'PT '!C$23,AND($C41="Hybrid car",$D41=3),$E41*'PT '!C$24,AND($C41="Hybrid car",$D41=4),$E41*'PT '!C$25,AND($C41="Hybrid car",$D41=5),$E41*'PT '!C$26,AND($C41="Electric motorcycle",$D41=1),$E41*'PT '!C$28,AND($C41="Electric motorcycle",$D41=2),$E41*'PT '!C$29,AND($C41="Electric bike",$D41=1),$E41*'PT '!C$31,AND($C41="Electric scooter",$D41=1),$E41*'PT '!C$33,AND($C41="Bus",$D41="Almost empty"),$E41*'PT '!H$23,AND($C41="Bus",$D41="Average"),$E41*'PT '!H$24,AND($C41="Bus",$D41="Nearly full"),$E41*'PT '!H$25,AND($C41="Electric bus",$D41="Almost empty"),$E41*'PT '!H$7,AND($C41="Electric bus",$D41="Average"),$E41*'PT '!H$8,AND($C41="Electric bus",$D41="Nearly full"),$E41*'PT '!H$9,AND($C41="Diesel bus",$D41="Almost empty"),$E41*'PT '!H$19,AND($C41="Diesel bus",$D41="Average"),$E41*'PT '!H$20,AND($C41="Diesel bus",$D41="Nearly full"),$E41*'PT '!H$21,AND($C41="Hybrid-electric bus",$D41="Almost empty"),$E41*'PT '!H$11,AND($C41="Hybrid-electric bus",$D41="Average"),$E41*'PT '!H$12,AND($C41="Hybrid-electric bus",$D41="Nearly full"),$E41*'PT '!H$13,AND($C41="Alternative fuel bus",$D41="Almost empty"),$E41*'PT '!H$15,AND($C41="Alternative fuel bus",$D41="Average"),$E41*'PT '!H$16,AND($C41="Alternative fuel bus",$D41="Nearly full"),$E41*'PT '!H$17,AND($C41="Metro, tram, urban light train",$D41="Almost empty"),$E41*'PT '!C$35,AND($C41="Metro, tram, urban light train",$D41="Average"),$E41*'PT '!C$36,AND($C41="Metro, tram, urban light train",$D41="Nearly full"),$E41*'PT '!C$37,AND($C41="Electric passenger train",$D41="Almost empty"),$E41*'PT '!C$39,AND($C41="Electric passenger train",$D41="Average"),$E41*'PT '!C$40,AND($C41="Electric passenger train",$D41="Nearly full"),$E41*'PT '!C$41,AND($C41="Diesel passenger train",$D41="Almost empty"),$E41*'PT '!C$47,AND($C41="Diesel passenger train",$D41="Average"),$E41*'PT '!C$48,AND($C41="Diesel passenger train",$D41="Nearly full"),$E41*'PT '!C$49,AND($C41="Walking"),$E41*0,AND($C41="Bike"),$E41*0,AND($C41="Plane - domestic flight"),$E41*'PT '!$C65,AND($C41="Plane - international - intra EU"),$E41*'PT '!$C67,AND($C41="Plane - international (extra EU)"),$E41*'PT '!$C69)</f>
        <v>#N/A</v>
      </c>
      <c r="G41" s="31" t="e" cm="1">
        <f t="array" ref="G41">_xlfn.IFS(AND($C41="Fuel car",$D41=1),$E41*'PT '!D$7,AND($C41="Fuel car",$D41=2),$E41*'PT '!D$8,AND($C41="Fuel car",$D41=3),$E41*'PT '!D$9,AND($C41="Fuel car",$D41=4),$E41*'PT '!D$10,AND($C41="Fuel car",$D41=5),$E41*'PT '!D$11,AND($C41="Motorcycle",$D41=1),$E41*'PT '!D$13,AND($C41="Motorcycle",$D41=2),$E41*'PT '!D$14,AND($C41="Electric car",$D41=1),$E41*'PT '!D$16,AND($C41="Electric car",$D41=2),$E41*'PT '!D$17,AND($C41="Electric car",$D41=3),$E41*'PT '!D$18,AND($C41="Electric car",$D41=4),$E41*'PT '!D$19,AND($C41="Electric car",$D41=5),$E41*'PT '!D$20,AND($C41="Hybrid car",$D41=1),$E41*'PT '!D$22,AND($C41="Hybrid car",$D41=2),$E41*'PT '!D$23,AND($C41="Hybrid car",$D41=3),$E41*'PT '!D$24,AND($C41="Hybrid car",$D41=4),$E41*'PT '!D$25,AND($C41="Hybrid car",$D41=5),$E41*'PT '!D$26,AND($C41="Electric motorcycle",$D41=1),$E41*'PT '!D$28,AND($C41="Electric motorcycle",$D41=2),$E41*'PT '!D$29,AND($C41="Electric bike",$D41=1),$E41*'PT '!D$31,AND($C41="Electric scooter",$D41=1),$E41*'PT '!D$33,AND($C41="Bus",$D41="Almost empty"),$E41*'PT '!I$23,AND($C41="Bus",$D41="Average"),$E41*'PT '!I$24,AND($C41="Bus",$D41="Nearly full"),$E41*'PT '!I$25,AND($C41="Electric bus",$D41="Almost empty"),$E41*'PT '!I$7,AND($C41="Electric bus",$D41="Average"),$E41*'PT '!I$8,AND($C41="Electric bus",$D41="Nearly full"),$E41*'PT '!I$9,AND($C41="Diesel bus",$D41="Almost empty"),$E41*'PT '!I$19,AND($C41="Diesel bus",$D41="Average"),$E41*'PT '!I$20,AND($C41="Diesel bus",$D41="Nearly full"),$E41*'PT '!I$21,AND($C41="Hybrid-electric bus",$D41="Almost empty"),$E41*'PT '!I$11,AND($C41="Hybrid-electric bus",$D41="Average"),$E41*'PT '!I$12,AND($C41="Hybrid-electric bus",$D41="Nearly full"),$E41*'PT '!I$13,AND($C41="Alternative fuel bus",$D41="Almost empty"),$E41*'PT '!I$15,AND($C41="Alternative fuel bus",$D41="Average"),$E41*'PT '!I$16,AND($C41="Alternative fuel bus",$D41="Nearly full"),$E41*'PT '!I$17,AND($C41="Metro, tram, urban light train",$D41="Almost empty"),$E41*'PT '!D$35,AND($C41="Metro, tram, urban light train",$D41="Average"),$E41*'PT '!D$36,AND($C41="Metro, tram, urban light train",$D41="Nearly full"),$E41*'PT '!D$37,AND($C41="Electric passenger train",$D41="Almost empty"),$E41*'PT '!D$39,AND($C41="Electric passenger train",$D41="Average"),$E41*'PT '!D$40,AND($C41="Electric passenger train",$D41="Nearly full"),$E41*'PT '!D$41,AND($C41="Diesel passenger train",$D41="Almost empty"),$E41*'PT '!D$47,AND($C41="Diesel passenger train",$D41="Average"),$E41*'PT '!D$48,AND($C41="Diesel passenger train",$D41="Nearly full"),$E41*'PT '!D$49,AND($C41="Walking"),$E41*0,AND($C41="Bike"),$E41*0,AND($C41="Plane - domestic flight"),$E41*'PT '!$C65,AND($C41="Plane - international - intra EU"),$E41*'PT '!$C67,AND($C41="Plane - international (extra EU)"),$E41*'PT '!$C69)</f>
        <v>#N/A</v>
      </c>
      <c r="H41" s="145"/>
      <c r="I41" s="148">
        <f t="shared" si="6"/>
        <v>0</v>
      </c>
      <c r="J41" s="146" t="e" cm="1">
        <f t="array" ref="J41">_xlfn.IFS(C41="Fuel car",C41*DATA!$C$17,C41="Electric car",C41*DATA!$F$25,C41="Hybrid car",I41*(0.5*DATA!$C$17+0.5*DATA!$F$25))</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car",$D42=1),$E42*'PT '!C$7,AND($C42="Fuel car",$D42=2),$E42*'PT '!C$8,AND($C42="Fuel car",$D42=3),$E42*'PT '!C$9,AND($C42="Fuel car",$D42=4),$E42*'PT '!C$10,AND($C42="Fuel car",$D42=5),$E42*'PT '!C$11,AND($C42="Motorcycle",$D42=1),$E42*'PT '!C$13,AND($C42="Motorcycle",$D42=2),$E42*'PT '!C$14,AND($C42="Electric car",$D42=1),$E42*'PT '!C$16,AND($C42="Electric car",$D42=2),$E42*'PT '!C$17,AND($C42="Electric car",$D42=3),$E42*'PT '!C$18,AND($C42="Electric car",$D42=4),$E42*'PT '!C$19,AND($C42="Electric car",$D42=5),$E42*'PT '!C$20,AND($C42="Hybrid car",$D42=1),$E42*'PT '!C$22,AND($C42="Hybrid car",$D42=2),$E42*'PT '!C$23,AND($C42="Hybrid car",$D42=3),$E42*'PT '!C$24,AND($C42="Hybrid car",$D42=4),$E42*'PT '!C$25,AND($C42="Hybrid car",$D42=5),$E42*'PT '!C$26,AND($C42="Electric motorcycle",$D42=1),$E42*'PT '!C$28,AND($C42="Electric motorcycle",$D42=2),$E42*'PT '!C$29,AND($C42="Electric bike",$D42=1),$E42*'PT '!C$31,AND($C42="Electric scooter",$D42=1),$E42*'PT '!C$33,AND($C42="Bus",$D42="Almost empty"),$E42*'PT '!H$23,AND($C42="Bus",$D42="Average"),$E42*'PT '!H$24,AND($C42="Bus",$D42="Nearly full"),$E42*'PT '!H$25,AND($C42="Electric bus",$D42="Almost empty"),$E42*'PT '!H$7,AND($C42="Electric bus",$D42="Average"),$E42*'PT '!H$8,AND($C42="Electric bus",$D42="Nearly full"),$E42*'PT '!H$9,AND($C42="Diesel bus",$D42="Almost empty"),$E42*'PT '!H$19,AND($C42="Diesel bus",$D42="Average"),$E42*'PT '!H$20,AND($C42="Diesel bus",$D42="Nearly full"),$E42*'PT '!H$21,AND($C42="Hybrid-electric bus",$D42="Almost empty"),$E42*'PT '!H$11,AND($C42="Hybrid-electric bus",$D42="Average"),$E42*'PT '!H$12,AND($C42="Hybrid-electric bus",$D42="Nearly full"),$E42*'PT '!H$13,AND($C42="Alternative fuel bus",$D42="Almost empty"),$E42*'PT '!H$15,AND($C42="Alternative fuel bus",$D42="Average"),$E42*'PT '!H$16,AND($C42="Alternative fuel bus",$D42="Nearly full"),$E42*'PT '!H$17,AND($C42="Metro, tram, urban light train",$D42="Almost empty"),$E42*'PT '!C$35,AND($C42="Metro, tram, urban light train",$D42="Average"),$E42*'PT '!C$36,AND($C42="Metro, tram, urban light train",$D42="Nearly full"),$E42*'PT '!C$37,AND($C42="Electric passenger train",$D42="Almost empty"),$E42*'PT '!C$39,AND($C42="Electric passenger train",$D42="Average"),$E42*'PT '!C$40,AND($C42="Electric passenger train",$D42="Nearly full"),$E42*'PT '!C$41,AND($C42="Diesel passenger train",$D42="Almost empty"),$E42*'PT '!C$47,AND($C42="Diesel passenger train",$D42="Average"),$E42*'PT '!C$48,AND($C42="Diesel passenger train",$D42="Nearly full"),$E42*'PT '!C$49,AND($C42="Walking"),$E42*0,AND($C42="Bike"),$E42*0,AND($C42="Plane - domestic flight"),$E42*'PT '!$C66,AND($C42="Plane - international - intra EU"),$E42*'PT '!$C68,AND($C42="Plane - international (extra EU)"),$E42*'PT '!$C70)</f>
        <v>#N/A</v>
      </c>
      <c r="G42" s="31" t="e" cm="1">
        <f t="array" ref="G42">_xlfn.IFS(AND($C42="Fuel car",$D42=1),$E42*'PT '!D$7,AND($C42="Fuel car",$D42=2),$E42*'PT '!D$8,AND($C42="Fuel car",$D42=3),$E42*'PT '!D$9,AND($C42="Fuel car",$D42=4),$E42*'PT '!D$10,AND($C42="Fuel car",$D42=5),$E42*'PT '!D$11,AND($C42="Motorcycle",$D42=1),$E42*'PT '!D$13,AND($C42="Motorcycle",$D42=2),$E42*'PT '!D$14,AND($C42="Electric car",$D42=1),$E42*'PT '!D$16,AND($C42="Electric car",$D42=2),$E42*'PT '!D$17,AND($C42="Electric car",$D42=3),$E42*'PT '!D$18,AND($C42="Electric car",$D42=4),$E42*'PT '!D$19,AND($C42="Electric car",$D42=5),$E42*'PT '!D$20,AND($C42="Hybrid car",$D42=1),$E42*'PT '!D$22,AND($C42="Hybrid car",$D42=2),$E42*'PT '!D$23,AND($C42="Hybrid car",$D42=3),$E42*'PT '!D$24,AND($C42="Hybrid car",$D42=4),$E42*'PT '!D$25,AND($C42="Hybrid car",$D42=5),$E42*'PT '!D$26,AND($C42="Electric motorcycle",$D42=1),$E42*'PT '!D$28,AND($C42="Electric motorcycle",$D42=2),$E42*'PT '!D$29,AND($C42="Electric bike",$D42=1),$E42*'PT '!D$31,AND($C42="Electric scooter",$D42=1),$E42*'PT '!D$33,AND($C42="Bus",$D42="Almost empty"),$E42*'PT '!I$23,AND($C42="Bus",$D42="Average"),$E42*'PT '!I$24,AND($C42="Bus",$D42="Nearly full"),$E42*'PT '!I$25,AND($C42="Electric bus",$D42="Almost empty"),$E42*'PT '!I$7,AND($C42="Electric bus",$D42="Average"),$E42*'PT '!I$8,AND($C42="Electric bus",$D42="Nearly full"),$E42*'PT '!I$9,AND($C42="Diesel bus",$D42="Almost empty"),$E42*'PT '!I$19,AND($C42="Diesel bus",$D42="Average"),$E42*'PT '!I$20,AND($C42="Diesel bus",$D42="Nearly full"),$E42*'PT '!I$21,AND($C42="Hybrid-electric bus",$D42="Almost empty"),$E42*'PT '!I$11,AND($C42="Hybrid-electric bus",$D42="Average"),$E42*'PT '!I$12,AND($C42="Hybrid-electric bus",$D42="Nearly full"),$E42*'PT '!I$13,AND($C42="Alternative fuel bus",$D42="Almost empty"),$E42*'PT '!I$15,AND($C42="Alternative fuel bus",$D42="Average"),$E42*'PT '!I$16,AND($C42="Alternative fuel bus",$D42="Nearly full"),$E42*'PT '!I$17,AND($C42="Metro, tram, urban light train",$D42="Almost empty"),$E42*'PT '!D$35,AND($C42="Metro, tram, urban light train",$D42="Average"),$E42*'PT '!D$36,AND($C42="Metro, tram, urban light train",$D42="Nearly full"),$E42*'PT '!D$37,AND($C42="Electric passenger train",$D42="Almost empty"),$E42*'PT '!D$39,AND($C42="Electric passenger train",$D42="Average"),$E42*'PT '!D$40,AND($C42="Electric passenger train",$D42="Nearly full"),$E42*'PT '!D$41,AND($C42="Diesel passenger train",$D42="Almost empty"),$E42*'PT '!D$47,AND($C42="Diesel passenger train",$D42="Average"),$E42*'PT '!D$48,AND($C42="Diesel passenger train",$D42="Nearly full"),$E42*'PT '!D$49,AND($C42="Walking"),$E42*0,AND($C42="Bike"),$E42*0,AND($C42="Plane - domestic flight"),$E42*'PT '!$C66,AND($C42="Plane - international - intra EU"),$E42*'PT '!$C68,AND($C42="Plane - international (extra EU)"),$E42*'PT '!$C70)</f>
        <v>#N/A</v>
      </c>
      <c r="H42" s="145"/>
      <c r="I42" s="148">
        <f t="shared" si="6"/>
        <v>0</v>
      </c>
      <c r="J42" s="146" t="e" cm="1">
        <f t="array" ref="J42">_xlfn.IFS(C42="Fuel car",C42*DATA!$C$17,C42="Electric car",C42*DATA!$F$25,C42="Hybrid car",I42*(0.5*DATA!$C$17+0.5*DATA!$F$25))</f>
        <v>#N/A</v>
      </c>
      <c r="L42" s="235"/>
      <c r="M42" s="236"/>
      <c r="N42" s="237"/>
    </row>
    <row r="43" spans="1:14" ht="14.5" customHeight="1" thickBot="1" x14ac:dyDescent="0.25">
      <c r="A43" s="222"/>
      <c r="B43" s="30"/>
      <c r="C43" s="15"/>
      <c r="D43" s="15"/>
      <c r="E43" s="125"/>
      <c r="F43" s="128" t="e" cm="1">
        <f t="array" ref="F43">_xlfn.IFS(AND($C43="Fuel car",$D43=1),$E43*'PT '!C$7,AND($C43="Fuel car",$D43=2),$E43*'PT '!C$8,AND($C43="Fuel car",$D43=3),$E43*'PT '!C$9,AND($C43="Fuel car",$D43=4),$E43*'PT '!C$10,AND($C43="Fuel car",$D43=5),$E43*'PT '!C$11,AND($C43="Motorcycle",$D43=1),$E43*'PT '!C$13,AND($C43="Motorcycle",$D43=2),$E43*'PT '!C$14,AND($C43="Electric car",$D43=1),$E43*'PT '!C$16,AND($C43="Electric car",$D43=2),$E43*'PT '!C$17,AND($C43="Electric car",$D43=3),$E43*'PT '!C$18,AND($C43="Electric car",$D43=4),$E43*'PT '!C$19,AND($C43="Electric car",$D43=5),$E43*'PT '!C$20,AND($C43="Hybrid car",$D43=1),$E43*'PT '!C$22,AND($C43="Hybrid car",$D43=2),$E43*'PT '!C$23,AND($C43="Hybrid car",$D43=3),$E43*'PT '!C$24,AND($C43="Hybrid car",$D43=4),$E43*'PT '!C$25,AND($C43="Hybrid car",$D43=5),$E43*'PT '!C$26,AND($C43="Electric motorcycle",$D43=1),$E43*'PT '!C$28,AND($C43="Electric motorcycle",$D43=2),$E43*'PT '!C$29,AND($C43="Electric bike",$D43=1),$E43*'PT '!C$31,AND($C43="Electric scooter",$D43=1),$E43*'PT '!C$33,AND($C43="Bus",$D43="Almost empty"),$E43*'PT '!H$23,AND($C43="Bus",$D43="Average"),$E43*'PT '!H$24,AND($C43="Bus",$D43="Nearly full"),$E43*'PT '!H$25,AND($C43="Electric bus",$D43="Almost empty"),$E43*'PT '!H$7,AND($C43="Electric bus",$D43="Average"),$E43*'PT '!H$8,AND($C43="Electric bus",$D43="Nearly full"),$E43*'PT '!H$9,AND($C43="Diesel bus",$D43="Almost empty"),$E43*'PT '!H$19,AND($C43="Diesel bus",$D43="Average"),$E43*'PT '!H$20,AND($C43="Diesel bus",$D43="Nearly full"),$E43*'PT '!H$21,AND($C43="Hybrid-electric bus",$D43="Almost empty"),$E43*'PT '!H$11,AND($C43="Hybrid-electric bus",$D43="Average"),$E43*'PT '!H$12,AND($C43="Hybrid-electric bus",$D43="Nearly full"),$E43*'PT '!H$13,AND($C43="Alternative fuel bus",$D43="Almost empty"),$E43*'PT '!H$15,AND($C43="Alternative fuel bus",$D43="Average"),$E43*'PT '!H$16,AND($C43="Alternative fuel bus",$D43="Nearly full"),$E43*'PT '!H$17,AND($C43="Metro, tram, urban light train",$D43="Almost empty"),$E43*'PT '!C$35,AND($C43="Metro, tram, urban light train",$D43="Average"),$E43*'PT '!C$36,AND($C43="Metro, tram, urban light train",$D43="Nearly full"),$E43*'PT '!C$37,AND($C43="Electric passenger train",$D43="Almost empty"),$E43*'PT '!C$39,AND($C43="Electric passenger train",$D43="Average"),$E43*'PT '!C$40,AND($C43="Electric passenger train",$D43="Nearly full"),$E43*'PT '!C$41,AND($C43="Diesel passenger train",$D43="Almost empty"),$E43*'PT '!C$47,AND($C43="Diesel passenger train",$D43="Average"),$E43*'PT '!C$48,AND($C43="Diesel passenger train",$D43="Nearly full"),$E43*'PT '!C$49,AND($C43="Walking"),$E43*0,AND($C43="Bike"),$E43*0,AND($C43="Plane - domestic flight"),$E43*'PT '!$C67,AND($C43="Plane - international - intra EU"),$E43*'PT '!$C69,AND($C43="Plane - international (extra EU)"),$E43*'PT '!$C71)</f>
        <v>#N/A</v>
      </c>
      <c r="G43" s="31" t="e" cm="1">
        <f t="array" ref="G43">_xlfn.IFS(AND($C43="Fuel car",$D43=1),$E43*'PT '!D$7,AND($C43="Fuel car",$D43=2),$E43*'PT '!D$8,AND($C43="Fuel car",$D43=3),$E43*'PT '!D$9,AND($C43="Fuel car",$D43=4),$E43*'PT '!D$10,AND($C43="Fuel car",$D43=5),$E43*'PT '!D$11,AND($C43="Motorcycle",$D43=1),$E43*'PT '!D$13,AND($C43="Motorcycle",$D43=2),$E43*'PT '!D$14,AND($C43="Electric car",$D43=1),$E43*'PT '!D$16,AND($C43="Electric car",$D43=2),$E43*'PT '!D$17,AND($C43="Electric car",$D43=3),$E43*'PT '!D$18,AND($C43="Electric car",$D43=4),$E43*'PT '!D$19,AND($C43="Electric car",$D43=5),$E43*'PT '!D$20,AND($C43="Hybrid car",$D43=1),$E43*'PT '!D$22,AND($C43="Hybrid car",$D43=2),$E43*'PT '!D$23,AND($C43="Hybrid car",$D43=3),$E43*'PT '!D$24,AND($C43="Hybrid car",$D43=4),$E43*'PT '!D$25,AND($C43="Hybrid car",$D43=5),$E43*'PT '!D$26,AND($C43="Electric motorcycle",$D43=1),$E43*'PT '!D$28,AND($C43="Electric motorcycle",$D43=2),$E43*'PT '!D$29,AND($C43="Electric bike",$D43=1),$E43*'PT '!D$31,AND($C43="Electric scooter",$D43=1),$E43*'PT '!D$33,AND($C43="Bus",$D43="Almost empty"),$E43*'PT '!I$23,AND($C43="Bus",$D43="Average"),$E43*'PT '!I$24,AND($C43="Bus",$D43="Nearly full"),$E43*'PT '!I$25,AND($C43="Electric bus",$D43="Almost empty"),$E43*'PT '!I$7,AND($C43="Electric bus",$D43="Average"),$E43*'PT '!I$8,AND($C43="Electric bus",$D43="Nearly full"),$E43*'PT '!I$9,AND($C43="Diesel bus",$D43="Almost empty"),$E43*'PT '!I$19,AND($C43="Diesel bus",$D43="Average"),$E43*'PT '!I$20,AND($C43="Diesel bus",$D43="Nearly full"),$E43*'PT '!I$21,AND($C43="Hybrid-electric bus",$D43="Almost empty"),$E43*'PT '!I$11,AND($C43="Hybrid-electric bus",$D43="Average"),$E43*'PT '!I$12,AND($C43="Hybrid-electric bus",$D43="Nearly full"),$E43*'PT '!I$13,AND($C43="Alternative fuel bus",$D43="Almost empty"),$E43*'PT '!I$15,AND($C43="Alternative fuel bus",$D43="Average"),$E43*'PT '!I$16,AND($C43="Alternative fuel bus",$D43="Nearly full"),$E43*'PT '!I$17,AND($C43="Metro, tram, urban light train",$D43="Almost empty"),$E43*'PT '!D$35,AND($C43="Metro, tram, urban light train",$D43="Average"),$E43*'PT '!D$36,AND($C43="Metro, tram, urban light train",$D43="Nearly full"),$E43*'PT '!D$37,AND($C43="Electric passenger train",$D43="Almost empty"),$E43*'PT '!D$39,AND($C43="Electric passenger train",$D43="Average"),$E43*'PT '!D$40,AND($C43="Electric passenger train",$D43="Nearly full"),$E43*'PT '!D$41,AND($C43="Diesel passenger train",$D43="Almost empty"),$E43*'PT '!D$47,AND($C43="Diesel passenger train",$D43="Average"),$E43*'PT '!D$48,AND($C43="Diesel passenger train",$D43="Nearly full"),$E43*'PT '!D$49,AND($C43="Walking"),$E43*0,AND($C43="Bike"),$E43*0,AND($C43="Plane - domestic flight"),$E43*'PT '!$C67,AND($C43="Plane - international - intra EU"),$E43*'PT '!$C69,AND($C43="Plane - international (extra EU)"),$E43*'PT '!$C71)</f>
        <v>#N/A</v>
      </c>
      <c r="H43" s="109"/>
      <c r="I43" s="154">
        <f t="shared" si="6"/>
        <v>0</v>
      </c>
      <c r="J43" s="147" t="e" cm="1">
        <f t="array" ref="J43">_xlfn.IFS(C43="Fuel car",C43*DATA!$C$17,C43="Electric car",C43*DATA!$F$25,C43="Hybrid car",I43*(0.5*DATA!$C$17+0.5*DATA!$F$25))</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car",$D44=1),$E44*'PT '!C$7,AND($C44="Fuel car",$D44=2),$E44*'PT '!C$8,AND($C44="Fuel car",$D44=3),$E44*'PT '!C$9,AND($C44="Fuel car",$D44=4),$E44*'PT '!C$10,AND($C44="Fuel car",$D44=5),$E44*'PT '!C$11,AND($C44="Motorcycle",$D44=1),$E44*'PT '!C$13,AND($C44="Motorcycle",$D44=2),$E44*'PT '!C$14,AND($C44="Electric car",$D44=1),$E44*'PT '!C$16,AND($C44="Electric car",$D44=2),$E44*'PT '!C$17,AND($C44="Electric car",$D44=3),$E44*'PT '!C$18,AND($C44="Electric car",$D44=4),$E44*'PT '!C$19,AND($C44="Electric car",$D44=5),$E44*'PT '!C$20,AND($C44="Hybrid car",$D44=1),$E44*'PT '!C$22,AND($C44="Hybrid car",$D44=2),$E44*'PT '!C$23,AND($C44="Hybrid car",$D44=3),$E44*'PT '!C$24,AND($C44="Hybrid car",$D44=4),$E44*'PT '!C$25,AND($C44="Hybrid car",$D44=5),$E44*'PT '!C$26,AND($C44="Electric motorcycle",$D44=1),$E44*'PT '!C$28,AND($C44="Electric motorcycle",$D44=2),$E44*'PT '!C$29,AND($C44="Electric bike",$D44=1),$E44*'PT '!C$31,AND($C44="Electric scooter",$D44=1),$E44*'PT '!C$33,AND($C44="Bus",$D44="Almost empty"),$E44*'PT '!H$23,AND($C44="Bus",$D44="Average"),$E44*'PT '!H$24,AND($C44="Bus",$D44="Nearly full"),$E44*'PT '!H$25,AND($C44="Electric bus",$D44="Almost empty"),$E44*'PT '!H$7,AND($C44="Electric bus",$D44="Average"),$E44*'PT '!H$8,AND($C44="Electric bus",$D44="Nearly full"),$E44*'PT '!H$9,AND($C44="Diesel bus",$D44="Almost empty"),$E44*'PT '!H$19,AND($C44="Diesel bus",$D44="Average"),$E44*'PT '!H$20,AND($C44="Diesel bus",$D44="Nearly full"),$E44*'PT '!H$21,AND($C44="Hybrid-electric bus",$D44="Almost empty"),$E44*'PT '!H$11,AND($C44="Hybrid-electric bus",$D44="Average"),$E44*'PT '!H$12,AND($C44="Hybrid-electric bus",$D44="Nearly full"),$E44*'PT '!H$13,AND($C44="Alternative fuel bus",$D44="Almost empty"),$E44*'PT '!H$15,AND($C44="Alternative fuel bus",$D44="Average"),$E44*'PT '!H$16,AND($C44="Alternative fuel bus",$D44="Nearly full"),$E44*'PT '!H$17,AND($C44="Metro, tram, urban light train",$D44="Almost empty"),$E44*'PT '!C$35,AND($C44="Metro, tram, urban light train",$D44="Average"),$E44*'PT '!C$36,AND($C44="Metro, tram, urban light train",$D44="Nearly full"),$E44*'PT '!C$37,AND($C44="Electric passenger train",$D44="Almost empty"),$E44*'PT '!C$39,AND($C44="Electric passenger train",$D44="Average"),$E44*'PT '!C$40,AND($C44="Electric passenger train",$D44="Nearly full"),$E44*'PT '!C$41,AND($C44="Diesel passenger train",$D44="Almost empty"),$E44*'PT '!C$47,AND($C44="Diesel passenger train",$D44="Average"),$E44*'PT '!C$48,AND($C44="Diesel passenger train",$D44="Nearly full"),$E44*'PT '!C$49,AND($C44="Walking"),$E44*0,AND($C44="Bike"),$E44*0,AND($C44="Plane - domestic flight"),$E44*'PT '!$C68,AND($C44="Plane - international - intra EU"),$E44*'PT '!$C70,AND($C44="Plane - international (extra EU)"),$E44*'PT '!$C72)</f>
        <v>#N/A</v>
      </c>
      <c r="G44" s="31" t="e" cm="1">
        <f t="array" ref="G44">_xlfn.IFS(AND($C44="Fuel car",$D44=1),$E44*'PT '!D$7,AND($C44="Fuel car",$D44=2),$E44*'PT '!D$8,AND($C44="Fuel car",$D44=3),$E44*'PT '!D$9,AND($C44="Fuel car",$D44=4),$E44*'PT '!D$10,AND($C44="Fuel car",$D44=5),$E44*'PT '!D$11,AND($C44="Motorcycle",$D44=1),$E44*'PT '!D$13,AND($C44="Motorcycle",$D44=2),$E44*'PT '!D$14,AND($C44="Electric car",$D44=1),$E44*'PT '!D$16,AND($C44="Electric car",$D44=2),$E44*'PT '!D$17,AND($C44="Electric car",$D44=3),$E44*'PT '!D$18,AND($C44="Electric car",$D44=4),$E44*'PT '!D$19,AND($C44="Electric car",$D44=5),$E44*'PT '!D$20,AND($C44="Hybrid car",$D44=1),$E44*'PT '!D$22,AND($C44="Hybrid car",$D44=2),$E44*'PT '!D$23,AND($C44="Hybrid car",$D44=3),$E44*'PT '!D$24,AND($C44="Hybrid car",$D44=4),$E44*'PT '!D$25,AND($C44="Hybrid car",$D44=5),$E44*'PT '!D$26,AND($C44="Electric motorcycle",$D44=1),$E44*'PT '!D$28,AND($C44="Electric motorcycle",$D44=2),$E44*'PT '!D$29,AND($C44="Electric bike",$D44=1),$E44*'PT '!D$31,AND($C44="Electric scooter",$D44=1),$E44*'PT '!D$33,AND($C44="Bus",$D44="Almost empty"),$E44*'PT '!I$23,AND($C44="Bus",$D44="Average"),$E44*'PT '!I$24,AND($C44="Bus",$D44="Nearly full"),$E44*'PT '!I$25,AND($C44="Electric bus",$D44="Almost empty"),$E44*'PT '!I$7,AND($C44="Electric bus",$D44="Average"),$E44*'PT '!I$8,AND($C44="Electric bus",$D44="Nearly full"),$E44*'PT '!I$9,AND($C44="Diesel bus",$D44="Almost empty"),$E44*'PT '!I$19,AND($C44="Diesel bus",$D44="Average"),$E44*'PT '!I$20,AND($C44="Diesel bus",$D44="Nearly full"),$E44*'PT '!I$21,AND($C44="Hybrid-electric bus",$D44="Almost empty"),$E44*'PT '!I$11,AND($C44="Hybrid-electric bus",$D44="Average"),$E44*'PT '!I$12,AND($C44="Hybrid-electric bus",$D44="Nearly full"),$E44*'PT '!I$13,AND($C44="Alternative fuel bus",$D44="Almost empty"),$E44*'PT '!I$15,AND($C44="Alternative fuel bus",$D44="Average"),$E44*'PT '!I$16,AND($C44="Alternative fuel bus",$D44="Nearly full"),$E44*'PT '!I$17,AND($C44="Metro, tram, urban light train",$D44="Almost empty"),$E44*'PT '!D$35,AND($C44="Metro, tram, urban light train",$D44="Average"),$E44*'PT '!D$36,AND($C44="Metro, tram, urban light train",$D44="Nearly full"),$E44*'PT '!D$37,AND($C44="Electric passenger train",$D44="Almost empty"),$E44*'PT '!D$39,AND($C44="Electric passenger train",$D44="Average"),$E44*'PT '!D$40,AND($C44="Electric passenger train",$D44="Nearly full"),$E44*'PT '!D$41,AND($C44="Diesel passenger train",$D44="Almost empty"),$E44*'PT '!D$47,AND($C44="Diesel passenger train",$D44="Average"),$E44*'PT '!D$48,AND($C44="Diesel passenger train",$D44="Nearly full"),$E44*'PT '!D$49,AND($C44="Walking"),$E44*0,AND($C44="Bike"),$E44*0,AND($C44="Plane - domestic flight"),$E44*'PT '!$C68,AND($C44="Plane - international - intra EU"),$E44*'PT '!$C70,AND($C44="Plane - international (extra EU)"),$E44*'PT '!$C72)</f>
        <v>#N/A</v>
      </c>
      <c r="L44" s="218"/>
      <c r="M44" s="219"/>
      <c r="N44" s="220"/>
    </row>
    <row r="45" spans="1:14" ht="14.5" customHeight="1" x14ac:dyDescent="0.2">
      <c r="A45" s="222"/>
      <c r="B45" s="30"/>
      <c r="C45" s="15"/>
      <c r="D45" s="15"/>
      <c r="E45" s="125"/>
      <c r="F45" s="128" t="e" cm="1">
        <f t="array" ref="F45">_xlfn.IFS(AND($C45="Fuel car",$D45=1),$E45*'PT '!C$7,AND($C45="Fuel car",$D45=2),$E45*'PT '!C$8,AND($C45="Fuel car",$D45=3),$E45*'PT '!C$9,AND($C45="Fuel car",$D45=4),$E45*'PT '!C$10,AND($C45="Fuel car",$D45=5),$E45*'PT '!C$11,AND($C45="Motorcycle",$D45=1),$E45*'PT '!C$13,AND($C45="Motorcycle",$D45=2),$E45*'PT '!C$14,AND($C45="Electric car",$D45=1),$E45*'PT '!C$16,AND($C45="Electric car",$D45=2),$E45*'PT '!C$17,AND($C45="Electric car",$D45=3),$E45*'PT '!C$18,AND($C45="Electric car",$D45=4),$E45*'PT '!C$19,AND($C45="Electric car",$D45=5),$E45*'PT '!C$20,AND($C45="Hybrid car",$D45=1),$E45*'PT '!C$22,AND($C45="Hybrid car",$D45=2),$E45*'PT '!C$23,AND($C45="Hybrid car",$D45=3),$E45*'PT '!C$24,AND($C45="Hybrid car",$D45=4),$E45*'PT '!C$25,AND($C45="Hybrid car",$D45=5),$E45*'PT '!C$26,AND($C45="Electric motorcycle",$D45=1),$E45*'PT '!C$28,AND($C45="Electric motorcycle",$D45=2),$E45*'PT '!C$29,AND($C45="Electric bike",$D45=1),$E45*'PT '!C$31,AND($C45="Electric scooter",$D45=1),$E45*'PT '!C$33,AND($C45="Bus",$D45="Almost empty"),$E45*'PT '!H$23,AND($C45="Bus",$D45="Average"),$E45*'PT '!H$24,AND($C45="Bus",$D45="Nearly full"),$E45*'PT '!H$25,AND($C45="Electric bus",$D45="Almost empty"),$E45*'PT '!H$7,AND($C45="Electric bus",$D45="Average"),$E45*'PT '!H$8,AND($C45="Electric bus",$D45="Nearly full"),$E45*'PT '!H$9,AND($C45="Diesel bus",$D45="Almost empty"),$E45*'PT '!H$19,AND($C45="Diesel bus",$D45="Average"),$E45*'PT '!H$20,AND($C45="Diesel bus",$D45="Nearly full"),$E45*'PT '!H$21,AND($C45="Hybrid-electric bus",$D45="Almost empty"),$E45*'PT '!H$11,AND($C45="Hybrid-electric bus",$D45="Average"),$E45*'PT '!H$12,AND($C45="Hybrid-electric bus",$D45="Nearly full"),$E45*'PT '!H$13,AND($C45="Alternative fuel bus",$D45="Almost empty"),$E45*'PT '!H$15,AND($C45="Alternative fuel bus",$D45="Average"),$E45*'PT '!H$16,AND($C45="Alternative fuel bus",$D45="Nearly full"),$E45*'PT '!H$17,AND($C45="Metro, tram, urban light train",$D45="Almost empty"),$E45*'PT '!C$35,AND($C45="Metro, tram, urban light train",$D45="Average"),$E45*'PT '!C$36,AND($C45="Metro, tram, urban light train",$D45="Nearly full"),$E45*'PT '!C$37,AND($C45="Electric passenger train",$D45="Almost empty"),$E45*'PT '!C$39,AND($C45="Electric passenger train",$D45="Average"),$E45*'PT '!C$40,AND($C45="Electric passenger train",$D45="Nearly full"),$E45*'PT '!C$41,AND($C45="Diesel passenger train",$D45="Almost empty"),$E45*'PT '!C$47,AND($C45="Diesel passenger train",$D45="Average"),$E45*'PT '!C$48,AND($C45="Diesel passenger train",$D45="Nearly full"),$E45*'PT '!C$49,AND($C45="Walking"),$E45*0,AND($C45="Bike"),$E45*0,AND($C45="Plane - domestic flight"),$E45*'PT '!$C69,AND($C45="Plane - international - intra EU"),$E45*'PT '!$C71,AND($C45="Plane - international (extra EU)"),$E45*'PT '!$C73)</f>
        <v>#N/A</v>
      </c>
      <c r="G45" s="31" t="e" cm="1">
        <f t="array" ref="G45">_xlfn.IFS(AND($C45="Fuel car",$D45=1),$E45*'PT '!D$7,AND($C45="Fuel car",$D45=2),$E45*'PT '!D$8,AND($C45="Fuel car",$D45=3),$E45*'PT '!D$9,AND($C45="Fuel car",$D45=4),$E45*'PT '!D$10,AND($C45="Fuel car",$D45=5),$E45*'PT '!D$11,AND($C45="Motorcycle",$D45=1),$E45*'PT '!D$13,AND($C45="Motorcycle",$D45=2),$E45*'PT '!D$14,AND($C45="Electric car",$D45=1),$E45*'PT '!D$16,AND($C45="Electric car",$D45=2),$E45*'PT '!D$17,AND($C45="Electric car",$D45=3),$E45*'PT '!D$18,AND($C45="Electric car",$D45=4),$E45*'PT '!D$19,AND($C45="Electric car",$D45=5),$E45*'PT '!D$20,AND($C45="Hybrid car",$D45=1),$E45*'PT '!D$22,AND($C45="Hybrid car",$D45=2),$E45*'PT '!D$23,AND($C45="Hybrid car",$D45=3),$E45*'PT '!D$24,AND($C45="Hybrid car",$D45=4),$E45*'PT '!D$25,AND($C45="Hybrid car",$D45=5),$E45*'PT '!D$26,AND($C45="Electric motorcycle",$D45=1),$E45*'PT '!D$28,AND($C45="Electric motorcycle",$D45=2),$E45*'PT '!D$29,AND($C45="Electric bike",$D45=1),$E45*'PT '!D$31,AND($C45="Electric scooter",$D45=1),$E45*'PT '!D$33,AND($C45="Bus",$D45="Almost empty"),$E45*'PT '!I$23,AND($C45="Bus",$D45="Average"),$E45*'PT '!I$24,AND($C45="Bus",$D45="Nearly full"),$E45*'PT '!I$25,AND($C45="Electric bus",$D45="Almost empty"),$E45*'PT '!I$7,AND($C45="Electric bus",$D45="Average"),$E45*'PT '!I$8,AND($C45="Electric bus",$D45="Nearly full"),$E45*'PT '!I$9,AND($C45="Diesel bus",$D45="Almost empty"),$E45*'PT '!I$19,AND($C45="Diesel bus",$D45="Average"),$E45*'PT '!I$20,AND($C45="Diesel bus",$D45="Nearly full"),$E45*'PT '!I$21,AND($C45="Hybrid-electric bus",$D45="Almost empty"),$E45*'PT '!I$11,AND($C45="Hybrid-electric bus",$D45="Average"),$E45*'PT '!I$12,AND($C45="Hybrid-electric bus",$D45="Nearly full"),$E45*'PT '!I$13,AND($C45="Alternative fuel bus",$D45="Almost empty"),$E45*'PT '!I$15,AND($C45="Alternative fuel bus",$D45="Average"),$E45*'PT '!I$16,AND($C45="Alternative fuel bus",$D45="Nearly full"),$E45*'PT '!I$17,AND($C45="Metro, tram, urban light train",$D45="Almost empty"),$E45*'PT '!D$35,AND($C45="Metro, tram, urban light train",$D45="Average"),$E45*'PT '!D$36,AND($C45="Metro, tram, urban light train",$D45="Nearly full"),$E45*'PT '!D$37,AND($C45="Electric passenger train",$D45="Almost empty"),$E45*'PT '!D$39,AND($C45="Electric passenger train",$D45="Average"),$E45*'PT '!D$40,AND($C45="Electric passenger train",$D45="Nearly full"),$E45*'PT '!D$41,AND($C45="Diesel passenger train",$D45="Almost empty"),$E45*'PT '!D$47,AND($C45="Diesel passenger train",$D45="Average"),$E45*'PT '!D$48,AND($C45="Diesel passenger train",$D45="Nearly full"),$E45*'PT '!D$49,AND($C45="Walking"),$E45*0,AND($C45="Bike"),$E45*0,AND($C45="Plane - domestic flight"),$E45*'PT '!$C69,AND($C45="Plane - international - intra EU"),$E45*'PT '!$C71,AND($C45="Plane - international (extra EU)"),$E45*'PT '!$C73)</f>
        <v>#N/A</v>
      </c>
      <c r="L45" s="198" t="s">
        <v>256</v>
      </c>
      <c r="M45" s="199"/>
      <c r="N45" s="200"/>
    </row>
    <row r="46" spans="1:14" ht="16" thickBot="1" x14ac:dyDescent="0.25">
      <c r="A46" s="222"/>
      <c r="B46" s="30"/>
      <c r="C46" s="15"/>
      <c r="D46" s="15"/>
      <c r="E46" s="125"/>
      <c r="F46" s="128" t="e" cm="1">
        <f t="array" ref="F46">_xlfn.IFS(AND($C46="Fuel car",$D46=1),$E46*'PT '!C$7,AND($C46="Fuel car",$D46=2),$E46*'PT '!C$8,AND($C46="Fuel car",$D46=3),$E46*'PT '!C$9,AND($C46="Fuel car",$D46=4),$E46*'PT '!C$10,AND($C46="Fuel car",$D46=5),$E46*'PT '!C$11,AND($C46="Motorcycle",$D46=1),$E46*'PT '!C$13,AND($C46="Motorcycle",$D46=2),$E46*'PT '!C$14,AND($C46="Electric car",$D46=1),$E46*'PT '!C$16,AND($C46="Electric car",$D46=2),$E46*'PT '!C$17,AND($C46="Electric car",$D46=3),$E46*'PT '!C$18,AND($C46="Electric car",$D46=4),$E46*'PT '!C$19,AND($C46="Electric car",$D46=5),$E46*'PT '!C$20,AND($C46="Hybrid car",$D46=1),$E46*'PT '!C$22,AND($C46="Hybrid car",$D46=2),$E46*'PT '!C$23,AND($C46="Hybrid car",$D46=3),$E46*'PT '!C$24,AND($C46="Hybrid car",$D46=4),$E46*'PT '!C$25,AND($C46="Hybrid car",$D46=5),$E46*'PT '!C$26,AND($C46="Electric motorcycle",$D46=1),$E46*'PT '!C$28,AND($C46="Electric motorcycle",$D46=2),$E46*'PT '!C$29,AND($C46="Electric bike",$D46=1),$E46*'PT '!C$31,AND($C46="Electric scooter",$D46=1),$E46*'PT '!C$33,AND($C46="Bus",$D46="Almost empty"),$E46*'PT '!H$23,AND($C46="Bus",$D46="Average"),$E46*'PT '!H$24,AND($C46="Bus",$D46="Nearly full"),$E46*'PT '!H$25,AND($C46="Electric bus",$D46="Almost empty"),$E46*'PT '!H$7,AND($C46="Electric bus",$D46="Average"),$E46*'PT '!H$8,AND($C46="Electric bus",$D46="Nearly full"),$E46*'PT '!H$9,AND($C46="Diesel bus",$D46="Almost empty"),$E46*'PT '!H$19,AND($C46="Diesel bus",$D46="Average"),$E46*'PT '!H$20,AND($C46="Diesel bus",$D46="Nearly full"),$E46*'PT '!H$21,AND($C46="Hybrid-electric bus",$D46="Almost empty"),$E46*'PT '!H$11,AND($C46="Hybrid-electric bus",$D46="Average"),$E46*'PT '!H$12,AND($C46="Hybrid-electric bus",$D46="Nearly full"),$E46*'PT '!H$13,AND($C46="Alternative fuel bus",$D46="Almost empty"),$E46*'PT '!H$15,AND($C46="Alternative fuel bus",$D46="Average"),$E46*'PT '!H$16,AND($C46="Alternative fuel bus",$D46="Nearly full"),$E46*'PT '!H$17,AND($C46="Metro, tram, urban light train",$D46="Almost empty"),$E46*'PT '!C$35,AND($C46="Metro, tram, urban light train",$D46="Average"),$E46*'PT '!C$36,AND($C46="Metro, tram, urban light train",$D46="Nearly full"),$E46*'PT '!C$37,AND($C46="Electric passenger train",$D46="Almost empty"),$E46*'PT '!C$39,AND($C46="Electric passenger train",$D46="Average"),$E46*'PT '!C$40,AND($C46="Electric passenger train",$D46="Nearly full"),$E46*'PT '!C$41,AND($C46="Diesel passenger train",$D46="Almost empty"),$E46*'PT '!C$47,AND($C46="Diesel passenger train",$D46="Average"),$E46*'PT '!C$48,AND($C46="Diesel passenger train",$D46="Nearly full"),$E46*'PT '!C$49,AND($C46="Walking"),$E46*0,AND($C46="Bike"),$E46*0,AND($C46="Plane - domestic flight"),$E46*'PT '!$C70,AND($C46="Plane - international - intra EU"),$E46*'PT '!$C72,AND($C46="Plane - international (extra EU)"),$E46*'PT '!$C74)</f>
        <v>#N/A</v>
      </c>
      <c r="G46" s="31" t="e" cm="1">
        <f t="array" ref="G46">_xlfn.IFS(AND($C46="Fuel car",$D46=1),$E46*'PT '!D$7,AND($C46="Fuel car",$D46=2),$E46*'PT '!D$8,AND($C46="Fuel car",$D46=3),$E46*'PT '!D$9,AND($C46="Fuel car",$D46=4),$E46*'PT '!D$10,AND($C46="Fuel car",$D46=5),$E46*'PT '!D$11,AND($C46="Motorcycle",$D46=1),$E46*'PT '!D$13,AND($C46="Motorcycle",$D46=2),$E46*'PT '!D$14,AND($C46="Electric car",$D46=1),$E46*'PT '!D$16,AND($C46="Electric car",$D46=2),$E46*'PT '!D$17,AND($C46="Electric car",$D46=3),$E46*'PT '!D$18,AND($C46="Electric car",$D46=4),$E46*'PT '!D$19,AND($C46="Electric car",$D46=5),$E46*'PT '!D$20,AND($C46="Hybrid car",$D46=1),$E46*'PT '!D$22,AND($C46="Hybrid car",$D46=2),$E46*'PT '!D$23,AND($C46="Hybrid car",$D46=3),$E46*'PT '!D$24,AND($C46="Hybrid car",$D46=4),$E46*'PT '!D$25,AND($C46="Hybrid car",$D46=5),$E46*'PT '!D$26,AND($C46="Electric motorcycle",$D46=1),$E46*'PT '!D$28,AND($C46="Electric motorcycle",$D46=2),$E46*'PT '!D$29,AND($C46="Electric bike",$D46=1),$E46*'PT '!D$31,AND($C46="Electric scooter",$D46=1),$E46*'PT '!D$33,AND($C46="Bus",$D46="Almost empty"),$E46*'PT '!I$23,AND($C46="Bus",$D46="Average"),$E46*'PT '!I$24,AND($C46="Bus",$D46="Nearly full"),$E46*'PT '!I$25,AND($C46="Electric bus",$D46="Almost empty"),$E46*'PT '!I$7,AND($C46="Electric bus",$D46="Average"),$E46*'PT '!I$8,AND($C46="Electric bus",$D46="Nearly full"),$E46*'PT '!I$9,AND($C46="Diesel bus",$D46="Almost empty"),$E46*'PT '!I$19,AND($C46="Diesel bus",$D46="Average"),$E46*'PT '!I$20,AND($C46="Diesel bus",$D46="Nearly full"),$E46*'PT '!I$21,AND($C46="Hybrid-electric bus",$D46="Almost empty"),$E46*'PT '!I$11,AND($C46="Hybrid-electric bus",$D46="Average"),$E46*'PT '!I$12,AND($C46="Hybrid-electric bus",$D46="Nearly full"),$E46*'PT '!I$13,AND($C46="Alternative fuel bus",$D46="Almost empty"),$E46*'PT '!I$15,AND($C46="Alternative fuel bus",$D46="Average"),$E46*'PT '!I$16,AND($C46="Alternative fuel bus",$D46="Nearly full"),$E46*'PT '!I$17,AND($C46="Metro, tram, urban light train",$D46="Almost empty"),$E46*'PT '!D$35,AND($C46="Metro, tram, urban light train",$D46="Average"),$E46*'PT '!D$36,AND($C46="Metro, tram, urban light train",$D46="Nearly full"),$E46*'PT '!D$37,AND($C46="Electric passenger train",$D46="Almost empty"),$E46*'PT '!D$39,AND($C46="Electric passenger train",$D46="Average"),$E46*'PT '!D$40,AND($C46="Electric passenger train",$D46="Nearly full"),$E46*'PT '!D$41,AND($C46="Diesel passenger train",$D46="Almost empty"),$E46*'PT '!D$47,AND($C46="Diesel passenger train",$D46="Average"),$E46*'PT '!D$48,AND($C46="Diesel passenger train",$D46="Nearly full"),$E46*'PT '!D$49,AND($C46="Walking"),$E46*0,AND($C46="Bike"),$E46*0,AND($C46="Plane - domestic flight"),$E46*'PT '!$C70,AND($C46="Plane - international - intra EU"),$E46*'PT '!$C72,AND($C46="Plane - international (extra EU)"),$E46*'PT '!$C74)</f>
        <v>#N/A</v>
      </c>
      <c r="L46" s="246"/>
      <c r="M46" s="247"/>
      <c r="N46" s="248"/>
    </row>
    <row r="47" spans="1:14" ht="20" thickBot="1" x14ac:dyDescent="0.25">
      <c r="A47" s="222"/>
      <c r="B47" s="30"/>
      <c r="C47" s="15"/>
      <c r="D47" s="15"/>
      <c r="E47" s="125"/>
      <c r="F47" s="128" t="e" cm="1">
        <f t="array" ref="F47">_xlfn.IFS(AND($C47="Fuel car",$D47=1),$E47*'PT '!C$7,AND($C47="Fuel car",$D47=2),$E47*'PT '!C$8,AND($C47="Fuel car",$D47=3),$E47*'PT '!C$9,AND($C47="Fuel car",$D47=4),$E47*'PT '!C$10,AND($C47="Fuel car",$D47=5),$E47*'PT '!C$11,AND($C47="Motorcycle",$D47=1),$E47*'PT '!C$13,AND($C47="Motorcycle",$D47=2),$E47*'PT '!C$14,AND($C47="Electric car",$D47=1),$E47*'PT '!C$16,AND($C47="Electric car",$D47=2),$E47*'PT '!C$17,AND($C47="Electric car",$D47=3),$E47*'PT '!C$18,AND($C47="Electric car",$D47=4),$E47*'PT '!C$19,AND($C47="Electric car",$D47=5),$E47*'PT '!C$20,AND($C47="Hybrid car",$D47=1),$E47*'PT '!C$22,AND($C47="Hybrid car",$D47=2),$E47*'PT '!C$23,AND($C47="Hybrid car",$D47=3),$E47*'PT '!C$24,AND($C47="Hybrid car",$D47=4),$E47*'PT '!C$25,AND($C47="Hybrid car",$D47=5),$E47*'PT '!C$26,AND($C47="Electric motorcycle",$D47=1),$E47*'PT '!C$28,AND($C47="Electric motorcycle",$D47=2),$E47*'PT '!C$29,AND($C47="Electric bike",$D47=1),$E47*'PT '!C$31,AND($C47="Electric scooter",$D47=1),$E47*'PT '!C$33,AND($C47="Bus",$D47="Almost empty"),$E47*'PT '!H$23,AND($C47="Bus",$D47="Average"),$E47*'PT '!H$24,AND($C47="Bus",$D47="Nearly full"),$E47*'PT '!H$25,AND($C47="Electric bus",$D47="Almost empty"),$E47*'PT '!H$7,AND($C47="Electric bus",$D47="Average"),$E47*'PT '!H$8,AND($C47="Electric bus",$D47="Nearly full"),$E47*'PT '!H$9,AND($C47="Diesel bus",$D47="Almost empty"),$E47*'PT '!H$19,AND($C47="Diesel bus",$D47="Average"),$E47*'PT '!H$20,AND($C47="Diesel bus",$D47="Nearly full"),$E47*'PT '!H$21,AND($C47="Hybrid-electric bus",$D47="Almost empty"),$E47*'PT '!H$11,AND($C47="Hybrid-electric bus",$D47="Average"),$E47*'PT '!H$12,AND($C47="Hybrid-electric bus",$D47="Nearly full"),$E47*'PT '!H$13,AND($C47="Alternative fuel bus",$D47="Almost empty"),$E47*'PT '!H$15,AND($C47="Alternative fuel bus",$D47="Average"),$E47*'PT '!H$16,AND($C47="Alternative fuel bus",$D47="Nearly full"),$E47*'PT '!H$17,AND($C47="Metro, tram, urban light train",$D47="Almost empty"),$E47*'PT '!C$35,AND($C47="Metro, tram, urban light train",$D47="Average"),$E47*'PT '!C$36,AND($C47="Metro, tram, urban light train",$D47="Nearly full"),$E47*'PT '!C$37,AND($C47="Electric passenger train",$D47="Almost empty"),$E47*'PT '!C$39,AND($C47="Electric passenger train",$D47="Average"),$E47*'PT '!C$40,AND($C47="Electric passenger train",$D47="Nearly full"),$E47*'PT '!C$41,AND($C47="Diesel passenger train",$D47="Almost empty"),$E47*'PT '!C$47,AND($C47="Diesel passenger train",$D47="Average"),$E47*'PT '!C$48,AND($C47="Diesel passenger train",$D47="Nearly full"),$E47*'PT '!C$49,AND($C47="Walking"),$E47*0,AND($C47="Bike"),$E47*0,AND($C47="Plane - domestic flight"),$E47*'PT '!$C71,AND($C47="Plane - international - intra EU"),$E47*'PT '!$C73,AND($C47="Plane - international (extra EU)"),$E47*'PT '!$C75)</f>
        <v>#N/A</v>
      </c>
      <c r="G47" s="31" t="e" cm="1">
        <f t="array" ref="G47">_xlfn.IFS(AND($C47="Fuel car",$D47=1),$E47*'PT '!D$7,AND($C47="Fuel car",$D47=2),$E47*'PT '!D$8,AND($C47="Fuel car",$D47=3),$E47*'PT '!D$9,AND($C47="Fuel car",$D47=4),$E47*'PT '!D$10,AND($C47="Fuel car",$D47=5),$E47*'PT '!D$11,AND($C47="Motorcycle",$D47=1),$E47*'PT '!D$13,AND($C47="Motorcycle",$D47=2),$E47*'PT '!D$14,AND($C47="Electric car",$D47=1),$E47*'PT '!D$16,AND($C47="Electric car",$D47=2),$E47*'PT '!D$17,AND($C47="Electric car",$D47=3),$E47*'PT '!D$18,AND($C47="Electric car",$D47=4),$E47*'PT '!D$19,AND($C47="Electric car",$D47=5),$E47*'PT '!D$20,AND($C47="Hybrid car",$D47=1),$E47*'PT '!D$22,AND($C47="Hybrid car",$D47=2),$E47*'PT '!D$23,AND($C47="Hybrid car",$D47=3),$E47*'PT '!D$24,AND($C47="Hybrid car",$D47=4),$E47*'PT '!D$25,AND($C47="Hybrid car",$D47=5),$E47*'PT '!D$26,AND($C47="Electric motorcycle",$D47=1),$E47*'PT '!D$28,AND($C47="Electric motorcycle",$D47=2),$E47*'PT '!D$29,AND($C47="Electric bike",$D47=1),$E47*'PT '!D$31,AND($C47="Electric scooter",$D47=1),$E47*'PT '!D$33,AND($C47="Bus",$D47="Almost empty"),$E47*'PT '!I$23,AND($C47="Bus",$D47="Average"),$E47*'PT '!I$24,AND($C47="Bus",$D47="Nearly full"),$E47*'PT '!I$25,AND($C47="Electric bus",$D47="Almost empty"),$E47*'PT '!I$7,AND($C47="Electric bus",$D47="Average"),$E47*'PT '!I$8,AND($C47="Electric bus",$D47="Nearly full"),$E47*'PT '!I$9,AND($C47="Diesel bus",$D47="Almost empty"),$E47*'PT '!I$19,AND($C47="Diesel bus",$D47="Average"),$E47*'PT '!I$20,AND($C47="Diesel bus",$D47="Nearly full"),$E47*'PT '!I$21,AND($C47="Hybrid-electric bus",$D47="Almost empty"),$E47*'PT '!I$11,AND($C47="Hybrid-electric bus",$D47="Average"),$E47*'PT '!I$12,AND($C47="Hybrid-electric bus",$D47="Nearly full"),$E47*'PT '!I$13,AND($C47="Alternative fuel bus",$D47="Almost empty"),$E47*'PT '!I$15,AND($C47="Alternative fuel bus",$D47="Average"),$E47*'PT '!I$16,AND($C47="Alternative fuel bus",$D47="Nearly full"),$E47*'PT '!I$17,AND($C47="Metro, tram, urban light train",$D47="Almost empty"),$E47*'PT '!D$35,AND($C47="Metro, tram, urban light train",$D47="Average"),$E47*'PT '!D$36,AND($C47="Metro, tram, urban light train",$D47="Nearly full"),$E47*'PT '!D$37,AND($C47="Electric passenger train",$D47="Almost empty"),$E47*'PT '!D$39,AND($C47="Electric passenger train",$D47="Average"),$E47*'PT '!D$40,AND($C47="Electric passenger train",$D47="Nearly full"),$E47*'PT '!D$41,AND($C47="Diesel passenger train",$D47="Almost empty"),$E47*'PT '!D$47,AND($C47="Diesel passenger train",$D47="Average"),$E47*'PT '!D$48,AND($C47="Diesel passenger train",$D47="Nearly full"),$E47*'PT '!D$49,AND($C47="Walking"),$E47*0,AND($C47="Bike"),$E47*0,AND($C47="Plane - domestic flight"),$E47*'PT '!$C71,AND($C47="Plane - international - intra EU"),$E47*'PT '!$C73,AND($C47="Plane - international (extra EU)"),$E47*'PT '!$C75)</f>
        <v>#N/A</v>
      </c>
      <c r="L47" s="238" t="s">
        <v>56</v>
      </c>
      <c r="M47" s="239"/>
      <c r="N47" s="240"/>
    </row>
    <row r="48" spans="1:14" ht="16" thickBot="1" x14ac:dyDescent="0.25">
      <c r="A48" s="222"/>
      <c r="B48" s="30"/>
      <c r="C48" s="15"/>
      <c r="D48" s="15"/>
      <c r="E48" s="125"/>
      <c r="F48" s="128" t="e" cm="1">
        <f t="array" ref="F48">_xlfn.IFS(AND($C48="Fuel car",$D48=1),$E48*'PT '!C$7,AND($C48="Fuel car",$D48=2),$E48*'PT '!C$8,AND($C48="Fuel car",$D48=3),$E48*'PT '!C$9,AND($C48="Fuel car",$D48=4),$E48*'PT '!C$10,AND($C48="Fuel car",$D48=5),$E48*'PT '!C$11,AND($C48="Motorcycle",$D48=1),$E48*'PT '!C$13,AND($C48="Motorcycle",$D48=2),$E48*'PT '!C$14,AND($C48="Electric car",$D48=1),$E48*'PT '!C$16,AND($C48="Electric car",$D48=2),$E48*'PT '!C$17,AND($C48="Electric car",$D48=3),$E48*'PT '!C$18,AND($C48="Electric car",$D48=4),$E48*'PT '!C$19,AND($C48="Electric car",$D48=5),$E48*'PT '!C$20,AND($C48="Hybrid car",$D48=1),$E48*'PT '!C$22,AND($C48="Hybrid car",$D48=2),$E48*'PT '!C$23,AND($C48="Hybrid car",$D48=3),$E48*'PT '!C$24,AND($C48="Hybrid car",$D48=4),$E48*'PT '!C$25,AND($C48="Hybrid car",$D48=5),$E48*'PT '!C$26,AND($C48="Electric motorcycle",$D48=1),$E48*'PT '!C$28,AND($C48="Electric motorcycle",$D48=2),$E48*'PT '!C$29,AND($C48="Electric bike",$D48=1),$E48*'PT '!C$31,AND($C48="Electric scooter",$D48=1),$E48*'PT '!C$33,AND($C48="Bus",$D48="Almost empty"),$E48*'PT '!H$23,AND($C48="Bus",$D48="Average"),$E48*'PT '!H$24,AND($C48="Bus",$D48="Nearly full"),$E48*'PT '!H$25,AND($C48="Electric bus",$D48="Almost empty"),$E48*'PT '!H$7,AND($C48="Electric bus",$D48="Average"),$E48*'PT '!H$8,AND($C48="Electric bus",$D48="Nearly full"),$E48*'PT '!H$9,AND($C48="Diesel bus",$D48="Almost empty"),$E48*'PT '!H$19,AND($C48="Diesel bus",$D48="Average"),$E48*'PT '!H$20,AND($C48="Diesel bus",$D48="Nearly full"),$E48*'PT '!H$21,AND($C48="Hybrid-electric bus",$D48="Almost empty"),$E48*'PT '!H$11,AND($C48="Hybrid-electric bus",$D48="Average"),$E48*'PT '!H$12,AND($C48="Hybrid-electric bus",$D48="Nearly full"),$E48*'PT '!H$13,AND($C48="Alternative fuel bus",$D48="Almost empty"),$E48*'PT '!H$15,AND($C48="Alternative fuel bus",$D48="Average"),$E48*'PT '!H$16,AND($C48="Alternative fuel bus",$D48="Nearly full"),$E48*'PT '!H$17,AND($C48="Metro, tram, urban light train",$D48="Almost empty"),$E48*'PT '!C$35,AND($C48="Metro, tram, urban light train",$D48="Average"),$E48*'PT '!C$36,AND($C48="Metro, tram, urban light train",$D48="Nearly full"),$E48*'PT '!C$37,AND($C48="Electric passenger train",$D48="Almost empty"),$E48*'PT '!C$39,AND($C48="Electric passenger train",$D48="Average"),$E48*'PT '!C$40,AND($C48="Electric passenger train",$D48="Nearly full"),$E48*'PT '!C$41,AND($C48="Diesel passenger train",$D48="Almost empty"),$E48*'PT '!C$47,AND($C48="Diesel passenger train",$D48="Average"),$E48*'PT '!C$48,AND($C48="Diesel passenger train",$D48="Nearly full"),$E48*'PT '!C$49,AND($C48="Walking"),$E48*0,AND($C48="Bike"),$E48*0,AND($C48="Plane - domestic flight"),$E48*'PT '!$C72,AND($C48="Plane - international - intra EU"),$E48*'PT '!$C74,AND($C48="Plane - international (extra EU)"),$E48*'PT '!$C76)</f>
        <v>#N/A</v>
      </c>
      <c r="G48" s="31" t="e" cm="1">
        <f t="array" ref="G48">_xlfn.IFS(AND($C48="Fuel car",$D48=1),$E48*'PT '!D$7,AND($C48="Fuel car",$D48=2),$E48*'PT '!D$8,AND($C48="Fuel car",$D48=3),$E48*'PT '!D$9,AND($C48="Fuel car",$D48=4),$E48*'PT '!D$10,AND($C48="Fuel car",$D48=5),$E48*'PT '!D$11,AND($C48="Motorcycle",$D48=1),$E48*'PT '!D$13,AND($C48="Motorcycle",$D48=2),$E48*'PT '!D$14,AND($C48="Electric car",$D48=1),$E48*'PT '!D$16,AND($C48="Electric car",$D48=2),$E48*'PT '!D$17,AND($C48="Electric car",$D48=3),$E48*'PT '!D$18,AND($C48="Electric car",$D48=4),$E48*'PT '!D$19,AND($C48="Electric car",$D48=5),$E48*'PT '!D$20,AND($C48="Hybrid car",$D48=1),$E48*'PT '!D$22,AND($C48="Hybrid car",$D48=2),$E48*'PT '!D$23,AND($C48="Hybrid car",$D48=3),$E48*'PT '!D$24,AND($C48="Hybrid car",$D48=4),$E48*'PT '!D$25,AND($C48="Hybrid car",$D48=5),$E48*'PT '!D$26,AND($C48="Electric motorcycle",$D48=1),$E48*'PT '!D$28,AND($C48="Electric motorcycle",$D48=2),$E48*'PT '!D$29,AND($C48="Electric bike",$D48=1),$E48*'PT '!D$31,AND($C48="Electric scooter",$D48=1),$E48*'PT '!D$33,AND($C48="Bus",$D48="Almost empty"),$E48*'PT '!I$23,AND($C48="Bus",$D48="Average"),$E48*'PT '!I$24,AND($C48="Bus",$D48="Nearly full"),$E48*'PT '!I$25,AND($C48="Electric bus",$D48="Almost empty"),$E48*'PT '!I$7,AND($C48="Electric bus",$D48="Average"),$E48*'PT '!I$8,AND($C48="Electric bus",$D48="Nearly full"),$E48*'PT '!I$9,AND($C48="Diesel bus",$D48="Almost empty"),$E48*'PT '!I$19,AND($C48="Diesel bus",$D48="Average"),$E48*'PT '!I$20,AND($C48="Diesel bus",$D48="Nearly full"),$E48*'PT '!I$21,AND($C48="Hybrid-electric bus",$D48="Almost empty"),$E48*'PT '!I$11,AND($C48="Hybrid-electric bus",$D48="Average"),$E48*'PT '!I$12,AND($C48="Hybrid-electric bus",$D48="Nearly full"),$E48*'PT '!I$13,AND($C48="Alternative fuel bus",$D48="Almost empty"),$E48*'PT '!I$15,AND($C48="Alternative fuel bus",$D48="Average"),$E48*'PT '!I$16,AND($C48="Alternative fuel bus",$D48="Nearly full"),$E48*'PT '!I$17,AND($C48="Metro, tram, urban light train",$D48="Almost empty"),$E48*'PT '!D$35,AND($C48="Metro, tram, urban light train",$D48="Average"),$E48*'PT '!D$36,AND($C48="Metro, tram, urban light train",$D48="Nearly full"),$E48*'PT '!D$37,AND($C48="Electric passenger train",$D48="Almost empty"),$E48*'PT '!D$39,AND($C48="Electric passenger train",$D48="Average"),$E48*'PT '!D$40,AND($C48="Electric passenger train",$D48="Nearly full"),$E48*'PT '!D$41,AND($C48="Diesel passenger train",$D48="Almost empty"),$E48*'PT '!D$47,AND($C48="Diesel passenger train",$D48="Average"),$E48*'PT '!D$48,AND($C48="Diesel passenger train",$D48="Nearly full"),$E48*'PT '!D$49,AND($C48="Walking"),$E48*0,AND($C48="Bike"),$E48*0,AND($C48="Plane - domestic flight"),$E48*'PT '!$C72,AND($C48="Plane - international - intra EU"),$E48*'PT '!$C74,AND($C48="Plane - international (extra EU)"),$E48*'PT '!$C76)</f>
        <v>#N/A</v>
      </c>
      <c r="H48" s="196" t="s">
        <v>67</v>
      </c>
      <c r="I48" s="197"/>
      <c r="L48" s="249"/>
      <c r="M48" s="250"/>
      <c r="N48" s="251"/>
    </row>
    <row r="49" spans="1:14" x14ac:dyDescent="0.2">
      <c r="A49" s="222"/>
      <c r="B49" s="30"/>
      <c r="C49" s="15"/>
      <c r="D49" s="15"/>
      <c r="E49" s="125"/>
      <c r="F49" s="128" t="e" cm="1">
        <f t="array" ref="F49">_xlfn.IFS(AND($C49="Fuel car",$D49=1),$E49*'PT '!C$7,AND($C49="Fuel car",$D49=2),$E49*'PT '!C$8,AND($C49="Fuel car",$D49=3),$E49*'PT '!C$9,AND($C49="Fuel car",$D49=4),$E49*'PT '!C$10,AND($C49="Fuel car",$D49=5),$E49*'PT '!C$11,AND($C49="Motorcycle",$D49=1),$E49*'PT '!C$13,AND($C49="Motorcycle",$D49=2),$E49*'PT '!C$14,AND($C49="Electric car",$D49=1),$E49*'PT '!C$16,AND($C49="Electric car",$D49=2),$E49*'PT '!C$17,AND($C49="Electric car",$D49=3),$E49*'PT '!C$18,AND($C49="Electric car",$D49=4),$E49*'PT '!C$19,AND($C49="Electric car",$D49=5),$E49*'PT '!C$20,AND($C49="Hybrid car",$D49=1),$E49*'PT '!C$22,AND($C49="Hybrid car",$D49=2),$E49*'PT '!C$23,AND($C49="Hybrid car",$D49=3),$E49*'PT '!C$24,AND($C49="Hybrid car",$D49=4),$E49*'PT '!C$25,AND($C49="Hybrid car",$D49=5),$E49*'PT '!C$26,AND($C49="Electric motorcycle",$D49=1),$E49*'PT '!C$28,AND($C49="Electric motorcycle",$D49=2),$E49*'PT '!C$29,AND($C49="Electric bike",$D49=1),$E49*'PT '!C$31,AND($C49="Electric scooter",$D49=1),$E49*'PT '!C$33,AND($C49="Bus",$D49="Almost empty"),$E49*'PT '!H$23,AND($C49="Bus",$D49="Average"),$E49*'PT '!H$24,AND($C49="Bus",$D49="Nearly full"),$E49*'PT '!H$25,AND($C49="Electric bus",$D49="Almost empty"),$E49*'PT '!H$7,AND($C49="Electric bus",$D49="Average"),$E49*'PT '!H$8,AND($C49="Electric bus",$D49="Nearly full"),$E49*'PT '!H$9,AND($C49="Diesel bus",$D49="Almost empty"),$E49*'PT '!H$19,AND($C49="Diesel bus",$D49="Average"),$E49*'PT '!H$20,AND($C49="Diesel bus",$D49="Nearly full"),$E49*'PT '!H$21,AND($C49="Hybrid-electric bus",$D49="Almost empty"),$E49*'PT '!H$11,AND($C49="Hybrid-electric bus",$D49="Average"),$E49*'PT '!H$12,AND($C49="Hybrid-electric bus",$D49="Nearly full"),$E49*'PT '!H$13,AND($C49="Alternative fuel bus",$D49="Almost empty"),$E49*'PT '!H$15,AND($C49="Alternative fuel bus",$D49="Average"),$E49*'PT '!H$16,AND($C49="Alternative fuel bus",$D49="Nearly full"),$E49*'PT '!H$17,AND($C49="Metro, tram, urban light train",$D49="Almost empty"),$E49*'PT '!C$35,AND($C49="Metro, tram, urban light train",$D49="Average"),$E49*'PT '!C$36,AND($C49="Metro, tram, urban light train",$D49="Nearly full"),$E49*'PT '!C$37,AND($C49="Electric passenger train",$D49="Almost empty"),$E49*'PT '!C$39,AND($C49="Electric passenger train",$D49="Average"),$E49*'PT '!C$40,AND($C49="Electric passenger train",$D49="Nearly full"),$E49*'PT '!C$41,AND($C49="Diesel passenger train",$D49="Almost empty"),$E49*'PT '!C$47,AND($C49="Diesel passenger train",$D49="Average"),$E49*'PT '!C$48,AND($C49="Diesel passenger train",$D49="Nearly full"),$E49*'PT '!C$49,AND($C49="Walking"),$E49*0,AND($C49="Bike"),$E49*0,AND($C49="Plane - domestic flight"),$E49*'PT '!$C73,AND($C49="Plane - international - intra EU"),$E49*'PT '!$C75,AND($C49="Plane - international (extra EU)"),$E49*'PT '!$C77)</f>
        <v>#N/A</v>
      </c>
      <c r="G49" s="31" t="e" cm="1">
        <f t="array" ref="G49">_xlfn.IFS(AND($C49="Fuel car",$D49=1),$E49*'PT '!D$7,AND($C49="Fuel car",$D49=2),$E49*'PT '!D$8,AND($C49="Fuel car",$D49=3),$E49*'PT '!D$9,AND($C49="Fuel car",$D49=4),$E49*'PT '!D$10,AND($C49="Fuel car",$D49=5),$E49*'PT '!D$11,AND($C49="Motorcycle",$D49=1),$E49*'PT '!D$13,AND($C49="Motorcycle",$D49=2),$E49*'PT '!D$14,AND($C49="Electric car",$D49=1),$E49*'PT '!D$16,AND($C49="Electric car",$D49=2),$E49*'PT '!D$17,AND($C49="Electric car",$D49=3),$E49*'PT '!D$18,AND($C49="Electric car",$D49=4),$E49*'PT '!D$19,AND($C49="Electric car",$D49=5),$E49*'PT '!D$20,AND($C49="Hybrid car",$D49=1),$E49*'PT '!D$22,AND($C49="Hybrid car",$D49=2),$E49*'PT '!D$23,AND($C49="Hybrid car",$D49=3),$E49*'PT '!D$24,AND($C49="Hybrid car",$D49=4),$E49*'PT '!D$25,AND($C49="Hybrid car",$D49=5),$E49*'PT '!D$26,AND($C49="Electric motorcycle",$D49=1),$E49*'PT '!D$28,AND($C49="Electric motorcycle",$D49=2),$E49*'PT '!D$29,AND($C49="Electric bike",$D49=1),$E49*'PT '!D$31,AND($C49="Electric scooter",$D49=1),$E49*'PT '!D$33,AND($C49="Bus",$D49="Almost empty"),$E49*'PT '!I$23,AND($C49="Bus",$D49="Average"),$E49*'PT '!I$24,AND($C49="Bus",$D49="Nearly full"),$E49*'PT '!I$25,AND($C49="Electric bus",$D49="Almost empty"),$E49*'PT '!I$7,AND($C49="Electric bus",$D49="Average"),$E49*'PT '!I$8,AND($C49="Electric bus",$D49="Nearly full"),$E49*'PT '!I$9,AND($C49="Diesel bus",$D49="Almost empty"),$E49*'PT '!I$19,AND($C49="Diesel bus",$D49="Average"),$E49*'PT '!I$20,AND($C49="Diesel bus",$D49="Nearly full"),$E49*'PT '!I$21,AND($C49="Hybrid-electric bus",$D49="Almost empty"),$E49*'PT '!I$11,AND($C49="Hybrid-electric bus",$D49="Average"),$E49*'PT '!I$12,AND($C49="Hybrid-electric bus",$D49="Nearly full"),$E49*'PT '!I$13,AND($C49="Alternative fuel bus",$D49="Almost empty"),$E49*'PT '!I$15,AND($C49="Alternative fuel bus",$D49="Average"),$E49*'PT '!I$16,AND($C49="Alternative fuel bus",$D49="Nearly full"),$E49*'PT '!I$17,AND($C49="Metro, tram, urban light train",$D49="Almost empty"),$E49*'PT '!D$35,AND($C49="Metro, tram, urban light train",$D49="Average"),$E49*'PT '!D$36,AND($C49="Metro, tram, urban light train",$D49="Nearly full"),$E49*'PT '!D$37,AND($C49="Electric passenger train",$D49="Almost empty"),$E49*'PT '!D$39,AND($C49="Electric passenger train",$D49="Average"),$E49*'PT '!D$40,AND($C49="Electric passenger train",$D49="Nearly full"),$E49*'PT '!D$41,AND($C49="Diesel passenger train",$D49="Almost empty"),$E49*'PT '!D$47,AND($C49="Diesel passenger train",$D49="Average"),$E49*'PT '!D$48,AND($C49="Diesel passenger train",$D49="Nearly full"),$E49*'PT '!D$49,AND($C49="Walking"),$E49*0,AND($C49="Bike"),$E49*0,AND($C49="Plane - domestic flight"),$E49*'PT '!$C73,AND($C49="Plane - international - intra EU"),$E49*'PT '!$C75,AND($C49="Plane - international (extra EU)"),$E49*'PT '!$C77)</f>
        <v>#N/A</v>
      </c>
      <c r="H49" s="244" t="s">
        <v>74</v>
      </c>
      <c r="I49" s="141"/>
      <c r="L49" s="252"/>
      <c r="M49" s="253"/>
      <c r="N49" s="254"/>
    </row>
    <row r="50" spans="1:14" ht="16" thickBot="1" x14ac:dyDescent="0.25">
      <c r="A50" s="222"/>
      <c r="B50" s="51"/>
      <c r="C50" s="15"/>
      <c r="D50" s="15"/>
      <c r="E50" s="126"/>
      <c r="F50" s="128" t="e" cm="1">
        <f t="array" ref="F50">_xlfn.IFS(AND($C50="Fuel car",$D50=1),$E50*'PT '!C$7,AND($C50="Fuel car",$D50=2),$E50*'PT '!C$8,AND($C50="Fuel car",$D50=3),$E50*'PT '!C$9,AND($C50="Fuel car",$D50=4),$E50*'PT '!C$10,AND($C50="Fuel car",$D50=5),$E50*'PT '!C$11,AND($C50="Motorcycle",$D50=1),$E50*'PT '!C$13,AND($C50="Motorcycle",$D50=2),$E50*'PT '!C$14,AND($C50="Electric car",$D50=1),$E50*'PT '!C$16,AND($C50="Electric car",$D50=2),$E50*'PT '!C$17,AND($C50="Electric car",$D50=3),$E50*'PT '!C$18,AND($C50="Electric car",$D50=4),$E50*'PT '!C$19,AND($C50="Electric car",$D50=5),$E50*'PT '!C$20,AND($C50="Hybrid car",$D50=1),$E50*'PT '!C$22,AND($C50="Hybrid car",$D50=2),$E50*'PT '!C$23,AND($C50="Hybrid car",$D50=3),$E50*'PT '!C$24,AND($C50="Hybrid car",$D50=4),$E50*'PT '!C$25,AND($C50="Hybrid car",$D50=5),$E50*'PT '!C$26,AND($C50="Electric motorcycle",$D50=1),$E50*'PT '!C$28,AND($C50="Electric motorcycle",$D50=2),$E50*'PT '!C$29,AND($C50="Electric bike",$D50=1),$E50*'PT '!C$31,AND($C50="Electric scooter",$D50=1),$E50*'PT '!C$33,AND($C50="Bus",$D50="Almost empty"),$E50*'PT '!H$23,AND($C50="Bus",$D50="Average"),$E50*'PT '!H$24,AND($C50="Bus",$D50="Nearly full"),$E50*'PT '!H$25,AND($C50="Electric bus",$D50="Almost empty"),$E50*'PT '!H$7,AND($C50="Electric bus",$D50="Average"),$E50*'PT '!H$8,AND($C50="Electric bus",$D50="Nearly full"),$E50*'PT '!H$9,AND($C50="Diesel bus",$D50="Almost empty"),$E50*'PT '!H$19,AND($C50="Diesel bus",$D50="Average"),$E50*'PT '!H$20,AND($C50="Diesel bus",$D50="Nearly full"),$E50*'PT '!H$21,AND($C50="Hybrid-electric bus",$D50="Almost empty"),$E50*'PT '!H$11,AND($C50="Hybrid-electric bus",$D50="Average"),$E50*'PT '!H$12,AND($C50="Hybrid-electric bus",$D50="Nearly full"),$E50*'PT '!H$13,AND($C50="Alternative fuel bus",$D50="Almost empty"),$E50*'PT '!H$15,AND($C50="Alternative fuel bus",$D50="Average"),$E50*'PT '!H$16,AND($C50="Alternative fuel bus",$D50="Nearly full"),$E50*'PT '!H$17,AND($C50="Metro, tram, urban light train",$D50="Almost empty"),$E50*'PT '!C$35,AND($C50="Metro, tram, urban light train",$D50="Average"),$E50*'PT '!C$36,AND($C50="Metro, tram, urban light train",$D50="Nearly full"),$E50*'PT '!C$37,AND($C50="Electric passenger train",$D50="Almost empty"),$E50*'PT '!C$39,AND($C50="Electric passenger train",$D50="Average"),$E50*'PT '!C$40,AND($C50="Electric passenger train",$D50="Nearly full"),$E50*'PT '!C$41,AND($C50="Diesel passenger train",$D50="Almost empty"),$E50*'PT '!C$47,AND($C50="Diesel passenger train",$D50="Average"),$E50*'PT '!C$48,AND($C50="Diesel passenger train",$D50="Nearly full"),$E50*'PT '!C$49,AND($C50="Walking"),$E50*0,AND($C50="Bike"),$E50*0,AND($C50="Plane - domestic flight"),$E50*'PT '!$C74,AND($C50="Plane - international - intra EU"),$E50*'PT '!$C76,AND($C50="Plane - international (extra EU)"),$E50*'PT '!$C78)</f>
        <v>#N/A</v>
      </c>
      <c r="G50" s="31" t="e" cm="1">
        <f t="array" ref="G50">_xlfn.IFS(AND($C50="Fuel car",$D50=1),$E50*'PT '!D$7,AND($C50="Fuel car",$D50=2),$E50*'PT '!D$8,AND($C50="Fuel car",$D50=3),$E50*'PT '!D$9,AND($C50="Fuel car",$D50=4),$E50*'PT '!D$10,AND($C50="Fuel car",$D50=5),$E50*'PT '!D$11,AND($C50="Motorcycle",$D50=1),$E50*'PT '!D$13,AND($C50="Motorcycle",$D50=2),$E50*'PT '!D$14,AND($C50="Electric car",$D50=1),$E50*'PT '!D$16,AND($C50="Electric car",$D50=2),$E50*'PT '!D$17,AND($C50="Electric car",$D50=3),$E50*'PT '!D$18,AND($C50="Electric car",$D50=4),$E50*'PT '!D$19,AND($C50="Electric car",$D50=5),$E50*'PT '!D$20,AND($C50="Hybrid car",$D50=1),$E50*'PT '!D$22,AND($C50="Hybrid car",$D50=2),$E50*'PT '!D$23,AND($C50="Hybrid car",$D50=3),$E50*'PT '!D$24,AND($C50="Hybrid car",$D50=4),$E50*'PT '!D$25,AND($C50="Hybrid car",$D50=5),$E50*'PT '!D$26,AND($C50="Electric motorcycle",$D50=1),$E50*'PT '!D$28,AND($C50="Electric motorcycle",$D50=2),$E50*'PT '!D$29,AND($C50="Electric bike",$D50=1),$E50*'PT '!D$31,AND($C50="Electric scooter",$D50=1),$E50*'PT '!D$33,AND($C50="Bus",$D50="Almost empty"),$E50*'PT '!I$23,AND($C50="Bus",$D50="Average"),$E50*'PT '!I$24,AND($C50="Bus",$D50="Nearly full"),$E50*'PT '!I$25,AND($C50="Electric bus",$D50="Almost empty"),$E50*'PT '!I$7,AND($C50="Electric bus",$D50="Average"),$E50*'PT '!I$8,AND($C50="Electric bus",$D50="Nearly full"),$E50*'PT '!I$9,AND($C50="Diesel bus",$D50="Almost empty"),$E50*'PT '!I$19,AND($C50="Diesel bus",$D50="Average"),$E50*'PT '!I$20,AND($C50="Diesel bus",$D50="Nearly full"),$E50*'PT '!I$21,AND($C50="Hybrid-electric bus",$D50="Almost empty"),$E50*'PT '!I$11,AND($C50="Hybrid-electric bus",$D50="Average"),$E50*'PT '!I$12,AND($C50="Hybrid-electric bus",$D50="Nearly full"),$E50*'PT '!I$13,AND($C50="Alternative fuel bus",$D50="Almost empty"),$E50*'PT '!I$15,AND($C50="Alternative fuel bus",$D50="Average"),$E50*'PT '!I$16,AND($C50="Alternative fuel bus",$D50="Nearly full"),$E50*'PT '!I$17,AND($C50="Metro, tram, urban light train",$D50="Almost empty"),$E50*'PT '!D$35,AND($C50="Metro, tram, urban light train",$D50="Average"),$E50*'PT '!D$36,AND($C50="Metro, tram, urban light train",$D50="Nearly full"),$E50*'PT '!D$37,AND($C50="Electric passenger train",$D50="Almost empty"),$E50*'PT '!D$39,AND($C50="Electric passenger train",$D50="Average"),$E50*'PT '!D$40,AND($C50="Electric passenger train",$D50="Nearly full"),$E50*'PT '!D$41,AND($C50="Diesel passenger train",$D50="Almost empty"),$E50*'PT '!D$47,AND($C50="Diesel passenger train",$D50="Average"),$E50*'PT '!D$48,AND($C50="Diesel passenger train",$D50="Nearly full"),$E50*'PT '!D$49,AND($C50="Walking"),$E50*0,AND($C50="Bike"),$E50*0,AND($C50="Plane - domestic flight"),$E50*'PT '!$C74,AND($C50="Plane - international - intra EU"),$E50*'PT '!$C76,AND($C50="Plane - international (extra EU)"),$E50*'PT '!$C78)</f>
        <v>#N/A</v>
      </c>
      <c r="H50" s="245"/>
      <c r="I50" s="142"/>
      <c r="L50" s="252"/>
      <c r="M50" s="253"/>
      <c r="N50" s="254"/>
    </row>
    <row r="51" spans="1:14" ht="33" thickBot="1" x14ac:dyDescent="0.25">
      <c r="A51" s="222"/>
      <c r="B51" s="53"/>
      <c r="C51" s="32"/>
      <c r="D51" s="34"/>
      <c r="E51" s="113"/>
      <c r="F51" s="129" t="e" cm="1">
        <f t="array" ref="F51">_xlfn.IFS(AND($C51="Fuel car",$D51=1),$E51*'PT '!C$7,AND($C51="Fuel car",$D51=2),$E51*'PT '!C$8,AND($C51="Fuel car",$D51=3),$E51*'PT '!C$9,AND($C51="Fuel car",$D51=4),$E51*'PT '!C$10,AND($C51="Fuel car",$D51=5),$E51*'PT '!C$11,AND($C51="Motorcycle",$D51=1),$E51*'PT '!C$13,AND($C51="Motorcycle",$D51=2),$E51*'PT '!C$14,AND($C51="Electric car",$D51=1),$E51*'PT '!C$16,AND($C51="Electric car",$D51=2),$E51*'PT '!C$17,AND($C51="Electric car",$D51=3),$E51*'PT '!C$18,AND($C51="Electric car",$D51=4),$E51*'PT '!C$19,AND($C51="Electric car",$D51=5),$E51*'PT '!C$20,AND($C51="Hybrid car",$D51=1),$E51*'PT '!C$22,AND($C51="Hybrid car",$D51=2),$E51*'PT '!C$23,AND($C51="Hybrid car",$D51=3),$E51*'PT '!C$24,AND($C51="Hybrid car",$D51=4),$E51*'PT '!C$25,AND($C51="Hybrid car",$D51=5),$E51*'PT '!C$26,AND($C51="Electric motorcycle",$D51=1),$E51*'PT '!C$28,AND($C51="Electric motorcycle",$D51=2),$E51*'PT '!C$29,AND($C51="Electric bike",$D51=1),$E51*'PT '!C$31,AND($C51="Electric scooter",$D51=1),$E51*'PT '!C$33,AND($C51="Bus",$D51="Almost empty"),$E51*'PT '!H$23,AND($C51="Bus",$D51="Average"),$E51*'PT '!H$24,AND($C51="Bus",$D51="Nearly full"),$E51*'PT '!H$25,AND($C51="Electric bus",$D51="Almost empty"),$E51*'PT '!H$7,AND($C51="Electric bus",$D51="Average"),$E51*'PT '!H$8,AND($C51="Electric bus",$D51="Nearly full"),$E51*'PT '!H$9,AND($C51="Diesel bus",$D51="Almost empty"),$E51*'PT '!H$19,AND($C51="Diesel bus",$D51="Average"),$E51*'PT '!H$20,AND($C51="Diesel bus",$D51="Nearly full"),$E51*'PT '!H$21,AND($C51="Hybrid-electric bus",$D51="Almost empty"),$E51*'PT '!H$11,AND($C51="Hybrid-electric bus",$D51="Average"),$E51*'PT '!H$12,AND($C51="Hybrid-electric bus",$D51="Nearly full"),$E51*'PT '!H$13,AND($C51="Alternative fuel bus",$D51="Almost empty"),$E51*'PT '!H$15,AND($C51="Alternative fuel bus",$D51="Average"),$E51*'PT '!H$16,AND($C51="Alternative fuel bus",$D51="Nearly full"),$E51*'PT '!H$17,AND($C51="Metro, tram, urban light train",$D51="Almost empty"),$E51*'PT '!C$35,AND($C51="Metro, tram, urban light train",$D51="Average"),$E51*'PT '!C$36,AND($C51="Metro, tram, urban light train",$D51="Nearly full"),$E51*'PT '!C$37,AND($C51="Electric passenger train",$D51="Almost empty"),$E51*'PT '!C$39,AND($C51="Electric passenger train",$D51="Average"),$E51*'PT '!C$40,AND($C51="Electric passenger train",$D51="Nearly full"),$E51*'PT '!C$41,AND($C51="Diesel passenger train",$D51="Almost empty"),$E51*'PT '!C$47,AND($C51="Diesel passenger train",$D51="Average"),$E51*'PT '!C$48,AND($C51="Diesel passenger train",$D51="Nearly full"),$E51*'PT '!C$49,AND($C51="Walking"),$E51*0,AND($C51="Bike"),$E51*0,AND($C51="Plane - domestic flight"),$E51*'PT '!$C75,AND($C51="Plane - international - intra EU"),$E51*'PT '!$C77,AND($C51="Plane - international (extra EU)"),$E51*'PT '!$C79)</f>
        <v>#N/A</v>
      </c>
      <c r="G51" s="35" t="e" cm="1">
        <f t="array" ref="G51">_xlfn.IFS(AND($C51="Fuel car",$D51=1),$E51*'PT '!D$7,AND($C51="Fuel car",$D51=2),$E51*'PT '!D$8,AND($C51="Fuel car",$D51=3),$E51*'PT '!D$9,AND($C51="Fuel car",$D51=4),$E51*'PT '!D$10,AND($C51="Fuel car",$D51=5),$E51*'PT '!D$11,AND($C51="Motorcycle",$D51=1),$E51*'PT '!D$13,AND($C51="Motorcycle",$D51=2),$E51*'PT '!D$14,AND($C51="Electric car",$D51=1),$E51*'PT '!D$16,AND($C51="Electric car",$D51=2),$E51*'PT '!D$17,AND($C51="Electric car",$D51=3),$E51*'PT '!D$18,AND($C51="Electric car",$D51=4),$E51*'PT '!D$19,AND($C51="Electric car",$D51=5),$E51*'PT '!D$20,AND($C51="Hybrid car",$D51=1),$E51*'PT '!D$22,AND($C51="Hybrid car",$D51=2),$E51*'PT '!D$23,AND($C51="Hybrid car",$D51=3),$E51*'PT '!D$24,AND($C51="Hybrid car",$D51=4),$E51*'PT '!D$25,AND($C51="Hybrid car",$D51=5),$E51*'PT '!D$26,AND($C51="Electric motorcycle",$D51=1),$E51*'PT '!D$28,AND($C51="Electric motorcycle",$D51=2),$E51*'PT '!D$29,AND($C51="Electric bike",$D51=1),$E51*'PT '!D$31,AND($C51="Electric scooter",$D51=1),$E51*'PT '!D$33,AND($C51="Bus",$D51="Almost empty"),$E51*'PT '!I$23,AND($C51="Bus",$D51="Average"),$E51*'PT '!I$24,AND($C51="Bus",$D51="Nearly full"),$E51*'PT '!I$25,AND($C51="Electric bus",$D51="Almost empty"),$E51*'PT '!I$7,AND($C51="Electric bus",$D51="Average"),$E51*'PT '!I$8,AND($C51="Electric bus",$D51="Nearly full"),$E51*'PT '!I$9,AND($C51="Diesel bus",$D51="Almost empty"),$E51*'PT '!I$19,AND($C51="Diesel bus",$D51="Average"),$E51*'PT '!I$20,AND($C51="Diesel bus",$D51="Nearly full"),$E51*'PT '!I$21,AND($C51="Hybrid-electric bus",$D51="Almost empty"),$E51*'PT '!I$11,AND($C51="Hybrid-electric bus",$D51="Average"),$E51*'PT '!I$12,AND($C51="Hybrid-electric bus",$D51="Nearly full"),$E51*'PT '!I$13,AND($C51="Alternative fuel bus",$D51="Almost empty"),$E51*'PT '!I$15,AND($C51="Alternative fuel bus",$D51="Average"),$E51*'PT '!I$16,AND($C51="Alternative fuel bus",$D51="Nearly full"),$E51*'PT '!I$17,AND($C51="Metro, tram, urban light train",$D51="Almost empty"),$E51*'PT '!D$35,AND($C51="Metro, tram, urban light train",$D51="Average"),$E51*'PT '!D$36,AND($C51="Metro, tram, urban light train",$D51="Nearly full"),$E51*'PT '!D$37,AND($C51="Electric passenger train",$D51="Almost empty"),$E51*'PT '!D$39,AND($C51="Electric passenger train",$D51="Average"),$E51*'PT '!D$40,AND($C51="Electric passenger train",$D51="Nearly full"),$E51*'PT '!D$41,AND($C51="Diesel passenger train",$D51="Almost empty"),$E51*'PT '!D$47,AND($C51="Diesel passenger train",$D51="Average"),$E51*'PT '!D$48,AND($C51="Diesel passenger train",$D51="Nearly full"),$E51*'PT '!D$49,AND($C51="Walking"),$E51*0,AND($C51="Bike"),$E51*0,AND($C51="Plane - domestic flight"),$E51*'PT '!$C75,AND($C51="Plane - international - intra EU"),$E51*'PT '!$C77,AND($C51="Plane - international (extra EU)"),$E51*'PT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_xlfn.IFS(AND(D57&lt;='PT '!L4),"A+",AND(D57&lt;='PT '!M4,D57&gt;'PT '!L4),"A",AND(D57&lt;='PT '!N4,D57&gt;'PT '!M4),"B",AND(D57&lt;='PT '!O4,D57&gt;'PT '!N4),"C",AND(D57&lt;='PT '!P4,D57&gt;'PT '!O4),"D",AND(D57&lt;='PT '!Q4,D57&gt;'PT '!P4),"E",AND(D57&lt;='PT '!R4,D57&gt;'PT '!Q4),"F",AND(D57&gt;'PT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_xlfn.IFS(D58="#","#",AND(D58&lt;='PT '!L5),"A+",AND(D58&lt;='PT '!M5,D58&gt;'PT '!L5),"A",AND(D58&lt;='PT '!N5,D58&gt;'PT '!M5),"B",AND(D58&lt;='PT '!O5,D58&gt;'PT '!N5),"C",AND(D58&lt;='PT '!P5,D58&gt;'PT '!O5),"D",AND(D58&lt;='PT '!Q5,D58&gt;'PT '!P5),"E",AND(D58&lt;='PT '!R5,D58&gt;'PT '!Q5),"F",AND(D58&gt;'PT '!R5),"G")</f>
        <v>#</v>
      </c>
    </row>
    <row r="59" spans="1:14" ht="32" x14ac:dyDescent="0.2">
      <c r="A59" s="262"/>
      <c r="B59" s="264"/>
      <c r="C59" s="21" t="s">
        <v>88</v>
      </c>
      <c r="D59" s="47" t="e">
        <f>IF(ISNUMBER(D58), D57 + D58, D57)</f>
        <v>#DIV/0!</v>
      </c>
      <c r="E59" s="277"/>
      <c r="G59" s="264"/>
      <c r="H59" t="s">
        <v>88</v>
      </c>
      <c r="I59" s="56" t="e" cm="1">
        <f t="array" ref="I59">_xlfn.IFS(AND(D59&lt;='PT '!L6),"A+",AND(D59&lt;='PT '!M6,D59&gt;'PT '!L6),"A",AND(D59&lt;='PT '!N6,D59&gt;'PT '!M6),"B",AND(D59&lt;='PT '!O6,D59&gt;'PT '!N6),"C",AND(D59&lt;='PT '!P6,D59&gt;'PT '!O6),"D",AND(D59&lt;='PT '!Q6,D59&gt;'PT '!P6),"E",AND(D59&lt;='PT '!R6,D59&gt;'PT '!Q6),"F",AND(D59&gt;'PT '!R6),"G")</f>
        <v>#DIV/0!</v>
      </c>
    </row>
    <row r="60" spans="1:14" ht="16" x14ac:dyDescent="0.2">
      <c r="A60" s="262"/>
      <c r="B60" s="264"/>
      <c r="C60" s="21" t="s">
        <v>89</v>
      </c>
      <c r="D60" s="99">
        <f>I30</f>
        <v>0</v>
      </c>
      <c r="E60" s="277"/>
      <c r="G60" s="264"/>
      <c r="H60" t="s">
        <v>89</v>
      </c>
      <c r="I60" s="56" t="str" cm="1">
        <f t="array" ref="I60">_xlfn.IFS(AND(D60&lt;='PT '!L7),"A+",AND(D60&lt;='PT '!M7,D60&gt;'PT '!L7),"A",AND(D60&lt;='PT '!N7,D60&gt;'PT '!M7),"B",AND(D60&lt;='PT '!O7,D60&gt;'PT '!N7),"C",AND(D60&lt;='PT '!P7,D60&gt;'PT '!O7),"D",AND(D60&lt;='PT '!Q7,D60&gt;'PT '!P7),"E",AND(D60&lt;='PT '!R7,D60&gt;'PT '!Q7),"F",AND(D60&gt;'PT '!R7),"G")</f>
        <v>A+</v>
      </c>
    </row>
    <row r="61" spans="1:14" ht="16" thickBot="1" x14ac:dyDescent="0.25">
      <c r="A61" s="262"/>
      <c r="B61" s="265"/>
      <c r="C61" s="16" t="s">
        <v>57</v>
      </c>
      <c r="D61" s="58" t="e">
        <f>SUM(D59:D60)</f>
        <v>#DIV/0!</v>
      </c>
      <c r="E61" s="261"/>
      <c r="G61" s="265"/>
      <c r="H61" s="16" t="s">
        <v>57</v>
      </c>
      <c r="I61" s="1" t="e" cm="1">
        <f t="array" ref="I61">_xlfn.IFS(AND(D61&lt;='PT '!L8),"A+",AND(D61&lt;='PT '!M8,D61&gt;'PT '!L8),"A",AND(D61&lt;='PT '!N8,D61&gt;'PT '!M8),"B",AND(D61&lt;='PT '!O8,D61&gt;'PT '!N8),"C",AND(D61&lt;='PT '!P8,D61&gt;'PT '!O8),"D",AND(D61&lt;='PT '!Q8,D61&gt;'PT '!P8),"E",AND(D61&lt;='PT '!R8,D61&gt;'PT '!Q8),"F",AND(D61&gt;'PT '!R8),"G")</f>
        <v>#DIV/0!</v>
      </c>
    </row>
    <row r="62" spans="1:14" ht="32" x14ac:dyDescent="0.2">
      <c r="A62" s="262"/>
      <c r="B62" s="263" t="s">
        <v>90</v>
      </c>
      <c r="C62" s="57" t="s">
        <v>85</v>
      </c>
      <c r="D62" s="100" t="e">
        <f>I16</f>
        <v>#DIV/0!</v>
      </c>
      <c r="E62" s="266" t="s">
        <v>91</v>
      </c>
      <c r="G62" s="263" t="s">
        <v>90</v>
      </c>
      <c r="H62" s="46" t="s">
        <v>85</v>
      </c>
      <c r="I62" s="55" t="e" cm="1">
        <f t="array" ref="I62">_xlfn.IFS(AND(D62&lt;='PT '!L9),"A+",AND(D62&lt;='PT '!M9,D62&gt;'PT '!L9),"A",AND(D62&lt;='PT '!N9,D62&gt;'PT '!M9),"B",AND(D62&lt;='PT '!O9,D62&gt;'PT '!N9),"C",AND(D62&lt;='PT '!P9,D62&gt;'PT '!O9),"D",AND(D62&lt;='PT '!Q9,D62&gt;'PT '!P9),"E",AND(D62&lt;='PT '!R9,D62&gt;'PT '!Q9),"F",AND(D62&gt;'PT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_xlfn.IFS(D63="#","#",AND(D63&lt;='PT '!L10),"A+",AND(D63&lt;='PT '!M10,D63&gt;'PT '!L10),"A",AND(D63&lt;='PT '!N10,D63&gt;'PT '!M10),"B",AND(D63&lt;='PT '!O10,D63&gt;'PT '!N10),"C",AND(D63&lt;='PT '!P10,D63&gt;'PT '!O10),"D",AND(D63&lt;='PT '!Q10,D63&gt;'PT '!P10),"E",AND(D63&lt;='PT '!R10,D63&gt;'PT '!Q10),"F",AND(D63&gt;'PT '!R10),"G")</f>
        <v>#</v>
      </c>
    </row>
    <row r="64" spans="1:14" ht="32" x14ac:dyDescent="0.2">
      <c r="A64" s="262"/>
      <c r="B64" s="264"/>
      <c r="C64" s="21" t="s">
        <v>92</v>
      </c>
      <c r="D64" s="47" t="e">
        <f>IF(ISNUMBER(D63), D62 + D63, D62)</f>
        <v>#DIV/0!</v>
      </c>
      <c r="E64" s="202"/>
      <c r="G64" s="264"/>
      <c r="H64" t="s">
        <v>92</v>
      </c>
      <c r="I64" s="56" t="e" cm="1">
        <f t="array" ref="I64">_xlfn.IFS(AND(D64&lt;='PT '!L11),"A+",AND(D64&lt;='PT '!M11,D64&gt;'PT '!L11),"A",AND(D64&lt;='PT '!N11,D64&gt;'PT '!M11),"B",AND(D64&lt;='PT '!O11,D64&gt;'PT '!N11),"C",AND(D64&lt;='PT '!P11,D64&gt;'PT '!O11),"D",AND(D64&lt;='PT '!Q11,D64&gt;'PT '!P11),"E",AND(D64&lt;='PT '!R11,D64&gt;'PT '!Q11),"F",AND(D64&gt;'PT '!R11),"G")</f>
        <v>#DIV/0!</v>
      </c>
    </row>
    <row r="65" spans="1:9" x14ac:dyDescent="0.2">
      <c r="A65" s="262"/>
      <c r="B65" s="264"/>
      <c r="C65" t="s">
        <v>89</v>
      </c>
      <c r="D65" s="99">
        <f>I31</f>
        <v>0</v>
      </c>
      <c r="E65" s="202"/>
      <c r="G65" s="264"/>
      <c r="H65" t="s">
        <v>89</v>
      </c>
      <c r="I65" s="56" t="str" cm="1">
        <f t="array" ref="I65">_xlfn.IFS(AND(D65&lt;='PT '!L12),"A+",AND(D65&lt;='PT '!M12,D65&gt;'PT '!L12),"A",AND(D65&lt;='PT '!N12,D65&gt;'PT '!M12),"B",AND(D65&lt;='PT '!O12,D65&gt;'PT '!N12),"C",AND(D65&lt;='PT '!P12,D65&gt;'PT '!O12),"D",AND(D65&lt;='PT '!Q12,D65&gt;'PT '!P12),"E",AND(D65&lt;='PT '!R12,D65&gt;'PT '!Q12),"F",AND(D65&gt;'PT '!R12),"G")</f>
        <v>A+</v>
      </c>
    </row>
    <row r="66" spans="1:9" ht="16" thickBot="1" x14ac:dyDescent="0.25">
      <c r="A66" s="262"/>
      <c r="B66" s="265"/>
      <c r="C66" s="16" t="s">
        <v>57</v>
      </c>
      <c r="D66" s="16" t="e">
        <f>SUM(D64:D65)</f>
        <v>#DIV/0!</v>
      </c>
      <c r="E66" s="267"/>
      <c r="G66" s="265"/>
      <c r="H66" s="16" t="s">
        <v>57</v>
      </c>
      <c r="I66" s="1" t="e" cm="1">
        <f t="array" ref="I66">_xlfn.IFS(AND(D66&lt;='PT '!L13),"A+",AND(D66&lt;='PT '!M13,D66&gt;'PT '!L13),"A",AND(D66&lt;='PT '!N13,D66&gt;'PT '!M13),"B",AND(D66&lt;='PT '!O13,D66&gt;'PT '!N13),"C",AND(D66&lt;='PT '!P13,D66&gt;'PT '!O13),"D",AND(D66&lt;='PT '!Q13,D66&gt;'PT '!P13),"E",AND(D66&lt;='PT '!R13,D66&gt;'PT '!Q13),"F",AND(D66&gt;'PT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93" priority="7" operator="equal">
      <formula>"A+"</formula>
    </cfRule>
    <cfRule type="containsText" dxfId="192" priority="8" operator="containsText" text="A">
      <formula>NOT(ISERROR(SEARCH("A",I57)))</formula>
    </cfRule>
    <cfRule type="containsText" dxfId="191" priority="9" operator="containsText" text="B">
      <formula>NOT(ISERROR(SEARCH("B",I57)))</formula>
    </cfRule>
    <cfRule type="containsText" dxfId="190" priority="10" operator="containsText" text="C">
      <formula>NOT(ISERROR(SEARCH("C",I57)))</formula>
    </cfRule>
    <cfRule type="containsText" dxfId="189" priority="11" operator="containsText" text="D">
      <formula>NOT(ISERROR(SEARCH("D",I57)))</formula>
    </cfRule>
    <cfRule type="containsText" dxfId="188" priority="12" operator="containsText" text="E">
      <formula>NOT(ISERROR(SEARCH("E",I57)))</formula>
    </cfRule>
    <cfRule type="containsText" dxfId="187" priority="13" operator="containsText" text="F">
      <formula>NOT(ISERROR(SEARCH("F",I57)))</formula>
    </cfRule>
    <cfRule type="containsText" dxfId="186" priority="14" operator="containsText" text="G">
      <formula>NOT(ISERROR(SEARCH("G",I57)))</formula>
    </cfRule>
  </conditionalFormatting>
  <conditionalFormatting sqref="K5:K15">
    <cfRule type="expression" dxfId="45" priority="2" stopIfTrue="1">
      <formula>$O$19="No"</formula>
    </cfRule>
  </conditionalFormatting>
  <conditionalFormatting sqref="L5:L15">
    <cfRule type="expression" dxfId="44"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0F4BB42C-F783-CE44-AC82-5F3AB93BCE1F}">
      <formula1>AND(Q19="Yes", ISNUMBER(L5))</formula1>
    </dataValidation>
    <dataValidation type="custom" operator="lessThan" allowBlank="1" showErrorMessage="1" errorTitle="Error" error="You can only enter values if you have selected HOME PV. The value must be a number." sqref="K5:K15" xr:uid="{2EC358D3-F2CF-134A-828A-613A87C6684E}">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F0C4812A-0F8B-458A-8AF4-B3F43CB1B2FE}">
          <x14:formula1>
            <xm:f>DATA!$J$3:$J$10</xm:f>
          </x14:formula1>
          <xm:sqref>D29:D51</xm:sqref>
        </x14:dataValidation>
        <x14:dataValidation type="list" allowBlank="1" showInputMessage="1" showErrorMessage="1" xr:uid="{407A0E92-66CE-9142-85D8-CC131572E580}">
          <x14:formula1>
            <xm:f>DATA!$B$15:$B$23</xm:f>
          </x14:formula1>
          <xm:sqref>J2</xm:sqref>
        </x14:dataValidation>
        <x14:dataValidation type="list" allowBlank="1" showInputMessage="1" showErrorMessage="1" xr:uid="{0342292A-6F0A-444C-BC0F-C51C50818605}">
          <x14:formula1>
            <xm:f>DATA!$H$3:$H$23</xm:f>
          </x14:formula1>
          <xm:sqref>C29:C51</xm:sqref>
        </x14:dataValidation>
        <x14:dataValidation type="list" allowBlank="1" showInputMessage="1" showErrorMessage="1" xr:uid="{B62EC73F-D29F-C147-8407-2998551ABBC1}">
          <x14:formula1>
            <xm:f>DATA!$B$3:$B$13</xm:f>
          </x14:formula1>
          <xm:sqref>H2</xm:sqref>
        </x14:dataValidation>
        <x14:dataValidation type="list" allowBlank="1" showInputMessage="1" showErrorMessage="1" xr:uid="{E21B6FD0-CDBC-2A4A-B5C2-E6C921628895}">
          <x14:formula1>
            <xm:f>DATA!$L$4:$L$5</xm:f>
          </x14:formula1>
          <xm:sqref>O18:O19 Q19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465DA-6CB6-40E4-AABA-1142E13A3014}">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1640625" customWidth="1"/>
    <col min="5" max="5" width="17.5" customWidth="1"/>
    <col min="6" max="6" width="16.1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115</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IF($O$18="Yes",(E5/$F$2)*DATA!$C$9,(E5/$F$2)*DATA!F26)+IF(ISBLANK(K5),0,K5/$F$2)*DATA!$C$9-IF(ISBLANK(L5),0,L5/$F$2)*DATA!F$26</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IF($O$18="Yes",(E6/$F$2)*DATA!$C$9,(E6/$F$2)*DATA!F27)+IF(ISBLANK(K6),0,K6/$F$2)*DATA!$C$9-IF(ISBLANK(L6),0,L6/$F$2)*DATA!F$26</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IF($O$18="Yes",(E7/$F$2)*DATA!$C$9,(E7/$F$2)*DATA!F28)+IF(ISBLANK(K7),0,K7/$F$2)*DATA!$C$9-IF(ISBLANK(L7),0,L7/$F$2)*DATA!F$26</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IF($O$18="Yes",(E8/$F$2)*DATA!$C$9,(E8/$F$2)*DATA!F29)+IF(ISBLANK(K8),0,K8/$F$2)*DATA!$C$9-IF(ISBLANK(L8),0,L8/$F$2)*DATA!F$26</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IF($O$18="Yes",(E9/$F$2)*DATA!$C$9,(E9/$F$2)*DATA!F30)+IF(ISBLANK(K9),0,K9/$F$2)*DATA!$C$9-IF(ISBLANK(L9),0,L9/$F$2)*DATA!F$26</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IF($O$18="Yes",(E10/$F$2)*DATA!$C$9,(E10/$F$2)*DATA!F31)+IF(ISBLANK(K10),0,K10/$F$2)*DATA!$C$9-IF(ISBLANK(L10),0,L10/$F$2)*DATA!F$26</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IF($O$18="Yes",(E11/$F$2)*DATA!$C$9,(E11/$F$2)*DATA!F32)+IF(ISBLANK(K11),0,K11/$F$2)*DATA!$C$9-IF(ISBLANK(L11),0,L11/$F$2)*DATA!F$26</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IF($O$18="Yes",(E12/$F$2)*DATA!$C$9,(E12/$F$2)*DATA!F33)+IF(ISBLANK(K12),0,K12/$F$2)*DATA!$C$9-IF(ISBLANK(L12),0,L12/$F$2)*DATA!F$26</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IF($O$18="Yes",(E13/$F$2)*DATA!$C$9,(E13/$F$2)*DATA!F34)+IF(ISBLANK(K13),0,K13/$F$2)*DATA!$C$9-IF(ISBLANK(L13),0,L13/$F$2)*DATA!F$26</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IF($O$18="Yes",(E14/$F$2)*DATA!$C$9,(E14/$F$2)*DATA!F35)+IF(ISBLANK(K14),0,K14/$F$2)*DATA!$C$9-IF(ISBLANK(L14),0,L14/$F$2)*DATA!F$26</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IF($O$18="Yes",(E15/$F$2)*DATA!$C$9,(E15/$F$2)*DATA!F36)+IF(ISBLANK(K15),0,K15/$F$2)*DATA!$C$9-IF(ISBLANK(L15),0,L15/$F$2)*DATA!F$26</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car",$D29=1),$E29*'RO '!C$7,AND($C29="Fuel car",$D29=2),$E29*'RO '!C$8,AND($C29="Fuel car",$D29=3),$E29*'RO '!C$9,AND($C29="Fuel car",$D29=4),$E29*'RO '!C$10,AND($C29="Fuel car",$D29=5),$E29*'RO '!C$11,AND($C29="Motorcycle",$D29=1),$E29*'RO '!C$13,AND($C29="Motorcycle",$D29=2),$E29*'RO '!C$14,AND($C29="Electric car",$D29=1),$E29*'RO '!C$16,AND($C29="Electric car",$D29=2),$E29*'RO '!C$17,AND($C29="Electric car",$D29=3),$E29*'RO '!C$18,AND($C29="Electric car",$D29=4),$E29*'RO '!C$19,AND($C29="Electric car",$D29=5),$E29*'RO '!C$20,AND($C29="Hybrid car",$D29=1),$E29*'RO '!C$22,AND($C29="Hybrid car",$D29=2),$E29*'RO '!C$23,AND($C29="Hybrid car",$D29=3),$E29*'RO '!C$24,AND($C29="Hybrid car",$D29=4),$E29*'RO '!C$25,AND($C29="Hybrid car",$D29=5),$E29*'RO '!C$26,AND($C29="Electric motorcycle",$D29=1),$E29*'RO '!C$28,AND($C29="Electric motorcycle",$D29=2),$E29*'RO '!C$29,AND($C29="Electric bike",$D29=1),$E29*'RO '!C$31,AND($C29="Electric scooter",$D29=1),$E29*'RO '!C$33,AND($C29="Bus",$D29="Almost empty"),$E29*'RO '!H$23,AND($C29="Bus",$D29="Average"),$E29*'RO '!H$24,AND($C29="Bus",$D29="Nearly full"),$E29*'RO '!H$25,AND($C29="Electric bus",$D29="Almost empty"),$E29*'RO '!H$7,AND($C29="Electric bus",$D29="Average"),$E29*'RO '!H$8,AND($C29="Electric bus",$D29="Nearly full"),$E29*'RO '!H$9,AND($C29="Diesel bus",$D29="Almost empty"),$E29*'RO '!H$19,AND($C29="Diesel bus",$D29="Average"),$E29*'RO '!H$20,AND($C29="Diesel bus",$D29="Nearly full"),$E29*'RO '!H$21,AND($C29="Hybrid-electric bus",$D29="Almost empty"),$E29*'RO '!H$11,AND($C29="Hybrid-electric bus",$D29="Average"),$E29*'RO '!H$12,AND($C29="Hybrid-electric bus",$D29="Nearly full"),$E29*'RO '!H$13,AND($C29="Alternative fuel bus",$D29="Almost empty"),$E29*'RO '!H$15,AND($C29="Alternative fuel bus",$D29="Average"),$E29*'RO '!H$16,AND($C29="Alternative fuel bus",$D29="Nearly full"),$E29*'RO '!H$17,AND($C29="Metro, tram, urban light train",$D29="Almost empty"),$E29*'RO '!C$35,AND($C29="Metro, tram, urban light train",$D29="Average"),$E29*'RO '!C$36,AND($C29="Metro, tram, urban light train",$D29="Nearly full"),$E29*'RO '!C$37,AND($C29="Electric passenger train",$D29="Almost empty"),$E29*'RO '!C$39,AND($C29="Electric passenger train",$D29="Average"),$E29*'RO '!C$40,AND($C29="Electric passenger train",$D29="Nearly full"),$E29*'RO '!C$41,AND($C29="Diesel passenger train",$D29="Almost empty"),$E29*'RO '!C$47,AND($C29="Diesel passenger train",$D29="Average"),$E29*'RO '!C$48,AND($C29="Diesel passenger train",$D29="Nearly full"),$E29*'RO '!C$49,AND($C29="Walking"),$E29*0,AND($C29="Bike"),$E29*0,AND($C29="Plane - domestic flight"),$E29*'RO '!$C53,AND($C29="Plane - international - intra EU"),$E29*'RO '!$C55,AND($C29="Plane - international (extra EU)"),$E29*'RO '!$C57)</f>
        <v>#N/A</v>
      </c>
      <c r="G29" s="104" t="e" cm="1">
        <f t="array" ref="G29">_xlfn.IFS(AND($C29="Fuel car",$D29=1),$E29*'RO '!D$7,AND($C29="Fuel car",$D29=2),$E29*'RO '!D$8,AND($C29="Fuel car",$D29=3),$E29*'RO '!D$9,AND($C29="Fuel car",$D29=4),$E29*'RO '!D$10,AND($C29="Fuel car",$D29=5),$E29*'RO '!D$11,AND($C29="Motorcycle",$D29=1),$E29*'RO '!D$13,AND($C29="Motorcycle",$D29=2),$E29*'RO '!D$14,AND($C29="Electric car",$D29=1),$E29*'RO '!D$16,AND($C29="Electric car",$D29=2),$E29*'RO '!D$17,AND($C29="Electric car",$D29=3),$E29*'RO '!D$18,AND($C29="Electric car",$D29=4),$E29*'RO '!D$19,AND($C29="Electric car",$D29=5),$E29*'RO '!D$20,AND($C29="Hybrid car",$D29=1),$E29*'RO '!D$22,AND($C29="Hybrid car",$D29=2),$E29*'RO '!D$23,AND($C29="Hybrid car",$D29=3),$E29*'RO '!D$24,AND($C29="Hybrid car",$D29=4),$E29*'RO '!D$25,AND($C29="Hybrid car",$D29=5),$E29*'RO '!D$26,AND($C29="Electric motorcycle",$D29=1),$E29*'RO '!D$28,AND($C29="Electric motorcycle",$D29=2),$E29*'RO '!D$29,AND($C29="Electric bike",$D29=1),$E29*'RO '!D$31,AND($C29="Electric scooter",$D29=1),$E29*'RO '!D$33,AND($C29="Bus",$D29="Almost empty"),$E29*'RO '!I$23,AND($C29="Bus",$D29="Average"),$E29*'RO '!I$24,AND($C29="Bus",$D29="Nearly full"),$E29*'RO '!I$25,AND($C29="Electric bus",$D29="Almost empty"),$E29*'RO '!I$7,AND($C29="Electric bus",$D29="Average"),$E29*'RO '!I$8,AND($C29="Electric bus",$D29="Nearly full"),$E29*'RO '!I$9,AND($C29="Diesel bus",$D29="Almost empty"),$E29*'RO '!I$19,AND($C29="Diesel bus",$D29="Average"),$E29*'RO '!I$20,AND($C29="Diesel bus",$D29="Nearly full"),$E29*'RO '!I$21,AND($C29="Hybrid-electric bus",$D29="Almost empty"),$E29*'RO '!I$11,AND($C29="Hybrid-electric bus",$D29="Average"),$E29*'RO '!I$12,AND($C29="Hybrid-electric bus",$D29="Nearly full"),$E29*'RO '!I$13,AND($C29="Alternative fuel bus",$D29="Almost empty"),$E29*'RO '!I$15,AND($C29="Alternative fuel bus",$D29="Average"),$E29*'RO '!I$16,AND($C29="Alternative fuel bus",$D29="Nearly full"),$E29*'RO '!I$17,AND($C29="Metro, tram, urban light train",$D29="Almost empty"),$E29*'RO '!D$35,AND($C29="Metro, tram, urban light train",$D29="Average"),$E29*'RO '!D$36,AND($C29="Metro, tram, urban light train",$D29="Nearly full"),$E29*'RO '!D$37,AND($C29="Electric passenger train",$D29="Almost empty"),$E29*'RO '!D$39,AND($C29="Electric passenger train",$D29="Average"),$E29*'RO '!D$40,AND($C29="Electric passenger train",$D29="Nearly full"),$E29*'RO '!D$41,AND($C29="Diesel passenger train",$D29="Almost empty"),$E29*'RO '!D$47,AND($C29="Diesel passenger train",$D29="Average"),$E29*'RO '!D$48,AND($C29="Diesel passenger train",$D29="Nearly full"),$E29*'RO '!D$49,AND($C29="Walking"),$E29*0,AND($C29="Bike"),$E29*0,AND($C29="Plane - domestic flight"),$E29*'RO '!$C53,AND($C29="Plane - international - intra EU"),$E29*'RO '!$C55,AND($C29="Plane - international (extra EU)"),$E29*'RO '!$C57)</f>
        <v>#N/A</v>
      </c>
      <c r="H29" s="151"/>
      <c r="I29" s="152">
        <f>H29/10*E29</f>
        <v>0</v>
      </c>
      <c r="J29" s="146" t="e" cm="1">
        <f t="array" ref="J29">_xlfn.IFS(C29="Fuel car",C29*DATA!$C$17,C29="Electric car",C29*DATA!$F$26,C29="Hybrid car",I29*(0.5*DATA!$C$17+0.5*DATA!$F$26))</f>
        <v>#N/A</v>
      </c>
      <c r="L29" s="218"/>
      <c r="M29" s="219"/>
      <c r="N29" s="220"/>
    </row>
    <row r="30" spans="1:17" ht="32" customHeight="1" x14ac:dyDescent="0.2">
      <c r="A30" s="222"/>
      <c r="B30" s="30"/>
      <c r="C30" s="15"/>
      <c r="D30" s="15"/>
      <c r="E30" s="125"/>
      <c r="F30" s="128" t="e" cm="1">
        <f t="array" ref="F30">_xlfn.IFS(AND($C30="Fuel car",$D30=1),$E30*'RO '!C$7,AND($C30="Fuel car",$D30=2),$E30*'RO '!C$8,AND($C30="Fuel car",$D30=3),$E30*'RO '!C$9,AND($C30="Fuel car",$D30=4),$E30*'RO '!C$10,AND($C30="Fuel car",$D30=5),$E30*'RO '!C$11,AND($C30="Motorcycle",$D30=1),$E30*'RO '!C$13,AND($C30="Motorcycle",$D30=2),$E30*'RO '!C$14,AND($C30="Electric car",$D30=1),$E30*'RO '!C$16,AND($C30="Electric car",$D30=2),$E30*'RO '!C$17,AND($C30="Electric car",$D30=3),$E30*'RO '!C$18,AND($C30="Electric car",$D30=4),$E30*'RO '!C$19,AND($C30="Electric car",$D30=5),$E30*'RO '!C$20,AND($C30="Hybrid car",$D30=1),$E30*'RO '!C$22,AND($C30="Hybrid car",$D30=2),$E30*'RO '!C$23,AND($C30="Hybrid car",$D30=3),$E30*'RO '!C$24,AND($C30="Hybrid car",$D30=4),$E30*'RO '!C$25,AND($C30="Hybrid car",$D30=5),$E30*'RO '!C$26,AND($C30="Electric motorcycle",$D30=1),$E30*'RO '!C$28,AND($C30="Electric motorcycle",$D30=2),$E30*'RO '!C$29,AND($C30="Electric bike",$D30=1),$E30*'RO '!C$31,AND($C30="Electric scooter",$D30=1),$E30*'RO '!C$33,AND($C30="Bus",$D30="Almost empty"),$E30*'RO '!H$23,AND($C30="Bus",$D30="Average"),$E30*'RO '!H$24,AND($C30="Bus",$D30="Nearly full"),$E30*'RO '!H$25,AND($C30="Electric bus",$D30="Almost empty"),$E30*'RO '!H$7,AND($C30="Electric bus",$D30="Average"),$E30*'RO '!H$8,AND($C30="Electric bus",$D30="Nearly full"),$E30*'RO '!H$9,AND($C30="Diesel bus",$D30="Almost empty"),$E30*'RO '!H$19,AND($C30="Diesel bus",$D30="Average"),$E30*'RO '!H$20,AND($C30="Diesel bus",$D30="Nearly full"),$E30*'RO '!H$21,AND($C30="Hybrid-electric bus",$D30="Almost empty"),$E30*'RO '!H$11,AND($C30="Hybrid-electric bus",$D30="Average"),$E30*'RO '!H$12,AND($C30="Hybrid-electric bus",$D30="Nearly full"),$E30*'RO '!H$13,AND($C30="Alternative fuel bus",$D30="Almost empty"),$E30*'RO '!H$15,AND($C30="Alternative fuel bus",$D30="Average"),$E30*'RO '!H$16,AND($C30="Alternative fuel bus",$D30="Nearly full"),$E30*'RO '!H$17,AND($C30="Metro, tram, urban light train",$D30="Almost empty"),$E30*'RO '!C$35,AND($C30="Metro, tram, urban light train",$D30="Average"),$E30*'RO '!C$36,AND($C30="Metro, tram, urban light train",$D30="Nearly full"),$E30*'RO '!C$37,AND($C30="Electric passenger train",$D30="Almost empty"),$E30*'RO '!C$39,AND($C30="Electric passenger train",$D30="Average"),$E30*'RO '!C$40,AND($C30="Electric passenger train",$D30="Nearly full"),$E30*'RO '!C$41,AND($C30="Diesel passenger train",$D30="Almost empty"),$E30*'RO '!C$47,AND($C30="Diesel passenger train",$D30="Average"),$E30*'RO '!C$48,AND($C30="Diesel passenger train",$D30="Nearly full"),$E30*'RO '!C$49,AND($C30="Walking"),$E30*0,AND($C30="Bike"),$E30*0,AND($C30="Plane - domestic flight"),$E30*'RO '!$C54,AND($C30="Plane - international - intra EU"),$E30*'RO '!$C56,AND($C30="Plane - international (extra EU)"),$E30*'RO '!$C58)</f>
        <v>#N/A</v>
      </c>
      <c r="G30" s="31" t="e" cm="1">
        <f t="array" ref="G30">_xlfn.IFS(AND($C30="Fuel car",$D30=1),$E30*'RO '!D$7,AND($C30="Fuel car",$D30=2),$E30*'RO '!D$8,AND($C30="Fuel car",$D30=3),$E30*'RO '!D$9,AND($C30="Fuel car",$D30=4),$E30*'RO '!D$10,AND($C30="Fuel car",$D30=5),$E30*'RO '!D$11,AND($C30="Motorcycle",$D30=1),$E30*'RO '!D$13,AND($C30="Motorcycle",$D30=2),$E30*'RO '!D$14,AND($C30="Electric car",$D30=1),$E30*'RO '!D$16,AND($C30="Electric car",$D30=2),$E30*'RO '!D$17,AND($C30="Electric car",$D30=3),$E30*'RO '!D$18,AND($C30="Electric car",$D30=4),$E30*'RO '!D$19,AND($C30="Electric car",$D30=5),$E30*'RO '!D$20,AND($C30="Hybrid car",$D30=1),$E30*'RO '!D$22,AND($C30="Hybrid car",$D30=2),$E30*'RO '!D$23,AND($C30="Hybrid car",$D30=3),$E30*'RO '!D$24,AND($C30="Hybrid car",$D30=4),$E30*'RO '!D$25,AND($C30="Hybrid car",$D30=5),$E30*'RO '!D$26,AND($C30="Electric motorcycle",$D30=1),$E30*'RO '!D$28,AND($C30="Electric motorcycle",$D30=2),$E30*'RO '!D$29,AND($C30="Electric bike",$D30=1),$E30*'RO '!D$31,AND($C30="Electric scooter",$D30=1),$E30*'RO '!D$33,AND($C30="Bus",$D30="Almost empty"),$E30*'RO '!I$23,AND($C30="Bus",$D30="Average"),$E30*'RO '!I$24,AND($C30="Bus",$D30="Nearly full"),$E30*'RO '!I$25,AND($C30="Electric bus",$D30="Almost empty"),$E30*'RO '!I$7,AND($C30="Electric bus",$D30="Average"),$E30*'RO '!I$8,AND($C30="Electric bus",$D30="Nearly full"),$E30*'RO '!I$9,AND($C30="Diesel bus",$D30="Almost empty"),$E30*'RO '!I$19,AND($C30="Diesel bus",$D30="Average"),$E30*'RO '!I$20,AND($C30="Diesel bus",$D30="Nearly full"),$E30*'RO '!I$21,AND($C30="Hybrid-electric bus",$D30="Almost empty"),$E30*'RO '!I$11,AND($C30="Hybrid-electric bus",$D30="Average"),$E30*'RO '!I$12,AND($C30="Hybrid-electric bus",$D30="Nearly full"),$E30*'RO '!I$13,AND($C30="Alternative fuel bus",$D30="Almost empty"),$E30*'RO '!I$15,AND($C30="Alternative fuel bus",$D30="Average"),$E30*'RO '!I$16,AND($C30="Alternative fuel bus",$D30="Nearly full"),$E30*'RO '!I$17,AND($C30="Metro, tram, urban light train",$D30="Almost empty"),$E30*'RO '!D$35,AND($C30="Metro, tram, urban light train",$D30="Average"),$E30*'RO '!D$36,AND($C30="Metro, tram, urban light train",$D30="Nearly full"),$E30*'RO '!D$37,AND($C30="Electric passenger train",$D30="Almost empty"),$E30*'RO '!D$39,AND($C30="Electric passenger train",$D30="Average"),$E30*'RO '!D$40,AND($C30="Electric passenger train",$D30="Nearly full"),$E30*'RO '!D$41,AND($C30="Diesel passenger train",$D30="Almost empty"),$E30*'RO '!D$47,AND($C30="Diesel passenger train",$D30="Average"),$E30*'RO '!D$48,AND($C30="Diesel passenger train",$D30="Nearly full"),$E30*'RO '!D$49,AND($C30="Walking"),$E30*0,AND($C30="Bike"),$E30*0,AND($C30="Plane - domestic flight"),$E30*'RO '!$C54,AND($C30="Plane - international - intra EU"),$E30*'RO '!$C56,AND($C30="Plane - international (extra EU)"),$E30*'RO '!$C58)</f>
        <v>#N/A</v>
      </c>
      <c r="H30" s="145"/>
      <c r="I30" s="148">
        <f t="shared" ref="I30:I43" si="6">H30/10*E30</f>
        <v>0</v>
      </c>
      <c r="J30" s="146" t="e" cm="1">
        <f t="array" ref="J30">_xlfn.IFS(C30="Fuel car",C30*DATA!$C$17,C30="Electric car",C30*DATA!$F$26,C30="Hybrid car",I30*(0.5*DATA!$C$17+0.5*DATA!$F$26))</f>
        <v>#N/A</v>
      </c>
      <c r="L30" s="215" t="s">
        <v>76</v>
      </c>
      <c r="M30" s="216"/>
      <c r="N30" s="217"/>
    </row>
    <row r="31" spans="1:17" x14ac:dyDescent="0.2">
      <c r="A31" s="222"/>
      <c r="B31" s="30"/>
      <c r="C31" s="15"/>
      <c r="D31" s="15"/>
      <c r="E31" s="125"/>
      <c r="F31" s="128" t="e" cm="1">
        <f t="array" ref="F31">_xlfn.IFS(AND($C31="Fuel car",$D31=1),$E31*'RO '!C$7,AND($C31="Fuel car",$D31=2),$E31*'RO '!C$8,AND($C31="Fuel car",$D31=3),$E31*'RO '!C$9,AND($C31="Fuel car",$D31=4),$E31*'RO '!C$10,AND($C31="Fuel car",$D31=5),$E31*'RO '!C$11,AND($C31="Motorcycle",$D31=1),$E31*'RO '!C$13,AND($C31="Motorcycle",$D31=2),$E31*'RO '!C$14,AND($C31="Electric car",$D31=1),$E31*'RO '!C$16,AND($C31="Electric car",$D31=2),$E31*'RO '!C$17,AND($C31="Electric car",$D31=3),$E31*'RO '!C$18,AND($C31="Electric car",$D31=4),$E31*'RO '!C$19,AND($C31="Electric car",$D31=5),$E31*'RO '!C$20,AND($C31="Hybrid car",$D31=1),$E31*'RO '!C$22,AND($C31="Hybrid car",$D31=2),$E31*'RO '!C$23,AND($C31="Hybrid car",$D31=3),$E31*'RO '!C$24,AND($C31="Hybrid car",$D31=4),$E31*'RO '!C$25,AND($C31="Hybrid car",$D31=5),$E31*'RO '!C$26,AND($C31="Electric motorcycle",$D31=1),$E31*'RO '!C$28,AND($C31="Electric motorcycle",$D31=2),$E31*'RO '!C$29,AND($C31="Electric bike",$D31=1),$E31*'RO '!C$31,AND($C31="Electric scooter",$D31=1),$E31*'RO '!C$33,AND($C31="Bus",$D31="Almost empty"),$E31*'RO '!H$23,AND($C31="Bus",$D31="Average"),$E31*'RO '!H$24,AND($C31="Bus",$D31="Nearly full"),$E31*'RO '!H$25,AND($C31="Electric bus",$D31="Almost empty"),$E31*'RO '!H$7,AND($C31="Electric bus",$D31="Average"),$E31*'RO '!H$8,AND($C31="Electric bus",$D31="Nearly full"),$E31*'RO '!H$9,AND($C31="Diesel bus",$D31="Almost empty"),$E31*'RO '!H$19,AND($C31="Diesel bus",$D31="Average"),$E31*'RO '!H$20,AND($C31="Diesel bus",$D31="Nearly full"),$E31*'RO '!H$21,AND($C31="Hybrid-electric bus",$D31="Almost empty"),$E31*'RO '!H$11,AND($C31="Hybrid-electric bus",$D31="Average"),$E31*'RO '!H$12,AND($C31="Hybrid-electric bus",$D31="Nearly full"),$E31*'RO '!H$13,AND($C31="Alternative fuel bus",$D31="Almost empty"),$E31*'RO '!H$15,AND($C31="Alternative fuel bus",$D31="Average"),$E31*'RO '!H$16,AND($C31="Alternative fuel bus",$D31="Nearly full"),$E31*'RO '!H$17,AND($C31="Metro, tram, urban light train",$D31="Almost empty"),$E31*'RO '!C$35,AND($C31="Metro, tram, urban light train",$D31="Average"),$E31*'RO '!C$36,AND($C31="Metro, tram, urban light train",$D31="Nearly full"),$E31*'RO '!C$37,AND($C31="Electric passenger train",$D31="Almost empty"),$E31*'RO '!C$39,AND($C31="Electric passenger train",$D31="Average"),$E31*'RO '!C$40,AND($C31="Electric passenger train",$D31="Nearly full"),$E31*'RO '!C$41,AND($C31="Diesel passenger train",$D31="Almost empty"),$E31*'RO '!C$47,AND($C31="Diesel passenger train",$D31="Average"),$E31*'RO '!C$48,AND($C31="Diesel passenger train",$D31="Nearly full"),$E31*'RO '!C$49,AND($C31="Walking"),$E31*0,AND($C31="Bike"),$E31*0,AND($C31="Plane - domestic flight"),$E31*'RO '!$C55,AND($C31="Plane - international - intra EU"),$E31*'RO '!$C57,AND($C31="Plane - international (extra EU)"),$E31*'RO '!$C59)</f>
        <v>#N/A</v>
      </c>
      <c r="G31" s="31" t="e" cm="1">
        <f t="array" ref="G31">_xlfn.IFS(AND($C31="Fuel car",$D31=1),$E31*'RO '!D$7,AND($C31="Fuel car",$D31=2),$E31*'RO '!D$8,AND($C31="Fuel car",$D31=3),$E31*'RO '!D$9,AND($C31="Fuel car",$D31=4),$E31*'RO '!D$10,AND($C31="Fuel car",$D31=5),$E31*'RO '!D$11,AND($C31="Motorcycle",$D31=1),$E31*'RO '!D$13,AND($C31="Motorcycle",$D31=2),$E31*'RO '!D$14,AND($C31="Electric car",$D31=1),$E31*'RO '!D$16,AND($C31="Electric car",$D31=2),$E31*'RO '!D$17,AND($C31="Electric car",$D31=3),$E31*'RO '!D$18,AND($C31="Electric car",$D31=4),$E31*'RO '!D$19,AND($C31="Electric car",$D31=5),$E31*'RO '!D$20,AND($C31="Hybrid car",$D31=1),$E31*'RO '!D$22,AND($C31="Hybrid car",$D31=2),$E31*'RO '!D$23,AND($C31="Hybrid car",$D31=3),$E31*'RO '!D$24,AND($C31="Hybrid car",$D31=4),$E31*'RO '!D$25,AND($C31="Hybrid car",$D31=5),$E31*'RO '!D$26,AND($C31="Electric motorcycle",$D31=1),$E31*'RO '!D$28,AND($C31="Electric motorcycle",$D31=2),$E31*'RO '!D$29,AND($C31="Electric bike",$D31=1),$E31*'RO '!D$31,AND($C31="Electric scooter",$D31=1),$E31*'RO '!D$33,AND($C31="Bus",$D31="Almost empty"),$E31*'RO '!I$23,AND($C31="Bus",$D31="Average"),$E31*'RO '!I$24,AND($C31="Bus",$D31="Nearly full"),$E31*'RO '!I$25,AND($C31="Electric bus",$D31="Almost empty"),$E31*'RO '!I$7,AND($C31="Electric bus",$D31="Average"),$E31*'RO '!I$8,AND($C31="Electric bus",$D31="Nearly full"),$E31*'RO '!I$9,AND($C31="Diesel bus",$D31="Almost empty"),$E31*'RO '!I$19,AND($C31="Diesel bus",$D31="Average"),$E31*'RO '!I$20,AND($C31="Diesel bus",$D31="Nearly full"),$E31*'RO '!I$21,AND($C31="Hybrid-electric bus",$D31="Almost empty"),$E31*'RO '!I$11,AND($C31="Hybrid-electric bus",$D31="Average"),$E31*'RO '!I$12,AND($C31="Hybrid-electric bus",$D31="Nearly full"),$E31*'RO '!I$13,AND($C31="Alternative fuel bus",$D31="Almost empty"),$E31*'RO '!I$15,AND($C31="Alternative fuel bus",$D31="Average"),$E31*'RO '!I$16,AND($C31="Alternative fuel bus",$D31="Nearly full"),$E31*'RO '!I$17,AND($C31="Metro, tram, urban light train",$D31="Almost empty"),$E31*'RO '!D$35,AND($C31="Metro, tram, urban light train",$D31="Average"),$E31*'RO '!D$36,AND($C31="Metro, tram, urban light train",$D31="Nearly full"),$E31*'RO '!D$37,AND($C31="Electric passenger train",$D31="Almost empty"),$E31*'RO '!D$39,AND($C31="Electric passenger train",$D31="Average"),$E31*'RO '!D$40,AND($C31="Electric passenger train",$D31="Nearly full"),$E31*'RO '!D$41,AND($C31="Diesel passenger train",$D31="Almost empty"),$E31*'RO '!D$47,AND($C31="Diesel passenger train",$D31="Average"),$E31*'RO '!D$48,AND($C31="Diesel passenger train",$D31="Nearly full"),$E31*'RO '!D$49,AND($C31="Walking"),$E31*0,AND($C31="Bike"),$E31*0,AND($C31="Plane - domestic flight"),$E31*'RO '!$C55,AND($C31="Plane - international - intra EU"),$E31*'RO '!$C57,AND($C31="Plane - international (extra EU)"),$E31*'RO '!$C59)</f>
        <v>#N/A</v>
      </c>
      <c r="H31" s="145"/>
      <c r="I31" s="148">
        <f t="shared" si="6"/>
        <v>0</v>
      </c>
      <c r="J31" s="146" t="e" cm="1">
        <f t="array" ref="J31">_xlfn.IFS(C31="Fuel car",C31*DATA!$C$17,C31="Electric car",C31*DATA!$F$26,C31="Hybrid car",I31*(0.5*DATA!$C$17+0.5*DATA!$F$26))</f>
        <v>#N/A</v>
      </c>
      <c r="L31" s="223"/>
      <c r="M31" s="224"/>
      <c r="N31" s="225"/>
    </row>
    <row r="32" spans="1:17" ht="16" thickBot="1" x14ac:dyDescent="0.25">
      <c r="A32" s="222"/>
      <c r="B32" s="30"/>
      <c r="C32" s="15"/>
      <c r="D32" s="15"/>
      <c r="E32" s="125"/>
      <c r="F32" s="128" t="e" cm="1">
        <f t="array" ref="F32">_xlfn.IFS(AND($C32="Fuel car",$D32=1),$E32*'RO '!C$7,AND($C32="Fuel car",$D32=2),$E32*'RO '!C$8,AND($C32="Fuel car",$D32=3),$E32*'RO '!C$9,AND($C32="Fuel car",$D32=4),$E32*'RO '!C$10,AND($C32="Fuel car",$D32=5),$E32*'RO '!C$11,AND($C32="Motorcycle",$D32=1),$E32*'RO '!C$13,AND($C32="Motorcycle",$D32=2),$E32*'RO '!C$14,AND($C32="Electric car",$D32=1),$E32*'RO '!C$16,AND($C32="Electric car",$D32=2),$E32*'RO '!C$17,AND($C32="Electric car",$D32=3),$E32*'RO '!C$18,AND($C32="Electric car",$D32=4),$E32*'RO '!C$19,AND($C32="Electric car",$D32=5),$E32*'RO '!C$20,AND($C32="Hybrid car",$D32=1),$E32*'RO '!C$22,AND($C32="Hybrid car",$D32=2),$E32*'RO '!C$23,AND($C32="Hybrid car",$D32=3),$E32*'RO '!C$24,AND($C32="Hybrid car",$D32=4),$E32*'RO '!C$25,AND($C32="Hybrid car",$D32=5),$E32*'RO '!C$26,AND($C32="Electric motorcycle",$D32=1),$E32*'RO '!C$28,AND($C32="Electric motorcycle",$D32=2),$E32*'RO '!C$29,AND($C32="Electric bike",$D32=1),$E32*'RO '!C$31,AND($C32="Electric scooter",$D32=1),$E32*'RO '!C$33,AND($C32="Bus",$D32="Almost empty"),$E32*'RO '!H$23,AND($C32="Bus",$D32="Average"),$E32*'RO '!H$24,AND($C32="Bus",$D32="Nearly full"),$E32*'RO '!H$25,AND($C32="Electric bus",$D32="Almost empty"),$E32*'RO '!H$7,AND($C32="Electric bus",$D32="Average"),$E32*'RO '!H$8,AND($C32="Electric bus",$D32="Nearly full"),$E32*'RO '!H$9,AND($C32="Diesel bus",$D32="Almost empty"),$E32*'RO '!H$19,AND($C32="Diesel bus",$D32="Average"),$E32*'RO '!H$20,AND($C32="Diesel bus",$D32="Nearly full"),$E32*'RO '!H$21,AND($C32="Hybrid-electric bus",$D32="Almost empty"),$E32*'RO '!H$11,AND($C32="Hybrid-electric bus",$D32="Average"),$E32*'RO '!H$12,AND($C32="Hybrid-electric bus",$D32="Nearly full"),$E32*'RO '!H$13,AND($C32="Alternative fuel bus",$D32="Almost empty"),$E32*'RO '!H$15,AND($C32="Alternative fuel bus",$D32="Average"),$E32*'RO '!H$16,AND($C32="Alternative fuel bus",$D32="Nearly full"),$E32*'RO '!H$17,AND($C32="Metro, tram, urban light train",$D32="Almost empty"),$E32*'RO '!C$35,AND($C32="Metro, tram, urban light train",$D32="Average"),$E32*'RO '!C$36,AND($C32="Metro, tram, urban light train",$D32="Nearly full"),$E32*'RO '!C$37,AND($C32="Electric passenger train",$D32="Almost empty"),$E32*'RO '!C$39,AND($C32="Electric passenger train",$D32="Average"),$E32*'RO '!C$40,AND($C32="Electric passenger train",$D32="Nearly full"),$E32*'RO '!C$41,AND($C32="Diesel passenger train",$D32="Almost empty"),$E32*'RO '!C$47,AND($C32="Diesel passenger train",$D32="Average"),$E32*'RO '!C$48,AND($C32="Diesel passenger train",$D32="Nearly full"),$E32*'RO '!C$49,AND($C32="Walking"),$E32*0,AND($C32="Bike"),$E32*0,AND($C32="Plane - domestic flight"),$E32*'RO '!$C56,AND($C32="Plane - international - intra EU"),$E32*'RO '!$C58,AND($C32="Plane - international (extra EU)"),$E32*'RO '!$C60)</f>
        <v>#N/A</v>
      </c>
      <c r="G32" s="31" t="e" cm="1">
        <f t="array" ref="G32">_xlfn.IFS(AND($C32="Fuel car",$D32=1),$E32*'RO '!D$7,AND($C32="Fuel car",$D32=2),$E32*'RO '!D$8,AND($C32="Fuel car",$D32=3),$E32*'RO '!D$9,AND($C32="Fuel car",$D32=4),$E32*'RO '!D$10,AND($C32="Fuel car",$D32=5),$E32*'RO '!D$11,AND($C32="Motorcycle",$D32=1),$E32*'RO '!D$13,AND($C32="Motorcycle",$D32=2),$E32*'RO '!D$14,AND($C32="Electric car",$D32=1),$E32*'RO '!D$16,AND($C32="Electric car",$D32=2),$E32*'RO '!D$17,AND($C32="Electric car",$D32=3),$E32*'RO '!D$18,AND($C32="Electric car",$D32=4),$E32*'RO '!D$19,AND($C32="Electric car",$D32=5),$E32*'RO '!D$20,AND($C32="Hybrid car",$D32=1),$E32*'RO '!D$22,AND($C32="Hybrid car",$D32=2),$E32*'RO '!D$23,AND($C32="Hybrid car",$D32=3),$E32*'RO '!D$24,AND($C32="Hybrid car",$D32=4),$E32*'RO '!D$25,AND($C32="Hybrid car",$D32=5),$E32*'RO '!D$26,AND($C32="Electric motorcycle",$D32=1),$E32*'RO '!D$28,AND($C32="Electric motorcycle",$D32=2),$E32*'RO '!D$29,AND($C32="Electric bike",$D32=1),$E32*'RO '!D$31,AND($C32="Electric scooter",$D32=1),$E32*'RO '!D$33,AND($C32="Bus",$D32="Almost empty"),$E32*'RO '!I$23,AND($C32="Bus",$D32="Average"),$E32*'RO '!I$24,AND($C32="Bus",$D32="Nearly full"),$E32*'RO '!I$25,AND($C32="Electric bus",$D32="Almost empty"),$E32*'RO '!I$7,AND($C32="Electric bus",$D32="Average"),$E32*'RO '!I$8,AND($C32="Electric bus",$D32="Nearly full"),$E32*'RO '!I$9,AND($C32="Diesel bus",$D32="Almost empty"),$E32*'RO '!I$19,AND($C32="Diesel bus",$D32="Average"),$E32*'RO '!I$20,AND($C32="Diesel bus",$D32="Nearly full"),$E32*'RO '!I$21,AND($C32="Hybrid-electric bus",$D32="Almost empty"),$E32*'RO '!I$11,AND($C32="Hybrid-electric bus",$D32="Average"),$E32*'RO '!I$12,AND($C32="Hybrid-electric bus",$D32="Nearly full"),$E32*'RO '!I$13,AND($C32="Alternative fuel bus",$D32="Almost empty"),$E32*'RO '!I$15,AND($C32="Alternative fuel bus",$D32="Average"),$E32*'RO '!I$16,AND($C32="Alternative fuel bus",$D32="Nearly full"),$E32*'RO '!I$17,AND($C32="Metro, tram, urban light train",$D32="Almost empty"),$E32*'RO '!D$35,AND($C32="Metro, tram, urban light train",$D32="Average"),$E32*'RO '!D$36,AND($C32="Metro, tram, urban light train",$D32="Nearly full"),$E32*'RO '!D$37,AND($C32="Electric passenger train",$D32="Almost empty"),$E32*'RO '!D$39,AND($C32="Electric passenger train",$D32="Average"),$E32*'RO '!D$40,AND($C32="Electric passenger train",$D32="Nearly full"),$E32*'RO '!D$41,AND($C32="Diesel passenger train",$D32="Almost empty"),$E32*'RO '!D$47,AND($C32="Diesel passenger train",$D32="Average"),$E32*'RO '!D$48,AND($C32="Diesel passenger train",$D32="Nearly full"),$E32*'RO '!D$49,AND($C32="Walking"),$E32*0,AND($C32="Bike"),$E32*0,AND($C32="Plane - domestic flight"),$E32*'RO '!$C56,AND($C32="Plane - international - intra EU"),$E32*'RO '!$C58,AND($C32="Plane - international (extra EU)"),$E32*'RO '!$C60)</f>
        <v>#N/A</v>
      </c>
      <c r="H32" s="145"/>
      <c r="I32" s="148">
        <f t="shared" si="6"/>
        <v>0</v>
      </c>
      <c r="J32" s="146" t="e" cm="1">
        <f t="array" ref="J32">_xlfn.IFS(C32="Fuel car",C32*DATA!$C$17,C32="Electric car",C32*DATA!$F$26,C32="Hybrid car",I32*(0.5*DATA!$C$17+0.5*DATA!$F$26))</f>
        <v>#N/A</v>
      </c>
      <c r="L32" s="218"/>
      <c r="M32" s="219"/>
      <c r="N32" s="220"/>
    </row>
    <row r="33" spans="1:14" ht="14.5" customHeight="1" x14ac:dyDescent="0.2">
      <c r="A33" s="222"/>
      <c r="B33" s="30"/>
      <c r="C33" s="15"/>
      <c r="D33" s="15"/>
      <c r="E33" s="125"/>
      <c r="F33" s="128" t="e" cm="1">
        <f t="array" ref="F33">_xlfn.IFS(AND($C33="Fuel car",$D33=1),$E33*'RO '!C$7,AND($C33="Fuel car",$D33=2),$E33*'RO '!C$8,AND($C33="Fuel car",$D33=3),$E33*'RO '!C$9,AND($C33="Fuel car",$D33=4),$E33*'RO '!C$10,AND($C33="Fuel car",$D33=5),$E33*'RO '!C$11,AND($C33="Motorcycle",$D33=1),$E33*'RO '!C$13,AND($C33="Motorcycle",$D33=2),$E33*'RO '!C$14,AND($C33="Electric car",$D33=1),$E33*'RO '!C$16,AND($C33="Electric car",$D33=2),$E33*'RO '!C$17,AND($C33="Electric car",$D33=3),$E33*'RO '!C$18,AND($C33="Electric car",$D33=4),$E33*'RO '!C$19,AND($C33="Electric car",$D33=5),$E33*'RO '!C$20,AND($C33="Hybrid car",$D33=1),$E33*'RO '!C$22,AND($C33="Hybrid car",$D33=2),$E33*'RO '!C$23,AND($C33="Hybrid car",$D33=3),$E33*'RO '!C$24,AND($C33="Hybrid car",$D33=4),$E33*'RO '!C$25,AND($C33="Hybrid car",$D33=5),$E33*'RO '!C$26,AND($C33="Electric motorcycle",$D33=1),$E33*'RO '!C$28,AND($C33="Electric motorcycle",$D33=2),$E33*'RO '!C$29,AND($C33="Electric bike",$D33=1),$E33*'RO '!C$31,AND($C33="Electric scooter",$D33=1),$E33*'RO '!C$33,AND($C33="Bus",$D33="Almost empty"),$E33*'RO '!H$23,AND($C33="Bus",$D33="Average"),$E33*'RO '!H$24,AND($C33="Bus",$D33="Nearly full"),$E33*'RO '!H$25,AND($C33="Electric bus",$D33="Almost empty"),$E33*'RO '!H$7,AND($C33="Electric bus",$D33="Average"),$E33*'RO '!H$8,AND($C33="Electric bus",$D33="Nearly full"),$E33*'RO '!H$9,AND($C33="Diesel bus",$D33="Almost empty"),$E33*'RO '!H$19,AND($C33="Diesel bus",$D33="Average"),$E33*'RO '!H$20,AND($C33="Diesel bus",$D33="Nearly full"),$E33*'RO '!H$21,AND($C33="Hybrid-electric bus",$D33="Almost empty"),$E33*'RO '!H$11,AND($C33="Hybrid-electric bus",$D33="Average"),$E33*'RO '!H$12,AND($C33="Hybrid-electric bus",$D33="Nearly full"),$E33*'RO '!H$13,AND($C33="Alternative fuel bus",$D33="Almost empty"),$E33*'RO '!H$15,AND($C33="Alternative fuel bus",$D33="Average"),$E33*'RO '!H$16,AND($C33="Alternative fuel bus",$D33="Nearly full"),$E33*'RO '!H$17,AND($C33="Metro, tram, urban light train",$D33="Almost empty"),$E33*'RO '!C$35,AND($C33="Metro, tram, urban light train",$D33="Average"),$E33*'RO '!C$36,AND($C33="Metro, tram, urban light train",$D33="Nearly full"),$E33*'RO '!C$37,AND($C33="Electric passenger train",$D33="Almost empty"),$E33*'RO '!C$39,AND($C33="Electric passenger train",$D33="Average"),$E33*'RO '!C$40,AND($C33="Electric passenger train",$D33="Nearly full"),$E33*'RO '!C$41,AND($C33="Diesel passenger train",$D33="Almost empty"),$E33*'RO '!C$47,AND($C33="Diesel passenger train",$D33="Average"),$E33*'RO '!C$48,AND($C33="Diesel passenger train",$D33="Nearly full"),$E33*'RO '!C$49,AND($C33="Walking"),$E33*0,AND($C33="Bike"),$E33*0,AND($C33="Plane - domestic flight"),$E33*'RO '!$C57,AND($C33="Plane - international - intra EU"),$E33*'RO '!$C59,AND($C33="Plane - international (extra EU)"),$E33*'RO '!$C61)</f>
        <v>#N/A</v>
      </c>
      <c r="G33" s="31" t="e" cm="1">
        <f t="array" ref="G33">_xlfn.IFS(AND($C33="Fuel car",$D33=1),$E33*'RO '!D$7,AND($C33="Fuel car",$D33=2),$E33*'RO '!D$8,AND($C33="Fuel car",$D33=3),$E33*'RO '!D$9,AND($C33="Fuel car",$D33=4),$E33*'RO '!D$10,AND($C33="Fuel car",$D33=5),$E33*'RO '!D$11,AND($C33="Motorcycle",$D33=1),$E33*'RO '!D$13,AND($C33="Motorcycle",$D33=2),$E33*'RO '!D$14,AND($C33="Electric car",$D33=1),$E33*'RO '!D$16,AND($C33="Electric car",$D33=2),$E33*'RO '!D$17,AND($C33="Electric car",$D33=3),$E33*'RO '!D$18,AND($C33="Electric car",$D33=4),$E33*'RO '!D$19,AND($C33="Electric car",$D33=5),$E33*'RO '!D$20,AND($C33="Hybrid car",$D33=1),$E33*'RO '!D$22,AND($C33="Hybrid car",$D33=2),$E33*'RO '!D$23,AND($C33="Hybrid car",$D33=3),$E33*'RO '!D$24,AND($C33="Hybrid car",$D33=4),$E33*'RO '!D$25,AND($C33="Hybrid car",$D33=5),$E33*'RO '!D$26,AND($C33="Electric motorcycle",$D33=1),$E33*'RO '!D$28,AND($C33="Electric motorcycle",$D33=2),$E33*'RO '!D$29,AND($C33="Electric bike",$D33=1),$E33*'RO '!D$31,AND($C33="Electric scooter",$D33=1),$E33*'RO '!D$33,AND($C33="Bus",$D33="Almost empty"),$E33*'RO '!I$23,AND($C33="Bus",$D33="Average"),$E33*'RO '!I$24,AND($C33="Bus",$D33="Nearly full"),$E33*'RO '!I$25,AND($C33="Electric bus",$D33="Almost empty"),$E33*'RO '!I$7,AND($C33="Electric bus",$D33="Average"),$E33*'RO '!I$8,AND($C33="Electric bus",$D33="Nearly full"),$E33*'RO '!I$9,AND($C33="Diesel bus",$D33="Almost empty"),$E33*'RO '!I$19,AND($C33="Diesel bus",$D33="Average"),$E33*'RO '!I$20,AND($C33="Diesel bus",$D33="Nearly full"),$E33*'RO '!I$21,AND($C33="Hybrid-electric bus",$D33="Almost empty"),$E33*'RO '!I$11,AND($C33="Hybrid-electric bus",$D33="Average"),$E33*'RO '!I$12,AND($C33="Hybrid-electric bus",$D33="Nearly full"),$E33*'RO '!I$13,AND($C33="Alternative fuel bus",$D33="Almost empty"),$E33*'RO '!I$15,AND($C33="Alternative fuel bus",$D33="Average"),$E33*'RO '!I$16,AND($C33="Alternative fuel bus",$D33="Nearly full"),$E33*'RO '!I$17,AND($C33="Metro, tram, urban light train",$D33="Almost empty"),$E33*'RO '!D$35,AND($C33="Metro, tram, urban light train",$D33="Average"),$E33*'RO '!D$36,AND($C33="Metro, tram, urban light train",$D33="Nearly full"),$E33*'RO '!D$37,AND($C33="Electric passenger train",$D33="Almost empty"),$E33*'RO '!D$39,AND($C33="Electric passenger train",$D33="Average"),$E33*'RO '!D$40,AND($C33="Electric passenger train",$D33="Nearly full"),$E33*'RO '!D$41,AND($C33="Diesel passenger train",$D33="Almost empty"),$E33*'RO '!D$47,AND($C33="Diesel passenger train",$D33="Average"),$E33*'RO '!D$48,AND($C33="Diesel passenger train",$D33="Nearly full"),$E33*'RO '!D$49,AND($C33="Walking"),$E33*0,AND($C33="Bike"),$E33*0,AND($C33="Plane - domestic flight"),$E33*'RO '!$C57,AND($C33="Plane - international - intra EU"),$E33*'RO '!$C59,AND($C33="Plane - international (extra EU)"),$E33*'RO '!$C61)</f>
        <v>#N/A</v>
      </c>
      <c r="H33" s="145"/>
      <c r="I33" s="148">
        <f t="shared" si="6"/>
        <v>0</v>
      </c>
      <c r="J33" s="146" t="e" cm="1">
        <f t="array" ref="J33">_xlfn.IFS(C33="Fuel car",C33*DATA!$C$17,C33="Electric car",C33*DATA!$F$26,C33="Hybrid car",I33*(0.5*DATA!$C$17+0.5*DATA!$F$26))</f>
        <v>#N/A</v>
      </c>
      <c r="L33" s="223" t="s">
        <v>78</v>
      </c>
      <c r="M33" s="224"/>
      <c r="N33" s="225"/>
    </row>
    <row r="34" spans="1:14" x14ac:dyDescent="0.2">
      <c r="A34" s="222"/>
      <c r="B34" s="30"/>
      <c r="C34" s="15"/>
      <c r="D34" s="15"/>
      <c r="E34" s="125"/>
      <c r="F34" s="128" t="e" cm="1">
        <f t="array" ref="F34">_xlfn.IFS(AND($C34="Fuel car",$D34=1),$E34*'RO '!C$7,AND($C34="Fuel car",$D34=2),$E34*'RO '!C$8,AND($C34="Fuel car",$D34=3),$E34*'RO '!C$9,AND($C34="Fuel car",$D34=4),$E34*'RO '!C$10,AND($C34="Fuel car",$D34=5),$E34*'RO '!C$11,AND($C34="Motorcycle",$D34=1),$E34*'RO '!C$13,AND($C34="Motorcycle",$D34=2),$E34*'RO '!C$14,AND($C34="Electric car",$D34=1),$E34*'RO '!C$16,AND($C34="Electric car",$D34=2),$E34*'RO '!C$17,AND($C34="Electric car",$D34=3),$E34*'RO '!C$18,AND($C34="Electric car",$D34=4),$E34*'RO '!C$19,AND($C34="Electric car",$D34=5),$E34*'RO '!C$20,AND($C34="Hybrid car",$D34=1),$E34*'RO '!C$22,AND($C34="Hybrid car",$D34=2),$E34*'RO '!C$23,AND($C34="Hybrid car",$D34=3),$E34*'RO '!C$24,AND($C34="Hybrid car",$D34=4),$E34*'RO '!C$25,AND($C34="Hybrid car",$D34=5),$E34*'RO '!C$26,AND($C34="Electric motorcycle",$D34=1),$E34*'RO '!C$28,AND($C34="Electric motorcycle",$D34=2),$E34*'RO '!C$29,AND($C34="Electric bike",$D34=1),$E34*'RO '!C$31,AND($C34="Electric scooter",$D34=1),$E34*'RO '!C$33,AND($C34="Bus",$D34="Almost empty"),$E34*'RO '!H$23,AND($C34="Bus",$D34="Average"),$E34*'RO '!H$24,AND($C34="Bus",$D34="Nearly full"),$E34*'RO '!H$25,AND($C34="Electric bus",$D34="Almost empty"),$E34*'RO '!H$7,AND($C34="Electric bus",$D34="Average"),$E34*'RO '!H$8,AND($C34="Electric bus",$D34="Nearly full"),$E34*'RO '!H$9,AND($C34="Diesel bus",$D34="Almost empty"),$E34*'RO '!H$19,AND($C34="Diesel bus",$D34="Average"),$E34*'RO '!H$20,AND($C34="Diesel bus",$D34="Nearly full"),$E34*'RO '!H$21,AND($C34="Hybrid-electric bus",$D34="Almost empty"),$E34*'RO '!H$11,AND($C34="Hybrid-electric bus",$D34="Average"),$E34*'RO '!H$12,AND($C34="Hybrid-electric bus",$D34="Nearly full"),$E34*'RO '!H$13,AND($C34="Alternative fuel bus",$D34="Almost empty"),$E34*'RO '!H$15,AND($C34="Alternative fuel bus",$D34="Average"),$E34*'RO '!H$16,AND($C34="Alternative fuel bus",$D34="Nearly full"),$E34*'RO '!H$17,AND($C34="Metro, tram, urban light train",$D34="Almost empty"),$E34*'RO '!C$35,AND($C34="Metro, tram, urban light train",$D34="Average"),$E34*'RO '!C$36,AND($C34="Metro, tram, urban light train",$D34="Nearly full"),$E34*'RO '!C$37,AND($C34="Electric passenger train",$D34="Almost empty"),$E34*'RO '!C$39,AND($C34="Electric passenger train",$D34="Average"),$E34*'RO '!C$40,AND($C34="Electric passenger train",$D34="Nearly full"),$E34*'RO '!C$41,AND($C34="Diesel passenger train",$D34="Almost empty"),$E34*'RO '!C$47,AND($C34="Diesel passenger train",$D34="Average"),$E34*'RO '!C$48,AND($C34="Diesel passenger train",$D34="Nearly full"),$E34*'RO '!C$49,AND($C34="Walking"),$E34*0,AND($C34="Bike"),$E34*0,AND($C34="Plane - domestic flight"),$E34*'RO '!$C58,AND($C34="Plane - international - intra EU"),$E34*'RO '!$C60,AND($C34="Plane - international (extra EU)"),$E34*'RO '!$C62)</f>
        <v>#N/A</v>
      </c>
      <c r="G34" s="31" t="e" cm="1">
        <f t="array" ref="G34">_xlfn.IFS(AND($C34="Fuel car",$D34=1),$E34*'RO '!D$7,AND($C34="Fuel car",$D34=2),$E34*'RO '!D$8,AND($C34="Fuel car",$D34=3),$E34*'RO '!D$9,AND($C34="Fuel car",$D34=4),$E34*'RO '!D$10,AND($C34="Fuel car",$D34=5),$E34*'RO '!D$11,AND($C34="Motorcycle",$D34=1),$E34*'RO '!D$13,AND($C34="Motorcycle",$D34=2),$E34*'RO '!D$14,AND($C34="Electric car",$D34=1),$E34*'RO '!D$16,AND($C34="Electric car",$D34=2),$E34*'RO '!D$17,AND($C34="Electric car",$D34=3),$E34*'RO '!D$18,AND($C34="Electric car",$D34=4),$E34*'RO '!D$19,AND($C34="Electric car",$D34=5),$E34*'RO '!D$20,AND($C34="Hybrid car",$D34=1),$E34*'RO '!D$22,AND($C34="Hybrid car",$D34=2),$E34*'RO '!D$23,AND($C34="Hybrid car",$D34=3),$E34*'RO '!D$24,AND($C34="Hybrid car",$D34=4),$E34*'RO '!D$25,AND($C34="Hybrid car",$D34=5),$E34*'RO '!D$26,AND($C34="Electric motorcycle",$D34=1),$E34*'RO '!D$28,AND($C34="Electric motorcycle",$D34=2),$E34*'RO '!D$29,AND($C34="Electric bike",$D34=1),$E34*'RO '!D$31,AND($C34="Electric scooter",$D34=1),$E34*'RO '!D$33,AND($C34="Bus",$D34="Almost empty"),$E34*'RO '!I$23,AND($C34="Bus",$D34="Average"),$E34*'RO '!I$24,AND($C34="Bus",$D34="Nearly full"),$E34*'RO '!I$25,AND($C34="Electric bus",$D34="Almost empty"),$E34*'RO '!I$7,AND($C34="Electric bus",$D34="Average"),$E34*'RO '!I$8,AND($C34="Electric bus",$D34="Nearly full"),$E34*'RO '!I$9,AND($C34="Diesel bus",$D34="Almost empty"),$E34*'RO '!I$19,AND($C34="Diesel bus",$D34="Average"),$E34*'RO '!I$20,AND($C34="Diesel bus",$D34="Nearly full"),$E34*'RO '!I$21,AND($C34="Hybrid-electric bus",$D34="Almost empty"),$E34*'RO '!I$11,AND($C34="Hybrid-electric bus",$D34="Average"),$E34*'RO '!I$12,AND($C34="Hybrid-electric bus",$D34="Nearly full"),$E34*'RO '!I$13,AND($C34="Alternative fuel bus",$D34="Almost empty"),$E34*'RO '!I$15,AND($C34="Alternative fuel bus",$D34="Average"),$E34*'RO '!I$16,AND($C34="Alternative fuel bus",$D34="Nearly full"),$E34*'RO '!I$17,AND($C34="Metro, tram, urban light train",$D34="Almost empty"),$E34*'RO '!D$35,AND($C34="Metro, tram, urban light train",$D34="Average"),$E34*'RO '!D$36,AND($C34="Metro, tram, urban light train",$D34="Nearly full"),$E34*'RO '!D$37,AND($C34="Electric passenger train",$D34="Almost empty"),$E34*'RO '!D$39,AND($C34="Electric passenger train",$D34="Average"),$E34*'RO '!D$40,AND($C34="Electric passenger train",$D34="Nearly full"),$E34*'RO '!D$41,AND($C34="Diesel passenger train",$D34="Almost empty"),$E34*'RO '!D$47,AND($C34="Diesel passenger train",$D34="Average"),$E34*'RO '!D$48,AND($C34="Diesel passenger train",$D34="Nearly full"),$E34*'RO '!D$49,AND($C34="Walking"),$E34*0,AND($C34="Bike"),$E34*0,AND($C34="Plane - domestic flight"),$E34*'RO '!$C58,AND($C34="Plane - international - intra EU"),$E34*'RO '!$C60,AND($C34="Plane - international (extra EU)"),$E34*'RO '!$C62)</f>
        <v>#N/A</v>
      </c>
      <c r="H34" s="145"/>
      <c r="I34" s="148">
        <f t="shared" si="6"/>
        <v>0</v>
      </c>
      <c r="J34" s="146" t="e" cm="1">
        <f t="array" ref="J34">_xlfn.IFS(C34="Fuel car",C34*DATA!$C$17,C34="Electric car",C34*DATA!$F$26,C34="Hybrid car",I34*(0.5*DATA!$C$17+0.5*DATA!$F$26))</f>
        <v>#N/A</v>
      </c>
      <c r="L34" s="223"/>
      <c r="M34" s="224"/>
      <c r="N34" s="225"/>
    </row>
    <row r="35" spans="1:14" ht="14.5" customHeight="1" x14ac:dyDescent="0.2">
      <c r="A35" s="222"/>
      <c r="B35" s="30"/>
      <c r="C35" s="15"/>
      <c r="D35" s="15"/>
      <c r="E35" s="125"/>
      <c r="F35" s="128" t="e" cm="1">
        <f t="array" ref="F35">_xlfn.IFS(AND($C35="Fuel car",$D35=1),$E35*'RO '!C$7,AND($C35="Fuel car",$D35=2),$E35*'RO '!C$8,AND($C35="Fuel car",$D35=3),$E35*'RO '!C$9,AND($C35="Fuel car",$D35=4),$E35*'RO '!C$10,AND($C35="Fuel car",$D35=5),$E35*'RO '!C$11,AND($C35="Motorcycle",$D35=1),$E35*'RO '!C$13,AND($C35="Motorcycle",$D35=2),$E35*'RO '!C$14,AND($C35="Electric car",$D35=1),$E35*'RO '!C$16,AND($C35="Electric car",$D35=2),$E35*'RO '!C$17,AND($C35="Electric car",$D35=3),$E35*'RO '!C$18,AND($C35="Electric car",$D35=4),$E35*'RO '!C$19,AND($C35="Electric car",$D35=5),$E35*'RO '!C$20,AND($C35="Hybrid car",$D35=1),$E35*'RO '!C$22,AND($C35="Hybrid car",$D35=2),$E35*'RO '!C$23,AND($C35="Hybrid car",$D35=3),$E35*'RO '!C$24,AND($C35="Hybrid car",$D35=4),$E35*'RO '!C$25,AND($C35="Hybrid car",$D35=5),$E35*'RO '!C$26,AND($C35="Electric motorcycle",$D35=1),$E35*'RO '!C$28,AND($C35="Electric motorcycle",$D35=2),$E35*'RO '!C$29,AND($C35="Electric bike",$D35=1),$E35*'RO '!C$31,AND($C35="Electric scooter",$D35=1),$E35*'RO '!C$33,AND($C35="Bus",$D35="Almost empty"),$E35*'RO '!H$23,AND($C35="Bus",$D35="Average"),$E35*'RO '!H$24,AND($C35="Bus",$D35="Nearly full"),$E35*'RO '!H$25,AND($C35="Electric bus",$D35="Almost empty"),$E35*'RO '!H$7,AND($C35="Electric bus",$D35="Average"),$E35*'RO '!H$8,AND($C35="Electric bus",$D35="Nearly full"),$E35*'RO '!H$9,AND($C35="Diesel bus",$D35="Almost empty"),$E35*'RO '!H$19,AND($C35="Diesel bus",$D35="Average"),$E35*'RO '!H$20,AND($C35="Diesel bus",$D35="Nearly full"),$E35*'RO '!H$21,AND($C35="Hybrid-electric bus",$D35="Almost empty"),$E35*'RO '!H$11,AND($C35="Hybrid-electric bus",$D35="Average"),$E35*'RO '!H$12,AND($C35="Hybrid-electric bus",$D35="Nearly full"),$E35*'RO '!H$13,AND($C35="Alternative fuel bus",$D35="Almost empty"),$E35*'RO '!H$15,AND($C35="Alternative fuel bus",$D35="Average"),$E35*'RO '!H$16,AND($C35="Alternative fuel bus",$D35="Nearly full"),$E35*'RO '!H$17,AND($C35="Metro, tram, urban light train",$D35="Almost empty"),$E35*'RO '!C$35,AND($C35="Metro, tram, urban light train",$D35="Average"),$E35*'RO '!C$36,AND($C35="Metro, tram, urban light train",$D35="Nearly full"),$E35*'RO '!C$37,AND($C35="Electric passenger train",$D35="Almost empty"),$E35*'RO '!C$39,AND($C35="Electric passenger train",$D35="Average"),$E35*'RO '!C$40,AND($C35="Electric passenger train",$D35="Nearly full"),$E35*'RO '!C$41,AND($C35="Diesel passenger train",$D35="Almost empty"),$E35*'RO '!C$47,AND($C35="Diesel passenger train",$D35="Average"),$E35*'RO '!C$48,AND($C35="Diesel passenger train",$D35="Nearly full"),$E35*'RO '!C$49,AND($C35="Walking"),$E35*0,AND($C35="Bike"),$E35*0,AND($C35="Plane - domestic flight"),$E35*'RO '!$C59,AND($C35="Plane - international - intra EU"),$E35*'RO '!$C61,AND($C35="Plane - international (extra EU)"),$E35*'RO '!$C63)</f>
        <v>#N/A</v>
      </c>
      <c r="G35" s="31" t="e" cm="1">
        <f t="array" ref="G35">_xlfn.IFS(AND($C35="Fuel car",$D35=1),$E35*'RO '!D$7,AND($C35="Fuel car",$D35=2),$E35*'RO '!D$8,AND($C35="Fuel car",$D35=3),$E35*'RO '!D$9,AND($C35="Fuel car",$D35=4),$E35*'RO '!D$10,AND($C35="Fuel car",$D35=5),$E35*'RO '!D$11,AND($C35="Motorcycle",$D35=1),$E35*'RO '!D$13,AND($C35="Motorcycle",$D35=2),$E35*'RO '!D$14,AND($C35="Electric car",$D35=1),$E35*'RO '!D$16,AND($C35="Electric car",$D35=2),$E35*'RO '!D$17,AND($C35="Electric car",$D35=3),$E35*'RO '!D$18,AND($C35="Electric car",$D35=4),$E35*'RO '!D$19,AND($C35="Electric car",$D35=5),$E35*'RO '!D$20,AND($C35="Hybrid car",$D35=1),$E35*'RO '!D$22,AND($C35="Hybrid car",$D35=2),$E35*'RO '!D$23,AND($C35="Hybrid car",$D35=3),$E35*'RO '!D$24,AND($C35="Hybrid car",$D35=4),$E35*'RO '!D$25,AND($C35="Hybrid car",$D35=5),$E35*'RO '!D$26,AND($C35="Electric motorcycle",$D35=1),$E35*'RO '!D$28,AND($C35="Electric motorcycle",$D35=2),$E35*'RO '!D$29,AND($C35="Electric bike",$D35=1),$E35*'RO '!D$31,AND($C35="Electric scooter",$D35=1),$E35*'RO '!D$33,AND($C35="Bus",$D35="Almost empty"),$E35*'RO '!I$23,AND($C35="Bus",$D35="Average"),$E35*'RO '!I$24,AND($C35="Bus",$D35="Nearly full"),$E35*'RO '!I$25,AND($C35="Electric bus",$D35="Almost empty"),$E35*'RO '!I$7,AND($C35="Electric bus",$D35="Average"),$E35*'RO '!I$8,AND($C35="Electric bus",$D35="Nearly full"),$E35*'RO '!I$9,AND($C35="Diesel bus",$D35="Almost empty"),$E35*'RO '!I$19,AND($C35="Diesel bus",$D35="Average"),$E35*'RO '!I$20,AND($C35="Diesel bus",$D35="Nearly full"),$E35*'RO '!I$21,AND($C35="Hybrid-electric bus",$D35="Almost empty"),$E35*'RO '!I$11,AND($C35="Hybrid-electric bus",$D35="Average"),$E35*'RO '!I$12,AND($C35="Hybrid-electric bus",$D35="Nearly full"),$E35*'RO '!I$13,AND($C35="Alternative fuel bus",$D35="Almost empty"),$E35*'RO '!I$15,AND($C35="Alternative fuel bus",$D35="Average"),$E35*'RO '!I$16,AND($C35="Alternative fuel bus",$D35="Nearly full"),$E35*'RO '!I$17,AND($C35="Metro, tram, urban light train",$D35="Almost empty"),$E35*'RO '!D$35,AND($C35="Metro, tram, urban light train",$D35="Average"),$E35*'RO '!D$36,AND($C35="Metro, tram, urban light train",$D35="Nearly full"),$E35*'RO '!D$37,AND($C35="Electric passenger train",$D35="Almost empty"),$E35*'RO '!D$39,AND($C35="Electric passenger train",$D35="Average"),$E35*'RO '!D$40,AND($C35="Electric passenger train",$D35="Nearly full"),$E35*'RO '!D$41,AND($C35="Diesel passenger train",$D35="Almost empty"),$E35*'RO '!D$47,AND($C35="Diesel passenger train",$D35="Average"),$E35*'RO '!D$48,AND($C35="Diesel passenger train",$D35="Nearly full"),$E35*'RO '!D$49,AND($C35="Walking"),$E35*0,AND($C35="Bike"),$E35*0,AND($C35="Plane - domestic flight"),$E35*'RO '!$C59,AND($C35="Plane - international - intra EU"),$E35*'RO '!$C61,AND($C35="Plane - international (extra EU)"),$E35*'RO '!$C63)</f>
        <v>#N/A</v>
      </c>
      <c r="H35" s="145"/>
      <c r="I35" s="148">
        <f t="shared" si="6"/>
        <v>0</v>
      </c>
      <c r="J35" s="146" t="e" cm="1">
        <f t="array" ref="J35">_xlfn.IFS(C35="Fuel car",C35*DATA!$C$17,C35="Electric car",C35*DATA!$F$26,C35="Hybrid car",I35*(0.5*DATA!$C$17+0.5*DATA!$F$26))</f>
        <v>#N/A</v>
      </c>
      <c r="L35" s="223"/>
      <c r="M35" s="224"/>
      <c r="N35" s="225"/>
    </row>
    <row r="36" spans="1:14" ht="16" thickBot="1" x14ac:dyDescent="0.25">
      <c r="A36" s="222"/>
      <c r="B36" s="30"/>
      <c r="C36" s="15"/>
      <c r="D36" s="15"/>
      <c r="E36" s="125"/>
      <c r="F36" s="128" t="e" cm="1">
        <f t="array" ref="F36">_xlfn.IFS(AND($C36="Fuel car",$D36=1),$E36*'RO '!C$7,AND($C36="Fuel car",$D36=2),$E36*'RO '!C$8,AND($C36="Fuel car",$D36=3),$E36*'RO '!C$9,AND($C36="Fuel car",$D36=4),$E36*'RO '!C$10,AND($C36="Fuel car",$D36=5),$E36*'RO '!C$11,AND($C36="Motorcycle",$D36=1),$E36*'RO '!C$13,AND($C36="Motorcycle",$D36=2),$E36*'RO '!C$14,AND($C36="Electric car",$D36=1),$E36*'RO '!C$16,AND($C36="Electric car",$D36=2),$E36*'RO '!C$17,AND($C36="Electric car",$D36=3),$E36*'RO '!C$18,AND($C36="Electric car",$D36=4),$E36*'RO '!C$19,AND($C36="Electric car",$D36=5),$E36*'RO '!C$20,AND($C36="Hybrid car",$D36=1),$E36*'RO '!C$22,AND($C36="Hybrid car",$D36=2),$E36*'RO '!C$23,AND($C36="Hybrid car",$D36=3),$E36*'RO '!C$24,AND($C36="Hybrid car",$D36=4),$E36*'RO '!C$25,AND($C36="Hybrid car",$D36=5),$E36*'RO '!C$26,AND($C36="Electric motorcycle",$D36=1),$E36*'RO '!C$28,AND($C36="Electric motorcycle",$D36=2),$E36*'RO '!C$29,AND($C36="Electric bike",$D36=1),$E36*'RO '!C$31,AND($C36="Electric scooter",$D36=1),$E36*'RO '!C$33,AND($C36="Bus",$D36="Almost empty"),$E36*'RO '!H$23,AND($C36="Bus",$D36="Average"),$E36*'RO '!H$24,AND($C36="Bus",$D36="Nearly full"),$E36*'RO '!H$25,AND($C36="Electric bus",$D36="Almost empty"),$E36*'RO '!H$7,AND($C36="Electric bus",$D36="Average"),$E36*'RO '!H$8,AND($C36="Electric bus",$D36="Nearly full"),$E36*'RO '!H$9,AND($C36="Diesel bus",$D36="Almost empty"),$E36*'RO '!H$19,AND($C36="Diesel bus",$D36="Average"),$E36*'RO '!H$20,AND($C36="Diesel bus",$D36="Nearly full"),$E36*'RO '!H$21,AND($C36="Hybrid-electric bus",$D36="Almost empty"),$E36*'RO '!H$11,AND($C36="Hybrid-electric bus",$D36="Average"),$E36*'RO '!H$12,AND($C36="Hybrid-electric bus",$D36="Nearly full"),$E36*'RO '!H$13,AND($C36="Alternative fuel bus",$D36="Almost empty"),$E36*'RO '!H$15,AND($C36="Alternative fuel bus",$D36="Average"),$E36*'RO '!H$16,AND($C36="Alternative fuel bus",$D36="Nearly full"),$E36*'RO '!H$17,AND($C36="Metro, tram, urban light train",$D36="Almost empty"),$E36*'RO '!C$35,AND($C36="Metro, tram, urban light train",$D36="Average"),$E36*'RO '!C$36,AND($C36="Metro, tram, urban light train",$D36="Nearly full"),$E36*'RO '!C$37,AND($C36="Electric passenger train",$D36="Almost empty"),$E36*'RO '!C$39,AND($C36="Electric passenger train",$D36="Average"),$E36*'RO '!C$40,AND($C36="Electric passenger train",$D36="Nearly full"),$E36*'RO '!C$41,AND($C36="Diesel passenger train",$D36="Almost empty"),$E36*'RO '!C$47,AND($C36="Diesel passenger train",$D36="Average"),$E36*'RO '!C$48,AND($C36="Diesel passenger train",$D36="Nearly full"),$E36*'RO '!C$49,AND($C36="Walking"),$E36*0,AND($C36="Bike"),$E36*0,AND($C36="Plane - domestic flight"),$E36*'RO '!$C60,AND($C36="Plane - international - intra EU"),$E36*'RO '!$C62,AND($C36="Plane - international (extra EU)"),$E36*'RO '!$C64)</f>
        <v>#N/A</v>
      </c>
      <c r="G36" s="31" t="e" cm="1">
        <f t="array" ref="G36">_xlfn.IFS(AND($C36="Fuel car",$D36=1),$E36*'RO '!D$7,AND($C36="Fuel car",$D36=2),$E36*'RO '!D$8,AND($C36="Fuel car",$D36=3),$E36*'RO '!D$9,AND($C36="Fuel car",$D36=4),$E36*'RO '!D$10,AND($C36="Fuel car",$D36=5),$E36*'RO '!D$11,AND($C36="Motorcycle",$D36=1),$E36*'RO '!D$13,AND($C36="Motorcycle",$D36=2),$E36*'RO '!D$14,AND($C36="Electric car",$D36=1),$E36*'RO '!D$16,AND($C36="Electric car",$D36=2),$E36*'RO '!D$17,AND($C36="Electric car",$D36=3),$E36*'RO '!D$18,AND($C36="Electric car",$D36=4),$E36*'RO '!D$19,AND($C36="Electric car",$D36=5),$E36*'RO '!D$20,AND($C36="Hybrid car",$D36=1),$E36*'RO '!D$22,AND($C36="Hybrid car",$D36=2),$E36*'RO '!D$23,AND($C36="Hybrid car",$D36=3),$E36*'RO '!D$24,AND($C36="Hybrid car",$D36=4),$E36*'RO '!D$25,AND($C36="Hybrid car",$D36=5),$E36*'RO '!D$26,AND($C36="Electric motorcycle",$D36=1),$E36*'RO '!D$28,AND($C36="Electric motorcycle",$D36=2),$E36*'RO '!D$29,AND($C36="Electric bike",$D36=1),$E36*'RO '!D$31,AND($C36="Electric scooter",$D36=1),$E36*'RO '!D$33,AND($C36="Bus",$D36="Almost empty"),$E36*'RO '!I$23,AND($C36="Bus",$D36="Average"),$E36*'RO '!I$24,AND($C36="Bus",$D36="Nearly full"),$E36*'RO '!I$25,AND($C36="Electric bus",$D36="Almost empty"),$E36*'RO '!I$7,AND($C36="Electric bus",$D36="Average"),$E36*'RO '!I$8,AND($C36="Electric bus",$D36="Nearly full"),$E36*'RO '!I$9,AND($C36="Diesel bus",$D36="Almost empty"),$E36*'RO '!I$19,AND($C36="Diesel bus",$D36="Average"),$E36*'RO '!I$20,AND($C36="Diesel bus",$D36="Nearly full"),$E36*'RO '!I$21,AND($C36="Hybrid-electric bus",$D36="Almost empty"),$E36*'RO '!I$11,AND($C36="Hybrid-electric bus",$D36="Average"),$E36*'RO '!I$12,AND($C36="Hybrid-electric bus",$D36="Nearly full"),$E36*'RO '!I$13,AND($C36="Alternative fuel bus",$D36="Almost empty"),$E36*'RO '!I$15,AND($C36="Alternative fuel bus",$D36="Average"),$E36*'RO '!I$16,AND($C36="Alternative fuel bus",$D36="Nearly full"),$E36*'RO '!I$17,AND($C36="Metro, tram, urban light train",$D36="Almost empty"),$E36*'RO '!D$35,AND($C36="Metro, tram, urban light train",$D36="Average"),$E36*'RO '!D$36,AND($C36="Metro, tram, urban light train",$D36="Nearly full"),$E36*'RO '!D$37,AND($C36="Electric passenger train",$D36="Almost empty"),$E36*'RO '!D$39,AND($C36="Electric passenger train",$D36="Average"),$E36*'RO '!D$40,AND($C36="Electric passenger train",$D36="Nearly full"),$E36*'RO '!D$41,AND($C36="Diesel passenger train",$D36="Almost empty"),$E36*'RO '!D$47,AND($C36="Diesel passenger train",$D36="Average"),$E36*'RO '!D$48,AND($C36="Diesel passenger train",$D36="Nearly full"),$E36*'RO '!D$49,AND($C36="Walking"),$E36*0,AND($C36="Bike"),$E36*0,AND($C36="Plane - domestic flight"),$E36*'RO '!$C60,AND($C36="Plane - international - intra EU"),$E36*'RO '!$C62,AND($C36="Plane - international (extra EU)"),$E36*'RO '!$C64)</f>
        <v>#N/A</v>
      </c>
      <c r="H36" s="145"/>
      <c r="I36" s="148">
        <f t="shared" si="6"/>
        <v>0</v>
      </c>
      <c r="J36" s="146" t="e" cm="1">
        <f t="array" ref="J36">_xlfn.IFS(C36="Fuel car",C36*DATA!$C$17,C36="Electric car",C36*DATA!$F$26,C36="Hybrid car",I36*(0.5*DATA!$C$17+0.5*DATA!$F$26))</f>
        <v>#N/A</v>
      </c>
      <c r="L36" s="218"/>
      <c r="M36" s="219"/>
      <c r="N36" s="220"/>
    </row>
    <row r="37" spans="1:14" ht="14.5" customHeight="1" x14ac:dyDescent="0.2">
      <c r="A37" s="222"/>
      <c r="B37" s="30"/>
      <c r="C37" s="15"/>
      <c r="D37" s="15"/>
      <c r="E37" s="125"/>
      <c r="F37" s="128" t="e" cm="1">
        <f t="array" ref="F37">_xlfn.IFS(AND($C37="Fuel car",$D37=1),$E37*'RO '!C$7,AND($C37="Fuel car",$D37=2),$E37*'RO '!C$8,AND($C37="Fuel car",$D37=3),$E37*'RO '!C$9,AND($C37="Fuel car",$D37=4),$E37*'RO '!C$10,AND($C37="Fuel car",$D37=5),$E37*'RO '!C$11,AND($C37="Motorcycle",$D37=1),$E37*'RO '!C$13,AND($C37="Motorcycle",$D37=2),$E37*'RO '!C$14,AND($C37="Electric car",$D37=1),$E37*'RO '!C$16,AND($C37="Electric car",$D37=2),$E37*'RO '!C$17,AND($C37="Electric car",$D37=3),$E37*'RO '!C$18,AND($C37="Electric car",$D37=4),$E37*'RO '!C$19,AND($C37="Electric car",$D37=5),$E37*'RO '!C$20,AND($C37="Hybrid car",$D37=1),$E37*'RO '!C$22,AND($C37="Hybrid car",$D37=2),$E37*'RO '!C$23,AND($C37="Hybrid car",$D37=3),$E37*'RO '!C$24,AND($C37="Hybrid car",$D37=4),$E37*'RO '!C$25,AND($C37="Hybrid car",$D37=5),$E37*'RO '!C$26,AND($C37="Electric motorcycle",$D37=1),$E37*'RO '!C$28,AND($C37="Electric motorcycle",$D37=2),$E37*'RO '!C$29,AND($C37="Electric bike",$D37=1),$E37*'RO '!C$31,AND($C37="Electric scooter",$D37=1),$E37*'RO '!C$33,AND($C37="Bus",$D37="Almost empty"),$E37*'RO '!H$23,AND($C37="Bus",$D37="Average"),$E37*'RO '!H$24,AND($C37="Bus",$D37="Nearly full"),$E37*'RO '!H$25,AND($C37="Electric bus",$D37="Almost empty"),$E37*'RO '!H$7,AND($C37="Electric bus",$D37="Average"),$E37*'RO '!H$8,AND($C37="Electric bus",$D37="Nearly full"),$E37*'RO '!H$9,AND($C37="Diesel bus",$D37="Almost empty"),$E37*'RO '!H$19,AND($C37="Diesel bus",$D37="Average"),$E37*'RO '!H$20,AND($C37="Diesel bus",$D37="Nearly full"),$E37*'RO '!H$21,AND($C37="Hybrid-electric bus",$D37="Almost empty"),$E37*'RO '!H$11,AND($C37="Hybrid-electric bus",$D37="Average"),$E37*'RO '!H$12,AND($C37="Hybrid-electric bus",$D37="Nearly full"),$E37*'RO '!H$13,AND($C37="Alternative fuel bus",$D37="Almost empty"),$E37*'RO '!H$15,AND($C37="Alternative fuel bus",$D37="Average"),$E37*'RO '!H$16,AND($C37="Alternative fuel bus",$D37="Nearly full"),$E37*'RO '!H$17,AND($C37="Metro, tram, urban light train",$D37="Almost empty"),$E37*'RO '!C$35,AND($C37="Metro, tram, urban light train",$D37="Average"),$E37*'RO '!C$36,AND($C37="Metro, tram, urban light train",$D37="Nearly full"),$E37*'RO '!C$37,AND($C37="Electric passenger train",$D37="Almost empty"),$E37*'RO '!C$39,AND($C37="Electric passenger train",$D37="Average"),$E37*'RO '!C$40,AND($C37="Electric passenger train",$D37="Nearly full"),$E37*'RO '!C$41,AND($C37="Diesel passenger train",$D37="Almost empty"),$E37*'RO '!C$47,AND($C37="Diesel passenger train",$D37="Average"),$E37*'RO '!C$48,AND($C37="Diesel passenger train",$D37="Nearly full"),$E37*'RO '!C$49,AND($C37="Walking"),$E37*0,AND($C37="Bike"),$E37*0,AND($C37="Plane - domestic flight"),$E37*'RO '!$C61,AND($C37="Plane - international - intra EU"),$E37*'RO '!$C63,AND($C37="Plane - international (extra EU)"),$E37*'RO '!$C65)</f>
        <v>#N/A</v>
      </c>
      <c r="G37" s="31" t="e" cm="1">
        <f t="array" ref="G37">_xlfn.IFS(AND($C37="Fuel car",$D37=1),$E37*'RO '!D$7,AND($C37="Fuel car",$D37=2),$E37*'RO '!D$8,AND($C37="Fuel car",$D37=3),$E37*'RO '!D$9,AND($C37="Fuel car",$D37=4),$E37*'RO '!D$10,AND($C37="Fuel car",$D37=5),$E37*'RO '!D$11,AND($C37="Motorcycle",$D37=1),$E37*'RO '!D$13,AND($C37="Motorcycle",$D37=2),$E37*'RO '!D$14,AND($C37="Electric car",$D37=1),$E37*'RO '!D$16,AND($C37="Electric car",$D37=2),$E37*'RO '!D$17,AND($C37="Electric car",$D37=3),$E37*'RO '!D$18,AND($C37="Electric car",$D37=4),$E37*'RO '!D$19,AND($C37="Electric car",$D37=5),$E37*'RO '!D$20,AND($C37="Hybrid car",$D37=1),$E37*'RO '!D$22,AND($C37="Hybrid car",$D37=2),$E37*'RO '!D$23,AND($C37="Hybrid car",$D37=3),$E37*'RO '!D$24,AND($C37="Hybrid car",$D37=4),$E37*'RO '!D$25,AND($C37="Hybrid car",$D37=5),$E37*'RO '!D$26,AND($C37="Electric motorcycle",$D37=1),$E37*'RO '!D$28,AND($C37="Electric motorcycle",$D37=2),$E37*'RO '!D$29,AND($C37="Electric bike",$D37=1),$E37*'RO '!D$31,AND($C37="Electric scooter",$D37=1),$E37*'RO '!D$33,AND($C37="Bus",$D37="Almost empty"),$E37*'RO '!I$23,AND($C37="Bus",$D37="Average"),$E37*'RO '!I$24,AND($C37="Bus",$D37="Nearly full"),$E37*'RO '!I$25,AND($C37="Electric bus",$D37="Almost empty"),$E37*'RO '!I$7,AND($C37="Electric bus",$D37="Average"),$E37*'RO '!I$8,AND($C37="Electric bus",$D37="Nearly full"),$E37*'RO '!I$9,AND($C37="Diesel bus",$D37="Almost empty"),$E37*'RO '!I$19,AND($C37="Diesel bus",$D37="Average"),$E37*'RO '!I$20,AND($C37="Diesel bus",$D37="Nearly full"),$E37*'RO '!I$21,AND($C37="Hybrid-electric bus",$D37="Almost empty"),$E37*'RO '!I$11,AND($C37="Hybrid-electric bus",$D37="Average"),$E37*'RO '!I$12,AND($C37="Hybrid-electric bus",$D37="Nearly full"),$E37*'RO '!I$13,AND($C37="Alternative fuel bus",$D37="Almost empty"),$E37*'RO '!I$15,AND($C37="Alternative fuel bus",$D37="Average"),$E37*'RO '!I$16,AND($C37="Alternative fuel bus",$D37="Nearly full"),$E37*'RO '!I$17,AND($C37="Metro, tram, urban light train",$D37="Almost empty"),$E37*'RO '!D$35,AND($C37="Metro, tram, urban light train",$D37="Average"),$E37*'RO '!D$36,AND($C37="Metro, tram, urban light train",$D37="Nearly full"),$E37*'RO '!D$37,AND($C37="Electric passenger train",$D37="Almost empty"),$E37*'RO '!D$39,AND($C37="Electric passenger train",$D37="Average"),$E37*'RO '!D$40,AND($C37="Electric passenger train",$D37="Nearly full"),$E37*'RO '!D$41,AND($C37="Diesel passenger train",$D37="Almost empty"),$E37*'RO '!D$47,AND($C37="Diesel passenger train",$D37="Average"),$E37*'RO '!D$48,AND($C37="Diesel passenger train",$D37="Nearly full"),$E37*'RO '!D$49,AND($C37="Walking"),$E37*0,AND($C37="Bike"),$E37*0,AND($C37="Plane - domestic flight"),$E37*'RO '!$C61,AND($C37="Plane - international - intra EU"),$E37*'RO '!$C63,AND($C37="Plane - international (extra EU)"),$E37*'RO '!$C65)</f>
        <v>#N/A</v>
      </c>
      <c r="H37" s="145"/>
      <c r="I37" s="148">
        <f t="shared" si="6"/>
        <v>0</v>
      </c>
      <c r="J37" s="146" t="e" cm="1">
        <f t="array" ref="J37">_xlfn.IFS(C37="Fuel car",C37*DATA!$C$17,C37="Electric car",C37*DATA!$F$26,C37="Hybrid car",I37*(0.5*DATA!$C$17+0.5*DATA!$F$26))</f>
        <v>#N/A</v>
      </c>
      <c r="L37" s="215" t="s">
        <v>79</v>
      </c>
      <c r="M37" s="216"/>
      <c r="N37" s="217"/>
    </row>
    <row r="38" spans="1:14" ht="16" thickBot="1" x14ac:dyDescent="0.25">
      <c r="A38" s="222"/>
      <c r="B38" s="30"/>
      <c r="C38" s="15"/>
      <c r="D38" s="15"/>
      <c r="E38" s="125"/>
      <c r="F38" s="128" t="e" cm="1">
        <f t="array" ref="F38">_xlfn.IFS(AND($C38="Fuel car",$D38=1),$E38*'RO '!C$7,AND($C38="Fuel car",$D38=2),$E38*'RO '!C$8,AND($C38="Fuel car",$D38=3),$E38*'RO '!C$9,AND($C38="Fuel car",$D38=4),$E38*'RO '!C$10,AND($C38="Fuel car",$D38=5),$E38*'RO '!C$11,AND($C38="Motorcycle",$D38=1),$E38*'RO '!C$13,AND($C38="Motorcycle",$D38=2),$E38*'RO '!C$14,AND($C38="Electric car",$D38=1),$E38*'RO '!C$16,AND($C38="Electric car",$D38=2),$E38*'RO '!C$17,AND($C38="Electric car",$D38=3),$E38*'RO '!C$18,AND($C38="Electric car",$D38=4),$E38*'RO '!C$19,AND($C38="Electric car",$D38=5),$E38*'RO '!C$20,AND($C38="Hybrid car",$D38=1),$E38*'RO '!C$22,AND($C38="Hybrid car",$D38=2),$E38*'RO '!C$23,AND($C38="Hybrid car",$D38=3),$E38*'RO '!C$24,AND($C38="Hybrid car",$D38=4),$E38*'RO '!C$25,AND($C38="Hybrid car",$D38=5),$E38*'RO '!C$26,AND($C38="Electric motorcycle",$D38=1),$E38*'RO '!C$28,AND($C38="Electric motorcycle",$D38=2),$E38*'RO '!C$29,AND($C38="Electric bike",$D38=1),$E38*'RO '!C$31,AND($C38="Electric scooter",$D38=1),$E38*'RO '!C$33,AND($C38="Bus",$D38="Almost empty"),$E38*'RO '!H$23,AND($C38="Bus",$D38="Average"),$E38*'RO '!H$24,AND($C38="Bus",$D38="Nearly full"),$E38*'RO '!H$25,AND($C38="Electric bus",$D38="Almost empty"),$E38*'RO '!H$7,AND($C38="Electric bus",$D38="Average"),$E38*'RO '!H$8,AND($C38="Electric bus",$D38="Nearly full"),$E38*'RO '!H$9,AND($C38="Diesel bus",$D38="Almost empty"),$E38*'RO '!H$19,AND($C38="Diesel bus",$D38="Average"),$E38*'RO '!H$20,AND($C38="Diesel bus",$D38="Nearly full"),$E38*'RO '!H$21,AND($C38="Hybrid-electric bus",$D38="Almost empty"),$E38*'RO '!H$11,AND($C38="Hybrid-electric bus",$D38="Average"),$E38*'RO '!H$12,AND($C38="Hybrid-electric bus",$D38="Nearly full"),$E38*'RO '!H$13,AND($C38="Alternative fuel bus",$D38="Almost empty"),$E38*'RO '!H$15,AND($C38="Alternative fuel bus",$D38="Average"),$E38*'RO '!H$16,AND($C38="Alternative fuel bus",$D38="Nearly full"),$E38*'RO '!H$17,AND($C38="Metro, tram, urban light train",$D38="Almost empty"),$E38*'RO '!C$35,AND($C38="Metro, tram, urban light train",$D38="Average"),$E38*'RO '!C$36,AND($C38="Metro, tram, urban light train",$D38="Nearly full"),$E38*'RO '!C$37,AND($C38="Electric passenger train",$D38="Almost empty"),$E38*'RO '!C$39,AND($C38="Electric passenger train",$D38="Average"),$E38*'RO '!C$40,AND($C38="Electric passenger train",$D38="Nearly full"),$E38*'RO '!C$41,AND($C38="Diesel passenger train",$D38="Almost empty"),$E38*'RO '!C$47,AND($C38="Diesel passenger train",$D38="Average"),$E38*'RO '!C$48,AND($C38="Diesel passenger train",$D38="Nearly full"),$E38*'RO '!C$49,AND($C38="Walking"),$E38*0,AND($C38="Bike"),$E38*0,AND($C38="Plane - domestic flight"),$E38*'RO '!$C62,AND($C38="Plane - international - intra EU"),$E38*'RO '!$C64,AND($C38="Plane - international (extra EU)"),$E38*'RO '!$C66)</f>
        <v>#N/A</v>
      </c>
      <c r="G38" s="31" t="e" cm="1">
        <f t="array" ref="G38">_xlfn.IFS(AND($C38="Fuel car",$D38=1),$E38*'RO '!D$7,AND($C38="Fuel car",$D38=2),$E38*'RO '!D$8,AND($C38="Fuel car",$D38=3),$E38*'RO '!D$9,AND($C38="Fuel car",$D38=4),$E38*'RO '!D$10,AND($C38="Fuel car",$D38=5),$E38*'RO '!D$11,AND($C38="Motorcycle",$D38=1),$E38*'RO '!D$13,AND($C38="Motorcycle",$D38=2),$E38*'RO '!D$14,AND($C38="Electric car",$D38=1),$E38*'RO '!D$16,AND($C38="Electric car",$D38=2),$E38*'RO '!D$17,AND($C38="Electric car",$D38=3),$E38*'RO '!D$18,AND($C38="Electric car",$D38=4),$E38*'RO '!D$19,AND($C38="Electric car",$D38=5),$E38*'RO '!D$20,AND($C38="Hybrid car",$D38=1),$E38*'RO '!D$22,AND($C38="Hybrid car",$D38=2),$E38*'RO '!D$23,AND($C38="Hybrid car",$D38=3),$E38*'RO '!D$24,AND($C38="Hybrid car",$D38=4),$E38*'RO '!D$25,AND($C38="Hybrid car",$D38=5),$E38*'RO '!D$26,AND($C38="Electric motorcycle",$D38=1),$E38*'RO '!D$28,AND($C38="Electric motorcycle",$D38=2),$E38*'RO '!D$29,AND($C38="Electric bike",$D38=1),$E38*'RO '!D$31,AND($C38="Electric scooter",$D38=1),$E38*'RO '!D$33,AND($C38="Bus",$D38="Almost empty"),$E38*'RO '!I$23,AND($C38="Bus",$D38="Average"),$E38*'RO '!I$24,AND($C38="Bus",$D38="Nearly full"),$E38*'RO '!I$25,AND($C38="Electric bus",$D38="Almost empty"),$E38*'RO '!I$7,AND($C38="Electric bus",$D38="Average"),$E38*'RO '!I$8,AND($C38="Electric bus",$D38="Nearly full"),$E38*'RO '!I$9,AND($C38="Diesel bus",$D38="Almost empty"),$E38*'RO '!I$19,AND($C38="Diesel bus",$D38="Average"),$E38*'RO '!I$20,AND($C38="Diesel bus",$D38="Nearly full"),$E38*'RO '!I$21,AND($C38="Hybrid-electric bus",$D38="Almost empty"),$E38*'RO '!I$11,AND($C38="Hybrid-electric bus",$D38="Average"),$E38*'RO '!I$12,AND($C38="Hybrid-electric bus",$D38="Nearly full"),$E38*'RO '!I$13,AND($C38="Alternative fuel bus",$D38="Almost empty"),$E38*'RO '!I$15,AND($C38="Alternative fuel bus",$D38="Average"),$E38*'RO '!I$16,AND($C38="Alternative fuel bus",$D38="Nearly full"),$E38*'RO '!I$17,AND($C38="Metro, tram, urban light train",$D38="Almost empty"),$E38*'RO '!D$35,AND($C38="Metro, tram, urban light train",$D38="Average"),$E38*'RO '!D$36,AND($C38="Metro, tram, urban light train",$D38="Nearly full"),$E38*'RO '!D$37,AND($C38="Electric passenger train",$D38="Almost empty"),$E38*'RO '!D$39,AND($C38="Electric passenger train",$D38="Average"),$E38*'RO '!D$40,AND($C38="Electric passenger train",$D38="Nearly full"),$E38*'RO '!D$41,AND($C38="Diesel passenger train",$D38="Almost empty"),$E38*'RO '!D$47,AND($C38="Diesel passenger train",$D38="Average"),$E38*'RO '!D$48,AND($C38="Diesel passenger train",$D38="Nearly full"),$E38*'RO '!D$49,AND($C38="Walking"),$E38*0,AND($C38="Bike"),$E38*0,AND($C38="Plane - domestic flight"),$E38*'RO '!$C62,AND($C38="Plane - international - intra EU"),$E38*'RO '!$C64,AND($C38="Plane - international (extra EU)"),$E38*'RO '!$C66)</f>
        <v>#N/A</v>
      </c>
      <c r="H38" s="145"/>
      <c r="I38" s="148">
        <f t="shared" si="6"/>
        <v>0</v>
      </c>
      <c r="J38" s="146" t="e" cm="1">
        <f t="array" ref="J38">_xlfn.IFS(C38="Fuel car",C38*DATA!$C$17,C38="Electric car",C38*DATA!$F$26,C38="Hybrid car",I38*(0.5*DATA!$C$17+0.5*DATA!$F$26))</f>
        <v>#N/A</v>
      </c>
      <c r="L38" s="218"/>
      <c r="M38" s="219"/>
      <c r="N38" s="220"/>
    </row>
    <row r="39" spans="1:14" ht="14.5" customHeight="1" x14ac:dyDescent="0.2">
      <c r="A39" s="222"/>
      <c r="B39" s="30"/>
      <c r="C39" s="15"/>
      <c r="D39" s="15"/>
      <c r="E39" s="125"/>
      <c r="F39" s="128" t="e" cm="1">
        <f t="array" ref="F39">_xlfn.IFS(AND($C39="Fuel car",$D39=1),$E39*'RO '!C$7,AND($C39="Fuel car",$D39=2),$E39*'RO '!C$8,AND($C39="Fuel car",$D39=3),$E39*'RO '!C$9,AND($C39="Fuel car",$D39=4),$E39*'RO '!C$10,AND($C39="Fuel car",$D39=5),$E39*'RO '!C$11,AND($C39="Motorcycle",$D39=1),$E39*'RO '!C$13,AND($C39="Motorcycle",$D39=2),$E39*'RO '!C$14,AND($C39="Electric car",$D39=1),$E39*'RO '!C$16,AND($C39="Electric car",$D39=2),$E39*'RO '!C$17,AND($C39="Electric car",$D39=3),$E39*'RO '!C$18,AND($C39="Electric car",$D39=4),$E39*'RO '!C$19,AND($C39="Electric car",$D39=5),$E39*'RO '!C$20,AND($C39="Hybrid car",$D39=1),$E39*'RO '!C$22,AND($C39="Hybrid car",$D39=2),$E39*'RO '!C$23,AND($C39="Hybrid car",$D39=3),$E39*'RO '!C$24,AND($C39="Hybrid car",$D39=4),$E39*'RO '!C$25,AND($C39="Hybrid car",$D39=5),$E39*'RO '!C$26,AND($C39="Electric motorcycle",$D39=1),$E39*'RO '!C$28,AND($C39="Electric motorcycle",$D39=2),$E39*'RO '!C$29,AND($C39="Electric bike",$D39=1),$E39*'RO '!C$31,AND($C39="Electric scooter",$D39=1),$E39*'RO '!C$33,AND($C39="Bus",$D39="Almost empty"),$E39*'RO '!H$23,AND($C39="Bus",$D39="Average"),$E39*'RO '!H$24,AND($C39="Bus",$D39="Nearly full"),$E39*'RO '!H$25,AND($C39="Electric bus",$D39="Almost empty"),$E39*'RO '!H$7,AND($C39="Electric bus",$D39="Average"),$E39*'RO '!H$8,AND($C39="Electric bus",$D39="Nearly full"),$E39*'RO '!H$9,AND($C39="Diesel bus",$D39="Almost empty"),$E39*'RO '!H$19,AND($C39="Diesel bus",$D39="Average"),$E39*'RO '!H$20,AND($C39="Diesel bus",$D39="Nearly full"),$E39*'RO '!H$21,AND($C39="Hybrid-electric bus",$D39="Almost empty"),$E39*'RO '!H$11,AND($C39="Hybrid-electric bus",$D39="Average"),$E39*'RO '!H$12,AND($C39="Hybrid-electric bus",$D39="Nearly full"),$E39*'RO '!H$13,AND($C39="Alternative fuel bus",$D39="Almost empty"),$E39*'RO '!H$15,AND($C39="Alternative fuel bus",$D39="Average"),$E39*'RO '!H$16,AND($C39="Alternative fuel bus",$D39="Nearly full"),$E39*'RO '!H$17,AND($C39="Metro, tram, urban light train",$D39="Almost empty"),$E39*'RO '!C$35,AND($C39="Metro, tram, urban light train",$D39="Average"),$E39*'RO '!C$36,AND($C39="Metro, tram, urban light train",$D39="Nearly full"),$E39*'RO '!C$37,AND($C39="Electric passenger train",$D39="Almost empty"),$E39*'RO '!C$39,AND($C39="Electric passenger train",$D39="Average"),$E39*'RO '!C$40,AND($C39="Electric passenger train",$D39="Nearly full"),$E39*'RO '!C$41,AND($C39="Diesel passenger train",$D39="Almost empty"),$E39*'RO '!C$47,AND($C39="Diesel passenger train",$D39="Average"),$E39*'RO '!C$48,AND($C39="Diesel passenger train",$D39="Nearly full"),$E39*'RO '!C$49,AND($C39="Walking"),$E39*0,AND($C39="Bike"),$E39*0,AND($C39="Plane - domestic flight"),$E39*'RO '!$C63,AND($C39="Plane - international - intra EU"),$E39*'RO '!$C65,AND($C39="Plane - international (extra EU)"),$E39*'RO '!$C67)</f>
        <v>#N/A</v>
      </c>
      <c r="G39" s="31" t="e" cm="1">
        <f t="array" ref="G39">_xlfn.IFS(AND($C39="Fuel car",$D39=1),$E39*'RO '!D$7,AND($C39="Fuel car",$D39=2),$E39*'RO '!D$8,AND($C39="Fuel car",$D39=3),$E39*'RO '!D$9,AND($C39="Fuel car",$D39=4),$E39*'RO '!D$10,AND($C39="Fuel car",$D39=5),$E39*'RO '!D$11,AND($C39="Motorcycle",$D39=1),$E39*'RO '!D$13,AND($C39="Motorcycle",$D39=2),$E39*'RO '!D$14,AND($C39="Electric car",$D39=1),$E39*'RO '!D$16,AND($C39="Electric car",$D39=2),$E39*'RO '!D$17,AND($C39="Electric car",$D39=3),$E39*'RO '!D$18,AND($C39="Electric car",$D39=4),$E39*'RO '!D$19,AND($C39="Electric car",$D39=5),$E39*'RO '!D$20,AND($C39="Hybrid car",$D39=1),$E39*'RO '!D$22,AND($C39="Hybrid car",$D39=2),$E39*'RO '!D$23,AND($C39="Hybrid car",$D39=3),$E39*'RO '!D$24,AND($C39="Hybrid car",$D39=4),$E39*'RO '!D$25,AND($C39="Hybrid car",$D39=5),$E39*'RO '!D$26,AND($C39="Electric motorcycle",$D39=1),$E39*'RO '!D$28,AND($C39="Electric motorcycle",$D39=2),$E39*'RO '!D$29,AND($C39="Electric bike",$D39=1),$E39*'RO '!D$31,AND($C39="Electric scooter",$D39=1),$E39*'RO '!D$33,AND($C39="Bus",$D39="Almost empty"),$E39*'RO '!I$23,AND($C39="Bus",$D39="Average"),$E39*'RO '!I$24,AND($C39="Bus",$D39="Nearly full"),$E39*'RO '!I$25,AND($C39="Electric bus",$D39="Almost empty"),$E39*'RO '!I$7,AND($C39="Electric bus",$D39="Average"),$E39*'RO '!I$8,AND($C39="Electric bus",$D39="Nearly full"),$E39*'RO '!I$9,AND($C39="Diesel bus",$D39="Almost empty"),$E39*'RO '!I$19,AND($C39="Diesel bus",$D39="Average"),$E39*'RO '!I$20,AND($C39="Diesel bus",$D39="Nearly full"),$E39*'RO '!I$21,AND($C39="Hybrid-electric bus",$D39="Almost empty"),$E39*'RO '!I$11,AND($C39="Hybrid-electric bus",$D39="Average"),$E39*'RO '!I$12,AND($C39="Hybrid-electric bus",$D39="Nearly full"),$E39*'RO '!I$13,AND($C39="Alternative fuel bus",$D39="Almost empty"),$E39*'RO '!I$15,AND($C39="Alternative fuel bus",$D39="Average"),$E39*'RO '!I$16,AND($C39="Alternative fuel bus",$D39="Nearly full"),$E39*'RO '!I$17,AND($C39="Metro, tram, urban light train",$D39="Almost empty"),$E39*'RO '!D$35,AND($C39="Metro, tram, urban light train",$D39="Average"),$E39*'RO '!D$36,AND($C39="Metro, tram, urban light train",$D39="Nearly full"),$E39*'RO '!D$37,AND($C39="Electric passenger train",$D39="Almost empty"),$E39*'RO '!D$39,AND($C39="Electric passenger train",$D39="Average"),$E39*'RO '!D$40,AND($C39="Electric passenger train",$D39="Nearly full"),$E39*'RO '!D$41,AND($C39="Diesel passenger train",$D39="Almost empty"),$E39*'RO '!D$47,AND($C39="Diesel passenger train",$D39="Average"),$E39*'RO '!D$48,AND($C39="Diesel passenger train",$D39="Nearly full"),$E39*'RO '!D$49,AND($C39="Walking"),$E39*0,AND($C39="Bike"),$E39*0,AND($C39="Plane - domestic flight"),$E39*'RO '!$C63,AND($C39="Plane - international - intra EU"),$E39*'RO '!$C65,AND($C39="Plane - international (extra EU)"),$E39*'RO '!$C67)</f>
        <v>#N/A</v>
      </c>
      <c r="H39" s="145"/>
      <c r="I39" s="148">
        <f t="shared" si="6"/>
        <v>0</v>
      </c>
      <c r="J39" s="146" t="e" cm="1">
        <f t="array" ref="J39">_xlfn.IFS(C39="Fuel car",C39*DATA!$C$17,C39="Electric car",C39*DATA!$F$26,C39="Hybrid car",I39*(0.5*DATA!$C$17+0.5*DATA!$F$26))</f>
        <v>#N/A</v>
      </c>
      <c r="L39" s="226" t="s">
        <v>80</v>
      </c>
      <c r="M39" s="227"/>
      <c r="N39" s="228"/>
    </row>
    <row r="40" spans="1:14" x14ac:dyDescent="0.2">
      <c r="A40" s="222"/>
      <c r="B40" s="30"/>
      <c r="C40" s="15"/>
      <c r="D40" s="15"/>
      <c r="E40" s="125"/>
      <c r="F40" s="128" t="e" cm="1">
        <f t="array" ref="F40">_xlfn.IFS(AND($C40="Fuel car",$D40=1),$E40*'RO '!C$7,AND($C40="Fuel car",$D40=2),$E40*'RO '!C$8,AND($C40="Fuel car",$D40=3),$E40*'RO '!C$9,AND($C40="Fuel car",$D40=4),$E40*'RO '!C$10,AND($C40="Fuel car",$D40=5),$E40*'RO '!C$11,AND($C40="Motorcycle",$D40=1),$E40*'RO '!C$13,AND($C40="Motorcycle",$D40=2),$E40*'RO '!C$14,AND($C40="Electric car",$D40=1),$E40*'RO '!C$16,AND($C40="Electric car",$D40=2),$E40*'RO '!C$17,AND($C40="Electric car",$D40=3),$E40*'RO '!C$18,AND($C40="Electric car",$D40=4),$E40*'RO '!C$19,AND($C40="Electric car",$D40=5),$E40*'RO '!C$20,AND($C40="Hybrid car",$D40=1),$E40*'RO '!C$22,AND($C40="Hybrid car",$D40=2),$E40*'RO '!C$23,AND($C40="Hybrid car",$D40=3),$E40*'RO '!C$24,AND($C40="Hybrid car",$D40=4),$E40*'RO '!C$25,AND($C40="Hybrid car",$D40=5),$E40*'RO '!C$26,AND($C40="Electric motorcycle",$D40=1),$E40*'RO '!C$28,AND($C40="Electric motorcycle",$D40=2),$E40*'RO '!C$29,AND($C40="Electric bike",$D40=1),$E40*'RO '!C$31,AND($C40="Electric scooter",$D40=1),$E40*'RO '!C$33,AND($C40="Bus",$D40="Almost empty"),$E40*'RO '!H$23,AND($C40="Bus",$D40="Average"),$E40*'RO '!H$24,AND($C40="Bus",$D40="Nearly full"),$E40*'RO '!H$25,AND($C40="Electric bus",$D40="Almost empty"),$E40*'RO '!H$7,AND($C40="Electric bus",$D40="Average"),$E40*'RO '!H$8,AND($C40="Electric bus",$D40="Nearly full"),$E40*'RO '!H$9,AND($C40="Diesel bus",$D40="Almost empty"),$E40*'RO '!H$19,AND($C40="Diesel bus",$D40="Average"),$E40*'RO '!H$20,AND($C40="Diesel bus",$D40="Nearly full"),$E40*'RO '!H$21,AND($C40="Hybrid-electric bus",$D40="Almost empty"),$E40*'RO '!H$11,AND($C40="Hybrid-electric bus",$D40="Average"),$E40*'RO '!H$12,AND($C40="Hybrid-electric bus",$D40="Nearly full"),$E40*'RO '!H$13,AND($C40="Alternative fuel bus",$D40="Almost empty"),$E40*'RO '!H$15,AND($C40="Alternative fuel bus",$D40="Average"),$E40*'RO '!H$16,AND($C40="Alternative fuel bus",$D40="Nearly full"),$E40*'RO '!H$17,AND($C40="Metro, tram, urban light train",$D40="Almost empty"),$E40*'RO '!C$35,AND($C40="Metro, tram, urban light train",$D40="Average"),$E40*'RO '!C$36,AND($C40="Metro, tram, urban light train",$D40="Nearly full"),$E40*'RO '!C$37,AND($C40="Electric passenger train",$D40="Almost empty"),$E40*'RO '!C$39,AND($C40="Electric passenger train",$D40="Average"),$E40*'RO '!C$40,AND($C40="Electric passenger train",$D40="Nearly full"),$E40*'RO '!C$41,AND($C40="Diesel passenger train",$D40="Almost empty"),$E40*'RO '!C$47,AND($C40="Diesel passenger train",$D40="Average"),$E40*'RO '!C$48,AND($C40="Diesel passenger train",$D40="Nearly full"),$E40*'RO '!C$49,AND($C40="Walking"),$E40*0,AND($C40="Bike"),$E40*0,AND($C40="Plane - domestic flight"),$E40*'RO '!$C64,AND($C40="Plane - international - intra EU"),$E40*'RO '!$C66,AND($C40="Plane - international (extra EU)"),$E40*'RO '!$C68)</f>
        <v>#N/A</v>
      </c>
      <c r="G40" s="31" t="e" cm="1">
        <f t="array" ref="G40">_xlfn.IFS(AND($C40="Fuel car",$D40=1),$E40*'RO '!D$7,AND($C40="Fuel car",$D40=2),$E40*'RO '!D$8,AND($C40="Fuel car",$D40=3),$E40*'RO '!D$9,AND($C40="Fuel car",$D40=4),$E40*'RO '!D$10,AND($C40="Fuel car",$D40=5),$E40*'RO '!D$11,AND($C40="Motorcycle",$D40=1),$E40*'RO '!D$13,AND($C40="Motorcycle",$D40=2),$E40*'RO '!D$14,AND($C40="Electric car",$D40=1),$E40*'RO '!D$16,AND($C40="Electric car",$D40=2),$E40*'RO '!D$17,AND($C40="Electric car",$D40=3),$E40*'RO '!D$18,AND($C40="Electric car",$D40=4),$E40*'RO '!D$19,AND($C40="Electric car",$D40=5),$E40*'RO '!D$20,AND($C40="Hybrid car",$D40=1),$E40*'RO '!D$22,AND($C40="Hybrid car",$D40=2),$E40*'RO '!D$23,AND($C40="Hybrid car",$D40=3),$E40*'RO '!D$24,AND($C40="Hybrid car",$D40=4),$E40*'RO '!D$25,AND($C40="Hybrid car",$D40=5),$E40*'RO '!D$26,AND($C40="Electric motorcycle",$D40=1),$E40*'RO '!D$28,AND($C40="Electric motorcycle",$D40=2),$E40*'RO '!D$29,AND($C40="Electric bike",$D40=1),$E40*'RO '!D$31,AND($C40="Electric scooter",$D40=1),$E40*'RO '!D$33,AND($C40="Bus",$D40="Almost empty"),$E40*'RO '!I$23,AND($C40="Bus",$D40="Average"),$E40*'RO '!I$24,AND($C40="Bus",$D40="Nearly full"),$E40*'RO '!I$25,AND($C40="Electric bus",$D40="Almost empty"),$E40*'RO '!I$7,AND($C40="Electric bus",$D40="Average"),$E40*'RO '!I$8,AND($C40="Electric bus",$D40="Nearly full"),$E40*'RO '!I$9,AND($C40="Diesel bus",$D40="Almost empty"),$E40*'RO '!I$19,AND($C40="Diesel bus",$D40="Average"),$E40*'RO '!I$20,AND($C40="Diesel bus",$D40="Nearly full"),$E40*'RO '!I$21,AND($C40="Hybrid-electric bus",$D40="Almost empty"),$E40*'RO '!I$11,AND($C40="Hybrid-electric bus",$D40="Average"),$E40*'RO '!I$12,AND($C40="Hybrid-electric bus",$D40="Nearly full"),$E40*'RO '!I$13,AND($C40="Alternative fuel bus",$D40="Almost empty"),$E40*'RO '!I$15,AND($C40="Alternative fuel bus",$D40="Average"),$E40*'RO '!I$16,AND($C40="Alternative fuel bus",$D40="Nearly full"),$E40*'RO '!I$17,AND($C40="Metro, tram, urban light train",$D40="Almost empty"),$E40*'RO '!D$35,AND($C40="Metro, tram, urban light train",$D40="Average"),$E40*'RO '!D$36,AND($C40="Metro, tram, urban light train",$D40="Nearly full"),$E40*'RO '!D$37,AND($C40="Electric passenger train",$D40="Almost empty"),$E40*'RO '!D$39,AND($C40="Electric passenger train",$D40="Average"),$E40*'RO '!D$40,AND($C40="Electric passenger train",$D40="Nearly full"),$E40*'RO '!D$41,AND($C40="Diesel passenger train",$D40="Almost empty"),$E40*'RO '!D$47,AND($C40="Diesel passenger train",$D40="Average"),$E40*'RO '!D$48,AND($C40="Diesel passenger train",$D40="Nearly full"),$E40*'RO '!D$49,AND($C40="Walking"),$E40*0,AND($C40="Bike"),$E40*0,AND($C40="Plane - domestic flight"),$E40*'RO '!$C64,AND($C40="Plane - international - intra EU"),$E40*'RO '!$C66,AND($C40="Plane - international (extra EU)"),$E40*'RO '!$C68)</f>
        <v>#N/A</v>
      </c>
      <c r="H40" s="145"/>
      <c r="I40" s="148">
        <f t="shared" si="6"/>
        <v>0</v>
      </c>
      <c r="J40" s="146" t="e" cm="1">
        <f t="array" ref="J40">_xlfn.IFS(C40="Fuel car",C40*DATA!$C$17,C40="Electric car",C40*DATA!$F$26,C40="Hybrid car",I40*(0.5*DATA!$C$17+0.5*DATA!$F$26))</f>
        <v>#N/A</v>
      </c>
      <c r="L40" s="229"/>
      <c r="M40" s="230"/>
      <c r="N40" s="231"/>
    </row>
    <row r="41" spans="1:14" ht="14.5" customHeight="1" x14ac:dyDescent="0.2">
      <c r="A41" s="222"/>
      <c r="B41" s="30"/>
      <c r="C41" s="15"/>
      <c r="D41" s="15"/>
      <c r="E41" s="125"/>
      <c r="F41" s="128" t="e" cm="1">
        <f t="array" ref="F41">_xlfn.IFS(AND($C41="Fuel car",$D41=1),$E41*'RO '!C$7,AND($C41="Fuel car",$D41=2),$E41*'RO '!C$8,AND($C41="Fuel car",$D41=3),$E41*'RO '!C$9,AND($C41="Fuel car",$D41=4),$E41*'RO '!C$10,AND($C41="Fuel car",$D41=5),$E41*'RO '!C$11,AND($C41="Motorcycle",$D41=1),$E41*'RO '!C$13,AND($C41="Motorcycle",$D41=2),$E41*'RO '!C$14,AND($C41="Electric car",$D41=1),$E41*'RO '!C$16,AND($C41="Electric car",$D41=2),$E41*'RO '!C$17,AND($C41="Electric car",$D41=3),$E41*'RO '!C$18,AND($C41="Electric car",$D41=4),$E41*'RO '!C$19,AND($C41="Electric car",$D41=5),$E41*'RO '!C$20,AND($C41="Hybrid car",$D41=1),$E41*'RO '!C$22,AND($C41="Hybrid car",$D41=2),$E41*'RO '!C$23,AND($C41="Hybrid car",$D41=3),$E41*'RO '!C$24,AND($C41="Hybrid car",$D41=4),$E41*'RO '!C$25,AND($C41="Hybrid car",$D41=5),$E41*'RO '!C$26,AND($C41="Electric motorcycle",$D41=1),$E41*'RO '!C$28,AND($C41="Electric motorcycle",$D41=2),$E41*'RO '!C$29,AND($C41="Electric bike",$D41=1),$E41*'RO '!C$31,AND($C41="Electric scooter",$D41=1),$E41*'RO '!C$33,AND($C41="Bus",$D41="Almost empty"),$E41*'RO '!H$23,AND($C41="Bus",$D41="Average"),$E41*'RO '!H$24,AND($C41="Bus",$D41="Nearly full"),$E41*'RO '!H$25,AND($C41="Electric bus",$D41="Almost empty"),$E41*'RO '!H$7,AND($C41="Electric bus",$D41="Average"),$E41*'RO '!H$8,AND($C41="Electric bus",$D41="Nearly full"),$E41*'RO '!H$9,AND($C41="Diesel bus",$D41="Almost empty"),$E41*'RO '!H$19,AND($C41="Diesel bus",$D41="Average"),$E41*'RO '!H$20,AND($C41="Diesel bus",$D41="Nearly full"),$E41*'RO '!H$21,AND($C41="Hybrid-electric bus",$D41="Almost empty"),$E41*'RO '!H$11,AND($C41="Hybrid-electric bus",$D41="Average"),$E41*'RO '!H$12,AND($C41="Hybrid-electric bus",$D41="Nearly full"),$E41*'RO '!H$13,AND($C41="Alternative fuel bus",$D41="Almost empty"),$E41*'RO '!H$15,AND($C41="Alternative fuel bus",$D41="Average"),$E41*'RO '!H$16,AND($C41="Alternative fuel bus",$D41="Nearly full"),$E41*'RO '!H$17,AND($C41="Metro, tram, urban light train",$D41="Almost empty"),$E41*'RO '!C$35,AND($C41="Metro, tram, urban light train",$D41="Average"),$E41*'RO '!C$36,AND($C41="Metro, tram, urban light train",$D41="Nearly full"),$E41*'RO '!C$37,AND($C41="Electric passenger train",$D41="Almost empty"),$E41*'RO '!C$39,AND($C41="Electric passenger train",$D41="Average"),$E41*'RO '!C$40,AND($C41="Electric passenger train",$D41="Nearly full"),$E41*'RO '!C$41,AND($C41="Diesel passenger train",$D41="Almost empty"),$E41*'RO '!C$47,AND($C41="Diesel passenger train",$D41="Average"),$E41*'RO '!C$48,AND($C41="Diesel passenger train",$D41="Nearly full"),$E41*'RO '!C$49,AND($C41="Walking"),$E41*0,AND($C41="Bike"),$E41*0,AND($C41="Plane - domestic flight"),$E41*'RO '!$C65,AND($C41="Plane - international - intra EU"),$E41*'RO '!$C67,AND($C41="Plane - international (extra EU)"),$E41*'RO '!$C69)</f>
        <v>#N/A</v>
      </c>
      <c r="G41" s="31" t="e" cm="1">
        <f t="array" ref="G41">_xlfn.IFS(AND($C41="Fuel car",$D41=1),$E41*'RO '!D$7,AND($C41="Fuel car",$D41=2),$E41*'RO '!D$8,AND($C41="Fuel car",$D41=3),$E41*'RO '!D$9,AND($C41="Fuel car",$D41=4),$E41*'RO '!D$10,AND($C41="Fuel car",$D41=5),$E41*'RO '!D$11,AND($C41="Motorcycle",$D41=1),$E41*'RO '!D$13,AND($C41="Motorcycle",$D41=2),$E41*'RO '!D$14,AND($C41="Electric car",$D41=1),$E41*'RO '!D$16,AND($C41="Electric car",$D41=2),$E41*'RO '!D$17,AND($C41="Electric car",$D41=3),$E41*'RO '!D$18,AND($C41="Electric car",$D41=4),$E41*'RO '!D$19,AND($C41="Electric car",$D41=5),$E41*'RO '!D$20,AND($C41="Hybrid car",$D41=1),$E41*'RO '!D$22,AND($C41="Hybrid car",$D41=2),$E41*'RO '!D$23,AND($C41="Hybrid car",$D41=3),$E41*'RO '!D$24,AND($C41="Hybrid car",$D41=4),$E41*'RO '!D$25,AND($C41="Hybrid car",$D41=5),$E41*'RO '!D$26,AND($C41="Electric motorcycle",$D41=1),$E41*'RO '!D$28,AND($C41="Electric motorcycle",$D41=2),$E41*'RO '!D$29,AND($C41="Electric bike",$D41=1),$E41*'RO '!D$31,AND($C41="Electric scooter",$D41=1),$E41*'RO '!D$33,AND($C41="Bus",$D41="Almost empty"),$E41*'RO '!I$23,AND($C41="Bus",$D41="Average"),$E41*'RO '!I$24,AND($C41="Bus",$D41="Nearly full"),$E41*'RO '!I$25,AND($C41="Electric bus",$D41="Almost empty"),$E41*'RO '!I$7,AND($C41="Electric bus",$D41="Average"),$E41*'RO '!I$8,AND($C41="Electric bus",$D41="Nearly full"),$E41*'RO '!I$9,AND($C41="Diesel bus",$D41="Almost empty"),$E41*'RO '!I$19,AND($C41="Diesel bus",$D41="Average"),$E41*'RO '!I$20,AND($C41="Diesel bus",$D41="Nearly full"),$E41*'RO '!I$21,AND($C41="Hybrid-electric bus",$D41="Almost empty"),$E41*'RO '!I$11,AND($C41="Hybrid-electric bus",$D41="Average"),$E41*'RO '!I$12,AND($C41="Hybrid-electric bus",$D41="Nearly full"),$E41*'RO '!I$13,AND($C41="Alternative fuel bus",$D41="Almost empty"),$E41*'RO '!I$15,AND($C41="Alternative fuel bus",$D41="Average"),$E41*'RO '!I$16,AND($C41="Alternative fuel bus",$D41="Nearly full"),$E41*'RO '!I$17,AND($C41="Metro, tram, urban light train",$D41="Almost empty"),$E41*'RO '!D$35,AND($C41="Metro, tram, urban light train",$D41="Average"),$E41*'RO '!D$36,AND($C41="Metro, tram, urban light train",$D41="Nearly full"),$E41*'RO '!D$37,AND($C41="Electric passenger train",$D41="Almost empty"),$E41*'RO '!D$39,AND($C41="Electric passenger train",$D41="Average"),$E41*'RO '!D$40,AND($C41="Electric passenger train",$D41="Nearly full"),$E41*'RO '!D$41,AND($C41="Diesel passenger train",$D41="Almost empty"),$E41*'RO '!D$47,AND($C41="Diesel passenger train",$D41="Average"),$E41*'RO '!D$48,AND($C41="Diesel passenger train",$D41="Nearly full"),$E41*'RO '!D$49,AND($C41="Walking"),$E41*0,AND($C41="Bike"),$E41*0,AND($C41="Plane - domestic flight"),$E41*'RO '!$C65,AND($C41="Plane - international - intra EU"),$E41*'RO '!$C67,AND($C41="Plane - international (extra EU)"),$E41*'RO '!$C69)</f>
        <v>#N/A</v>
      </c>
      <c r="H41" s="145"/>
      <c r="I41" s="148">
        <f t="shared" si="6"/>
        <v>0</v>
      </c>
      <c r="J41" s="146" t="e" cm="1">
        <f t="array" ref="J41">_xlfn.IFS(C41="Fuel car",C41*DATA!$C$17,C41="Electric car",C41*DATA!$F$26,C41="Hybrid car",I41*(0.5*DATA!$C$17+0.5*DATA!$F$26))</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car",$D42=1),$E42*'RO '!C$7,AND($C42="Fuel car",$D42=2),$E42*'RO '!C$8,AND($C42="Fuel car",$D42=3),$E42*'RO '!C$9,AND($C42="Fuel car",$D42=4),$E42*'RO '!C$10,AND($C42="Fuel car",$D42=5),$E42*'RO '!C$11,AND($C42="Motorcycle",$D42=1),$E42*'RO '!C$13,AND($C42="Motorcycle",$D42=2),$E42*'RO '!C$14,AND($C42="Electric car",$D42=1),$E42*'RO '!C$16,AND($C42="Electric car",$D42=2),$E42*'RO '!C$17,AND($C42="Electric car",$D42=3),$E42*'RO '!C$18,AND($C42="Electric car",$D42=4),$E42*'RO '!C$19,AND($C42="Electric car",$D42=5),$E42*'RO '!C$20,AND($C42="Hybrid car",$D42=1),$E42*'RO '!C$22,AND($C42="Hybrid car",$D42=2),$E42*'RO '!C$23,AND($C42="Hybrid car",$D42=3),$E42*'RO '!C$24,AND($C42="Hybrid car",$D42=4),$E42*'RO '!C$25,AND($C42="Hybrid car",$D42=5),$E42*'RO '!C$26,AND($C42="Electric motorcycle",$D42=1),$E42*'RO '!C$28,AND($C42="Electric motorcycle",$D42=2),$E42*'RO '!C$29,AND($C42="Electric bike",$D42=1),$E42*'RO '!C$31,AND($C42="Electric scooter",$D42=1),$E42*'RO '!C$33,AND($C42="Bus",$D42="Almost empty"),$E42*'RO '!H$23,AND($C42="Bus",$D42="Average"),$E42*'RO '!H$24,AND($C42="Bus",$D42="Nearly full"),$E42*'RO '!H$25,AND($C42="Electric bus",$D42="Almost empty"),$E42*'RO '!H$7,AND($C42="Electric bus",$D42="Average"),$E42*'RO '!H$8,AND($C42="Electric bus",$D42="Nearly full"),$E42*'RO '!H$9,AND($C42="Diesel bus",$D42="Almost empty"),$E42*'RO '!H$19,AND($C42="Diesel bus",$D42="Average"),$E42*'RO '!H$20,AND($C42="Diesel bus",$D42="Nearly full"),$E42*'RO '!H$21,AND($C42="Hybrid-electric bus",$D42="Almost empty"),$E42*'RO '!H$11,AND($C42="Hybrid-electric bus",$D42="Average"),$E42*'RO '!H$12,AND($C42="Hybrid-electric bus",$D42="Nearly full"),$E42*'RO '!H$13,AND($C42="Alternative fuel bus",$D42="Almost empty"),$E42*'RO '!H$15,AND($C42="Alternative fuel bus",$D42="Average"),$E42*'RO '!H$16,AND($C42="Alternative fuel bus",$D42="Nearly full"),$E42*'RO '!H$17,AND($C42="Metro, tram, urban light train",$D42="Almost empty"),$E42*'RO '!C$35,AND($C42="Metro, tram, urban light train",$D42="Average"),$E42*'RO '!C$36,AND($C42="Metro, tram, urban light train",$D42="Nearly full"),$E42*'RO '!C$37,AND($C42="Electric passenger train",$D42="Almost empty"),$E42*'RO '!C$39,AND($C42="Electric passenger train",$D42="Average"),$E42*'RO '!C$40,AND($C42="Electric passenger train",$D42="Nearly full"),$E42*'RO '!C$41,AND($C42="Diesel passenger train",$D42="Almost empty"),$E42*'RO '!C$47,AND($C42="Diesel passenger train",$D42="Average"),$E42*'RO '!C$48,AND($C42="Diesel passenger train",$D42="Nearly full"),$E42*'RO '!C$49,AND($C42="Walking"),$E42*0,AND($C42="Bike"),$E42*0,AND($C42="Plane - domestic flight"),$E42*'RO '!$C66,AND($C42="Plane - international - intra EU"),$E42*'RO '!$C68,AND($C42="Plane - international (extra EU)"),$E42*'RO '!$C70)</f>
        <v>#N/A</v>
      </c>
      <c r="G42" s="31" t="e" cm="1">
        <f t="array" ref="G42">_xlfn.IFS(AND($C42="Fuel car",$D42=1),$E42*'RO '!D$7,AND($C42="Fuel car",$D42=2),$E42*'RO '!D$8,AND($C42="Fuel car",$D42=3),$E42*'RO '!D$9,AND($C42="Fuel car",$D42=4),$E42*'RO '!D$10,AND($C42="Fuel car",$D42=5),$E42*'RO '!D$11,AND($C42="Motorcycle",$D42=1),$E42*'RO '!D$13,AND($C42="Motorcycle",$D42=2),$E42*'RO '!D$14,AND($C42="Electric car",$D42=1),$E42*'RO '!D$16,AND($C42="Electric car",$D42=2),$E42*'RO '!D$17,AND($C42="Electric car",$D42=3),$E42*'RO '!D$18,AND($C42="Electric car",$D42=4),$E42*'RO '!D$19,AND($C42="Electric car",$D42=5),$E42*'RO '!D$20,AND($C42="Hybrid car",$D42=1),$E42*'RO '!D$22,AND($C42="Hybrid car",$D42=2),$E42*'RO '!D$23,AND($C42="Hybrid car",$D42=3),$E42*'RO '!D$24,AND($C42="Hybrid car",$D42=4),$E42*'RO '!D$25,AND($C42="Hybrid car",$D42=5),$E42*'RO '!D$26,AND($C42="Electric motorcycle",$D42=1),$E42*'RO '!D$28,AND($C42="Electric motorcycle",$D42=2),$E42*'RO '!D$29,AND($C42="Electric bike",$D42=1),$E42*'RO '!D$31,AND($C42="Electric scooter",$D42=1),$E42*'RO '!D$33,AND($C42="Bus",$D42="Almost empty"),$E42*'RO '!I$23,AND($C42="Bus",$D42="Average"),$E42*'RO '!I$24,AND($C42="Bus",$D42="Nearly full"),$E42*'RO '!I$25,AND($C42="Electric bus",$D42="Almost empty"),$E42*'RO '!I$7,AND($C42="Electric bus",$D42="Average"),$E42*'RO '!I$8,AND($C42="Electric bus",$D42="Nearly full"),$E42*'RO '!I$9,AND($C42="Diesel bus",$D42="Almost empty"),$E42*'RO '!I$19,AND($C42="Diesel bus",$D42="Average"),$E42*'RO '!I$20,AND($C42="Diesel bus",$D42="Nearly full"),$E42*'RO '!I$21,AND($C42="Hybrid-electric bus",$D42="Almost empty"),$E42*'RO '!I$11,AND($C42="Hybrid-electric bus",$D42="Average"),$E42*'RO '!I$12,AND($C42="Hybrid-electric bus",$D42="Nearly full"),$E42*'RO '!I$13,AND($C42="Alternative fuel bus",$D42="Almost empty"),$E42*'RO '!I$15,AND($C42="Alternative fuel bus",$D42="Average"),$E42*'RO '!I$16,AND($C42="Alternative fuel bus",$D42="Nearly full"),$E42*'RO '!I$17,AND($C42="Metro, tram, urban light train",$D42="Almost empty"),$E42*'RO '!D$35,AND($C42="Metro, tram, urban light train",$D42="Average"),$E42*'RO '!D$36,AND($C42="Metro, tram, urban light train",$D42="Nearly full"),$E42*'RO '!D$37,AND($C42="Electric passenger train",$D42="Almost empty"),$E42*'RO '!D$39,AND($C42="Electric passenger train",$D42="Average"),$E42*'RO '!D$40,AND($C42="Electric passenger train",$D42="Nearly full"),$E42*'RO '!D$41,AND($C42="Diesel passenger train",$D42="Almost empty"),$E42*'RO '!D$47,AND($C42="Diesel passenger train",$D42="Average"),$E42*'RO '!D$48,AND($C42="Diesel passenger train",$D42="Nearly full"),$E42*'RO '!D$49,AND($C42="Walking"),$E42*0,AND($C42="Bike"),$E42*0,AND($C42="Plane - domestic flight"),$E42*'RO '!$C66,AND($C42="Plane - international - intra EU"),$E42*'RO '!$C68,AND($C42="Plane - international (extra EU)"),$E42*'RO '!$C70)</f>
        <v>#N/A</v>
      </c>
      <c r="H42" s="145"/>
      <c r="I42" s="148">
        <f t="shared" si="6"/>
        <v>0</v>
      </c>
      <c r="J42" s="146" t="e" cm="1">
        <f t="array" ref="J42">_xlfn.IFS(C42="Fuel car",C42*DATA!$C$17,C42="Electric car",C42*DATA!$F$26,C42="Hybrid car",I42*(0.5*DATA!$C$17+0.5*DATA!$F$26))</f>
        <v>#N/A</v>
      </c>
      <c r="L42" s="235"/>
      <c r="M42" s="236"/>
      <c r="N42" s="237"/>
    </row>
    <row r="43" spans="1:14" ht="14.5" customHeight="1" thickBot="1" x14ac:dyDescent="0.25">
      <c r="A43" s="222"/>
      <c r="B43" s="30"/>
      <c r="C43" s="15"/>
      <c r="D43" s="15"/>
      <c r="E43" s="125"/>
      <c r="F43" s="128" t="e" cm="1">
        <f t="array" ref="F43">_xlfn.IFS(AND($C43="Fuel car",$D43=1),$E43*'RO '!C$7,AND($C43="Fuel car",$D43=2),$E43*'RO '!C$8,AND($C43="Fuel car",$D43=3),$E43*'RO '!C$9,AND($C43="Fuel car",$D43=4),$E43*'RO '!C$10,AND($C43="Fuel car",$D43=5),$E43*'RO '!C$11,AND($C43="Motorcycle",$D43=1),$E43*'RO '!C$13,AND($C43="Motorcycle",$D43=2),$E43*'RO '!C$14,AND($C43="Electric car",$D43=1),$E43*'RO '!C$16,AND($C43="Electric car",$D43=2),$E43*'RO '!C$17,AND($C43="Electric car",$D43=3),$E43*'RO '!C$18,AND($C43="Electric car",$D43=4),$E43*'RO '!C$19,AND($C43="Electric car",$D43=5),$E43*'RO '!C$20,AND($C43="Hybrid car",$D43=1),$E43*'RO '!C$22,AND($C43="Hybrid car",$D43=2),$E43*'RO '!C$23,AND($C43="Hybrid car",$D43=3),$E43*'RO '!C$24,AND($C43="Hybrid car",$D43=4),$E43*'RO '!C$25,AND($C43="Hybrid car",$D43=5),$E43*'RO '!C$26,AND($C43="Electric motorcycle",$D43=1),$E43*'RO '!C$28,AND($C43="Electric motorcycle",$D43=2),$E43*'RO '!C$29,AND($C43="Electric bike",$D43=1),$E43*'RO '!C$31,AND($C43="Electric scooter",$D43=1),$E43*'RO '!C$33,AND($C43="Bus",$D43="Almost empty"),$E43*'RO '!H$23,AND($C43="Bus",$D43="Average"),$E43*'RO '!H$24,AND($C43="Bus",$D43="Nearly full"),$E43*'RO '!H$25,AND($C43="Electric bus",$D43="Almost empty"),$E43*'RO '!H$7,AND($C43="Electric bus",$D43="Average"),$E43*'RO '!H$8,AND($C43="Electric bus",$D43="Nearly full"),$E43*'RO '!H$9,AND($C43="Diesel bus",$D43="Almost empty"),$E43*'RO '!H$19,AND($C43="Diesel bus",$D43="Average"),$E43*'RO '!H$20,AND($C43="Diesel bus",$D43="Nearly full"),$E43*'RO '!H$21,AND($C43="Hybrid-electric bus",$D43="Almost empty"),$E43*'RO '!H$11,AND($C43="Hybrid-electric bus",$D43="Average"),$E43*'RO '!H$12,AND($C43="Hybrid-electric bus",$D43="Nearly full"),$E43*'RO '!H$13,AND($C43="Alternative fuel bus",$D43="Almost empty"),$E43*'RO '!H$15,AND($C43="Alternative fuel bus",$D43="Average"),$E43*'RO '!H$16,AND($C43="Alternative fuel bus",$D43="Nearly full"),$E43*'RO '!H$17,AND($C43="Metro, tram, urban light train",$D43="Almost empty"),$E43*'RO '!C$35,AND($C43="Metro, tram, urban light train",$D43="Average"),$E43*'RO '!C$36,AND($C43="Metro, tram, urban light train",$D43="Nearly full"),$E43*'RO '!C$37,AND($C43="Electric passenger train",$D43="Almost empty"),$E43*'RO '!C$39,AND($C43="Electric passenger train",$D43="Average"),$E43*'RO '!C$40,AND($C43="Electric passenger train",$D43="Nearly full"),$E43*'RO '!C$41,AND($C43="Diesel passenger train",$D43="Almost empty"),$E43*'RO '!C$47,AND($C43="Diesel passenger train",$D43="Average"),$E43*'RO '!C$48,AND($C43="Diesel passenger train",$D43="Nearly full"),$E43*'RO '!C$49,AND($C43="Walking"),$E43*0,AND($C43="Bike"),$E43*0,AND($C43="Plane - domestic flight"),$E43*'RO '!$C67,AND($C43="Plane - international - intra EU"),$E43*'RO '!$C69,AND($C43="Plane - international (extra EU)"),$E43*'RO '!$C71)</f>
        <v>#N/A</v>
      </c>
      <c r="G43" s="31" t="e" cm="1">
        <f t="array" ref="G43">_xlfn.IFS(AND($C43="Fuel car",$D43=1),$E43*'RO '!D$7,AND($C43="Fuel car",$D43=2),$E43*'RO '!D$8,AND($C43="Fuel car",$D43=3),$E43*'RO '!D$9,AND($C43="Fuel car",$D43=4),$E43*'RO '!D$10,AND($C43="Fuel car",$D43=5),$E43*'RO '!D$11,AND($C43="Motorcycle",$D43=1),$E43*'RO '!D$13,AND($C43="Motorcycle",$D43=2),$E43*'RO '!D$14,AND($C43="Electric car",$D43=1),$E43*'RO '!D$16,AND($C43="Electric car",$D43=2),$E43*'RO '!D$17,AND($C43="Electric car",$D43=3),$E43*'RO '!D$18,AND($C43="Electric car",$D43=4),$E43*'RO '!D$19,AND($C43="Electric car",$D43=5),$E43*'RO '!D$20,AND($C43="Hybrid car",$D43=1),$E43*'RO '!D$22,AND($C43="Hybrid car",$D43=2),$E43*'RO '!D$23,AND($C43="Hybrid car",$D43=3),$E43*'RO '!D$24,AND($C43="Hybrid car",$D43=4),$E43*'RO '!D$25,AND($C43="Hybrid car",$D43=5),$E43*'RO '!D$26,AND($C43="Electric motorcycle",$D43=1),$E43*'RO '!D$28,AND($C43="Electric motorcycle",$D43=2),$E43*'RO '!D$29,AND($C43="Electric bike",$D43=1),$E43*'RO '!D$31,AND($C43="Electric scooter",$D43=1),$E43*'RO '!D$33,AND($C43="Bus",$D43="Almost empty"),$E43*'RO '!I$23,AND($C43="Bus",$D43="Average"),$E43*'RO '!I$24,AND($C43="Bus",$D43="Nearly full"),$E43*'RO '!I$25,AND($C43="Electric bus",$D43="Almost empty"),$E43*'RO '!I$7,AND($C43="Electric bus",$D43="Average"),$E43*'RO '!I$8,AND($C43="Electric bus",$D43="Nearly full"),$E43*'RO '!I$9,AND($C43="Diesel bus",$D43="Almost empty"),$E43*'RO '!I$19,AND($C43="Diesel bus",$D43="Average"),$E43*'RO '!I$20,AND($C43="Diesel bus",$D43="Nearly full"),$E43*'RO '!I$21,AND($C43="Hybrid-electric bus",$D43="Almost empty"),$E43*'RO '!I$11,AND($C43="Hybrid-electric bus",$D43="Average"),$E43*'RO '!I$12,AND($C43="Hybrid-electric bus",$D43="Nearly full"),$E43*'RO '!I$13,AND($C43="Alternative fuel bus",$D43="Almost empty"),$E43*'RO '!I$15,AND($C43="Alternative fuel bus",$D43="Average"),$E43*'RO '!I$16,AND($C43="Alternative fuel bus",$D43="Nearly full"),$E43*'RO '!I$17,AND($C43="Metro, tram, urban light train",$D43="Almost empty"),$E43*'RO '!D$35,AND($C43="Metro, tram, urban light train",$D43="Average"),$E43*'RO '!D$36,AND($C43="Metro, tram, urban light train",$D43="Nearly full"),$E43*'RO '!D$37,AND($C43="Electric passenger train",$D43="Almost empty"),$E43*'RO '!D$39,AND($C43="Electric passenger train",$D43="Average"),$E43*'RO '!D$40,AND($C43="Electric passenger train",$D43="Nearly full"),$E43*'RO '!D$41,AND($C43="Diesel passenger train",$D43="Almost empty"),$E43*'RO '!D$47,AND($C43="Diesel passenger train",$D43="Average"),$E43*'RO '!D$48,AND($C43="Diesel passenger train",$D43="Nearly full"),$E43*'RO '!D$49,AND($C43="Walking"),$E43*0,AND($C43="Bike"),$E43*0,AND($C43="Plane - domestic flight"),$E43*'RO '!$C67,AND($C43="Plane - international - intra EU"),$E43*'RO '!$C69,AND($C43="Plane - international (extra EU)"),$E43*'RO '!$C71)</f>
        <v>#N/A</v>
      </c>
      <c r="H43" s="109"/>
      <c r="I43" s="154">
        <f t="shared" si="6"/>
        <v>0</v>
      </c>
      <c r="J43" s="147" t="e" cm="1">
        <f t="array" ref="J43">_xlfn.IFS(C43="Fuel car",C43*DATA!$C$17,C43="Electric car",C43*DATA!$F$26,C43="Hybrid car",I43*(0.5*DATA!$C$17+0.5*DATA!$F$26))</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car",$D44=1),$E44*'RO '!C$7,AND($C44="Fuel car",$D44=2),$E44*'RO '!C$8,AND($C44="Fuel car",$D44=3),$E44*'RO '!C$9,AND($C44="Fuel car",$D44=4),$E44*'RO '!C$10,AND($C44="Fuel car",$D44=5),$E44*'RO '!C$11,AND($C44="Motorcycle",$D44=1),$E44*'RO '!C$13,AND($C44="Motorcycle",$D44=2),$E44*'RO '!C$14,AND($C44="Electric car",$D44=1),$E44*'RO '!C$16,AND($C44="Electric car",$D44=2),$E44*'RO '!C$17,AND($C44="Electric car",$D44=3),$E44*'RO '!C$18,AND($C44="Electric car",$D44=4),$E44*'RO '!C$19,AND($C44="Electric car",$D44=5),$E44*'RO '!C$20,AND($C44="Hybrid car",$D44=1),$E44*'RO '!C$22,AND($C44="Hybrid car",$D44=2),$E44*'RO '!C$23,AND($C44="Hybrid car",$D44=3),$E44*'RO '!C$24,AND($C44="Hybrid car",$D44=4),$E44*'RO '!C$25,AND($C44="Hybrid car",$D44=5),$E44*'RO '!C$26,AND($C44="Electric motorcycle",$D44=1),$E44*'RO '!C$28,AND($C44="Electric motorcycle",$D44=2),$E44*'RO '!C$29,AND($C44="Electric bike",$D44=1),$E44*'RO '!C$31,AND($C44="Electric scooter",$D44=1),$E44*'RO '!C$33,AND($C44="Bus",$D44="Almost empty"),$E44*'RO '!H$23,AND($C44="Bus",$D44="Average"),$E44*'RO '!H$24,AND($C44="Bus",$D44="Nearly full"),$E44*'RO '!H$25,AND($C44="Electric bus",$D44="Almost empty"),$E44*'RO '!H$7,AND($C44="Electric bus",$D44="Average"),$E44*'RO '!H$8,AND($C44="Electric bus",$D44="Nearly full"),$E44*'RO '!H$9,AND($C44="Diesel bus",$D44="Almost empty"),$E44*'RO '!H$19,AND($C44="Diesel bus",$D44="Average"),$E44*'RO '!H$20,AND($C44="Diesel bus",$D44="Nearly full"),$E44*'RO '!H$21,AND($C44="Hybrid-electric bus",$D44="Almost empty"),$E44*'RO '!H$11,AND($C44="Hybrid-electric bus",$D44="Average"),$E44*'RO '!H$12,AND($C44="Hybrid-electric bus",$D44="Nearly full"),$E44*'RO '!H$13,AND($C44="Alternative fuel bus",$D44="Almost empty"),$E44*'RO '!H$15,AND($C44="Alternative fuel bus",$D44="Average"),$E44*'RO '!H$16,AND($C44="Alternative fuel bus",$D44="Nearly full"),$E44*'RO '!H$17,AND($C44="Metro, tram, urban light train",$D44="Almost empty"),$E44*'RO '!C$35,AND($C44="Metro, tram, urban light train",$D44="Average"),$E44*'RO '!C$36,AND($C44="Metro, tram, urban light train",$D44="Nearly full"),$E44*'RO '!C$37,AND($C44="Electric passenger train",$D44="Almost empty"),$E44*'RO '!C$39,AND($C44="Electric passenger train",$D44="Average"),$E44*'RO '!C$40,AND($C44="Electric passenger train",$D44="Nearly full"),$E44*'RO '!C$41,AND($C44="Diesel passenger train",$D44="Almost empty"),$E44*'RO '!C$47,AND($C44="Diesel passenger train",$D44="Average"),$E44*'RO '!C$48,AND($C44="Diesel passenger train",$D44="Nearly full"),$E44*'RO '!C$49,AND($C44="Walking"),$E44*0,AND($C44="Bike"),$E44*0,AND($C44="Plane - domestic flight"),$E44*'RO '!$C68,AND($C44="Plane - international - intra EU"),$E44*'RO '!$C70,AND($C44="Plane - international (extra EU)"),$E44*'RO '!$C72)</f>
        <v>#N/A</v>
      </c>
      <c r="G44" s="31" t="e" cm="1">
        <f t="array" ref="G44">_xlfn.IFS(AND($C44="Fuel car",$D44=1),$E44*'RO '!D$7,AND($C44="Fuel car",$D44=2),$E44*'RO '!D$8,AND($C44="Fuel car",$D44=3),$E44*'RO '!D$9,AND($C44="Fuel car",$D44=4),$E44*'RO '!D$10,AND($C44="Fuel car",$D44=5),$E44*'RO '!D$11,AND($C44="Motorcycle",$D44=1),$E44*'RO '!D$13,AND($C44="Motorcycle",$D44=2),$E44*'RO '!D$14,AND($C44="Electric car",$D44=1),$E44*'RO '!D$16,AND($C44="Electric car",$D44=2),$E44*'RO '!D$17,AND($C44="Electric car",$D44=3),$E44*'RO '!D$18,AND($C44="Electric car",$D44=4),$E44*'RO '!D$19,AND($C44="Electric car",$D44=5),$E44*'RO '!D$20,AND($C44="Hybrid car",$D44=1),$E44*'RO '!D$22,AND($C44="Hybrid car",$D44=2),$E44*'RO '!D$23,AND($C44="Hybrid car",$D44=3),$E44*'RO '!D$24,AND($C44="Hybrid car",$D44=4),$E44*'RO '!D$25,AND($C44="Hybrid car",$D44=5),$E44*'RO '!D$26,AND($C44="Electric motorcycle",$D44=1),$E44*'RO '!D$28,AND($C44="Electric motorcycle",$D44=2),$E44*'RO '!D$29,AND($C44="Electric bike",$D44=1),$E44*'RO '!D$31,AND($C44="Electric scooter",$D44=1),$E44*'RO '!D$33,AND($C44="Bus",$D44="Almost empty"),$E44*'RO '!I$23,AND($C44="Bus",$D44="Average"),$E44*'RO '!I$24,AND($C44="Bus",$D44="Nearly full"),$E44*'RO '!I$25,AND($C44="Electric bus",$D44="Almost empty"),$E44*'RO '!I$7,AND($C44="Electric bus",$D44="Average"),$E44*'RO '!I$8,AND($C44="Electric bus",$D44="Nearly full"),$E44*'RO '!I$9,AND($C44="Diesel bus",$D44="Almost empty"),$E44*'RO '!I$19,AND($C44="Diesel bus",$D44="Average"),$E44*'RO '!I$20,AND($C44="Diesel bus",$D44="Nearly full"),$E44*'RO '!I$21,AND($C44="Hybrid-electric bus",$D44="Almost empty"),$E44*'RO '!I$11,AND($C44="Hybrid-electric bus",$D44="Average"),$E44*'RO '!I$12,AND($C44="Hybrid-electric bus",$D44="Nearly full"),$E44*'RO '!I$13,AND($C44="Alternative fuel bus",$D44="Almost empty"),$E44*'RO '!I$15,AND($C44="Alternative fuel bus",$D44="Average"),$E44*'RO '!I$16,AND($C44="Alternative fuel bus",$D44="Nearly full"),$E44*'RO '!I$17,AND($C44="Metro, tram, urban light train",$D44="Almost empty"),$E44*'RO '!D$35,AND($C44="Metro, tram, urban light train",$D44="Average"),$E44*'RO '!D$36,AND($C44="Metro, tram, urban light train",$D44="Nearly full"),$E44*'RO '!D$37,AND($C44="Electric passenger train",$D44="Almost empty"),$E44*'RO '!D$39,AND($C44="Electric passenger train",$D44="Average"),$E44*'RO '!D$40,AND($C44="Electric passenger train",$D44="Nearly full"),$E44*'RO '!D$41,AND($C44="Diesel passenger train",$D44="Almost empty"),$E44*'RO '!D$47,AND($C44="Diesel passenger train",$D44="Average"),$E44*'RO '!D$48,AND($C44="Diesel passenger train",$D44="Nearly full"),$E44*'RO '!D$49,AND($C44="Walking"),$E44*0,AND($C44="Bike"),$E44*0,AND($C44="Plane - domestic flight"),$E44*'RO '!$C68,AND($C44="Plane - international - intra EU"),$E44*'RO '!$C70,AND($C44="Plane - international (extra EU)"),$E44*'RO '!$C72)</f>
        <v>#N/A</v>
      </c>
      <c r="L44" s="218"/>
      <c r="M44" s="219"/>
      <c r="N44" s="220"/>
    </row>
    <row r="45" spans="1:14" ht="14.5" customHeight="1" x14ac:dyDescent="0.2">
      <c r="A45" s="222"/>
      <c r="B45" s="30"/>
      <c r="C45" s="15"/>
      <c r="D45" s="15"/>
      <c r="E45" s="125"/>
      <c r="F45" s="128" t="e" cm="1">
        <f t="array" ref="F45">_xlfn.IFS(AND($C45="Fuel car",$D45=1),$E45*'RO '!C$7,AND($C45="Fuel car",$D45=2),$E45*'RO '!C$8,AND($C45="Fuel car",$D45=3),$E45*'RO '!C$9,AND($C45="Fuel car",$D45=4),$E45*'RO '!C$10,AND($C45="Fuel car",$D45=5),$E45*'RO '!C$11,AND($C45="Motorcycle",$D45=1),$E45*'RO '!C$13,AND($C45="Motorcycle",$D45=2),$E45*'RO '!C$14,AND($C45="Electric car",$D45=1),$E45*'RO '!C$16,AND($C45="Electric car",$D45=2),$E45*'RO '!C$17,AND($C45="Electric car",$D45=3),$E45*'RO '!C$18,AND($C45="Electric car",$D45=4),$E45*'RO '!C$19,AND($C45="Electric car",$D45=5),$E45*'RO '!C$20,AND($C45="Hybrid car",$D45=1),$E45*'RO '!C$22,AND($C45="Hybrid car",$D45=2),$E45*'RO '!C$23,AND($C45="Hybrid car",$D45=3),$E45*'RO '!C$24,AND($C45="Hybrid car",$D45=4),$E45*'RO '!C$25,AND($C45="Hybrid car",$D45=5),$E45*'RO '!C$26,AND($C45="Electric motorcycle",$D45=1),$E45*'RO '!C$28,AND($C45="Electric motorcycle",$D45=2),$E45*'RO '!C$29,AND($C45="Electric bike",$D45=1),$E45*'RO '!C$31,AND($C45="Electric scooter",$D45=1),$E45*'RO '!C$33,AND($C45="Bus",$D45="Almost empty"),$E45*'RO '!H$23,AND($C45="Bus",$D45="Average"),$E45*'RO '!H$24,AND($C45="Bus",$D45="Nearly full"),$E45*'RO '!H$25,AND($C45="Electric bus",$D45="Almost empty"),$E45*'RO '!H$7,AND($C45="Electric bus",$D45="Average"),$E45*'RO '!H$8,AND($C45="Electric bus",$D45="Nearly full"),$E45*'RO '!H$9,AND($C45="Diesel bus",$D45="Almost empty"),$E45*'RO '!H$19,AND($C45="Diesel bus",$D45="Average"),$E45*'RO '!H$20,AND($C45="Diesel bus",$D45="Nearly full"),$E45*'RO '!H$21,AND($C45="Hybrid-electric bus",$D45="Almost empty"),$E45*'RO '!H$11,AND($C45="Hybrid-electric bus",$D45="Average"),$E45*'RO '!H$12,AND($C45="Hybrid-electric bus",$D45="Nearly full"),$E45*'RO '!H$13,AND($C45="Alternative fuel bus",$D45="Almost empty"),$E45*'RO '!H$15,AND($C45="Alternative fuel bus",$D45="Average"),$E45*'RO '!H$16,AND($C45="Alternative fuel bus",$D45="Nearly full"),$E45*'RO '!H$17,AND($C45="Metro, tram, urban light train",$D45="Almost empty"),$E45*'RO '!C$35,AND($C45="Metro, tram, urban light train",$D45="Average"),$E45*'RO '!C$36,AND($C45="Metro, tram, urban light train",$D45="Nearly full"),$E45*'RO '!C$37,AND($C45="Electric passenger train",$D45="Almost empty"),$E45*'RO '!C$39,AND($C45="Electric passenger train",$D45="Average"),$E45*'RO '!C$40,AND($C45="Electric passenger train",$D45="Nearly full"),$E45*'RO '!C$41,AND($C45="Diesel passenger train",$D45="Almost empty"),$E45*'RO '!C$47,AND($C45="Diesel passenger train",$D45="Average"),$E45*'RO '!C$48,AND($C45="Diesel passenger train",$D45="Nearly full"),$E45*'RO '!C$49,AND($C45="Walking"),$E45*0,AND($C45="Bike"),$E45*0,AND($C45="Plane - domestic flight"),$E45*'RO '!$C69,AND($C45="Plane - international - intra EU"),$E45*'RO '!$C71,AND($C45="Plane - international (extra EU)"),$E45*'RO '!$C73)</f>
        <v>#N/A</v>
      </c>
      <c r="G45" s="31" t="e" cm="1">
        <f t="array" ref="G45">_xlfn.IFS(AND($C45="Fuel car",$D45=1),$E45*'RO '!D$7,AND($C45="Fuel car",$D45=2),$E45*'RO '!D$8,AND($C45="Fuel car",$D45=3),$E45*'RO '!D$9,AND($C45="Fuel car",$D45=4),$E45*'RO '!D$10,AND($C45="Fuel car",$D45=5),$E45*'RO '!D$11,AND($C45="Motorcycle",$D45=1),$E45*'RO '!D$13,AND($C45="Motorcycle",$D45=2),$E45*'RO '!D$14,AND($C45="Electric car",$D45=1),$E45*'RO '!D$16,AND($C45="Electric car",$D45=2),$E45*'RO '!D$17,AND($C45="Electric car",$D45=3),$E45*'RO '!D$18,AND($C45="Electric car",$D45=4),$E45*'RO '!D$19,AND($C45="Electric car",$D45=5),$E45*'RO '!D$20,AND($C45="Hybrid car",$D45=1),$E45*'RO '!D$22,AND($C45="Hybrid car",$D45=2),$E45*'RO '!D$23,AND($C45="Hybrid car",$D45=3),$E45*'RO '!D$24,AND($C45="Hybrid car",$D45=4),$E45*'RO '!D$25,AND($C45="Hybrid car",$D45=5),$E45*'RO '!D$26,AND($C45="Electric motorcycle",$D45=1),$E45*'RO '!D$28,AND($C45="Electric motorcycle",$D45=2),$E45*'RO '!D$29,AND($C45="Electric bike",$D45=1),$E45*'RO '!D$31,AND($C45="Electric scooter",$D45=1),$E45*'RO '!D$33,AND($C45="Bus",$D45="Almost empty"),$E45*'RO '!I$23,AND($C45="Bus",$D45="Average"),$E45*'RO '!I$24,AND($C45="Bus",$D45="Nearly full"),$E45*'RO '!I$25,AND($C45="Electric bus",$D45="Almost empty"),$E45*'RO '!I$7,AND($C45="Electric bus",$D45="Average"),$E45*'RO '!I$8,AND($C45="Electric bus",$D45="Nearly full"),$E45*'RO '!I$9,AND($C45="Diesel bus",$D45="Almost empty"),$E45*'RO '!I$19,AND($C45="Diesel bus",$D45="Average"),$E45*'RO '!I$20,AND($C45="Diesel bus",$D45="Nearly full"),$E45*'RO '!I$21,AND($C45="Hybrid-electric bus",$D45="Almost empty"),$E45*'RO '!I$11,AND($C45="Hybrid-electric bus",$D45="Average"),$E45*'RO '!I$12,AND($C45="Hybrid-electric bus",$D45="Nearly full"),$E45*'RO '!I$13,AND($C45="Alternative fuel bus",$D45="Almost empty"),$E45*'RO '!I$15,AND($C45="Alternative fuel bus",$D45="Average"),$E45*'RO '!I$16,AND($C45="Alternative fuel bus",$D45="Nearly full"),$E45*'RO '!I$17,AND($C45="Metro, tram, urban light train",$D45="Almost empty"),$E45*'RO '!D$35,AND($C45="Metro, tram, urban light train",$D45="Average"),$E45*'RO '!D$36,AND($C45="Metro, tram, urban light train",$D45="Nearly full"),$E45*'RO '!D$37,AND($C45="Electric passenger train",$D45="Almost empty"),$E45*'RO '!D$39,AND($C45="Electric passenger train",$D45="Average"),$E45*'RO '!D$40,AND($C45="Electric passenger train",$D45="Nearly full"),$E45*'RO '!D$41,AND($C45="Diesel passenger train",$D45="Almost empty"),$E45*'RO '!D$47,AND($C45="Diesel passenger train",$D45="Average"),$E45*'RO '!D$48,AND($C45="Diesel passenger train",$D45="Nearly full"),$E45*'RO '!D$49,AND($C45="Walking"),$E45*0,AND($C45="Bike"),$E45*0,AND($C45="Plane - domestic flight"),$E45*'RO '!$C69,AND($C45="Plane - international - intra EU"),$E45*'RO '!$C71,AND($C45="Plane - international (extra EU)"),$E45*'RO '!$C73)</f>
        <v>#N/A</v>
      </c>
      <c r="L45" s="198" t="s">
        <v>256</v>
      </c>
      <c r="M45" s="199"/>
      <c r="N45" s="200"/>
    </row>
    <row r="46" spans="1:14" ht="16" thickBot="1" x14ac:dyDescent="0.25">
      <c r="A46" s="222"/>
      <c r="B46" s="30"/>
      <c r="C46" s="15"/>
      <c r="D46" s="15"/>
      <c r="E46" s="125"/>
      <c r="F46" s="128" t="e" cm="1">
        <f t="array" ref="F46">_xlfn.IFS(AND($C46="Fuel car",$D46=1),$E46*'RO '!C$7,AND($C46="Fuel car",$D46=2),$E46*'RO '!C$8,AND($C46="Fuel car",$D46=3),$E46*'RO '!C$9,AND($C46="Fuel car",$D46=4),$E46*'RO '!C$10,AND($C46="Fuel car",$D46=5),$E46*'RO '!C$11,AND($C46="Motorcycle",$D46=1),$E46*'RO '!C$13,AND($C46="Motorcycle",$D46=2),$E46*'RO '!C$14,AND($C46="Electric car",$D46=1),$E46*'RO '!C$16,AND($C46="Electric car",$D46=2),$E46*'RO '!C$17,AND($C46="Electric car",$D46=3),$E46*'RO '!C$18,AND($C46="Electric car",$D46=4),$E46*'RO '!C$19,AND($C46="Electric car",$D46=5),$E46*'RO '!C$20,AND($C46="Hybrid car",$D46=1),$E46*'RO '!C$22,AND($C46="Hybrid car",$D46=2),$E46*'RO '!C$23,AND($C46="Hybrid car",$D46=3),$E46*'RO '!C$24,AND($C46="Hybrid car",$D46=4),$E46*'RO '!C$25,AND($C46="Hybrid car",$D46=5),$E46*'RO '!C$26,AND($C46="Electric motorcycle",$D46=1),$E46*'RO '!C$28,AND($C46="Electric motorcycle",$D46=2),$E46*'RO '!C$29,AND($C46="Electric bike",$D46=1),$E46*'RO '!C$31,AND($C46="Electric scooter",$D46=1),$E46*'RO '!C$33,AND($C46="Bus",$D46="Almost empty"),$E46*'RO '!H$23,AND($C46="Bus",$D46="Average"),$E46*'RO '!H$24,AND($C46="Bus",$D46="Nearly full"),$E46*'RO '!H$25,AND($C46="Electric bus",$D46="Almost empty"),$E46*'RO '!H$7,AND($C46="Electric bus",$D46="Average"),$E46*'RO '!H$8,AND($C46="Electric bus",$D46="Nearly full"),$E46*'RO '!H$9,AND($C46="Diesel bus",$D46="Almost empty"),$E46*'RO '!H$19,AND($C46="Diesel bus",$D46="Average"),$E46*'RO '!H$20,AND($C46="Diesel bus",$D46="Nearly full"),$E46*'RO '!H$21,AND($C46="Hybrid-electric bus",$D46="Almost empty"),$E46*'RO '!H$11,AND($C46="Hybrid-electric bus",$D46="Average"),$E46*'RO '!H$12,AND($C46="Hybrid-electric bus",$D46="Nearly full"),$E46*'RO '!H$13,AND($C46="Alternative fuel bus",$D46="Almost empty"),$E46*'RO '!H$15,AND($C46="Alternative fuel bus",$D46="Average"),$E46*'RO '!H$16,AND($C46="Alternative fuel bus",$D46="Nearly full"),$E46*'RO '!H$17,AND($C46="Metro, tram, urban light train",$D46="Almost empty"),$E46*'RO '!C$35,AND($C46="Metro, tram, urban light train",$D46="Average"),$E46*'RO '!C$36,AND($C46="Metro, tram, urban light train",$D46="Nearly full"),$E46*'RO '!C$37,AND($C46="Electric passenger train",$D46="Almost empty"),$E46*'RO '!C$39,AND($C46="Electric passenger train",$D46="Average"),$E46*'RO '!C$40,AND($C46="Electric passenger train",$D46="Nearly full"),$E46*'RO '!C$41,AND($C46="Diesel passenger train",$D46="Almost empty"),$E46*'RO '!C$47,AND($C46="Diesel passenger train",$D46="Average"),$E46*'RO '!C$48,AND($C46="Diesel passenger train",$D46="Nearly full"),$E46*'RO '!C$49,AND($C46="Walking"),$E46*0,AND($C46="Bike"),$E46*0,AND($C46="Plane - domestic flight"),$E46*'RO '!$C70,AND($C46="Plane - international - intra EU"),$E46*'RO '!$C72,AND($C46="Plane - international (extra EU)"),$E46*'RO '!$C74)</f>
        <v>#N/A</v>
      </c>
      <c r="G46" s="31" t="e" cm="1">
        <f t="array" ref="G46">_xlfn.IFS(AND($C46="Fuel car",$D46=1),$E46*'RO '!D$7,AND($C46="Fuel car",$D46=2),$E46*'RO '!D$8,AND($C46="Fuel car",$D46=3),$E46*'RO '!D$9,AND($C46="Fuel car",$D46=4),$E46*'RO '!D$10,AND($C46="Fuel car",$D46=5),$E46*'RO '!D$11,AND($C46="Motorcycle",$D46=1),$E46*'RO '!D$13,AND($C46="Motorcycle",$D46=2),$E46*'RO '!D$14,AND($C46="Electric car",$D46=1),$E46*'RO '!D$16,AND($C46="Electric car",$D46=2),$E46*'RO '!D$17,AND($C46="Electric car",$D46=3),$E46*'RO '!D$18,AND($C46="Electric car",$D46=4),$E46*'RO '!D$19,AND($C46="Electric car",$D46=5),$E46*'RO '!D$20,AND($C46="Hybrid car",$D46=1),$E46*'RO '!D$22,AND($C46="Hybrid car",$D46=2),$E46*'RO '!D$23,AND($C46="Hybrid car",$D46=3),$E46*'RO '!D$24,AND($C46="Hybrid car",$D46=4),$E46*'RO '!D$25,AND($C46="Hybrid car",$D46=5),$E46*'RO '!D$26,AND($C46="Electric motorcycle",$D46=1),$E46*'RO '!D$28,AND($C46="Electric motorcycle",$D46=2),$E46*'RO '!D$29,AND($C46="Electric bike",$D46=1),$E46*'RO '!D$31,AND($C46="Electric scooter",$D46=1),$E46*'RO '!D$33,AND($C46="Bus",$D46="Almost empty"),$E46*'RO '!I$23,AND($C46="Bus",$D46="Average"),$E46*'RO '!I$24,AND($C46="Bus",$D46="Nearly full"),$E46*'RO '!I$25,AND($C46="Electric bus",$D46="Almost empty"),$E46*'RO '!I$7,AND($C46="Electric bus",$D46="Average"),$E46*'RO '!I$8,AND($C46="Electric bus",$D46="Nearly full"),$E46*'RO '!I$9,AND($C46="Diesel bus",$D46="Almost empty"),$E46*'RO '!I$19,AND($C46="Diesel bus",$D46="Average"),$E46*'RO '!I$20,AND($C46="Diesel bus",$D46="Nearly full"),$E46*'RO '!I$21,AND($C46="Hybrid-electric bus",$D46="Almost empty"),$E46*'RO '!I$11,AND($C46="Hybrid-electric bus",$D46="Average"),$E46*'RO '!I$12,AND($C46="Hybrid-electric bus",$D46="Nearly full"),$E46*'RO '!I$13,AND($C46="Alternative fuel bus",$D46="Almost empty"),$E46*'RO '!I$15,AND($C46="Alternative fuel bus",$D46="Average"),$E46*'RO '!I$16,AND($C46="Alternative fuel bus",$D46="Nearly full"),$E46*'RO '!I$17,AND($C46="Metro, tram, urban light train",$D46="Almost empty"),$E46*'RO '!D$35,AND($C46="Metro, tram, urban light train",$D46="Average"),$E46*'RO '!D$36,AND($C46="Metro, tram, urban light train",$D46="Nearly full"),$E46*'RO '!D$37,AND($C46="Electric passenger train",$D46="Almost empty"),$E46*'RO '!D$39,AND($C46="Electric passenger train",$D46="Average"),$E46*'RO '!D$40,AND($C46="Electric passenger train",$D46="Nearly full"),$E46*'RO '!D$41,AND($C46="Diesel passenger train",$D46="Almost empty"),$E46*'RO '!D$47,AND($C46="Diesel passenger train",$D46="Average"),$E46*'RO '!D$48,AND($C46="Diesel passenger train",$D46="Nearly full"),$E46*'RO '!D$49,AND($C46="Walking"),$E46*0,AND($C46="Bike"),$E46*0,AND($C46="Plane - domestic flight"),$E46*'RO '!$C70,AND($C46="Plane - international - intra EU"),$E46*'RO '!$C72,AND($C46="Plane - international (extra EU)"),$E46*'RO '!$C74)</f>
        <v>#N/A</v>
      </c>
      <c r="L46" s="246"/>
      <c r="M46" s="247"/>
      <c r="N46" s="248"/>
    </row>
    <row r="47" spans="1:14" ht="20" thickBot="1" x14ac:dyDescent="0.25">
      <c r="A47" s="222"/>
      <c r="B47" s="30"/>
      <c r="C47" s="15"/>
      <c r="D47" s="15"/>
      <c r="E47" s="125"/>
      <c r="F47" s="128" t="e" cm="1">
        <f t="array" ref="F47">_xlfn.IFS(AND($C47="Fuel car",$D47=1),$E47*'RO '!C$7,AND($C47="Fuel car",$D47=2),$E47*'RO '!C$8,AND($C47="Fuel car",$D47=3),$E47*'RO '!C$9,AND($C47="Fuel car",$D47=4),$E47*'RO '!C$10,AND($C47="Fuel car",$D47=5),$E47*'RO '!C$11,AND($C47="Motorcycle",$D47=1),$E47*'RO '!C$13,AND($C47="Motorcycle",$D47=2),$E47*'RO '!C$14,AND($C47="Electric car",$D47=1),$E47*'RO '!C$16,AND($C47="Electric car",$D47=2),$E47*'RO '!C$17,AND($C47="Electric car",$D47=3),$E47*'RO '!C$18,AND($C47="Electric car",$D47=4),$E47*'RO '!C$19,AND($C47="Electric car",$D47=5),$E47*'RO '!C$20,AND($C47="Hybrid car",$D47=1),$E47*'RO '!C$22,AND($C47="Hybrid car",$D47=2),$E47*'RO '!C$23,AND($C47="Hybrid car",$D47=3),$E47*'RO '!C$24,AND($C47="Hybrid car",$D47=4),$E47*'RO '!C$25,AND($C47="Hybrid car",$D47=5),$E47*'RO '!C$26,AND($C47="Electric motorcycle",$D47=1),$E47*'RO '!C$28,AND($C47="Electric motorcycle",$D47=2),$E47*'RO '!C$29,AND($C47="Electric bike",$D47=1),$E47*'RO '!C$31,AND($C47="Electric scooter",$D47=1),$E47*'RO '!C$33,AND($C47="Bus",$D47="Almost empty"),$E47*'RO '!H$23,AND($C47="Bus",$D47="Average"),$E47*'RO '!H$24,AND($C47="Bus",$D47="Nearly full"),$E47*'RO '!H$25,AND($C47="Electric bus",$D47="Almost empty"),$E47*'RO '!H$7,AND($C47="Electric bus",$D47="Average"),$E47*'RO '!H$8,AND($C47="Electric bus",$D47="Nearly full"),$E47*'RO '!H$9,AND($C47="Diesel bus",$D47="Almost empty"),$E47*'RO '!H$19,AND($C47="Diesel bus",$D47="Average"),$E47*'RO '!H$20,AND($C47="Diesel bus",$D47="Nearly full"),$E47*'RO '!H$21,AND($C47="Hybrid-electric bus",$D47="Almost empty"),$E47*'RO '!H$11,AND($C47="Hybrid-electric bus",$D47="Average"),$E47*'RO '!H$12,AND($C47="Hybrid-electric bus",$D47="Nearly full"),$E47*'RO '!H$13,AND($C47="Alternative fuel bus",$D47="Almost empty"),$E47*'RO '!H$15,AND($C47="Alternative fuel bus",$D47="Average"),$E47*'RO '!H$16,AND($C47="Alternative fuel bus",$D47="Nearly full"),$E47*'RO '!H$17,AND($C47="Metro, tram, urban light train",$D47="Almost empty"),$E47*'RO '!C$35,AND($C47="Metro, tram, urban light train",$D47="Average"),$E47*'RO '!C$36,AND($C47="Metro, tram, urban light train",$D47="Nearly full"),$E47*'RO '!C$37,AND($C47="Electric passenger train",$D47="Almost empty"),$E47*'RO '!C$39,AND($C47="Electric passenger train",$D47="Average"),$E47*'RO '!C$40,AND($C47="Electric passenger train",$D47="Nearly full"),$E47*'RO '!C$41,AND($C47="Diesel passenger train",$D47="Almost empty"),$E47*'RO '!C$47,AND($C47="Diesel passenger train",$D47="Average"),$E47*'RO '!C$48,AND($C47="Diesel passenger train",$D47="Nearly full"),$E47*'RO '!C$49,AND($C47="Walking"),$E47*0,AND($C47="Bike"),$E47*0,AND($C47="Plane - domestic flight"),$E47*'RO '!$C71,AND($C47="Plane - international - intra EU"),$E47*'RO '!$C73,AND($C47="Plane - international (extra EU)"),$E47*'RO '!$C75)</f>
        <v>#N/A</v>
      </c>
      <c r="G47" s="31" t="e" cm="1">
        <f t="array" ref="G47">_xlfn.IFS(AND($C47="Fuel car",$D47=1),$E47*'RO '!D$7,AND($C47="Fuel car",$D47=2),$E47*'RO '!D$8,AND($C47="Fuel car",$D47=3),$E47*'RO '!D$9,AND($C47="Fuel car",$D47=4),$E47*'RO '!D$10,AND($C47="Fuel car",$D47=5),$E47*'RO '!D$11,AND($C47="Motorcycle",$D47=1),$E47*'RO '!D$13,AND($C47="Motorcycle",$D47=2),$E47*'RO '!D$14,AND($C47="Electric car",$D47=1),$E47*'RO '!D$16,AND($C47="Electric car",$D47=2),$E47*'RO '!D$17,AND($C47="Electric car",$D47=3),$E47*'RO '!D$18,AND($C47="Electric car",$D47=4),$E47*'RO '!D$19,AND($C47="Electric car",$D47=5),$E47*'RO '!D$20,AND($C47="Hybrid car",$D47=1),$E47*'RO '!D$22,AND($C47="Hybrid car",$D47=2),$E47*'RO '!D$23,AND($C47="Hybrid car",$D47=3),$E47*'RO '!D$24,AND($C47="Hybrid car",$D47=4),$E47*'RO '!D$25,AND($C47="Hybrid car",$D47=5),$E47*'RO '!D$26,AND($C47="Electric motorcycle",$D47=1),$E47*'RO '!D$28,AND($C47="Electric motorcycle",$D47=2),$E47*'RO '!D$29,AND($C47="Electric bike",$D47=1),$E47*'RO '!D$31,AND($C47="Electric scooter",$D47=1),$E47*'RO '!D$33,AND($C47="Bus",$D47="Almost empty"),$E47*'RO '!I$23,AND($C47="Bus",$D47="Average"),$E47*'RO '!I$24,AND($C47="Bus",$D47="Nearly full"),$E47*'RO '!I$25,AND($C47="Electric bus",$D47="Almost empty"),$E47*'RO '!I$7,AND($C47="Electric bus",$D47="Average"),$E47*'RO '!I$8,AND($C47="Electric bus",$D47="Nearly full"),$E47*'RO '!I$9,AND($C47="Diesel bus",$D47="Almost empty"),$E47*'RO '!I$19,AND($C47="Diesel bus",$D47="Average"),$E47*'RO '!I$20,AND($C47="Diesel bus",$D47="Nearly full"),$E47*'RO '!I$21,AND($C47="Hybrid-electric bus",$D47="Almost empty"),$E47*'RO '!I$11,AND($C47="Hybrid-electric bus",$D47="Average"),$E47*'RO '!I$12,AND($C47="Hybrid-electric bus",$D47="Nearly full"),$E47*'RO '!I$13,AND($C47="Alternative fuel bus",$D47="Almost empty"),$E47*'RO '!I$15,AND($C47="Alternative fuel bus",$D47="Average"),$E47*'RO '!I$16,AND($C47="Alternative fuel bus",$D47="Nearly full"),$E47*'RO '!I$17,AND($C47="Metro, tram, urban light train",$D47="Almost empty"),$E47*'RO '!D$35,AND($C47="Metro, tram, urban light train",$D47="Average"),$E47*'RO '!D$36,AND($C47="Metro, tram, urban light train",$D47="Nearly full"),$E47*'RO '!D$37,AND($C47="Electric passenger train",$D47="Almost empty"),$E47*'RO '!D$39,AND($C47="Electric passenger train",$D47="Average"),$E47*'RO '!D$40,AND($C47="Electric passenger train",$D47="Nearly full"),$E47*'RO '!D$41,AND($C47="Diesel passenger train",$D47="Almost empty"),$E47*'RO '!D$47,AND($C47="Diesel passenger train",$D47="Average"),$E47*'RO '!D$48,AND($C47="Diesel passenger train",$D47="Nearly full"),$E47*'RO '!D$49,AND($C47="Walking"),$E47*0,AND($C47="Bike"),$E47*0,AND($C47="Plane - domestic flight"),$E47*'RO '!$C71,AND($C47="Plane - international - intra EU"),$E47*'RO '!$C73,AND($C47="Plane - international (extra EU)"),$E47*'RO '!$C75)</f>
        <v>#N/A</v>
      </c>
      <c r="L47" s="238" t="s">
        <v>56</v>
      </c>
      <c r="M47" s="239"/>
      <c r="N47" s="240"/>
    </row>
    <row r="48" spans="1:14" ht="16" thickBot="1" x14ac:dyDescent="0.25">
      <c r="A48" s="222"/>
      <c r="B48" s="30"/>
      <c r="C48" s="15"/>
      <c r="D48" s="15"/>
      <c r="E48" s="125"/>
      <c r="F48" s="128" t="e" cm="1">
        <f t="array" ref="F48">_xlfn.IFS(AND($C48="Fuel car",$D48=1),$E48*'RO '!C$7,AND($C48="Fuel car",$D48=2),$E48*'RO '!C$8,AND($C48="Fuel car",$D48=3),$E48*'RO '!C$9,AND($C48="Fuel car",$D48=4),$E48*'RO '!C$10,AND($C48="Fuel car",$D48=5),$E48*'RO '!C$11,AND($C48="Motorcycle",$D48=1),$E48*'RO '!C$13,AND($C48="Motorcycle",$D48=2),$E48*'RO '!C$14,AND($C48="Electric car",$D48=1),$E48*'RO '!C$16,AND($C48="Electric car",$D48=2),$E48*'RO '!C$17,AND($C48="Electric car",$D48=3),$E48*'RO '!C$18,AND($C48="Electric car",$D48=4),$E48*'RO '!C$19,AND($C48="Electric car",$D48=5),$E48*'RO '!C$20,AND($C48="Hybrid car",$D48=1),$E48*'RO '!C$22,AND($C48="Hybrid car",$D48=2),$E48*'RO '!C$23,AND($C48="Hybrid car",$D48=3),$E48*'RO '!C$24,AND($C48="Hybrid car",$D48=4),$E48*'RO '!C$25,AND($C48="Hybrid car",$D48=5),$E48*'RO '!C$26,AND($C48="Electric motorcycle",$D48=1),$E48*'RO '!C$28,AND($C48="Electric motorcycle",$D48=2),$E48*'RO '!C$29,AND($C48="Electric bike",$D48=1),$E48*'RO '!C$31,AND($C48="Electric scooter",$D48=1),$E48*'RO '!C$33,AND($C48="Bus",$D48="Almost empty"),$E48*'RO '!H$23,AND($C48="Bus",$D48="Average"),$E48*'RO '!H$24,AND($C48="Bus",$D48="Nearly full"),$E48*'RO '!H$25,AND($C48="Electric bus",$D48="Almost empty"),$E48*'RO '!H$7,AND($C48="Electric bus",$D48="Average"),$E48*'RO '!H$8,AND($C48="Electric bus",$D48="Nearly full"),$E48*'RO '!H$9,AND($C48="Diesel bus",$D48="Almost empty"),$E48*'RO '!H$19,AND($C48="Diesel bus",$D48="Average"),$E48*'RO '!H$20,AND($C48="Diesel bus",$D48="Nearly full"),$E48*'RO '!H$21,AND($C48="Hybrid-electric bus",$D48="Almost empty"),$E48*'RO '!H$11,AND($C48="Hybrid-electric bus",$D48="Average"),$E48*'RO '!H$12,AND($C48="Hybrid-electric bus",$D48="Nearly full"),$E48*'RO '!H$13,AND($C48="Alternative fuel bus",$D48="Almost empty"),$E48*'RO '!H$15,AND($C48="Alternative fuel bus",$D48="Average"),$E48*'RO '!H$16,AND($C48="Alternative fuel bus",$D48="Nearly full"),$E48*'RO '!H$17,AND($C48="Metro, tram, urban light train",$D48="Almost empty"),$E48*'RO '!C$35,AND($C48="Metro, tram, urban light train",$D48="Average"),$E48*'RO '!C$36,AND($C48="Metro, tram, urban light train",$D48="Nearly full"),$E48*'RO '!C$37,AND($C48="Electric passenger train",$D48="Almost empty"),$E48*'RO '!C$39,AND($C48="Electric passenger train",$D48="Average"),$E48*'RO '!C$40,AND($C48="Electric passenger train",$D48="Nearly full"),$E48*'RO '!C$41,AND($C48="Diesel passenger train",$D48="Almost empty"),$E48*'RO '!C$47,AND($C48="Diesel passenger train",$D48="Average"),$E48*'RO '!C$48,AND($C48="Diesel passenger train",$D48="Nearly full"),$E48*'RO '!C$49,AND($C48="Walking"),$E48*0,AND($C48="Bike"),$E48*0,AND($C48="Plane - domestic flight"),$E48*'RO '!$C72,AND($C48="Plane - international - intra EU"),$E48*'RO '!$C74,AND($C48="Plane - international (extra EU)"),$E48*'RO '!$C76)</f>
        <v>#N/A</v>
      </c>
      <c r="G48" s="31" t="e" cm="1">
        <f t="array" ref="G48">_xlfn.IFS(AND($C48="Fuel car",$D48=1),$E48*'RO '!D$7,AND($C48="Fuel car",$D48=2),$E48*'RO '!D$8,AND($C48="Fuel car",$D48=3),$E48*'RO '!D$9,AND($C48="Fuel car",$D48=4),$E48*'RO '!D$10,AND($C48="Fuel car",$D48=5),$E48*'RO '!D$11,AND($C48="Motorcycle",$D48=1),$E48*'RO '!D$13,AND($C48="Motorcycle",$D48=2),$E48*'RO '!D$14,AND($C48="Electric car",$D48=1),$E48*'RO '!D$16,AND($C48="Electric car",$D48=2),$E48*'RO '!D$17,AND($C48="Electric car",$D48=3),$E48*'RO '!D$18,AND($C48="Electric car",$D48=4),$E48*'RO '!D$19,AND($C48="Electric car",$D48=5),$E48*'RO '!D$20,AND($C48="Hybrid car",$D48=1),$E48*'RO '!D$22,AND($C48="Hybrid car",$D48=2),$E48*'RO '!D$23,AND($C48="Hybrid car",$D48=3),$E48*'RO '!D$24,AND($C48="Hybrid car",$D48=4),$E48*'RO '!D$25,AND($C48="Hybrid car",$D48=5),$E48*'RO '!D$26,AND($C48="Electric motorcycle",$D48=1),$E48*'RO '!D$28,AND($C48="Electric motorcycle",$D48=2),$E48*'RO '!D$29,AND($C48="Electric bike",$D48=1),$E48*'RO '!D$31,AND($C48="Electric scooter",$D48=1),$E48*'RO '!D$33,AND($C48="Bus",$D48="Almost empty"),$E48*'RO '!I$23,AND($C48="Bus",$D48="Average"),$E48*'RO '!I$24,AND($C48="Bus",$D48="Nearly full"),$E48*'RO '!I$25,AND($C48="Electric bus",$D48="Almost empty"),$E48*'RO '!I$7,AND($C48="Electric bus",$D48="Average"),$E48*'RO '!I$8,AND($C48="Electric bus",$D48="Nearly full"),$E48*'RO '!I$9,AND($C48="Diesel bus",$D48="Almost empty"),$E48*'RO '!I$19,AND($C48="Diesel bus",$D48="Average"),$E48*'RO '!I$20,AND($C48="Diesel bus",$D48="Nearly full"),$E48*'RO '!I$21,AND($C48="Hybrid-electric bus",$D48="Almost empty"),$E48*'RO '!I$11,AND($C48="Hybrid-electric bus",$D48="Average"),$E48*'RO '!I$12,AND($C48="Hybrid-electric bus",$D48="Nearly full"),$E48*'RO '!I$13,AND($C48="Alternative fuel bus",$D48="Almost empty"),$E48*'RO '!I$15,AND($C48="Alternative fuel bus",$D48="Average"),$E48*'RO '!I$16,AND($C48="Alternative fuel bus",$D48="Nearly full"),$E48*'RO '!I$17,AND($C48="Metro, tram, urban light train",$D48="Almost empty"),$E48*'RO '!D$35,AND($C48="Metro, tram, urban light train",$D48="Average"),$E48*'RO '!D$36,AND($C48="Metro, tram, urban light train",$D48="Nearly full"),$E48*'RO '!D$37,AND($C48="Electric passenger train",$D48="Almost empty"),$E48*'RO '!D$39,AND($C48="Electric passenger train",$D48="Average"),$E48*'RO '!D$40,AND($C48="Electric passenger train",$D48="Nearly full"),$E48*'RO '!D$41,AND($C48="Diesel passenger train",$D48="Almost empty"),$E48*'RO '!D$47,AND($C48="Diesel passenger train",$D48="Average"),$E48*'RO '!D$48,AND($C48="Diesel passenger train",$D48="Nearly full"),$E48*'RO '!D$49,AND($C48="Walking"),$E48*0,AND($C48="Bike"),$E48*0,AND($C48="Plane - domestic flight"),$E48*'RO '!$C72,AND($C48="Plane - international - intra EU"),$E48*'RO '!$C74,AND($C48="Plane - international (extra EU)"),$E48*'RO '!$C76)</f>
        <v>#N/A</v>
      </c>
      <c r="H48" s="196" t="s">
        <v>67</v>
      </c>
      <c r="I48" s="197"/>
      <c r="L48" s="249"/>
      <c r="M48" s="250"/>
      <c r="N48" s="251"/>
    </row>
    <row r="49" spans="1:14" x14ac:dyDescent="0.2">
      <c r="A49" s="222"/>
      <c r="B49" s="30"/>
      <c r="C49" s="15"/>
      <c r="D49" s="15"/>
      <c r="E49" s="125"/>
      <c r="F49" s="128" t="e" cm="1">
        <f t="array" ref="F49">_xlfn.IFS(AND($C49="Fuel car",$D49=1),$E49*'RO '!C$7,AND($C49="Fuel car",$D49=2),$E49*'RO '!C$8,AND($C49="Fuel car",$D49=3),$E49*'RO '!C$9,AND($C49="Fuel car",$D49=4),$E49*'RO '!C$10,AND($C49="Fuel car",$D49=5),$E49*'RO '!C$11,AND($C49="Motorcycle",$D49=1),$E49*'RO '!C$13,AND($C49="Motorcycle",$D49=2),$E49*'RO '!C$14,AND($C49="Electric car",$D49=1),$E49*'RO '!C$16,AND($C49="Electric car",$D49=2),$E49*'RO '!C$17,AND($C49="Electric car",$D49=3),$E49*'RO '!C$18,AND($C49="Electric car",$D49=4),$E49*'RO '!C$19,AND($C49="Electric car",$D49=5),$E49*'RO '!C$20,AND($C49="Hybrid car",$D49=1),$E49*'RO '!C$22,AND($C49="Hybrid car",$D49=2),$E49*'RO '!C$23,AND($C49="Hybrid car",$D49=3),$E49*'RO '!C$24,AND($C49="Hybrid car",$D49=4),$E49*'RO '!C$25,AND($C49="Hybrid car",$D49=5),$E49*'RO '!C$26,AND($C49="Electric motorcycle",$D49=1),$E49*'RO '!C$28,AND($C49="Electric motorcycle",$D49=2),$E49*'RO '!C$29,AND($C49="Electric bike",$D49=1),$E49*'RO '!C$31,AND($C49="Electric scooter",$D49=1),$E49*'RO '!C$33,AND($C49="Bus",$D49="Almost empty"),$E49*'RO '!H$23,AND($C49="Bus",$D49="Average"),$E49*'RO '!H$24,AND($C49="Bus",$D49="Nearly full"),$E49*'RO '!H$25,AND($C49="Electric bus",$D49="Almost empty"),$E49*'RO '!H$7,AND($C49="Electric bus",$D49="Average"),$E49*'RO '!H$8,AND($C49="Electric bus",$D49="Nearly full"),$E49*'RO '!H$9,AND($C49="Diesel bus",$D49="Almost empty"),$E49*'RO '!H$19,AND($C49="Diesel bus",$D49="Average"),$E49*'RO '!H$20,AND($C49="Diesel bus",$D49="Nearly full"),$E49*'RO '!H$21,AND($C49="Hybrid-electric bus",$D49="Almost empty"),$E49*'RO '!H$11,AND($C49="Hybrid-electric bus",$D49="Average"),$E49*'RO '!H$12,AND($C49="Hybrid-electric bus",$D49="Nearly full"),$E49*'RO '!H$13,AND($C49="Alternative fuel bus",$D49="Almost empty"),$E49*'RO '!H$15,AND($C49="Alternative fuel bus",$D49="Average"),$E49*'RO '!H$16,AND($C49="Alternative fuel bus",$D49="Nearly full"),$E49*'RO '!H$17,AND($C49="Metro, tram, urban light train",$D49="Almost empty"),$E49*'RO '!C$35,AND($C49="Metro, tram, urban light train",$D49="Average"),$E49*'RO '!C$36,AND($C49="Metro, tram, urban light train",$D49="Nearly full"),$E49*'RO '!C$37,AND($C49="Electric passenger train",$D49="Almost empty"),$E49*'RO '!C$39,AND($C49="Electric passenger train",$D49="Average"),$E49*'RO '!C$40,AND($C49="Electric passenger train",$D49="Nearly full"),$E49*'RO '!C$41,AND($C49="Diesel passenger train",$D49="Almost empty"),$E49*'RO '!C$47,AND($C49="Diesel passenger train",$D49="Average"),$E49*'RO '!C$48,AND($C49="Diesel passenger train",$D49="Nearly full"),$E49*'RO '!C$49,AND($C49="Walking"),$E49*0,AND($C49="Bike"),$E49*0,AND($C49="Plane - domestic flight"),$E49*'RO '!$C73,AND($C49="Plane - international - intra EU"),$E49*'RO '!$C75,AND($C49="Plane - international (extra EU)"),$E49*'RO '!$C77)</f>
        <v>#N/A</v>
      </c>
      <c r="G49" s="31" t="e" cm="1">
        <f t="array" ref="G49">_xlfn.IFS(AND($C49="Fuel car",$D49=1),$E49*'RO '!D$7,AND($C49="Fuel car",$D49=2),$E49*'RO '!D$8,AND($C49="Fuel car",$D49=3),$E49*'RO '!D$9,AND($C49="Fuel car",$D49=4),$E49*'RO '!D$10,AND($C49="Fuel car",$D49=5),$E49*'RO '!D$11,AND($C49="Motorcycle",$D49=1),$E49*'RO '!D$13,AND($C49="Motorcycle",$D49=2),$E49*'RO '!D$14,AND($C49="Electric car",$D49=1),$E49*'RO '!D$16,AND($C49="Electric car",$D49=2),$E49*'RO '!D$17,AND($C49="Electric car",$D49=3),$E49*'RO '!D$18,AND($C49="Electric car",$D49=4),$E49*'RO '!D$19,AND($C49="Electric car",$D49=5),$E49*'RO '!D$20,AND($C49="Hybrid car",$D49=1),$E49*'RO '!D$22,AND($C49="Hybrid car",$D49=2),$E49*'RO '!D$23,AND($C49="Hybrid car",$D49=3),$E49*'RO '!D$24,AND($C49="Hybrid car",$D49=4),$E49*'RO '!D$25,AND($C49="Hybrid car",$D49=5),$E49*'RO '!D$26,AND($C49="Electric motorcycle",$D49=1),$E49*'RO '!D$28,AND($C49="Electric motorcycle",$D49=2),$E49*'RO '!D$29,AND($C49="Electric bike",$D49=1),$E49*'RO '!D$31,AND($C49="Electric scooter",$D49=1),$E49*'RO '!D$33,AND($C49="Bus",$D49="Almost empty"),$E49*'RO '!I$23,AND($C49="Bus",$D49="Average"),$E49*'RO '!I$24,AND($C49="Bus",$D49="Nearly full"),$E49*'RO '!I$25,AND($C49="Electric bus",$D49="Almost empty"),$E49*'RO '!I$7,AND($C49="Electric bus",$D49="Average"),$E49*'RO '!I$8,AND($C49="Electric bus",$D49="Nearly full"),$E49*'RO '!I$9,AND($C49="Diesel bus",$D49="Almost empty"),$E49*'RO '!I$19,AND($C49="Diesel bus",$D49="Average"),$E49*'RO '!I$20,AND($C49="Diesel bus",$D49="Nearly full"),$E49*'RO '!I$21,AND($C49="Hybrid-electric bus",$D49="Almost empty"),$E49*'RO '!I$11,AND($C49="Hybrid-electric bus",$D49="Average"),$E49*'RO '!I$12,AND($C49="Hybrid-electric bus",$D49="Nearly full"),$E49*'RO '!I$13,AND($C49="Alternative fuel bus",$D49="Almost empty"),$E49*'RO '!I$15,AND($C49="Alternative fuel bus",$D49="Average"),$E49*'RO '!I$16,AND($C49="Alternative fuel bus",$D49="Nearly full"),$E49*'RO '!I$17,AND($C49="Metro, tram, urban light train",$D49="Almost empty"),$E49*'RO '!D$35,AND($C49="Metro, tram, urban light train",$D49="Average"),$E49*'RO '!D$36,AND($C49="Metro, tram, urban light train",$D49="Nearly full"),$E49*'RO '!D$37,AND($C49="Electric passenger train",$D49="Almost empty"),$E49*'RO '!D$39,AND($C49="Electric passenger train",$D49="Average"),$E49*'RO '!D$40,AND($C49="Electric passenger train",$D49="Nearly full"),$E49*'RO '!D$41,AND($C49="Diesel passenger train",$D49="Almost empty"),$E49*'RO '!D$47,AND($C49="Diesel passenger train",$D49="Average"),$E49*'RO '!D$48,AND($C49="Diesel passenger train",$D49="Nearly full"),$E49*'RO '!D$49,AND($C49="Walking"),$E49*0,AND($C49="Bike"),$E49*0,AND($C49="Plane - domestic flight"),$E49*'RO '!$C73,AND($C49="Plane - international - intra EU"),$E49*'RO '!$C75,AND($C49="Plane - international (extra EU)"),$E49*'RO '!$C77)</f>
        <v>#N/A</v>
      </c>
      <c r="H49" s="244" t="s">
        <v>74</v>
      </c>
      <c r="I49" s="141"/>
      <c r="L49" s="252"/>
      <c r="M49" s="253"/>
      <c r="N49" s="254"/>
    </row>
    <row r="50" spans="1:14" ht="16" thickBot="1" x14ac:dyDescent="0.25">
      <c r="A50" s="222"/>
      <c r="B50" s="51"/>
      <c r="C50" s="15"/>
      <c r="D50" s="15"/>
      <c r="E50" s="126"/>
      <c r="F50" s="128" t="e" cm="1">
        <f t="array" ref="F50">_xlfn.IFS(AND($C50="Fuel car",$D50=1),$E50*'RO '!C$7,AND($C50="Fuel car",$D50=2),$E50*'RO '!C$8,AND($C50="Fuel car",$D50=3),$E50*'RO '!C$9,AND($C50="Fuel car",$D50=4),$E50*'RO '!C$10,AND($C50="Fuel car",$D50=5),$E50*'RO '!C$11,AND($C50="Motorcycle",$D50=1),$E50*'RO '!C$13,AND($C50="Motorcycle",$D50=2),$E50*'RO '!C$14,AND($C50="Electric car",$D50=1),$E50*'RO '!C$16,AND($C50="Electric car",$D50=2),$E50*'RO '!C$17,AND($C50="Electric car",$D50=3),$E50*'RO '!C$18,AND($C50="Electric car",$D50=4),$E50*'RO '!C$19,AND($C50="Electric car",$D50=5),$E50*'RO '!C$20,AND($C50="Hybrid car",$D50=1),$E50*'RO '!C$22,AND($C50="Hybrid car",$D50=2),$E50*'RO '!C$23,AND($C50="Hybrid car",$D50=3),$E50*'RO '!C$24,AND($C50="Hybrid car",$D50=4),$E50*'RO '!C$25,AND($C50="Hybrid car",$D50=5),$E50*'RO '!C$26,AND($C50="Electric motorcycle",$D50=1),$E50*'RO '!C$28,AND($C50="Electric motorcycle",$D50=2),$E50*'RO '!C$29,AND($C50="Electric bike",$D50=1),$E50*'RO '!C$31,AND($C50="Electric scooter",$D50=1),$E50*'RO '!C$33,AND($C50="Bus",$D50="Almost empty"),$E50*'RO '!H$23,AND($C50="Bus",$D50="Average"),$E50*'RO '!H$24,AND($C50="Bus",$D50="Nearly full"),$E50*'RO '!H$25,AND($C50="Electric bus",$D50="Almost empty"),$E50*'RO '!H$7,AND($C50="Electric bus",$D50="Average"),$E50*'RO '!H$8,AND($C50="Electric bus",$D50="Nearly full"),$E50*'RO '!H$9,AND($C50="Diesel bus",$D50="Almost empty"),$E50*'RO '!H$19,AND($C50="Diesel bus",$D50="Average"),$E50*'RO '!H$20,AND($C50="Diesel bus",$D50="Nearly full"),$E50*'RO '!H$21,AND($C50="Hybrid-electric bus",$D50="Almost empty"),$E50*'RO '!H$11,AND($C50="Hybrid-electric bus",$D50="Average"),$E50*'RO '!H$12,AND($C50="Hybrid-electric bus",$D50="Nearly full"),$E50*'RO '!H$13,AND($C50="Alternative fuel bus",$D50="Almost empty"),$E50*'RO '!H$15,AND($C50="Alternative fuel bus",$D50="Average"),$E50*'RO '!H$16,AND($C50="Alternative fuel bus",$D50="Nearly full"),$E50*'RO '!H$17,AND($C50="Metro, tram, urban light train",$D50="Almost empty"),$E50*'RO '!C$35,AND($C50="Metro, tram, urban light train",$D50="Average"),$E50*'RO '!C$36,AND($C50="Metro, tram, urban light train",$D50="Nearly full"),$E50*'RO '!C$37,AND($C50="Electric passenger train",$D50="Almost empty"),$E50*'RO '!C$39,AND($C50="Electric passenger train",$D50="Average"),$E50*'RO '!C$40,AND($C50="Electric passenger train",$D50="Nearly full"),$E50*'RO '!C$41,AND($C50="Diesel passenger train",$D50="Almost empty"),$E50*'RO '!C$47,AND($C50="Diesel passenger train",$D50="Average"),$E50*'RO '!C$48,AND($C50="Diesel passenger train",$D50="Nearly full"),$E50*'RO '!C$49,AND($C50="Walking"),$E50*0,AND($C50="Bike"),$E50*0,AND($C50="Plane - domestic flight"),$E50*'RO '!$C74,AND($C50="Plane - international - intra EU"),$E50*'RO '!$C76,AND($C50="Plane - international (extra EU)"),$E50*'RO '!$C78)</f>
        <v>#N/A</v>
      </c>
      <c r="G50" s="31" t="e" cm="1">
        <f t="array" ref="G50">_xlfn.IFS(AND($C50="Fuel car",$D50=1),$E50*'RO '!D$7,AND($C50="Fuel car",$D50=2),$E50*'RO '!D$8,AND($C50="Fuel car",$D50=3),$E50*'RO '!D$9,AND($C50="Fuel car",$D50=4),$E50*'RO '!D$10,AND($C50="Fuel car",$D50=5),$E50*'RO '!D$11,AND($C50="Motorcycle",$D50=1),$E50*'RO '!D$13,AND($C50="Motorcycle",$D50=2),$E50*'RO '!D$14,AND($C50="Electric car",$D50=1),$E50*'RO '!D$16,AND($C50="Electric car",$D50=2),$E50*'RO '!D$17,AND($C50="Electric car",$D50=3),$E50*'RO '!D$18,AND($C50="Electric car",$D50=4),$E50*'RO '!D$19,AND($C50="Electric car",$D50=5),$E50*'RO '!D$20,AND($C50="Hybrid car",$D50=1),$E50*'RO '!D$22,AND($C50="Hybrid car",$D50=2),$E50*'RO '!D$23,AND($C50="Hybrid car",$D50=3),$E50*'RO '!D$24,AND($C50="Hybrid car",$D50=4),$E50*'RO '!D$25,AND($C50="Hybrid car",$D50=5),$E50*'RO '!D$26,AND($C50="Electric motorcycle",$D50=1),$E50*'RO '!D$28,AND($C50="Electric motorcycle",$D50=2),$E50*'RO '!D$29,AND($C50="Electric bike",$D50=1),$E50*'RO '!D$31,AND($C50="Electric scooter",$D50=1),$E50*'RO '!D$33,AND($C50="Bus",$D50="Almost empty"),$E50*'RO '!I$23,AND($C50="Bus",$D50="Average"),$E50*'RO '!I$24,AND($C50="Bus",$D50="Nearly full"),$E50*'RO '!I$25,AND($C50="Electric bus",$D50="Almost empty"),$E50*'RO '!I$7,AND($C50="Electric bus",$D50="Average"),$E50*'RO '!I$8,AND($C50="Electric bus",$D50="Nearly full"),$E50*'RO '!I$9,AND($C50="Diesel bus",$D50="Almost empty"),$E50*'RO '!I$19,AND($C50="Diesel bus",$D50="Average"),$E50*'RO '!I$20,AND($C50="Diesel bus",$D50="Nearly full"),$E50*'RO '!I$21,AND($C50="Hybrid-electric bus",$D50="Almost empty"),$E50*'RO '!I$11,AND($C50="Hybrid-electric bus",$D50="Average"),$E50*'RO '!I$12,AND($C50="Hybrid-electric bus",$D50="Nearly full"),$E50*'RO '!I$13,AND($C50="Alternative fuel bus",$D50="Almost empty"),$E50*'RO '!I$15,AND($C50="Alternative fuel bus",$D50="Average"),$E50*'RO '!I$16,AND($C50="Alternative fuel bus",$D50="Nearly full"),$E50*'RO '!I$17,AND($C50="Metro, tram, urban light train",$D50="Almost empty"),$E50*'RO '!D$35,AND($C50="Metro, tram, urban light train",$D50="Average"),$E50*'RO '!D$36,AND($C50="Metro, tram, urban light train",$D50="Nearly full"),$E50*'RO '!D$37,AND($C50="Electric passenger train",$D50="Almost empty"),$E50*'RO '!D$39,AND($C50="Electric passenger train",$D50="Average"),$E50*'RO '!D$40,AND($C50="Electric passenger train",$D50="Nearly full"),$E50*'RO '!D$41,AND($C50="Diesel passenger train",$D50="Almost empty"),$E50*'RO '!D$47,AND($C50="Diesel passenger train",$D50="Average"),$E50*'RO '!D$48,AND($C50="Diesel passenger train",$D50="Nearly full"),$E50*'RO '!D$49,AND($C50="Walking"),$E50*0,AND($C50="Bike"),$E50*0,AND($C50="Plane - domestic flight"),$E50*'RO '!$C74,AND($C50="Plane - international - intra EU"),$E50*'RO '!$C76,AND($C50="Plane - international (extra EU)"),$E50*'RO '!$C78)</f>
        <v>#N/A</v>
      </c>
      <c r="H50" s="245"/>
      <c r="I50" s="142"/>
      <c r="L50" s="252"/>
      <c r="M50" s="253"/>
      <c r="N50" s="254"/>
    </row>
    <row r="51" spans="1:14" ht="33" thickBot="1" x14ac:dyDescent="0.25">
      <c r="A51" s="222"/>
      <c r="B51" s="53"/>
      <c r="C51" s="32"/>
      <c r="D51" s="34"/>
      <c r="E51" s="113"/>
      <c r="F51" s="129" t="e" cm="1">
        <f t="array" ref="F51">_xlfn.IFS(AND($C51="Fuel car",$D51=1),$E51*'RO '!C$7,AND($C51="Fuel car",$D51=2),$E51*'RO '!C$8,AND($C51="Fuel car",$D51=3),$E51*'RO '!C$9,AND($C51="Fuel car",$D51=4),$E51*'RO '!C$10,AND($C51="Fuel car",$D51=5),$E51*'RO '!C$11,AND($C51="Motorcycle",$D51=1),$E51*'RO '!C$13,AND($C51="Motorcycle",$D51=2),$E51*'RO '!C$14,AND($C51="Electric car",$D51=1),$E51*'RO '!C$16,AND($C51="Electric car",$D51=2),$E51*'RO '!C$17,AND($C51="Electric car",$D51=3),$E51*'RO '!C$18,AND($C51="Electric car",$D51=4),$E51*'RO '!C$19,AND($C51="Electric car",$D51=5),$E51*'RO '!C$20,AND($C51="Hybrid car",$D51=1),$E51*'RO '!C$22,AND($C51="Hybrid car",$D51=2),$E51*'RO '!C$23,AND($C51="Hybrid car",$D51=3),$E51*'RO '!C$24,AND($C51="Hybrid car",$D51=4),$E51*'RO '!C$25,AND($C51="Hybrid car",$D51=5),$E51*'RO '!C$26,AND($C51="Electric motorcycle",$D51=1),$E51*'RO '!C$28,AND($C51="Electric motorcycle",$D51=2),$E51*'RO '!C$29,AND($C51="Electric bike",$D51=1),$E51*'RO '!C$31,AND($C51="Electric scooter",$D51=1),$E51*'RO '!C$33,AND($C51="Bus",$D51="Almost empty"),$E51*'RO '!H$23,AND($C51="Bus",$D51="Average"),$E51*'RO '!H$24,AND($C51="Bus",$D51="Nearly full"),$E51*'RO '!H$25,AND($C51="Electric bus",$D51="Almost empty"),$E51*'RO '!H$7,AND($C51="Electric bus",$D51="Average"),$E51*'RO '!H$8,AND($C51="Electric bus",$D51="Nearly full"),$E51*'RO '!H$9,AND($C51="Diesel bus",$D51="Almost empty"),$E51*'RO '!H$19,AND($C51="Diesel bus",$D51="Average"),$E51*'RO '!H$20,AND($C51="Diesel bus",$D51="Nearly full"),$E51*'RO '!H$21,AND($C51="Hybrid-electric bus",$D51="Almost empty"),$E51*'RO '!H$11,AND($C51="Hybrid-electric bus",$D51="Average"),$E51*'RO '!H$12,AND($C51="Hybrid-electric bus",$D51="Nearly full"),$E51*'RO '!H$13,AND($C51="Alternative fuel bus",$D51="Almost empty"),$E51*'RO '!H$15,AND($C51="Alternative fuel bus",$D51="Average"),$E51*'RO '!H$16,AND($C51="Alternative fuel bus",$D51="Nearly full"),$E51*'RO '!H$17,AND($C51="Metro, tram, urban light train",$D51="Almost empty"),$E51*'RO '!C$35,AND($C51="Metro, tram, urban light train",$D51="Average"),$E51*'RO '!C$36,AND($C51="Metro, tram, urban light train",$D51="Nearly full"),$E51*'RO '!C$37,AND($C51="Electric passenger train",$D51="Almost empty"),$E51*'RO '!C$39,AND($C51="Electric passenger train",$D51="Average"),$E51*'RO '!C$40,AND($C51="Electric passenger train",$D51="Nearly full"),$E51*'RO '!C$41,AND($C51="Diesel passenger train",$D51="Almost empty"),$E51*'RO '!C$47,AND($C51="Diesel passenger train",$D51="Average"),$E51*'RO '!C$48,AND($C51="Diesel passenger train",$D51="Nearly full"),$E51*'RO '!C$49,AND($C51="Walking"),$E51*0,AND($C51="Bike"),$E51*0,AND($C51="Plane - domestic flight"),$E51*'RO '!$C75,AND($C51="Plane - international - intra EU"),$E51*'RO '!$C77,AND($C51="Plane - international (extra EU)"),$E51*'RO '!$C79)</f>
        <v>#N/A</v>
      </c>
      <c r="G51" s="35" t="e" cm="1">
        <f t="array" ref="G51">_xlfn.IFS(AND($C51="Fuel car",$D51=1),$E51*'RO '!D$7,AND($C51="Fuel car",$D51=2),$E51*'RO '!D$8,AND($C51="Fuel car",$D51=3),$E51*'RO '!D$9,AND($C51="Fuel car",$D51=4),$E51*'RO '!D$10,AND($C51="Fuel car",$D51=5),$E51*'RO '!D$11,AND($C51="Motorcycle",$D51=1),$E51*'RO '!D$13,AND($C51="Motorcycle",$D51=2),$E51*'RO '!D$14,AND($C51="Electric car",$D51=1),$E51*'RO '!D$16,AND($C51="Electric car",$D51=2),$E51*'RO '!D$17,AND($C51="Electric car",$D51=3),$E51*'RO '!D$18,AND($C51="Electric car",$D51=4),$E51*'RO '!D$19,AND($C51="Electric car",$D51=5),$E51*'RO '!D$20,AND($C51="Hybrid car",$D51=1),$E51*'RO '!D$22,AND($C51="Hybrid car",$D51=2),$E51*'RO '!D$23,AND($C51="Hybrid car",$D51=3),$E51*'RO '!D$24,AND($C51="Hybrid car",$D51=4),$E51*'RO '!D$25,AND($C51="Hybrid car",$D51=5),$E51*'RO '!D$26,AND($C51="Electric motorcycle",$D51=1),$E51*'RO '!D$28,AND($C51="Electric motorcycle",$D51=2),$E51*'RO '!D$29,AND($C51="Electric bike",$D51=1),$E51*'RO '!D$31,AND($C51="Electric scooter",$D51=1),$E51*'RO '!D$33,AND($C51="Bus",$D51="Almost empty"),$E51*'RO '!I$23,AND($C51="Bus",$D51="Average"),$E51*'RO '!I$24,AND($C51="Bus",$D51="Nearly full"),$E51*'RO '!I$25,AND($C51="Electric bus",$D51="Almost empty"),$E51*'RO '!I$7,AND($C51="Electric bus",$D51="Average"),$E51*'RO '!I$8,AND($C51="Electric bus",$D51="Nearly full"),$E51*'RO '!I$9,AND($C51="Diesel bus",$D51="Almost empty"),$E51*'RO '!I$19,AND($C51="Diesel bus",$D51="Average"),$E51*'RO '!I$20,AND($C51="Diesel bus",$D51="Nearly full"),$E51*'RO '!I$21,AND($C51="Hybrid-electric bus",$D51="Almost empty"),$E51*'RO '!I$11,AND($C51="Hybrid-electric bus",$D51="Average"),$E51*'RO '!I$12,AND($C51="Hybrid-electric bus",$D51="Nearly full"),$E51*'RO '!I$13,AND($C51="Alternative fuel bus",$D51="Almost empty"),$E51*'RO '!I$15,AND($C51="Alternative fuel bus",$D51="Average"),$E51*'RO '!I$16,AND($C51="Alternative fuel bus",$D51="Nearly full"),$E51*'RO '!I$17,AND($C51="Metro, tram, urban light train",$D51="Almost empty"),$E51*'RO '!D$35,AND($C51="Metro, tram, urban light train",$D51="Average"),$E51*'RO '!D$36,AND($C51="Metro, tram, urban light train",$D51="Nearly full"),$E51*'RO '!D$37,AND($C51="Electric passenger train",$D51="Almost empty"),$E51*'RO '!D$39,AND($C51="Electric passenger train",$D51="Average"),$E51*'RO '!D$40,AND($C51="Electric passenger train",$D51="Nearly full"),$E51*'RO '!D$41,AND($C51="Diesel passenger train",$D51="Almost empty"),$E51*'RO '!D$47,AND($C51="Diesel passenger train",$D51="Average"),$E51*'RO '!D$48,AND($C51="Diesel passenger train",$D51="Nearly full"),$E51*'RO '!D$49,AND($C51="Walking"),$E51*0,AND($C51="Bike"),$E51*0,AND($C51="Plane - domestic flight"),$E51*'RO '!$C75,AND($C51="Plane - international - intra EU"),$E51*'RO '!$C77,AND($C51="Plane - international (extra EU)"),$E51*'RO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_xlfn.IFS(AND(D57&lt;='RO '!L4),"A+",AND(D57&lt;='RO '!M4,D57&gt;'RO '!L4),"A",AND(D57&lt;='RO '!N4,D57&gt;'RO '!M4),"B",AND(D57&lt;='RO '!O4,D57&gt;'RO '!N4),"C",AND(D57&lt;='RO '!P4,D57&gt;'RO '!O4),"D",AND(D57&lt;='RO '!Q4,D57&gt;'RO '!P4),"E",AND(D57&lt;='RO '!R4,D57&gt;'RO '!Q4),"F",AND(D57&gt;'RO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_xlfn.IFS(D58="#","#",AND(D58&lt;='RO '!L5),"A+",AND(D58&lt;='RO '!M5,D58&gt;'RO '!L5),"A",AND(D58&lt;='RO '!N5,D58&gt;'RO '!M5),"B",AND(D58&lt;='RO '!O5,D58&gt;'RO '!N5),"C",AND(D58&lt;='RO '!P5,D58&gt;'RO '!O5),"D",AND(D58&lt;='RO '!Q5,D58&gt;'RO '!P5),"E",AND(D58&lt;='RO '!R5,D58&gt;'RO '!Q5),"F",AND(D58&gt;'RO '!R5),"G")</f>
        <v>#</v>
      </c>
    </row>
    <row r="59" spans="1:14" ht="32" x14ac:dyDescent="0.2">
      <c r="A59" s="262"/>
      <c r="B59" s="264"/>
      <c r="C59" s="21" t="s">
        <v>88</v>
      </c>
      <c r="D59" s="47" t="e">
        <f>IF(ISNUMBER(D58), D57 + D58, D57)</f>
        <v>#DIV/0!</v>
      </c>
      <c r="E59" s="277"/>
      <c r="G59" s="264"/>
      <c r="H59" t="s">
        <v>88</v>
      </c>
      <c r="I59" s="56" t="e" cm="1">
        <f t="array" ref="I59">_xlfn.IFS(AND(D59&lt;='RO '!L6),"A+",AND(D59&lt;='RO '!M6,D59&gt;'RO '!L6),"A",AND(D59&lt;='RO '!N6,D59&gt;'RO '!M6),"B",AND(D59&lt;='RO '!O6,D59&gt;'RO '!N6),"C",AND(D59&lt;='RO '!P6,D59&gt;'RO '!O6),"D",AND(D59&lt;='RO '!Q6,D59&gt;'RO '!P6),"E",AND(D59&lt;='RO '!R6,D59&gt;'RO '!Q6),"F",AND(D59&gt;'RO '!R6),"G")</f>
        <v>#DIV/0!</v>
      </c>
    </row>
    <row r="60" spans="1:14" ht="16" x14ac:dyDescent="0.2">
      <c r="A60" s="262"/>
      <c r="B60" s="264"/>
      <c r="C60" s="21" t="s">
        <v>89</v>
      </c>
      <c r="D60" s="99">
        <f>I30</f>
        <v>0</v>
      </c>
      <c r="E60" s="277"/>
      <c r="G60" s="264"/>
      <c r="H60" t="s">
        <v>89</v>
      </c>
      <c r="I60" s="56" t="str" cm="1">
        <f t="array" ref="I60">_xlfn.IFS(AND(D60&lt;='RO '!L7),"A+",AND(D60&lt;='RO '!M7,D60&gt;'RO '!L7),"A",AND(D60&lt;='RO '!N7,D60&gt;'RO '!M7),"B",AND(D60&lt;='RO '!O7,D60&gt;'RO '!N7),"C",AND(D60&lt;='RO '!P7,D60&gt;'RO '!O7),"D",AND(D60&lt;='RO '!Q7,D60&gt;'RO '!P7),"E",AND(D60&lt;='RO '!R7,D60&gt;'RO '!Q7),"F",AND(D60&gt;'RO '!R7),"G")</f>
        <v>A+</v>
      </c>
    </row>
    <row r="61" spans="1:14" ht="16" thickBot="1" x14ac:dyDescent="0.25">
      <c r="A61" s="262"/>
      <c r="B61" s="265"/>
      <c r="C61" s="16" t="s">
        <v>57</v>
      </c>
      <c r="D61" s="58" t="e">
        <f>SUM(D59:D60)</f>
        <v>#DIV/0!</v>
      </c>
      <c r="E61" s="261"/>
      <c r="G61" s="265"/>
      <c r="H61" s="16" t="s">
        <v>57</v>
      </c>
      <c r="I61" s="1" t="e" cm="1">
        <f t="array" ref="I61">_xlfn.IFS(AND(D61&lt;='RO '!L8),"A+",AND(D61&lt;='RO '!M8,D61&gt;'RO '!L8),"A",AND(D61&lt;='RO '!N8,D61&gt;'RO '!M8),"B",AND(D61&lt;='RO '!O8,D61&gt;'RO '!N8),"C",AND(D61&lt;='RO '!P8,D61&gt;'RO '!O8),"D",AND(D61&lt;='RO '!Q8,D61&gt;'RO '!P8),"E",AND(D61&lt;='RO '!R8,D61&gt;'RO '!Q8),"F",AND(D61&gt;'RO '!R8),"G")</f>
        <v>#DIV/0!</v>
      </c>
    </row>
    <row r="62" spans="1:14" ht="32" x14ac:dyDescent="0.2">
      <c r="A62" s="262"/>
      <c r="B62" s="263" t="s">
        <v>90</v>
      </c>
      <c r="C62" s="57" t="s">
        <v>85</v>
      </c>
      <c r="D62" s="100" t="e">
        <f>I16</f>
        <v>#DIV/0!</v>
      </c>
      <c r="E62" s="266" t="s">
        <v>91</v>
      </c>
      <c r="G62" s="263" t="s">
        <v>90</v>
      </c>
      <c r="H62" s="46" t="s">
        <v>85</v>
      </c>
      <c r="I62" s="55" t="e" cm="1">
        <f t="array" ref="I62">_xlfn.IFS(AND(D62&lt;='RO '!L9),"A+",AND(D62&lt;='RO '!M9,D62&gt;'RO '!L9),"A",AND(D62&lt;='RO '!N9,D62&gt;'RO '!M9),"B",AND(D62&lt;='RO '!O9,D62&gt;'RO '!N9),"C",AND(D62&lt;='RO '!P9,D62&gt;'RO '!O9),"D",AND(D62&lt;='RO '!Q9,D62&gt;'RO '!P9),"E",AND(D62&lt;='RO '!R9,D62&gt;'RO '!Q9),"F",AND(D62&gt;'RO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_xlfn.IFS(D63="#","#",AND(D63&lt;='RO '!L10),"A+",AND(D63&lt;='RO '!M10,D63&gt;'RO '!L10),"A",AND(D63&lt;='RO '!N10,D63&gt;'RO '!M10),"B",AND(D63&lt;='RO '!O10,D63&gt;'RO '!N10),"C",AND(D63&lt;='RO '!P10,D63&gt;'RO '!O10),"D",AND(D63&lt;='RO '!Q10,D63&gt;'RO '!P10),"E",AND(D63&lt;='RO '!R10,D63&gt;'RO '!Q10),"F",AND(D63&gt;'RO '!R10),"G")</f>
        <v>#</v>
      </c>
    </row>
    <row r="64" spans="1:14" ht="32" x14ac:dyDescent="0.2">
      <c r="A64" s="262"/>
      <c r="B64" s="264"/>
      <c r="C64" s="21" t="s">
        <v>92</v>
      </c>
      <c r="D64" s="47" t="e">
        <f>IF(ISNUMBER(D63), D62 + D63, D62)</f>
        <v>#DIV/0!</v>
      </c>
      <c r="E64" s="202"/>
      <c r="G64" s="264"/>
      <c r="H64" t="s">
        <v>92</v>
      </c>
      <c r="I64" s="56" t="e" cm="1">
        <f t="array" ref="I64">_xlfn.IFS(AND(D64&lt;='RO '!L11),"A+",AND(D64&lt;='RO '!M11,D64&gt;'RO '!L11),"A",AND(D64&lt;='RO '!N11,D64&gt;'RO '!M11),"B",AND(D64&lt;='RO '!O11,D64&gt;'RO '!N11),"C",AND(D64&lt;='RO '!P11,D64&gt;'RO '!O11),"D",AND(D64&lt;='RO '!Q11,D64&gt;'RO '!P11),"E",AND(D64&lt;='RO '!R11,D64&gt;'RO '!Q11),"F",AND(D64&gt;'RO '!R11),"G")</f>
        <v>#DIV/0!</v>
      </c>
    </row>
    <row r="65" spans="1:9" x14ac:dyDescent="0.2">
      <c r="A65" s="262"/>
      <c r="B65" s="264"/>
      <c r="C65" t="s">
        <v>89</v>
      </c>
      <c r="D65" s="99">
        <f>I31</f>
        <v>0</v>
      </c>
      <c r="E65" s="202"/>
      <c r="G65" s="264"/>
      <c r="H65" t="s">
        <v>89</v>
      </c>
      <c r="I65" s="56" t="str" cm="1">
        <f t="array" ref="I65">_xlfn.IFS(AND(D65&lt;='RO '!L12),"A+",AND(D65&lt;='RO '!M12,D65&gt;'RO '!L12),"A",AND(D65&lt;='RO '!N12,D65&gt;'RO '!M12),"B",AND(D65&lt;='RO '!O12,D65&gt;'RO '!N12),"C",AND(D65&lt;='RO '!P12,D65&gt;'RO '!O12),"D",AND(D65&lt;='RO '!Q12,D65&gt;'RO '!P12),"E",AND(D65&lt;='RO '!R12,D65&gt;'RO '!Q12),"F",AND(D65&gt;'RO '!R12),"G")</f>
        <v>A+</v>
      </c>
    </row>
    <row r="66" spans="1:9" ht="16" thickBot="1" x14ac:dyDescent="0.25">
      <c r="A66" s="262"/>
      <c r="B66" s="265"/>
      <c r="C66" s="16" t="s">
        <v>57</v>
      </c>
      <c r="D66" s="16" t="e">
        <f>SUM(D64:D65)</f>
        <v>#DIV/0!</v>
      </c>
      <c r="E66" s="267"/>
      <c r="G66" s="265"/>
      <c r="H66" s="16" t="s">
        <v>57</v>
      </c>
      <c r="I66" s="1" t="e" cm="1">
        <f t="array" ref="I66">_xlfn.IFS(AND(D66&lt;='RO '!L13),"A+",AND(D66&lt;='RO '!M13,D66&gt;'RO '!L13),"A",AND(D66&lt;='RO '!N13,D66&gt;'RO '!M13),"B",AND(D66&lt;='RO '!O13,D66&gt;'RO '!N13),"C",AND(D66&lt;='RO '!P13,D66&gt;'RO '!O13),"D",AND(D66&lt;='RO '!Q13,D66&gt;'RO '!P13),"E",AND(D66&lt;='RO '!R13,D66&gt;'RO '!Q13),"F",AND(D66&gt;'RO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83" priority="7" operator="equal">
      <formula>"A+"</formula>
    </cfRule>
    <cfRule type="containsText" dxfId="182" priority="8" operator="containsText" text="A">
      <formula>NOT(ISERROR(SEARCH("A",I57)))</formula>
    </cfRule>
    <cfRule type="containsText" dxfId="181" priority="9" operator="containsText" text="B">
      <formula>NOT(ISERROR(SEARCH("B",I57)))</formula>
    </cfRule>
    <cfRule type="containsText" dxfId="180" priority="10" operator="containsText" text="C">
      <formula>NOT(ISERROR(SEARCH("C",I57)))</formula>
    </cfRule>
    <cfRule type="containsText" dxfId="179" priority="11" operator="containsText" text="D">
      <formula>NOT(ISERROR(SEARCH("D",I57)))</formula>
    </cfRule>
    <cfRule type="containsText" dxfId="178" priority="12" operator="containsText" text="E">
      <formula>NOT(ISERROR(SEARCH("E",I57)))</formula>
    </cfRule>
    <cfRule type="containsText" dxfId="177" priority="13" operator="containsText" text="F">
      <formula>NOT(ISERROR(SEARCH("F",I57)))</formula>
    </cfRule>
    <cfRule type="containsText" dxfId="176" priority="14" operator="containsText" text="G">
      <formula>NOT(ISERROR(SEARCH("G",I57)))</formula>
    </cfRule>
  </conditionalFormatting>
  <conditionalFormatting sqref="K5:K15">
    <cfRule type="expression" dxfId="47" priority="2" stopIfTrue="1">
      <formula>$O$19="No"</formula>
    </cfRule>
  </conditionalFormatting>
  <conditionalFormatting sqref="L5:L15">
    <cfRule type="expression" dxfId="46"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B111A020-8045-1D48-8AFF-A0AA13C27F85}">
      <formula1>AND(Q19="Yes", ISNUMBER(L5))</formula1>
    </dataValidation>
    <dataValidation type="custom" operator="lessThan" allowBlank="1" showErrorMessage="1" errorTitle="Error" error="You can only enter values if you have selected HOME PV. The value must be a number." sqref="K5:K15" xr:uid="{033E9943-64BF-CB41-958E-EE9DDD7FB6CF}">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C58AEEB-9E9C-41F9-9659-7F9987C26517}">
          <x14:formula1>
            <xm:f>DATA!$J$3:$J$10</xm:f>
          </x14:formula1>
          <xm:sqref>D29:D51</xm:sqref>
        </x14:dataValidation>
        <x14:dataValidation type="list" allowBlank="1" showInputMessage="1" showErrorMessage="1" xr:uid="{D2F0B91A-71A5-6E49-AFBE-7B83C8287817}">
          <x14:formula1>
            <xm:f>DATA!$B$15:$B$23</xm:f>
          </x14:formula1>
          <xm:sqref>J2</xm:sqref>
        </x14:dataValidation>
        <x14:dataValidation type="list" allowBlank="1" showInputMessage="1" showErrorMessage="1" xr:uid="{A34DAE50-838B-4500-998E-D82F25CAD3C4}">
          <x14:formula1>
            <xm:f>DATA!$H$3:$H$23</xm:f>
          </x14:formula1>
          <xm:sqref>C29:C51</xm:sqref>
        </x14:dataValidation>
        <x14:dataValidation type="list" allowBlank="1" showInputMessage="1" showErrorMessage="1" xr:uid="{4B5C38AB-D37B-6645-B56B-341492997E74}">
          <x14:formula1>
            <xm:f>DATA!$B$3:$B$13</xm:f>
          </x14:formula1>
          <xm:sqref>H2</xm:sqref>
        </x14:dataValidation>
        <x14:dataValidation type="list" allowBlank="1" showInputMessage="1" showErrorMessage="1" xr:uid="{77F70B62-6AB5-A042-965B-55DC9CE0C436}">
          <x14:formula1>
            <xm:f>DATA!$L$4:$L$5</xm:f>
          </x14:formula1>
          <xm:sqref>O18:O19 Q19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1BF2F-38AD-4CEE-A8BF-ACE53C12A0BF}">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6.5" customWidth="1"/>
    <col min="5" max="5" width="17.33203125" customWidth="1"/>
    <col min="6" max="6" width="19.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116</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IF($O$18="Yes",(E5/$F$2)*DATA!$C$9,(E5/$F$2)*DATA!F27)+IF(ISBLANK(K5),0,K5/$F$2)*DATA!$C$9-IF(ISBLANK(L5),0,L5/$F$2)*DATA!F$27</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IF($O$18="Yes",(E6/$F$2)*DATA!$C$9,(E6/$F$2)*DATA!F28)+IF(ISBLANK(K6),0,K6/$F$2)*DATA!$C$9-IF(ISBLANK(L6),0,L6/$F$2)*DATA!F$27</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IF($O$18="Yes",(E7/$F$2)*DATA!$C$9,(E7/$F$2)*DATA!F29)+IF(ISBLANK(K7),0,K7/$F$2)*DATA!$C$9-IF(ISBLANK(L7),0,L7/$F$2)*DATA!F$27</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IF($O$18="Yes",(E8/$F$2)*DATA!$C$9,(E8/$F$2)*DATA!F30)+IF(ISBLANK(K8),0,K8/$F$2)*DATA!$C$9-IF(ISBLANK(L8),0,L8/$F$2)*DATA!F$27</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IF($O$18="Yes",(E9/$F$2)*DATA!$C$9,(E9/$F$2)*DATA!F31)+IF(ISBLANK(K9),0,K9/$F$2)*DATA!$C$9-IF(ISBLANK(L9),0,L9/$F$2)*DATA!F$27</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IF($O$18="Yes",(E10/$F$2)*DATA!$C$9,(E10/$F$2)*DATA!F32)+IF(ISBLANK(K10),0,K10/$F$2)*DATA!$C$9-IF(ISBLANK(L10),0,L10/$F$2)*DATA!F$27</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IF($O$18="Yes",(E11/$F$2)*DATA!$C$9,(E11/$F$2)*DATA!F33)+IF(ISBLANK(K11),0,K11/$F$2)*DATA!$C$9-IF(ISBLANK(L11),0,L11/$F$2)*DATA!F$27</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IF($O$18="Yes",(E12/$F$2)*DATA!$C$9,(E12/$F$2)*DATA!F34)+IF(ISBLANK(K12),0,K12/$F$2)*DATA!$C$9-IF(ISBLANK(L12),0,L12/$F$2)*DATA!F$27</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IF($O$18="Yes",(E13/$F$2)*DATA!$C$9,(E13/$F$2)*DATA!F35)+IF(ISBLANK(K13),0,K13/$F$2)*DATA!$C$9-IF(ISBLANK(L13),0,L13/$F$2)*DATA!F$27</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IF($O$18="Yes",(E14/$F$2)*DATA!$C$9,(E14/$F$2)*DATA!F36)+IF(ISBLANK(K14),0,K14/$F$2)*DATA!$C$9-IF(ISBLANK(L14),0,L14/$F$2)*DATA!F$27</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IF($O$18="Yes",(E15/$F$2)*DATA!$C$9,(E15/$F$2)*DATA!F37)+IF(ISBLANK(K15),0,K15/$F$2)*DATA!$C$9-IF(ISBLANK(L15),0,L15/$F$2)*DATA!F$27</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car",$D29=1),$E29*'SK '!C$7,AND($C29="Fuel car",$D29=2),$E29*'SK '!C$8,AND($C29="Fuel car",$D29=3),$E29*'SK '!C$9,AND($C29="Fuel car",$D29=4),$E29*'SK '!C$10,AND($C29="Fuel car",$D29=5),$E29*'SK '!C$11,AND($C29="Motorcycle",$D29=1),$E29*'SK '!C$13,AND($C29="Motorcycle",$D29=2),$E29*'SK '!C$14,AND($C29="Electric car",$D29=1),$E29*'SK '!C$16,AND($C29="Electric car",$D29=2),$E29*'SK '!C$17,AND($C29="Electric car",$D29=3),$E29*'SK '!C$18,AND($C29="Electric car",$D29=4),$E29*'SK '!C$19,AND($C29="Electric car",$D29=5),$E29*'SK '!C$20,AND($C29="Hybrid car",$D29=1),$E29*'SK '!C$22,AND($C29="Hybrid car",$D29=2),$E29*'SK '!C$23,AND($C29="Hybrid car",$D29=3),$E29*'SK '!C$24,AND($C29="Hybrid car",$D29=4),$E29*'SK '!C$25,AND($C29="Hybrid car",$D29=5),$E29*'SK '!C$26,AND($C29="Electric motorcycle",$D29=1),$E29*'SK '!C$28,AND($C29="Electric motorcycle",$D29=2),$E29*'SK '!C$29,AND($C29="Electric bike",$D29=1),$E29*'SK '!C$31,AND($C29="Electric scooter",$D29=1),$E29*'SK '!C$33,AND($C29="Bus",$D29="Almost empty"),$E29*'SK '!H$23,AND($C29="Bus",$D29="Average"),$E29*'SK '!H$24,AND($C29="Bus",$D29="Nearly full"),$E29*'SK '!H$25,AND($C29="Electric bus",$D29="Almost empty"),$E29*'SK '!H$7,AND($C29="Electric bus",$D29="Average"),$E29*'SK '!H$8,AND($C29="Electric bus",$D29="Nearly full"),$E29*'SK '!H$9,AND($C29="Diesel bus",$D29="Almost empty"),$E29*'SK '!H$19,AND($C29="Diesel bus",$D29="Average"),$E29*'SK '!H$20,AND($C29="Diesel bus",$D29="Nearly full"),$E29*'SK '!H$21,AND($C29="Hybrid-electric bus",$D29="Almost empty"),$E29*'SK '!H$11,AND($C29="Hybrid-electric bus",$D29="Average"),$E29*'SK '!H$12,AND($C29="Hybrid-electric bus",$D29="Nearly full"),$E29*'SK '!H$13,AND($C29="Alternative fuel bus",$D29="Almost empty"),$E29*'SK '!H$15,AND($C29="Alternative fuel bus",$D29="Average"),$E29*'SK '!H$16,AND($C29="Alternative fuel bus",$D29="Nearly full"),$E29*'SK '!H$17,AND($C29="Metro, tram, urban light train",$D29="Almost empty"),$E29*'SK '!C$35,AND($C29="Metro, tram, urban light train",$D29="Average"),$E29*'SK '!C$36,AND($C29="Metro, tram, urban light train",$D29="Nearly full"),$E29*'SK '!C$37,AND($C29="Electric passenger train",$D29="Almost empty"),$E29*'SK '!C$39,AND($C29="Electric passenger train",$D29="Average"),$E29*'SK '!C$40,AND($C29="Electric passenger train",$D29="Nearly full"),$E29*'SK '!C$41,AND($C29="Diesel passenger train",$D29="Almost empty"),$E29*'SK '!C$47,AND($C29="Diesel passenger train",$D29="Average"),$E29*'SK '!C$48,AND($C29="Diesel passenger train",$D29="Nearly full"),$E29*'SK '!C$49,AND($C29="Walking"),$E29*0,AND($C29="Bike"),$E29*0,AND($C29="Plane - domestic flight"),$E29*'SK '!$C53,AND($C29="Plane - international - intra EU"),$E29*'SK '!$C55,AND($C29="Plane - international (extra EU)"),$E29*'SK '!$C57)</f>
        <v>#N/A</v>
      </c>
      <c r="G29" s="104" t="e" cm="1">
        <f t="array" ref="G29">_xlfn.IFS(AND($C29="Fuel car",$D29=1),$E29*'SK '!D$7,AND($C29="Fuel car",$D29=2),$E29*'SK '!D$8,AND($C29="Fuel car",$D29=3),$E29*'SK '!D$9,AND($C29="Fuel car",$D29=4),$E29*'SK '!D$10,AND($C29="Fuel car",$D29=5),$E29*'SK '!D$11,AND($C29="Motorcycle",$D29=1),$E29*'SK '!D$13,AND($C29="Motorcycle",$D29=2),$E29*'SK '!D$14,AND($C29="Electric car",$D29=1),$E29*'SK '!D$16,AND($C29="Electric car",$D29=2),$E29*'SK '!D$17,AND($C29="Electric car",$D29=3),$E29*'SK '!D$18,AND($C29="Electric car",$D29=4),$E29*'SK '!D$19,AND($C29="Electric car",$D29=5),$E29*'SK '!D$20,AND($C29="Hybrid car",$D29=1),$E29*'SK '!D$22,AND($C29="Hybrid car",$D29=2),$E29*'SK '!D$23,AND($C29="Hybrid car",$D29=3),$E29*'SK '!D$24,AND($C29="Hybrid car",$D29=4),$E29*'SK '!D$25,AND($C29="Hybrid car",$D29=5),$E29*'SK '!D$26,AND($C29="Electric motorcycle",$D29=1),$E29*'SK '!D$28,AND($C29="Electric motorcycle",$D29=2),$E29*'SK '!D$29,AND($C29="Electric bike",$D29=1),$E29*'SK '!D$31,AND($C29="Electric scooter",$D29=1),$E29*'SK '!D$33,AND($C29="Bus",$D29="Almost empty"),$E29*'SK '!I$23,AND($C29="Bus",$D29="Average"),$E29*'SK '!I$24,AND($C29="Bus",$D29="Nearly full"),$E29*'SK '!I$25,AND($C29="Electric bus",$D29="Almost empty"),$E29*'SK '!I$7,AND($C29="Electric bus",$D29="Average"),$E29*'SK '!I$8,AND($C29="Electric bus",$D29="Nearly full"),$E29*'SK '!I$9,AND($C29="Diesel bus",$D29="Almost empty"),$E29*'SK '!I$19,AND($C29="Diesel bus",$D29="Average"),$E29*'SK '!I$20,AND($C29="Diesel bus",$D29="Nearly full"),$E29*'SK '!I$21,AND($C29="Hybrid-electric bus",$D29="Almost empty"),$E29*'SK '!I$11,AND($C29="Hybrid-electric bus",$D29="Average"),$E29*'SK '!I$12,AND($C29="Hybrid-electric bus",$D29="Nearly full"),$E29*'SK '!I$13,AND($C29="Alternative fuel bus",$D29="Almost empty"),$E29*'SK '!I$15,AND($C29="Alternative fuel bus",$D29="Average"),$E29*'SK '!I$16,AND($C29="Alternative fuel bus",$D29="Nearly full"),$E29*'SK '!I$17,AND($C29="Metro, tram, urban light train",$D29="Almost empty"),$E29*'SK '!D$35,AND($C29="Metro, tram, urban light train",$D29="Average"),$E29*'SK '!D$36,AND($C29="Metro, tram, urban light train",$D29="Nearly full"),$E29*'SK '!D$37,AND($C29="Electric passenger train",$D29="Almost empty"),$E29*'SK '!D$39,AND($C29="Electric passenger train",$D29="Average"),$E29*'SK '!D$40,AND($C29="Electric passenger train",$D29="Nearly full"),$E29*'SK '!D$41,AND($C29="Diesel passenger train",$D29="Almost empty"),$E29*'SK '!D$47,AND($C29="Diesel passenger train",$D29="Average"),$E29*'SK '!D$48,AND($C29="Diesel passenger train",$D29="Nearly full"),$E29*'SK '!D$49,AND($C29="Walking"),$E29*0,AND($C29="Bike"),$E29*0,AND($C29="Plane - domestic flight"),$E29*'SK '!$C53,AND($C29="Plane - international - intra EU"),$E29*'SK '!$C55,AND($C29="Plane - international (extra EU)"),$E29*'SK '!$C57)</f>
        <v>#N/A</v>
      </c>
      <c r="H29" s="151"/>
      <c r="I29" s="152">
        <f>H29/10*E29</f>
        <v>0</v>
      </c>
      <c r="J29" s="146" t="e" cm="1">
        <f t="array" ref="J29">_xlfn.IFS(C29="Fuel car",C29*DATA!$C$17,C29="Electric car",C29*DATA!$F$27,C29="Hybrid car",I29*(0.5*DATA!$C$17+0.5*DATA!$F$27))</f>
        <v>#N/A</v>
      </c>
      <c r="L29" s="218"/>
      <c r="M29" s="219"/>
      <c r="N29" s="220"/>
    </row>
    <row r="30" spans="1:17" ht="32" customHeight="1" x14ac:dyDescent="0.2">
      <c r="A30" s="222"/>
      <c r="B30" s="30"/>
      <c r="C30" s="15"/>
      <c r="D30" s="15"/>
      <c r="E30" s="125"/>
      <c r="F30" s="128" t="e" cm="1">
        <f t="array" ref="F30">_xlfn.IFS(AND($C30="Fuel car",$D30=1),$E30*'SK '!C$7,AND($C30="Fuel car",$D30=2),$E30*'SK '!C$8,AND($C30="Fuel car",$D30=3),$E30*'SK '!C$9,AND($C30="Fuel car",$D30=4),$E30*'SK '!C$10,AND($C30="Fuel car",$D30=5),$E30*'SK '!C$11,AND($C30="Motorcycle",$D30=1),$E30*'SK '!C$13,AND($C30="Motorcycle",$D30=2),$E30*'SK '!C$14,AND($C30="Electric car",$D30=1),$E30*'SK '!C$16,AND($C30="Electric car",$D30=2),$E30*'SK '!C$17,AND($C30="Electric car",$D30=3),$E30*'SK '!C$18,AND($C30="Electric car",$D30=4),$E30*'SK '!C$19,AND($C30="Electric car",$D30=5),$E30*'SK '!C$20,AND($C30="Hybrid car",$D30=1),$E30*'SK '!C$22,AND($C30="Hybrid car",$D30=2),$E30*'SK '!C$23,AND($C30="Hybrid car",$D30=3),$E30*'SK '!C$24,AND($C30="Hybrid car",$D30=4),$E30*'SK '!C$25,AND($C30="Hybrid car",$D30=5),$E30*'SK '!C$26,AND($C30="Electric motorcycle",$D30=1),$E30*'SK '!C$28,AND($C30="Electric motorcycle",$D30=2),$E30*'SK '!C$29,AND($C30="Electric bike",$D30=1),$E30*'SK '!C$31,AND($C30="Electric scooter",$D30=1),$E30*'SK '!C$33,AND($C30="Bus",$D30="Almost empty"),$E30*'SK '!H$23,AND($C30="Bus",$D30="Average"),$E30*'SK '!H$24,AND($C30="Bus",$D30="Nearly full"),$E30*'SK '!H$25,AND($C30="Electric bus",$D30="Almost empty"),$E30*'SK '!H$7,AND($C30="Electric bus",$D30="Average"),$E30*'SK '!H$8,AND($C30="Electric bus",$D30="Nearly full"),$E30*'SK '!H$9,AND($C30="Diesel bus",$D30="Almost empty"),$E30*'SK '!H$19,AND($C30="Diesel bus",$D30="Average"),$E30*'SK '!H$20,AND($C30="Diesel bus",$D30="Nearly full"),$E30*'SK '!H$21,AND($C30="Hybrid-electric bus",$D30="Almost empty"),$E30*'SK '!H$11,AND($C30="Hybrid-electric bus",$D30="Average"),$E30*'SK '!H$12,AND($C30="Hybrid-electric bus",$D30="Nearly full"),$E30*'SK '!H$13,AND($C30="Alternative fuel bus",$D30="Almost empty"),$E30*'SK '!H$15,AND($C30="Alternative fuel bus",$D30="Average"),$E30*'SK '!H$16,AND($C30="Alternative fuel bus",$D30="Nearly full"),$E30*'SK '!H$17,AND($C30="Metro, tram, urban light train",$D30="Almost empty"),$E30*'SK '!C$35,AND($C30="Metro, tram, urban light train",$D30="Average"),$E30*'SK '!C$36,AND($C30="Metro, tram, urban light train",$D30="Nearly full"),$E30*'SK '!C$37,AND($C30="Electric passenger train",$D30="Almost empty"),$E30*'SK '!C$39,AND($C30="Electric passenger train",$D30="Average"),$E30*'SK '!C$40,AND($C30="Electric passenger train",$D30="Nearly full"),$E30*'SK '!C$41,AND($C30="Diesel passenger train",$D30="Almost empty"),$E30*'SK '!C$47,AND($C30="Diesel passenger train",$D30="Average"),$E30*'SK '!C$48,AND($C30="Diesel passenger train",$D30="Nearly full"),$E30*'SK '!C$49,AND($C30="Walking"),$E30*0,AND($C30="Bike"),$E30*0,AND($C30="Plane - domestic flight"),$E30*'SK '!$C54,AND($C30="Plane - international - intra EU"),$E30*'SK '!$C56,AND($C30="Plane - international (extra EU)"),$E30*'SK '!$C58)</f>
        <v>#N/A</v>
      </c>
      <c r="G30" s="31" t="e" cm="1">
        <f t="array" ref="G30">_xlfn.IFS(AND($C30="Fuel car",$D30=1),$E30*'SK '!D$7,AND($C30="Fuel car",$D30=2),$E30*'SK '!D$8,AND($C30="Fuel car",$D30=3),$E30*'SK '!D$9,AND($C30="Fuel car",$D30=4),$E30*'SK '!D$10,AND($C30="Fuel car",$D30=5),$E30*'SK '!D$11,AND($C30="Motorcycle",$D30=1),$E30*'SK '!D$13,AND($C30="Motorcycle",$D30=2),$E30*'SK '!D$14,AND($C30="Electric car",$D30=1),$E30*'SK '!D$16,AND($C30="Electric car",$D30=2),$E30*'SK '!D$17,AND($C30="Electric car",$D30=3),$E30*'SK '!D$18,AND($C30="Electric car",$D30=4),$E30*'SK '!D$19,AND($C30="Electric car",$D30=5),$E30*'SK '!D$20,AND($C30="Hybrid car",$D30=1),$E30*'SK '!D$22,AND($C30="Hybrid car",$D30=2),$E30*'SK '!D$23,AND($C30="Hybrid car",$D30=3),$E30*'SK '!D$24,AND($C30="Hybrid car",$D30=4),$E30*'SK '!D$25,AND($C30="Hybrid car",$D30=5),$E30*'SK '!D$26,AND($C30="Electric motorcycle",$D30=1),$E30*'SK '!D$28,AND($C30="Electric motorcycle",$D30=2),$E30*'SK '!D$29,AND($C30="Electric bike",$D30=1),$E30*'SK '!D$31,AND($C30="Electric scooter",$D30=1),$E30*'SK '!D$33,AND($C30="Bus",$D30="Almost empty"),$E30*'SK '!I$23,AND($C30="Bus",$D30="Average"),$E30*'SK '!I$24,AND($C30="Bus",$D30="Nearly full"),$E30*'SK '!I$25,AND($C30="Electric bus",$D30="Almost empty"),$E30*'SK '!I$7,AND($C30="Electric bus",$D30="Average"),$E30*'SK '!I$8,AND($C30="Electric bus",$D30="Nearly full"),$E30*'SK '!I$9,AND($C30="Diesel bus",$D30="Almost empty"),$E30*'SK '!I$19,AND($C30="Diesel bus",$D30="Average"),$E30*'SK '!I$20,AND($C30="Diesel bus",$D30="Nearly full"),$E30*'SK '!I$21,AND($C30="Hybrid-electric bus",$D30="Almost empty"),$E30*'SK '!I$11,AND($C30="Hybrid-electric bus",$D30="Average"),$E30*'SK '!I$12,AND($C30="Hybrid-electric bus",$D30="Nearly full"),$E30*'SK '!I$13,AND($C30="Alternative fuel bus",$D30="Almost empty"),$E30*'SK '!I$15,AND($C30="Alternative fuel bus",$D30="Average"),$E30*'SK '!I$16,AND($C30="Alternative fuel bus",$D30="Nearly full"),$E30*'SK '!I$17,AND($C30="Metro, tram, urban light train",$D30="Almost empty"),$E30*'SK '!D$35,AND($C30="Metro, tram, urban light train",$D30="Average"),$E30*'SK '!D$36,AND($C30="Metro, tram, urban light train",$D30="Nearly full"),$E30*'SK '!D$37,AND($C30="Electric passenger train",$D30="Almost empty"),$E30*'SK '!D$39,AND($C30="Electric passenger train",$D30="Average"),$E30*'SK '!D$40,AND($C30="Electric passenger train",$D30="Nearly full"),$E30*'SK '!D$41,AND($C30="Diesel passenger train",$D30="Almost empty"),$E30*'SK '!D$47,AND($C30="Diesel passenger train",$D30="Average"),$E30*'SK '!D$48,AND($C30="Diesel passenger train",$D30="Nearly full"),$E30*'SK '!D$49,AND($C30="Walking"),$E30*0,AND($C30="Bike"),$E30*0,AND($C30="Plane - domestic flight"),$E30*'SK '!$C54,AND($C30="Plane - international - intra EU"),$E30*'SK '!$C56,AND($C30="Plane - international (extra EU)"),$E30*'SK '!$C58)</f>
        <v>#N/A</v>
      </c>
      <c r="H30" s="145"/>
      <c r="I30" s="148">
        <f t="shared" ref="I30:I43" si="6">H30/10*E30</f>
        <v>0</v>
      </c>
      <c r="J30" s="146" t="e" cm="1">
        <f t="array" ref="J30">_xlfn.IFS(C30="Fuel car",C30*DATA!$C$17,C30="Electric car",C30*DATA!$F$27,C30="Hybrid car",I30*(0.5*DATA!$C$17+0.5*DATA!$F$27))</f>
        <v>#N/A</v>
      </c>
      <c r="L30" s="215" t="s">
        <v>76</v>
      </c>
      <c r="M30" s="216"/>
      <c r="N30" s="217"/>
    </row>
    <row r="31" spans="1:17" x14ac:dyDescent="0.2">
      <c r="A31" s="222"/>
      <c r="B31" s="30"/>
      <c r="C31" s="15"/>
      <c r="D31" s="15"/>
      <c r="E31" s="125"/>
      <c r="F31" s="128" t="e" cm="1">
        <f t="array" ref="F31">_xlfn.IFS(AND($C31="Fuel car",$D31=1),$E31*'SK '!C$7,AND($C31="Fuel car",$D31=2),$E31*'SK '!C$8,AND($C31="Fuel car",$D31=3),$E31*'SK '!C$9,AND($C31="Fuel car",$D31=4),$E31*'SK '!C$10,AND($C31="Fuel car",$D31=5),$E31*'SK '!C$11,AND($C31="Motorcycle",$D31=1),$E31*'SK '!C$13,AND($C31="Motorcycle",$D31=2),$E31*'SK '!C$14,AND($C31="Electric car",$D31=1),$E31*'SK '!C$16,AND($C31="Electric car",$D31=2),$E31*'SK '!C$17,AND($C31="Electric car",$D31=3),$E31*'SK '!C$18,AND($C31="Electric car",$D31=4),$E31*'SK '!C$19,AND($C31="Electric car",$D31=5),$E31*'SK '!C$20,AND($C31="Hybrid car",$D31=1),$E31*'SK '!C$22,AND($C31="Hybrid car",$D31=2),$E31*'SK '!C$23,AND($C31="Hybrid car",$D31=3),$E31*'SK '!C$24,AND($C31="Hybrid car",$D31=4),$E31*'SK '!C$25,AND($C31="Hybrid car",$D31=5),$E31*'SK '!C$26,AND($C31="Electric motorcycle",$D31=1),$E31*'SK '!C$28,AND($C31="Electric motorcycle",$D31=2),$E31*'SK '!C$29,AND($C31="Electric bike",$D31=1),$E31*'SK '!C$31,AND($C31="Electric scooter",$D31=1),$E31*'SK '!C$33,AND($C31="Bus",$D31="Almost empty"),$E31*'SK '!H$23,AND($C31="Bus",$D31="Average"),$E31*'SK '!H$24,AND($C31="Bus",$D31="Nearly full"),$E31*'SK '!H$25,AND($C31="Electric bus",$D31="Almost empty"),$E31*'SK '!H$7,AND($C31="Electric bus",$D31="Average"),$E31*'SK '!H$8,AND($C31="Electric bus",$D31="Nearly full"),$E31*'SK '!H$9,AND($C31="Diesel bus",$D31="Almost empty"),$E31*'SK '!H$19,AND($C31="Diesel bus",$D31="Average"),$E31*'SK '!H$20,AND($C31="Diesel bus",$D31="Nearly full"),$E31*'SK '!H$21,AND($C31="Hybrid-electric bus",$D31="Almost empty"),$E31*'SK '!H$11,AND($C31="Hybrid-electric bus",$D31="Average"),$E31*'SK '!H$12,AND($C31="Hybrid-electric bus",$D31="Nearly full"),$E31*'SK '!H$13,AND($C31="Alternative fuel bus",$D31="Almost empty"),$E31*'SK '!H$15,AND($C31="Alternative fuel bus",$D31="Average"),$E31*'SK '!H$16,AND($C31="Alternative fuel bus",$D31="Nearly full"),$E31*'SK '!H$17,AND($C31="Metro, tram, urban light train",$D31="Almost empty"),$E31*'SK '!C$35,AND($C31="Metro, tram, urban light train",$D31="Average"),$E31*'SK '!C$36,AND($C31="Metro, tram, urban light train",$D31="Nearly full"),$E31*'SK '!C$37,AND($C31="Electric passenger train",$D31="Almost empty"),$E31*'SK '!C$39,AND($C31="Electric passenger train",$D31="Average"),$E31*'SK '!C$40,AND($C31="Electric passenger train",$D31="Nearly full"),$E31*'SK '!C$41,AND($C31="Diesel passenger train",$D31="Almost empty"),$E31*'SK '!C$47,AND($C31="Diesel passenger train",$D31="Average"),$E31*'SK '!C$48,AND($C31="Diesel passenger train",$D31="Nearly full"),$E31*'SK '!C$49,AND($C31="Walking"),$E31*0,AND($C31="Bike"),$E31*0,AND($C31="Plane - domestic flight"),$E31*'SK '!$C55,AND($C31="Plane - international - intra EU"),$E31*'SK '!$C57,AND($C31="Plane - international (extra EU)"),$E31*'SK '!$C59)</f>
        <v>#N/A</v>
      </c>
      <c r="G31" s="31" t="e" cm="1">
        <f t="array" ref="G31">_xlfn.IFS(AND($C31="Fuel car",$D31=1),$E31*'SK '!D$7,AND($C31="Fuel car",$D31=2),$E31*'SK '!D$8,AND($C31="Fuel car",$D31=3),$E31*'SK '!D$9,AND($C31="Fuel car",$D31=4),$E31*'SK '!D$10,AND($C31="Fuel car",$D31=5),$E31*'SK '!D$11,AND($C31="Motorcycle",$D31=1),$E31*'SK '!D$13,AND($C31="Motorcycle",$D31=2),$E31*'SK '!D$14,AND($C31="Electric car",$D31=1),$E31*'SK '!D$16,AND($C31="Electric car",$D31=2),$E31*'SK '!D$17,AND($C31="Electric car",$D31=3),$E31*'SK '!D$18,AND($C31="Electric car",$D31=4),$E31*'SK '!D$19,AND($C31="Electric car",$D31=5),$E31*'SK '!D$20,AND($C31="Hybrid car",$D31=1),$E31*'SK '!D$22,AND($C31="Hybrid car",$D31=2),$E31*'SK '!D$23,AND($C31="Hybrid car",$D31=3),$E31*'SK '!D$24,AND($C31="Hybrid car",$D31=4),$E31*'SK '!D$25,AND($C31="Hybrid car",$D31=5),$E31*'SK '!D$26,AND($C31="Electric motorcycle",$D31=1),$E31*'SK '!D$28,AND($C31="Electric motorcycle",$D31=2),$E31*'SK '!D$29,AND($C31="Electric bike",$D31=1),$E31*'SK '!D$31,AND($C31="Electric scooter",$D31=1),$E31*'SK '!D$33,AND($C31="Bus",$D31="Almost empty"),$E31*'SK '!I$23,AND($C31="Bus",$D31="Average"),$E31*'SK '!I$24,AND($C31="Bus",$D31="Nearly full"),$E31*'SK '!I$25,AND($C31="Electric bus",$D31="Almost empty"),$E31*'SK '!I$7,AND($C31="Electric bus",$D31="Average"),$E31*'SK '!I$8,AND($C31="Electric bus",$D31="Nearly full"),$E31*'SK '!I$9,AND($C31="Diesel bus",$D31="Almost empty"),$E31*'SK '!I$19,AND($C31="Diesel bus",$D31="Average"),$E31*'SK '!I$20,AND($C31="Diesel bus",$D31="Nearly full"),$E31*'SK '!I$21,AND($C31="Hybrid-electric bus",$D31="Almost empty"),$E31*'SK '!I$11,AND($C31="Hybrid-electric bus",$D31="Average"),$E31*'SK '!I$12,AND($C31="Hybrid-electric bus",$D31="Nearly full"),$E31*'SK '!I$13,AND($C31="Alternative fuel bus",$D31="Almost empty"),$E31*'SK '!I$15,AND($C31="Alternative fuel bus",$D31="Average"),$E31*'SK '!I$16,AND($C31="Alternative fuel bus",$D31="Nearly full"),$E31*'SK '!I$17,AND($C31="Metro, tram, urban light train",$D31="Almost empty"),$E31*'SK '!D$35,AND($C31="Metro, tram, urban light train",$D31="Average"),$E31*'SK '!D$36,AND($C31="Metro, tram, urban light train",$D31="Nearly full"),$E31*'SK '!D$37,AND($C31="Electric passenger train",$D31="Almost empty"),$E31*'SK '!D$39,AND($C31="Electric passenger train",$D31="Average"),$E31*'SK '!D$40,AND($C31="Electric passenger train",$D31="Nearly full"),$E31*'SK '!D$41,AND($C31="Diesel passenger train",$D31="Almost empty"),$E31*'SK '!D$47,AND($C31="Diesel passenger train",$D31="Average"),$E31*'SK '!D$48,AND($C31="Diesel passenger train",$D31="Nearly full"),$E31*'SK '!D$49,AND($C31="Walking"),$E31*0,AND($C31="Bike"),$E31*0,AND($C31="Plane - domestic flight"),$E31*'SK '!$C55,AND($C31="Plane - international - intra EU"),$E31*'SK '!$C57,AND($C31="Plane - international (extra EU)"),$E31*'SK '!$C59)</f>
        <v>#N/A</v>
      </c>
      <c r="H31" s="145"/>
      <c r="I31" s="148">
        <f t="shared" si="6"/>
        <v>0</v>
      </c>
      <c r="J31" s="146" t="e" cm="1">
        <f t="array" ref="J31">_xlfn.IFS(C31="Fuel car",C31*DATA!$C$17,C31="Electric car",C31*DATA!$F$27,C31="Hybrid car",I31*(0.5*DATA!$C$17+0.5*DATA!$F$27))</f>
        <v>#N/A</v>
      </c>
      <c r="L31" s="223"/>
      <c r="M31" s="224"/>
      <c r="N31" s="225"/>
    </row>
    <row r="32" spans="1:17" ht="16" thickBot="1" x14ac:dyDescent="0.25">
      <c r="A32" s="222"/>
      <c r="B32" s="30"/>
      <c r="C32" s="15"/>
      <c r="D32" s="15"/>
      <c r="E32" s="125"/>
      <c r="F32" s="128" t="e" cm="1">
        <f t="array" ref="F32">_xlfn.IFS(AND($C32="Fuel car",$D32=1),$E32*'SK '!C$7,AND($C32="Fuel car",$D32=2),$E32*'SK '!C$8,AND($C32="Fuel car",$D32=3),$E32*'SK '!C$9,AND($C32="Fuel car",$D32=4),$E32*'SK '!C$10,AND($C32="Fuel car",$D32=5),$E32*'SK '!C$11,AND($C32="Motorcycle",$D32=1),$E32*'SK '!C$13,AND($C32="Motorcycle",$D32=2),$E32*'SK '!C$14,AND($C32="Electric car",$D32=1),$E32*'SK '!C$16,AND($C32="Electric car",$D32=2),$E32*'SK '!C$17,AND($C32="Electric car",$D32=3),$E32*'SK '!C$18,AND($C32="Electric car",$D32=4),$E32*'SK '!C$19,AND($C32="Electric car",$D32=5),$E32*'SK '!C$20,AND($C32="Hybrid car",$D32=1),$E32*'SK '!C$22,AND($C32="Hybrid car",$D32=2),$E32*'SK '!C$23,AND($C32="Hybrid car",$D32=3),$E32*'SK '!C$24,AND($C32="Hybrid car",$D32=4),$E32*'SK '!C$25,AND($C32="Hybrid car",$D32=5),$E32*'SK '!C$26,AND($C32="Electric motorcycle",$D32=1),$E32*'SK '!C$28,AND($C32="Electric motorcycle",$D32=2),$E32*'SK '!C$29,AND($C32="Electric bike",$D32=1),$E32*'SK '!C$31,AND($C32="Electric scooter",$D32=1),$E32*'SK '!C$33,AND($C32="Bus",$D32="Almost empty"),$E32*'SK '!H$23,AND($C32="Bus",$D32="Average"),$E32*'SK '!H$24,AND($C32="Bus",$D32="Nearly full"),$E32*'SK '!H$25,AND($C32="Electric bus",$D32="Almost empty"),$E32*'SK '!H$7,AND($C32="Electric bus",$D32="Average"),$E32*'SK '!H$8,AND($C32="Electric bus",$D32="Nearly full"),$E32*'SK '!H$9,AND($C32="Diesel bus",$D32="Almost empty"),$E32*'SK '!H$19,AND($C32="Diesel bus",$D32="Average"),$E32*'SK '!H$20,AND($C32="Diesel bus",$D32="Nearly full"),$E32*'SK '!H$21,AND($C32="Hybrid-electric bus",$D32="Almost empty"),$E32*'SK '!H$11,AND($C32="Hybrid-electric bus",$D32="Average"),$E32*'SK '!H$12,AND($C32="Hybrid-electric bus",$D32="Nearly full"),$E32*'SK '!H$13,AND($C32="Alternative fuel bus",$D32="Almost empty"),$E32*'SK '!H$15,AND($C32="Alternative fuel bus",$D32="Average"),$E32*'SK '!H$16,AND($C32="Alternative fuel bus",$D32="Nearly full"),$E32*'SK '!H$17,AND($C32="Metro, tram, urban light train",$D32="Almost empty"),$E32*'SK '!C$35,AND($C32="Metro, tram, urban light train",$D32="Average"),$E32*'SK '!C$36,AND($C32="Metro, tram, urban light train",$D32="Nearly full"),$E32*'SK '!C$37,AND($C32="Electric passenger train",$D32="Almost empty"),$E32*'SK '!C$39,AND($C32="Electric passenger train",$D32="Average"),$E32*'SK '!C$40,AND($C32="Electric passenger train",$D32="Nearly full"),$E32*'SK '!C$41,AND($C32="Diesel passenger train",$D32="Almost empty"),$E32*'SK '!C$47,AND($C32="Diesel passenger train",$D32="Average"),$E32*'SK '!C$48,AND($C32="Diesel passenger train",$D32="Nearly full"),$E32*'SK '!C$49,AND($C32="Walking"),$E32*0,AND($C32="Bike"),$E32*0,AND($C32="Plane - domestic flight"),$E32*'SK '!$C56,AND($C32="Plane - international - intra EU"),$E32*'SK '!$C58,AND($C32="Plane - international (extra EU)"),$E32*'SK '!$C60)</f>
        <v>#N/A</v>
      </c>
      <c r="G32" s="31" t="e" cm="1">
        <f t="array" ref="G32">_xlfn.IFS(AND($C32="Fuel car",$D32=1),$E32*'SK '!D$7,AND($C32="Fuel car",$D32=2),$E32*'SK '!D$8,AND($C32="Fuel car",$D32=3),$E32*'SK '!D$9,AND($C32="Fuel car",$D32=4),$E32*'SK '!D$10,AND($C32="Fuel car",$D32=5),$E32*'SK '!D$11,AND($C32="Motorcycle",$D32=1),$E32*'SK '!D$13,AND($C32="Motorcycle",$D32=2),$E32*'SK '!D$14,AND($C32="Electric car",$D32=1),$E32*'SK '!D$16,AND($C32="Electric car",$D32=2),$E32*'SK '!D$17,AND($C32="Electric car",$D32=3),$E32*'SK '!D$18,AND($C32="Electric car",$D32=4),$E32*'SK '!D$19,AND($C32="Electric car",$D32=5),$E32*'SK '!D$20,AND($C32="Hybrid car",$D32=1),$E32*'SK '!D$22,AND($C32="Hybrid car",$D32=2),$E32*'SK '!D$23,AND($C32="Hybrid car",$D32=3),$E32*'SK '!D$24,AND($C32="Hybrid car",$D32=4),$E32*'SK '!D$25,AND($C32="Hybrid car",$D32=5),$E32*'SK '!D$26,AND($C32="Electric motorcycle",$D32=1),$E32*'SK '!D$28,AND($C32="Electric motorcycle",$D32=2),$E32*'SK '!D$29,AND($C32="Electric bike",$D32=1),$E32*'SK '!D$31,AND($C32="Electric scooter",$D32=1),$E32*'SK '!D$33,AND($C32="Bus",$D32="Almost empty"),$E32*'SK '!I$23,AND($C32="Bus",$D32="Average"),$E32*'SK '!I$24,AND($C32="Bus",$D32="Nearly full"),$E32*'SK '!I$25,AND($C32="Electric bus",$D32="Almost empty"),$E32*'SK '!I$7,AND($C32="Electric bus",$D32="Average"),$E32*'SK '!I$8,AND($C32="Electric bus",$D32="Nearly full"),$E32*'SK '!I$9,AND($C32="Diesel bus",$D32="Almost empty"),$E32*'SK '!I$19,AND($C32="Diesel bus",$D32="Average"),$E32*'SK '!I$20,AND($C32="Diesel bus",$D32="Nearly full"),$E32*'SK '!I$21,AND($C32="Hybrid-electric bus",$D32="Almost empty"),$E32*'SK '!I$11,AND($C32="Hybrid-electric bus",$D32="Average"),$E32*'SK '!I$12,AND($C32="Hybrid-electric bus",$D32="Nearly full"),$E32*'SK '!I$13,AND($C32="Alternative fuel bus",$D32="Almost empty"),$E32*'SK '!I$15,AND($C32="Alternative fuel bus",$D32="Average"),$E32*'SK '!I$16,AND($C32="Alternative fuel bus",$D32="Nearly full"),$E32*'SK '!I$17,AND($C32="Metro, tram, urban light train",$D32="Almost empty"),$E32*'SK '!D$35,AND($C32="Metro, tram, urban light train",$D32="Average"),$E32*'SK '!D$36,AND($C32="Metro, tram, urban light train",$D32="Nearly full"),$E32*'SK '!D$37,AND($C32="Electric passenger train",$D32="Almost empty"),$E32*'SK '!D$39,AND($C32="Electric passenger train",$D32="Average"),$E32*'SK '!D$40,AND($C32="Electric passenger train",$D32="Nearly full"),$E32*'SK '!D$41,AND($C32="Diesel passenger train",$D32="Almost empty"),$E32*'SK '!D$47,AND($C32="Diesel passenger train",$D32="Average"),$E32*'SK '!D$48,AND($C32="Diesel passenger train",$D32="Nearly full"),$E32*'SK '!D$49,AND($C32="Walking"),$E32*0,AND($C32="Bike"),$E32*0,AND($C32="Plane - domestic flight"),$E32*'SK '!$C56,AND($C32="Plane - international - intra EU"),$E32*'SK '!$C58,AND($C32="Plane - international (extra EU)"),$E32*'SK '!$C60)</f>
        <v>#N/A</v>
      </c>
      <c r="H32" s="145"/>
      <c r="I32" s="148">
        <f t="shared" si="6"/>
        <v>0</v>
      </c>
      <c r="J32" s="146" t="e" cm="1">
        <f t="array" ref="J32">_xlfn.IFS(C32="Fuel car",C32*DATA!$C$17,C32="Electric car",C32*DATA!$F$27,C32="Hybrid car",I32*(0.5*DATA!$C$17+0.5*DATA!$F$27))</f>
        <v>#N/A</v>
      </c>
      <c r="L32" s="218"/>
      <c r="M32" s="219"/>
      <c r="N32" s="220"/>
    </row>
    <row r="33" spans="1:14" ht="14.5" customHeight="1" x14ac:dyDescent="0.2">
      <c r="A33" s="222"/>
      <c r="B33" s="30"/>
      <c r="C33" s="15"/>
      <c r="D33" s="15"/>
      <c r="E33" s="125"/>
      <c r="F33" s="128" t="e" cm="1">
        <f t="array" ref="F33">_xlfn.IFS(AND($C33="Fuel car",$D33=1),$E33*'SK '!C$7,AND($C33="Fuel car",$D33=2),$E33*'SK '!C$8,AND($C33="Fuel car",$D33=3),$E33*'SK '!C$9,AND($C33="Fuel car",$D33=4),$E33*'SK '!C$10,AND($C33="Fuel car",$D33=5),$E33*'SK '!C$11,AND($C33="Motorcycle",$D33=1),$E33*'SK '!C$13,AND($C33="Motorcycle",$D33=2),$E33*'SK '!C$14,AND($C33="Electric car",$D33=1),$E33*'SK '!C$16,AND($C33="Electric car",$D33=2),$E33*'SK '!C$17,AND($C33="Electric car",$D33=3),$E33*'SK '!C$18,AND($C33="Electric car",$D33=4),$E33*'SK '!C$19,AND($C33="Electric car",$D33=5),$E33*'SK '!C$20,AND($C33="Hybrid car",$D33=1),$E33*'SK '!C$22,AND($C33="Hybrid car",$D33=2),$E33*'SK '!C$23,AND($C33="Hybrid car",$D33=3),$E33*'SK '!C$24,AND($C33="Hybrid car",$D33=4),$E33*'SK '!C$25,AND($C33="Hybrid car",$D33=5),$E33*'SK '!C$26,AND($C33="Electric motorcycle",$D33=1),$E33*'SK '!C$28,AND($C33="Electric motorcycle",$D33=2),$E33*'SK '!C$29,AND($C33="Electric bike",$D33=1),$E33*'SK '!C$31,AND($C33="Electric scooter",$D33=1),$E33*'SK '!C$33,AND($C33="Bus",$D33="Almost empty"),$E33*'SK '!H$23,AND($C33="Bus",$D33="Average"),$E33*'SK '!H$24,AND($C33="Bus",$D33="Nearly full"),$E33*'SK '!H$25,AND($C33="Electric bus",$D33="Almost empty"),$E33*'SK '!H$7,AND($C33="Electric bus",$D33="Average"),$E33*'SK '!H$8,AND($C33="Electric bus",$D33="Nearly full"),$E33*'SK '!H$9,AND($C33="Diesel bus",$D33="Almost empty"),$E33*'SK '!H$19,AND($C33="Diesel bus",$D33="Average"),$E33*'SK '!H$20,AND($C33="Diesel bus",$D33="Nearly full"),$E33*'SK '!H$21,AND($C33="Hybrid-electric bus",$D33="Almost empty"),$E33*'SK '!H$11,AND($C33="Hybrid-electric bus",$D33="Average"),$E33*'SK '!H$12,AND($C33="Hybrid-electric bus",$D33="Nearly full"),$E33*'SK '!H$13,AND($C33="Alternative fuel bus",$D33="Almost empty"),$E33*'SK '!H$15,AND($C33="Alternative fuel bus",$D33="Average"),$E33*'SK '!H$16,AND($C33="Alternative fuel bus",$D33="Nearly full"),$E33*'SK '!H$17,AND($C33="Metro, tram, urban light train",$D33="Almost empty"),$E33*'SK '!C$35,AND($C33="Metro, tram, urban light train",$D33="Average"),$E33*'SK '!C$36,AND($C33="Metro, tram, urban light train",$D33="Nearly full"),$E33*'SK '!C$37,AND($C33="Electric passenger train",$D33="Almost empty"),$E33*'SK '!C$39,AND($C33="Electric passenger train",$D33="Average"),$E33*'SK '!C$40,AND($C33="Electric passenger train",$D33="Nearly full"),$E33*'SK '!C$41,AND($C33="Diesel passenger train",$D33="Almost empty"),$E33*'SK '!C$47,AND($C33="Diesel passenger train",$D33="Average"),$E33*'SK '!C$48,AND($C33="Diesel passenger train",$D33="Nearly full"),$E33*'SK '!C$49,AND($C33="Walking"),$E33*0,AND($C33="Bike"),$E33*0,AND($C33="Plane - domestic flight"),$E33*'SK '!$C57,AND($C33="Plane - international - intra EU"),$E33*'SK '!$C59,AND($C33="Plane - international (extra EU)"),$E33*'SK '!$C61)</f>
        <v>#N/A</v>
      </c>
      <c r="G33" s="31" t="e" cm="1">
        <f t="array" ref="G33">_xlfn.IFS(AND($C33="Fuel car",$D33=1),$E33*'SK '!D$7,AND($C33="Fuel car",$D33=2),$E33*'SK '!D$8,AND($C33="Fuel car",$D33=3),$E33*'SK '!D$9,AND($C33="Fuel car",$D33=4),$E33*'SK '!D$10,AND($C33="Fuel car",$D33=5),$E33*'SK '!D$11,AND($C33="Motorcycle",$D33=1),$E33*'SK '!D$13,AND($C33="Motorcycle",$D33=2),$E33*'SK '!D$14,AND($C33="Electric car",$D33=1),$E33*'SK '!D$16,AND($C33="Electric car",$D33=2),$E33*'SK '!D$17,AND($C33="Electric car",$D33=3),$E33*'SK '!D$18,AND($C33="Electric car",$D33=4),$E33*'SK '!D$19,AND($C33="Electric car",$D33=5),$E33*'SK '!D$20,AND($C33="Hybrid car",$D33=1),$E33*'SK '!D$22,AND($C33="Hybrid car",$D33=2),$E33*'SK '!D$23,AND($C33="Hybrid car",$D33=3),$E33*'SK '!D$24,AND($C33="Hybrid car",$D33=4),$E33*'SK '!D$25,AND($C33="Hybrid car",$D33=5),$E33*'SK '!D$26,AND($C33="Electric motorcycle",$D33=1),$E33*'SK '!D$28,AND($C33="Electric motorcycle",$D33=2),$E33*'SK '!D$29,AND($C33="Electric bike",$D33=1),$E33*'SK '!D$31,AND($C33="Electric scooter",$D33=1),$E33*'SK '!D$33,AND($C33="Bus",$D33="Almost empty"),$E33*'SK '!I$23,AND($C33="Bus",$D33="Average"),$E33*'SK '!I$24,AND($C33="Bus",$D33="Nearly full"),$E33*'SK '!I$25,AND($C33="Electric bus",$D33="Almost empty"),$E33*'SK '!I$7,AND($C33="Electric bus",$D33="Average"),$E33*'SK '!I$8,AND($C33="Electric bus",$D33="Nearly full"),$E33*'SK '!I$9,AND($C33="Diesel bus",$D33="Almost empty"),$E33*'SK '!I$19,AND($C33="Diesel bus",$D33="Average"),$E33*'SK '!I$20,AND($C33="Diesel bus",$D33="Nearly full"),$E33*'SK '!I$21,AND($C33="Hybrid-electric bus",$D33="Almost empty"),$E33*'SK '!I$11,AND($C33="Hybrid-electric bus",$D33="Average"),$E33*'SK '!I$12,AND($C33="Hybrid-electric bus",$D33="Nearly full"),$E33*'SK '!I$13,AND($C33="Alternative fuel bus",$D33="Almost empty"),$E33*'SK '!I$15,AND($C33="Alternative fuel bus",$D33="Average"),$E33*'SK '!I$16,AND($C33="Alternative fuel bus",$D33="Nearly full"),$E33*'SK '!I$17,AND($C33="Metro, tram, urban light train",$D33="Almost empty"),$E33*'SK '!D$35,AND($C33="Metro, tram, urban light train",$D33="Average"),$E33*'SK '!D$36,AND($C33="Metro, tram, urban light train",$D33="Nearly full"),$E33*'SK '!D$37,AND($C33="Electric passenger train",$D33="Almost empty"),$E33*'SK '!D$39,AND($C33="Electric passenger train",$D33="Average"),$E33*'SK '!D$40,AND($C33="Electric passenger train",$D33="Nearly full"),$E33*'SK '!D$41,AND($C33="Diesel passenger train",$D33="Almost empty"),$E33*'SK '!D$47,AND($C33="Diesel passenger train",$D33="Average"),$E33*'SK '!D$48,AND($C33="Diesel passenger train",$D33="Nearly full"),$E33*'SK '!D$49,AND($C33="Walking"),$E33*0,AND($C33="Bike"),$E33*0,AND($C33="Plane - domestic flight"),$E33*'SK '!$C57,AND($C33="Plane - international - intra EU"),$E33*'SK '!$C59,AND($C33="Plane - international (extra EU)"),$E33*'SK '!$C61)</f>
        <v>#N/A</v>
      </c>
      <c r="H33" s="145"/>
      <c r="I33" s="148">
        <f t="shared" si="6"/>
        <v>0</v>
      </c>
      <c r="J33" s="146" t="e" cm="1">
        <f t="array" ref="J33">_xlfn.IFS(C33="Fuel car",C33*DATA!$C$17,C33="Electric car",C33*DATA!$F$27,C33="Hybrid car",I33*(0.5*DATA!$C$17+0.5*DATA!$F$27))</f>
        <v>#N/A</v>
      </c>
      <c r="L33" s="223" t="s">
        <v>78</v>
      </c>
      <c r="M33" s="224"/>
      <c r="N33" s="225"/>
    </row>
    <row r="34" spans="1:14" x14ac:dyDescent="0.2">
      <c r="A34" s="222"/>
      <c r="B34" s="30"/>
      <c r="C34" s="15"/>
      <c r="D34" s="15"/>
      <c r="E34" s="125"/>
      <c r="F34" s="128" t="e" cm="1">
        <f t="array" ref="F34">_xlfn.IFS(AND($C34="Fuel car",$D34=1),$E34*'SK '!C$7,AND($C34="Fuel car",$D34=2),$E34*'SK '!C$8,AND($C34="Fuel car",$D34=3),$E34*'SK '!C$9,AND($C34="Fuel car",$D34=4),$E34*'SK '!C$10,AND($C34="Fuel car",$D34=5),$E34*'SK '!C$11,AND($C34="Motorcycle",$D34=1),$E34*'SK '!C$13,AND($C34="Motorcycle",$D34=2),$E34*'SK '!C$14,AND($C34="Electric car",$D34=1),$E34*'SK '!C$16,AND($C34="Electric car",$D34=2),$E34*'SK '!C$17,AND($C34="Electric car",$D34=3),$E34*'SK '!C$18,AND($C34="Electric car",$D34=4),$E34*'SK '!C$19,AND($C34="Electric car",$D34=5),$E34*'SK '!C$20,AND($C34="Hybrid car",$D34=1),$E34*'SK '!C$22,AND($C34="Hybrid car",$D34=2),$E34*'SK '!C$23,AND($C34="Hybrid car",$D34=3),$E34*'SK '!C$24,AND($C34="Hybrid car",$D34=4),$E34*'SK '!C$25,AND($C34="Hybrid car",$D34=5),$E34*'SK '!C$26,AND($C34="Electric motorcycle",$D34=1),$E34*'SK '!C$28,AND($C34="Electric motorcycle",$D34=2),$E34*'SK '!C$29,AND($C34="Electric bike",$D34=1),$E34*'SK '!C$31,AND($C34="Electric scooter",$D34=1),$E34*'SK '!C$33,AND($C34="Bus",$D34="Almost empty"),$E34*'SK '!H$23,AND($C34="Bus",$D34="Average"),$E34*'SK '!H$24,AND($C34="Bus",$D34="Nearly full"),$E34*'SK '!H$25,AND($C34="Electric bus",$D34="Almost empty"),$E34*'SK '!H$7,AND($C34="Electric bus",$D34="Average"),$E34*'SK '!H$8,AND($C34="Electric bus",$D34="Nearly full"),$E34*'SK '!H$9,AND($C34="Diesel bus",$D34="Almost empty"),$E34*'SK '!H$19,AND($C34="Diesel bus",$D34="Average"),$E34*'SK '!H$20,AND($C34="Diesel bus",$D34="Nearly full"),$E34*'SK '!H$21,AND($C34="Hybrid-electric bus",$D34="Almost empty"),$E34*'SK '!H$11,AND($C34="Hybrid-electric bus",$D34="Average"),$E34*'SK '!H$12,AND($C34="Hybrid-electric bus",$D34="Nearly full"),$E34*'SK '!H$13,AND($C34="Alternative fuel bus",$D34="Almost empty"),$E34*'SK '!H$15,AND($C34="Alternative fuel bus",$D34="Average"),$E34*'SK '!H$16,AND($C34="Alternative fuel bus",$D34="Nearly full"),$E34*'SK '!H$17,AND($C34="Metro, tram, urban light train",$D34="Almost empty"),$E34*'SK '!C$35,AND($C34="Metro, tram, urban light train",$D34="Average"),$E34*'SK '!C$36,AND($C34="Metro, tram, urban light train",$D34="Nearly full"),$E34*'SK '!C$37,AND($C34="Electric passenger train",$D34="Almost empty"),$E34*'SK '!C$39,AND($C34="Electric passenger train",$D34="Average"),$E34*'SK '!C$40,AND($C34="Electric passenger train",$D34="Nearly full"),$E34*'SK '!C$41,AND($C34="Diesel passenger train",$D34="Almost empty"),$E34*'SK '!C$47,AND($C34="Diesel passenger train",$D34="Average"),$E34*'SK '!C$48,AND($C34="Diesel passenger train",$D34="Nearly full"),$E34*'SK '!C$49,AND($C34="Walking"),$E34*0,AND($C34="Bike"),$E34*0,AND($C34="Plane - domestic flight"),$E34*'SK '!$C58,AND($C34="Plane - international - intra EU"),$E34*'SK '!$C60,AND($C34="Plane - international (extra EU)"),$E34*'SK '!$C62)</f>
        <v>#N/A</v>
      </c>
      <c r="G34" s="31" t="e" cm="1">
        <f t="array" ref="G34">_xlfn.IFS(AND($C34="Fuel car",$D34=1),$E34*'SK '!D$7,AND($C34="Fuel car",$D34=2),$E34*'SK '!D$8,AND($C34="Fuel car",$D34=3),$E34*'SK '!D$9,AND($C34="Fuel car",$D34=4),$E34*'SK '!D$10,AND($C34="Fuel car",$D34=5),$E34*'SK '!D$11,AND($C34="Motorcycle",$D34=1),$E34*'SK '!D$13,AND($C34="Motorcycle",$D34=2),$E34*'SK '!D$14,AND($C34="Electric car",$D34=1),$E34*'SK '!D$16,AND($C34="Electric car",$D34=2),$E34*'SK '!D$17,AND($C34="Electric car",$D34=3),$E34*'SK '!D$18,AND($C34="Electric car",$D34=4),$E34*'SK '!D$19,AND($C34="Electric car",$D34=5),$E34*'SK '!D$20,AND($C34="Hybrid car",$D34=1),$E34*'SK '!D$22,AND($C34="Hybrid car",$D34=2),$E34*'SK '!D$23,AND($C34="Hybrid car",$D34=3),$E34*'SK '!D$24,AND($C34="Hybrid car",$D34=4),$E34*'SK '!D$25,AND($C34="Hybrid car",$D34=5),$E34*'SK '!D$26,AND($C34="Electric motorcycle",$D34=1),$E34*'SK '!D$28,AND($C34="Electric motorcycle",$D34=2),$E34*'SK '!D$29,AND($C34="Electric bike",$D34=1),$E34*'SK '!D$31,AND($C34="Electric scooter",$D34=1),$E34*'SK '!D$33,AND($C34="Bus",$D34="Almost empty"),$E34*'SK '!I$23,AND($C34="Bus",$D34="Average"),$E34*'SK '!I$24,AND($C34="Bus",$D34="Nearly full"),$E34*'SK '!I$25,AND($C34="Electric bus",$D34="Almost empty"),$E34*'SK '!I$7,AND($C34="Electric bus",$D34="Average"),$E34*'SK '!I$8,AND($C34="Electric bus",$D34="Nearly full"),$E34*'SK '!I$9,AND($C34="Diesel bus",$D34="Almost empty"),$E34*'SK '!I$19,AND($C34="Diesel bus",$D34="Average"),$E34*'SK '!I$20,AND($C34="Diesel bus",$D34="Nearly full"),$E34*'SK '!I$21,AND($C34="Hybrid-electric bus",$D34="Almost empty"),$E34*'SK '!I$11,AND($C34="Hybrid-electric bus",$D34="Average"),$E34*'SK '!I$12,AND($C34="Hybrid-electric bus",$D34="Nearly full"),$E34*'SK '!I$13,AND($C34="Alternative fuel bus",$D34="Almost empty"),$E34*'SK '!I$15,AND($C34="Alternative fuel bus",$D34="Average"),$E34*'SK '!I$16,AND($C34="Alternative fuel bus",$D34="Nearly full"),$E34*'SK '!I$17,AND($C34="Metro, tram, urban light train",$D34="Almost empty"),$E34*'SK '!D$35,AND($C34="Metro, tram, urban light train",$D34="Average"),$E34*'SK '!D$36,AND($C34="Metro, tram, urban light train",$D34="Nearly full"),$E34*'SK '!D$37,AND($C34="Electric passenger train",$D34="Almost empty"),$E34*'SK '!D$39,AND($C34="Electric passenger train",$D34="Average"),$E34*'SK '!D$40,AND($C34="Electric passenger train",$D34="Nearly full"),$E34*'SK '!D$41,AND($C34="Diesel passenger train",$D34="Almost empty"),$E34*'SK '!D$47,AND($C34="Diesel passenger train",$D34="Average"),$E34*'SK '!D$48,AND($C34="Diesel passenger train",$D34="Nearly full"),$E34*'SK '!D$49,AND($C34="Walking"),$E34*0,AND($C34="Bike"),$E34*0,AND($C34="Plane - domestic flight"),$E34*'SK '!$C58,AND($C34="Plane - international - intra EU"),$E34*'SK '!$C60,AND($C34="Plane - international (extra EU)"),$E34*'SK '!$C62)</f>
        <v>#N/A</v>
      </c>
      <c r="H34" s="145"/>
      <c r="I34" s="148">
        <f t="shared" si="6"/>
        <v>0</v>
      </c>
      <c r="J34" s="146" t="e" cm="1">
        <f t="array" ref="J34">_xlfn.IFS(C34="Fuel car",C34*DATA!$C$17,C34="Electric car",C34*DATA!$F$27,C34="Hybrid car",I34*(0.5*DATA!$C$17+0.5*DATA!$F$27))</f>
        <v>#N/A</v>
      </c>
      <c r="L34" s="223"/>
      <c r="M34" s="224"/>
      <c r="N34" s="225"/>
    </row>
    <row r="35" spans="1:14" ht="14.5" customHeight="1" x14ac:dyDescent="0.2">
      <c r="A35" s="222"/>
      <c r="B35" s="30"/>
      <c r="C35" s="15"/>
      <c r="D35" s="15"/>
      <c r="E35" s="125"/>
      <c r="F35" s="128" t="e" cm="1">
        <f t="array" ref="F35">_xlfn.IFS(AND($C35="Fuel car",$D35=1),$E35*'SK '!C$7,AND($C35="Fuel car",$D35=2),$E35*'SK '!C$8,AND($C35="Fuel car",$D35=3),$E35*'SK '!C$9,AND($C35="Fuel car",$D35=4),$E35*'SK '!C$10,AND($C35="Fuel car",$D35=5),$E35*'SK '!C$11,AND($C35="Motorcycle",$D35=1),$E35*'SK '!C$13,AND($C35="Motorcycle",$D35=2),$E35*'SK '!C$14,AND($C35="Electric car",$D35=1),$E35*'SK '!C$16,AND($C35="Electric car",$D35=2),$E35*'SK '!C$17,AND($C35="Electric car",$D35=3),$E35*'SK '!C$18,AND($C35="Electric car",$D35=4),$E35*'SK '!C$19,AND($C35="Electric car",$D35=5),$E35*'SK '!C$20,AND($C35="Hybrid car",$D35=1),$E35*'SK '!C$22,AND($C35="Hybrid car",$D35=2),$E35*'SK '!C$23,AND($C35="Hybrid car",$D35=3),$E35*'SK '!C$24,AND($C35="Hybrid car",$D35=4),$E35*'SK '!C$25,AND($C35="Hybrid car",$D35=5),$E35*'SK '!C$26,AND($C35="Electric motorcycle",$D35=1),$E35*'SK '!C$28,AND($C35="Electric motorcycle",$D35=2),$E35*'SK '!C$29,AND($C35="Electric bike",$D35=1),$E35*'SK '!C$31,AND($C35="Electric scooter",$D35=1),$E35*'SK '!C$33,AND($C35="Bus",$D35="Almost empty"),$E35*'SK '!H$23,AND($C35="Bus",$D35="Average"),$E35*'SK '!H$24,AND($C35="Bus",$D35="Nearly full"),$E35*'SK '!H$25,AND($C35="Electric bus",$D35="Almost empty"),$E35*'SK '!H$7,AND($C35="Electric bus",$D35="Average"),$E35*'SK '!H$8,AND($C35="Electric bus",$D35="Nearly full"),$E35*'SK '!H$9,AND($C35="Diesel bus",$D35="Almost empty"),$E35*'SK '!H$19,AND($C35="Diesel bus",$D35="Average"),$E35*'SK '!H$20,AND($C35="Diesel bus",$D35="Nearly full"),$E35*'SK '!H$21,AND($C35="Hybrid-electric bus",$D35="Almost empty"),$E35*'SK '!H$11,AND($C35="Hybrid-electric bus",$D35="Average"),$E35*'SK '!H$12,AND($C35="Hybrid-electric bus",$D35="Nearly full"),$E35*'SK '!H$13,AND($C35="Alternative fuel bus",$D35="Almost empty"),$E35*'SK '!H$15,AND($C35="Alternative fuel bus",$D35="Average"),$E35*'SK '!H$16,AND($C35="Alternative fuel bus",$D35="Nearly full"),$E35*'SK '!H$17,AND($C35="Metro, tram, urban light train",$D35="Almost empty"),$E35*'SK '!C$35,AND($C35="Metro, tram, urban light train",$D35="Average"),$E35*'SK '!C$36,AND($C35="Metro, tram, urban light train",$D35="Nearly full"),$E35*'SK '!C$37,AND($C35="Electric passenger train",$D35="Almost empty"),$E35*'SK '!C$39,AND($C35="Electric passenger train",$D35="Average"),$E35*'SK '!C$40,AND($C35="Electric passenger train",$D35="Nearly full"),$E35*'SK '!C$41,AND($C35="Diesel passenger train",$D35="Almost empty"),$E35*'SK '!C$47,AND($C35="Diesel passenger train",$D35="Average"),$E35*'SK '!C$48,AND($C35="Diesel passenger train",$D35="Nearly full"),$E35*'SK '!C$49,AND($C35="Walking"),$E35*0,AND($C35="Bike"),$E35*0,AND($C35="Plane - domestic flight"),$E35*'SK '!$C59,AND($C35="Plane - international - intra EU"),$E35*'SK '!$C61,AND($C35="Plane - international (extra EU)"),$E35*'SK '!$C63)</f>
        <v>#N/A</v>
      </c>
      <c r="G35" s="31" t="e" cm="1">
        <f t="array" ref="G35">_xlfn.IFS(AND($C35="Fuel car",$D35=1),$E35*'SK '!D$7,AND($C35="Fuel car",$D35=2),$E35*'SK '!D$8,AND($C35="Fuel car",$D35=3),$E35*'SK '!D$9,AND($C35="Fuel car",$D35=4),$E35*'SK '!D$10,AND($C35="Fuel car",$D35=5),$E35*'SK '!D$11,AND($C35="Motorcycle",$D35=1),$E35*'SK '!D$13,AND($C35="Motorcycle",$D35=2),$E35*'SK '!D$14,AND($C35="Electric car",$D35=1),$E35*'SK '!D$16,AND($C35="Electric car",$D35=2),$E35*'SK '!D$17,AND($C35="Electric car",$D35=3),$E35*'SK '!D$18,AND($C35="Electric car",$D35=4),$E35*'SK '!D$19,AND($C35="Electric car",$D35=5),$E35*'SK '!D$20,AND($C35="Hybrid car",$D35=1),$E35*'SK '!D$22,AND($C35="Hybrid car",$D35=2),$E35*'SK '!D$23,AND($C35="Hybrid car",$D35=3),$E35*'SK '!D$24,AND($C35="Hybrid car",$D35=4),$E35*'SK '!D$25,AND($C35="Hybrid car",$D35=5),$E35*'SK '!D$26,AND($C35="Electric motorcycle",$D35=1),$E35*'SK '!D$28,AND($C35="Electric motorcycle",$D35=2),$E35*'SK '!D$29,AND($C35="Electric bike",$D35=1),$E35*'SK '!D$31,AND($C35="Electric scooter",$D35=1),$E35*'SK '!D$33,AND($C35="Bus",$D35="Almost empty"),$E35*'SK '!I$23,AND($C35="Bus",$D35="Average"),$E35*'SK '!I$24,AND($C35="Bus",$D35="Nearly full"),$E35*'SK '!I$25,AND($C35="Electric bus",$D35="Almost empty"),$E35*'SK '!I$7,AND($C35="Electric bus",$D35="Average"),$E35*'SK '!I$8,AND($C35="Electric bus",$D35="Nearly full"),$E35*'SK '!I$9,AND($C35="Diesel bus",$D35="Almost empty"),$E35*'SK '!I$19,AND($C35="Diesel bus",$D35="Average"),$E35*'SK '!I$20,AND($C35="Diesel bus",$D35="Nearly full"),$E35*'SK '!I$21,AND($C35="Hybrid-electric bus",$D35="Almost empty"),$E35*'SK '!I$11,AND($C35="Hybrid-electric bus",$D35="Average"),$E35*'SK '!I$12,AND($C35="Hybrid-electric bus",$D35="Nearly full"),$E35*'SK '!I$13,AND($C35="Alternative fuel bus",$D35="Almost empty"),$E35*'SK '!I$15,AND($C35="Alternative fuel bus",$D35="Average"),$E35*'SK '!I$16,AND($C35="Alternative fuel bus",$D35="Nearly full"),$E35*'SK '!I$17,AND($C35="Metro, tram, urban light train",$D35="Almost empty"),$E35*'SK '!D$35,AND($C35="Metro, tram, urban light train",$D35="Average"),$E35*'SK '!D$36,AND($C35="Metro, tram, urban light train",$D35="Nearly full"),$E35*'SK '!D$37,AND($C35="Electric passenger train",$D35="Almost empty"),$E35*'SK '!D$39,AND($C35="Electric passenger train",$D35="Average"),$E35*'SK '!D$40,AND($C35="Electric passenger train",$D35="Nearly full"),$E35*'SK '!D$41,AND($C35="Diesel passenger train",$D35="Almost empty"),$E35*'SK '!D$47,AND($C35="Diesel passenger train",$D35="Average"),$E35*'SK '!D$48,AND($C35="Diesel passenger train",$D35="Nearly full"),$E35*'SK '!D$49,AND($C35="Walking"),$E35*0,AND($C35="Bike"),$E35*0,AND($C35="Plane - domestic flight"),$E35*'SK '!$C59,AND($C35="Plane - international - intra EU"),$E35*'SK '!$C61,AND($C35="Plane - international (extra EU)"),$E35*'SK '!$C63)</f>
        <v>#N/A</v>
      </c>
      <c r="H35" s="145"/>
      <c r="I35" s="148">
        <f t="shared" si="6"/>
        <v>0</v>
      </c>
      <c r="J35" s="146" t="e" cm="1">
        <f t="array" ref="J35">_xlfn.IFS(C35="Fuel car",C35*DATA!$C$17,C35="Electric car",C35*DATA!$F$27,C35="Hybrid car",I35*(0.5*DATA!$C$17+0.5*DATA!$F$27))</f>
        <v>#N/A</v>
      </c>
      <c r="L35" s="223"/>
      <c r="M35" s="224"/>
      <c r="N35" s="225"/>
    </row>
    <row r="36" spans="1:14" ht="16" thickBot="1" x14ac:dyDescent="0.25">
      <c r="A36" s="222"/>
      <c r="B36" s="30"/>
      <c r="C36" s="15"/>
      <c r="D36" s="15"/>
      <c r="E36" s="125"/>
      <c r="F36" s="128" t="e" cm="1">
        <f t="array" ref="F36">_xlfn.IFS(AND($C36="Fuel car",$D36=1),$E36*'SK '!C$7,AND($C36="Fuel car",$D36=2),$E36*'SK '!C$8,AND($C36="Fuel car",$D36=3),$E36*'SK '!C$9,AND($C36="Fuel car",$D36=4),$E36*'SK '!C$10,AND($C36="Fuel car",$D36=5),$E36*'SK '!C$11,AND($C36="Motorcycle",$D36=1),$E36*'SK '!C$13,AND($C36="Motorcycle",$D36=2),$E36*'SK '!C$14,AND($C36="Electric car",$D36=1),$E36*'SK '!C$16,AND($C36="Electric car",$D36=2),$E36*'SK '!C$17,AND($C36="Electric car",$D36=3),$E36*'SK '!C$18,AND($C36="Electric car",$D36=4),$E36*'SK '!C$19,AND($C36="Electric car",$D36=5),$E36*'SK '!C$20,AND($C36="Hybrid car",$D36=1),$E36*'SK '!C$22,AND($C36="Hybrid car",$D36=2),$E36*'SK '!C$23,AND($C36="Hybrid car",$D36=3),$E36*'SK '!C$24,AND($C36="Hybrid car",$D36=4),$E36*'SK '!C$25,AND($C36="Hybrid car",$D36=5),$E36*'SK '!C$26,AND($C36="Electric motorcycle",$D36=1),$E36*'SK '!C$28,AND($C36="Electric motorcycle",$D36=2),$E36*'SK '!C$29,AND($C36="Electric bike",$D36=1),$E36*'SK '!C$31,AND($C36="Electric scooter",$D36=1),$E36*'SK '!C$33,AND($C36="Bus",$D36="Almost empty"),$E36*'SK '!H$23,AND($C36="Bus",$D36="Average"),$E36*'SK '!H$24,AND($C36="Bus",$D36="Nearly full"),$E36*'SK '!H$25,AND($C36="Electric bus",$D36="Almost empty"),$E36*'SK '!H$7,AND($C36="Electric bus",$D36="Average"),$E36*'SK '!H$8,AND($C36="Electric bus",$D36="Nearly full"),$E36*'SK '!H$9,AND($C36="Diesel bus",$D36="Almost empty"),$E36*'SK '!H$19,AND($C36="Diesel bus",$D36="Average"),$E36*'SK '!H$20,AND($C36="Diesel bus",$D36="Nearly full"),$E36*'SK '!H$21,AND($C36="Hybrid-electric bus",$D36="Almost empty"),$E36*'SK '!H$11,AND($C36="Hybrid-electric bus",$D36="Average"),$E36*'SK '!H$12,AND($C36="Hybrid-electric bus",$D36="Nearly full"),$E36*'SK '!H$13,AND($C36="Alternative fuel bus",$D36="Almost empty"),$E36*'SK '!H$15,AND($C36="Alternative fuel bus",$D36="Average"),$E36*'SK '!H$16,AND($C36="Alternative fuel bus",$D36="Nearly full"),$E36*'SK '!H$17,AND($C36="Metro, tram, urban light train",$D36="Almost empty"),$E36*'SK '!C$35,AND($C36="Metro, tram, urban light train",$D36="Average"),$E36*'SK '!C$36,AND($C36="Metro, tram, urban light train",$D36="Nearly full"),$E36*'SK '!C$37,AND($C36="Electric passenger train",$D36="Almost empty"),$E36*'SK '!C$39,AND($C36="Electric passenger train",$D36="Average"),$E36*'SK '!C$40,AND($C36="Electric passenger train",$D36="Nearly full"),$E36*'SK '!C$41,AND($C36="Diesel passenger train",$D36="Almost empty"),$E36*'SK '!C$47,AND($C36="Diesel passenger train",$D36="Average"),$E36*'SK '!C$48,AND($C36="Diesel passenger train",$D36="Nearly full"),$E36*'SK '!C$49,AND($C36="Walking"),$E36*0,AND($C36="Bike"),$E36*0,AND($C36="Plane - domestic flight"),$E36*'SK '!$C60,AND($C36="Plane - international - intra EU"),$E36*'SK '!$C62,AND($C36="Plane - international (extra EU)"),$E36*'SK '!$C64)</f>
        <v>#N/A</v>
      </c>
      <c r="G36" s="31" t="e" cm="1">
        <f t="array" ref="G36">_xlfn.IFS(AND($C36="Fuel car",$D36=1),$E36*'SK '!D$7,AND($C36="Fuel car",$D36=2),$E36*'SK '!D$8,AND($C36="Fuel car",$D36=3),$E36*'SK '!D$9,AND($C36="Fuel car",$D36=4),$E36*'SK '!D$10,AND($C36="Fuel car",$D36=5),$E36*'SK '!D$11,AND($C36="Motorcycle",$D36=1),$E36*'SK '!D$13,AND($C36="Motorcycle",$D36=2),$E36*'SK '!D$14,AND($C36="Electric car",$D36=1),$E36*'SK '!D$16,AND($C36="Electric car",$D36=2),$E36*'SK '!D$17,AND($C36="Electric car",$D36=3),$E36*'SK '!D$18,AND($C36="Electric car",$D36=4),$E36*'SK '!D$19,AND($C36="Electric car",$D36=5),$E36*'SK '!D$20,AND($C36="Hybrid car",$D36=1),$E36*'SK '!D$22,AND($C36="Hybrid car",$D36=2),$E36*'SK '!D$23,AND($C36="Hybrid car",$D36=3),$E36*'SK '!D$24,AND($C36="Hybrid car",$D36=4),$E36*'SK '!D$25,AND($C36="Hybrid car",$D36=5),$E36*'SK '!D$26,AND($C36="Electric motorcycle",$D36=1),$E36*'SK '!D$28,AND($C36="Electric motorcycle",$D36=2),$E36*'SK '!D$29,AND($C36="Electric bike",$D36=1),$E36*'SK '!D$31,AND($C36="Electric scooter",$D36=1),$E36*'SK '!D$33,AND($C36="Bus",$D36="Almost empty"),$E36*'SK '!I$23,AND($C36="Bus",$D36="Average"),$E36*'SK '!I$24,AND($C36="Bus",$D36="Nearly full"),$E36*'SK '!I$25,AND($C36="Electric bus",$D36="Almost empty"),$E36*'SK '!I$7,AND($C36="Electric bus",$D36="Average"),$E36*'SK '!I$8,AND($C36="Electric bus",$D36="Nearly full"),$E36*'SK '!I$9,AND($C36="Diesel bus",$D36="Almost empty"),$E36*'SK '!I$19,AND($C36="Diesel bus",$D36="Average"),$E36*'SK '!I$20,AND($C36="Diesel bus",$D36="Nearly full"),$E36*'SK '!I$21,AND($C36="Hybrid-electric bus",$D36="Almost empty"),$E36*'SK '!I$11,AND($C36="Hybrid-electric bus",$D36="Average"),$E36*'SK '!I$12,AND($C36="Hybrid-electric bus",$D36="Nearly full"),$E36*'SK '!I$13,AND($C36="Alternative fuel bus",$D36="Almost empty"),$E36*'SK '!I$15,AND($C36="Alternative fuel bus",$D36="Average"),$E36*'SK '!I$16,AND($C36="Alternative fuel bus",$D36="Nearly full"),$E36*'SK '!I$17,AND($C36="Metro, tram, urban light train",$D36="Almost empty"),$E36*'SK '!D$35,AND($C36="Metro, tram, urban light train",$D36="Average"),$E36*'SK '!D$36,AND($C36="Metro, tram, urban light train",$D36="Nearly full"),$E36*'SK '!D$37,AND($C36="Electric passenger train",$D36="Almost empty"),$E36*'SK '!D$39,AND($C36="Electric passenger train",$D36="Average"),$E36*'SK '!D$40,AND($C36="Electric passenger train",$D36="Nearly full"),$E36*'SK '!D$41,AND($C36="Diesel passenger train",$D36="Almost empty"),$E36*'SK '!D$47,AND($C36="Diesel passenger train",$D36="Average"),$E36*'SK '!D$48,AND($C36="Diesel passenger train",$D36="Nearly full"),$E36*'SK '!D$49,AND($C36="Walking"),$E36*0,AND($C36="Bike"),$E36*0,AND($C36="Plane - domestic flight"),$E36*'SK '!$C60,AND($C36="Plane - international - intra EU"),$E36*'SK '!$C62,AND($C36="Plane - international (extra EU)"),$E36*'SK '!$C64)</f>
        <v>#N/A</v>
      </c>
      <c r="H36" s="145"/>
      <c r="I36" s="148">
        <f t="shared" si="6"/>
        <v>0</v>
      </c>
      <c r="J36" s="146" t="e" cm="1">
        <f t="array" ref="J36">_xlfn.IFS(C36="Fuel car",C36*DATA!$C$17,C36="Electric car",C36*DATA!$F$27,C36="Hybrid car",I36*(0.5*DATA!$C$17+0.5*DATA!$F$27))</f>
        <v>#N/A</v>
      </c>
      <c r="L36" s="218"/>
      <c r="M36" s="219"/>
      <c r="N36" s="220"/>
    </row>
    <row r="37" spans="1:14" ht="14.5" customHeight="1" x14ac:dyDescent="0.2">
      <c r="A37" s="222"/>
      <c r="B37" s="30"/>
      <c r="C37" s="15"/>
      <c r="D37" s="15"/>
      <c r="E37" s="125"/>
      <c r="F37" s="128" t="e" cm="1">
        <f t="array" ref="F37">_xlfn.IFS(AND($C37="Fuel car",$D37=1),$E37*'SK '!C$7,AND($C37="Fuel car",$D37=2),$E37*'SK '!C$8,AND($C37="Fuel car",$D37=3),$E37*'SK '!C$9,AND($C37="Fuel car",$D37=4),$E37*'SK '!C$10,AND($C37="Fuel car",$D37=5),$E37*'SK '!C$11,AND($C37="Motorcycle",$D37=1),$E37*'SK '!C$13,AND($C37="Motorcycle",$D37=2),$E37*'SK '!C$14,AND($C37="Electric car",$D37=1),$E37*'SK '!C$16,AND($C37="Electric car",$D37=2),$E37*'SK '!C$17,AND($C37="Electric car",$D37=3),$E37*'SK '!C$18,AND($C37="Electric car",$D37=4),$E37*'SK '!C$19,AND($C37="Electric car",$D37=5),$E37*'SK '!C$20,AND($C37="Hybrid car",$D37=1),$E37*'SK '!C$22,AND($C37="Hybrid car",$D37=2),$E37*'SK '!C$23,AND($C37="Hybrid car",$D37=3),$E37*'SK '!C$24,AND($C37="Hybrid car",$D37=4),$E37*'SK '!C$25,AND($C37="Hybrid car",$D37=5),$E37*'SK '!C$26,AND($C37="Electric motorcycle",$D37=1),$E37*'SK '!C$28,AND($C37="Electric motorcycle",$D37=2),$E37*'SK '!C$29,AND($C37="Electric bike",$D37=1),$E37*'SK '!C$31,AND($C37="Electric scooter",$D37=1),$E37*'SK '!C$33,AND($C37="Bus",$D37="Almost empty"),$E37*'SK '!H$23,AND($C37="Bus",$D37="Average"),$E37*'SK '!H$24,AND($C37="Bus",$D37="Nearly full"),$E37*'SK '!H$25,AND($C37="Electric bus",$D37="Almost empty"),$E37*'SK '!H$7,AND($C37="Electric bus",$D37="Average"),$E37*'SK '!H$8,AND($C37="Electric bus",$D37="Nearly full"),$E37*'SK '!H$9,AND($C37="Diesel bus",$D37="Almost empty"),$E37*'SK '!H$19,AND($C37="Diesel bus",$D37="Average"),$E37*'SK '!H$20,AND($C37="Diesel bus",$D37="Nearly full"),$E37*'SK '!H$21,AND($C37="Hybrid-electric bus",$D37="Almost empty"),$E37*'SK '!H$11,AND($C37="Hybrid-electric bus",$D37="Average"),$E37*'SK '!H$12,AND($C37="Hybrid-electric bus",$D37="Nearly full"),$E37*'SK '!H$13,AND($C37="Alternative fuel bus",$D37="Almost empty"),$E37*'SK '!H$15,AND($C37="Alternative fuel bus",$D37="Average"),$E37*'SK '!H$16,AND($C37="Alternative fuel bus",$D37="Nearly full"),$E37*'SK '!H$17,AND($C37="Metro, tram, urban light train",$D37="Almost empty"),$E37*'SK '!C$35,AND($C37="Metro, tram, urban light train",$D37="Average"),$E37*'SK '!C$36,AND($C37="Metro, tram, urban light train",$D37="Nearly full"),$E37*'SK '!C$37,AND($C37="Electric passenger train",$D37="Almost empty"),$E37*'SK '!C$39,AND($C37="Electric passenger train",$D37="Average"),$E37*'SK '!C$40,AND($C37="Electric passenger train",$D37="Nearly full"),$E37*'SK '!C$41,AND($C37="Diesel passenger train",$D37="Almost empty"),$E37*'SK '!C$47,AND($C37="Diesel passenger train",$D37="Average"),$E37*'SK '!C$48,AND($C37="Diesel passenger train",$D37="Nearly full"),$E37*'SK '!C$49,AND($C37="Walking"),$E37*0,AND($C37="Bike"),$E37*0,AND($C37="Plane - domestic flight"),$E37*'SK '!$C61,AND($C37="Plane - international - intra EU"),$E37*'SK '!$C63,AND($C37="Plane - international (extra EU)"),$E37*'SK '!$C65)</f>
        <v>#N/A</v>
      </c>
      <c r="G37" s="31" t="e" cm="1">
        <f t="array" ref="G37">_xlfn.IFS(AND($C37="Fuel car",$D37=1),$E37*'SK '!D$7,AND($C37="Fuel car",$D37=2),$E37*'SK '!D$8,AND($C37="Fuel car",$D37=3),$E37*'SK '!D$9,AND($C37="Fuel car",$D37=4),$E37*'SK '!D$10,AND($C37="Fuel car",$D37=5),$E37*'SK '!D$11,AND($C37="Motorcycle",$D37=1),$E37*'SK '!D$13,AND($C37="Motorcycle",$D37=2),$E37*'SK '!D$14,AND($C37="Electric car",$D37=1),$E37*'SK '!D$16,AND($C37="Electric car",$D37=2),$E37*'SK '!D$17,AND($C37="Electric car",$D37=3),$E37*'SK '!D$18,AND($C37="Electric car",$D37=4),$E37*'SK '!D$19,AND($C37="Electric car",$D37=5),$E37*'SK '!D$20,AND($C37="Hybrid car",$D37=1),$E37*'SK '!D$22,AND($C37="Hybrid car",$D37=2),$E37*'SK '!D$23,AND($C37="Hybrid car",$D37=3),$E37*'SK '!D$24,AND($C37="Hybrid car",$D37=4),$E37*'SK '!D$25,AND($C37="Hybrid car",$D37=5),$E37*'SK '!D$26,AND($C37="Electric motorcycle",$D37=1),$E37*'SK '!D$28,AND($C37="Electric motorcycle",$D37=2),$E37*'SK '!D$29,AND($C37="Electric bike",$D37=1),$E37*'SK '!D$31,AND($C37="Electric scooter",$D37=1),$E37*'SK '!D$33,AND($C37="Bus",$D37="Almost empty"),$E37*'SK '!I$23,AND($C37="Bus",$D37="Average"),$E37*'SK '!I$24,AND($C37="Bus",$D37="Nearly full"),$E37*'SK '!I$25,AND($C37="Electric bus",$D37="Almost empty"),$E37*'SK '!I$7,AND($C37="Electric bus",$D37="Average"),$E37*'SK '!I$8,AND($C37="Electric bus",$D37="Nearly full"),$E37*'SK '!I$9,AND($C37="Diesel bus",$D37="Almost empty"),$E37*'SK '!I$19,AND($C37="Diesel bus",$D37="Average"),$E37*'SK '!I$20,AND($C37="Diesel bus",$D37="Nearly full"),$E37*'SK '!I$21,AND($C37="Hybrid-electric bus",$D37="Almost empty"),$E37*'SK '!I$11,AND($C37="Hybrid-electric bus",$D37="Average"),$E37*'SK '!I$12,AND($C37="Hybrid-electric bus",$D37="Nearly full"),$E37*'SK '!I$13,AND($C37="Alternative fuel bus",$D37="Almost empty"),$E37*'SK '!I$15,AND($C37="Alternative fuel bus",$D37="Average"),$E37*'SK '!I$16,AND($C37="Alternative fuel bus",$D37="Nearly full"),$E37*'SK '!I$17,AND($C37="Metro, tram, urban light train",$D37="Almost empty"),$E37*'SK '!D$35,AND($C37="Metro, tram, urban light train",$D37="Average"),$E37*'SK '!D$36,AND($C37="Metro, tram, urban light train",$D37="Nearly full"),$E37*'SK '!D$37,AND($C37="Electric passenger train",$D37="Almost empty"),$E37*'SK '!D$39,AND($C37="Electric passenger train",$D37="Average"),$E37*'SK '!D$40,AND($C37="Electric passenger train",$D37="Nearly full"),$E37*'SK '!D$41,AND($C37="Diesel passenger train",$D37="Almost empty"),$E37*'SK '!D$47,AND($C37="Diesel passenger train",$D37="Average"),$E37*'SK '!D$48,AND($C37="Diesel passenger train",$D37="Nearly full"),$E37*'SK '!D$49,AND($C37="Walking"),$E37*0,AND($C37="Bike"),$E37*0,AND($C37="Plane - domestic flight"),$E37*'SK '!$C61,AND($C37="Plane - international - intra EU"),$E37*'SK '!$C63,AND($C37="Plane - international (extra EU)"),$E37*'SK '!$C65)</f>
        <v>#N/A</v>
      </c>
      <c r="H37" s="145"/>
      <c r="I37" s="148">
        <f t="shared" si="6"/>
        <v>0</v>
      </c>
      <c r="J37" s="146" t="e" cm="1">
        <f t="array" ref="J37">_xlfn.IFS(C37="Fuel car",C37*DATA!$C$17,C37="Electric car",C37*DATA!$F$27,C37="Hybrid car",I37*(0.5*DATA!$C$17+0.5*DATA!$F$27))</f>
        <v>#N/A</v>
      </c>
      <c r="L37" s="215" t="s">
        <v>79</v>
      </c>
      <c r="M37" s="216"/>
      <c r="N37" s="217"/>
    </row>
    <row r="38" spans="1:14" ht="16" thickBot="1" x14ac:dyDescent="0.25">
      <c r="A38" s="222"/>
      <c r="B38" s="30"/>
      <c r="C38" s="15"/>
      <c r="D38" s="15"/>
      <c r="E38" s="125"/>
      <c r="F38" s="128" t="e" cm="1">
        <f t="array" ref="F38">_xlfn.IFS(AND($C38="Fuel car",$D38=1),$E38*'SK '!C$7,AND($C38="Fuel car",$D38=2),$E38*'SK '!C$8,AND($C38="Fuel car",$D38=3),$E38*'SK '!C$9,AND($C38="Fuel car",$D38=4),$E38*'SK '!C$10,AND($C38="Fuel car",$D38=5),$E38*'SK '!C$11,AND($C38="Motorcycle",$D38=1),$E38*'SK '!C$13,AND($C38="Motorcycle",$D38=2),$E38*'SK '!C$14,AND($C38="Electric car",$D38=1),$E38*'SK '!C$16,AND($C38="Electric car",$D38=2),$E38*'SK '!C$17,AND($C38="Electric car",$D38=3),$E38*'SK '!C$18,AND($C38="Electric car",$D38=4),$E38*'SK '!C$19,AND($C38="Electric car",$D38=5),$E38*'SK '!C$20,AND($C38="Hybrid car",$D38=1),$E38*'SK '!C$22,AND($C38="Hybrid car",$D38=2),$E38*'SK '!C$23,AND($C38="Hybrid car",$D38=3),$E38*'SK '!C$24,AND($C38="Hybrid car",$D38=4),$E38*'SK '!C$25,AND($C38="Hybrid car",$D38=5),$E38*'SK '!C$26,AND($C38="Electric motorcycle",$D38=1),$E38*'SK '!C$28,AND($C38="Electric motorcycle",$D38=2),$E38*'SK '!C$29,AND($C38="Electric bike",$D38=1),$E38*'SK '!C$31,AND($C38="Electric scooter",$D38=1),$E38*'SK '!C$33,AND($C38="Bus",$D38="Almost empty"),$E38*'SK '!H$23,AND($C38="Bus",$D38="Average"),$E38*'SK '!H$24,AND($C38="Bus",$D38="Nearly full"),$E38*'SK '!H$25,AND($C38="Electric bus",$D38="Almost empty"),$E38*'SK '!H$7,AND($C38="Electric bus",$D38="Average"),$E38*'SK '!H$8,AND($C38="Electric bus",$D38="Nearly full"),$E38*'SK '!H$9,AND($C38="Diesel bus",$D38="Almost empty"),$E38*'SK '!H$19,AND($C38="Diesel bus",$D38="Average"),$E38*'SK '!H$20,AND($C38="Diesel bus",$D38="Nearly full"),$E38*'SK '!H$21,AND($C38="Hybrid-electric bus",$D38="Almost empty"),$E38*'SK '!H$11,AND($C38="Hybrid-electric bus",$D38="Average"),$E38*'SK '!H$12,AND($C38="Hybrid-electric bus",$D38="Nearly full"),$E38*'SK '!H$13,AND($C38="Alternative fuel bus",$D38="Almost empty"),$E38*'SK '!H$15,AND($C38="Alternative fuel bus",$D38="Average"),$E38*'SK '!H$16,AND($C38="Alternative fuel bus",$D38="Nearly full"),$E38*'SK '!H$17,AND($C38="Metro, tram, urban light train",$D38="Almost empty"),$E38*'SK '!C$35,AND($C38="Metro, tram, urban light train",$D38="Average"),$E38*'SK '!C$36,AND($C38="Metro, tram, urban light train",$D38="Nearly full"),$E38*'SK '!C$37,AND($C38="Electric passenger train",$D38="Almost empty"),$E38*'SK '!C$39,AND($C38="Electric passenger train",$D38="Average"),$E38*'SK '!C$40,AND($C38="Electric passenger train",$D38="Nearly full"),$E38*'SK '!C$41,AND($C38="Diesel passenger train",$D38="Almost empty"),$E38*'SK '!C$47,AND($C38="Diesel passenger train",$D38="Average"),$E38*'SK '!C$48,AND($C38="Diesel passenger train",$D38="Nearly full"),$E38*'SK '!C$49,AND($C38="Walking"),$E38*0,AND($C38="Bike"),$E38*0,AND($C38="Plane - domestic flight"),$E38*'SK '!$C62,AND($C38="Plane - international - intra EU"),$E38*'SK '!$C64,AND($C38="Plane - international (extra EU)"),$E38*'SK '!$C66)</f>
        <v>#N/A</v>
      </c>
      <c r="G38" s="31" t="e" cm="1">
        <f t="array" ref="G38">_xlfn.IFS(AND($C38="Fuel car",$D38=1),$E38*'SK '!D$7,AND($C38="Fuel car",$D38=2),$E38*'SK '!D$8,AND($C38="Fuel car",$D38=3),$E38*'SK '!D$9,AND($C38="Fuel car",$D38=4),$E38*'SK '!D$10,AND($C38="Fuel car",$D38=5),$E38*'SK '!D$11,AND($C38="Motorcycle",$D38=1),$E38*'SK '!D$13,AND($C38="Motorcycle",$D38=2),$E38*'SK '!D$14,AND($C38="Electric car",$D38=1),$E38*'SK '!D$16,AND($C38="Electric car",$D38=2),$E38*'SK '!D$17,AND($C38="Electric car",$D38=3),$E38*'SK '!D$18,AND($C38="Electric car",$D38=4),$E38*'SK '!D$19,AND($C38="Electric car",$D38=5),$E38*'SK '!D$20,AND($C38="Hybrid car",$D38=1),$E38*'SK '!D$22,AND($C38="Hybrid car",$D38=2),$E38*'SK '!D$23,AND($C38="Hybrid car",$D38=3),$E38*'SK '!D$24,AND($C38="Hybrid car",$D38=4),$E38*'SK '!D$25,AND($C38="Hybrid car",$D38=5),$E38*'SK '!D$26,AND($C38="Electric motorcycle",$D38=1),$E38*'SK '!D$28,AND($C38="Electric motorcycle",$D38=2),$E38*'SK '!D$29,AND($C38="Electric bike",$D38=1),$E38*'SK '!D$31,AND($C38="Electric scooter",$D38=1),$E38*'SK '!D$33,AND($C38="Bus",$D38="Almost empty"),$E38*'SK '!I$23,AND($C38="Bus",$D38="Average"),$E38*'SK '!I$24,AND($C38="Bus",$D38="Nearly full"),$E38*'SK '!I$25,AND($C38="Electric bus",$D38="Almost empty"),$E38*'SK '!I$7,AND($C38="Electric bus",$D38="Average"),$E38*'SK '!I$8,AND($C38="Electric bus",$D38="Nearly full"),$E38*'SK '!I$9,AND($C38="Diesel bus",$D38="Almost empty"),$E38*'SK '!I$19,AND($C38="Diesel bus",$D38="Average"),$E38*'SK '!I$20,AND($C38="Diesel bus",$D38="Nearly full"),$E38*'SK '!I$21,AND($C38="Hybrid-electric bus",$D38="Almost empty"),$E38*'SK '!I$11,AND($C38="Hybrid-electric bus",$D38="Average"),$E38*'SK '!I$12,AND($C38="Hybrid-electric bus",$D38="Nearly full"),$E38*'SK '!I$13,AND($C38="Alternative fuel bus",$D38="Almost empty"),$E38*'SK '!I$15,AND($C38="Alternative fuel bus",$D38="Average"),$E38*'SK '!I$16,AND($C38="Alternative fuel bus",$D38="Nearly full"),$E38*'SK '!I$17,AND($C38="Metro, tram, urban light train",$D38="Almost empty"),$E38*'SK '!D$35,AND($C38="Metro, tram, urban light train",$D38="Average"),$E38*'SK '!D$36,AND($C38="Metro, tram, urban light train",$D38="Nearly full"),$E38*'SK '!D$37,AND($C38="Electric passenger train",$D38="Almost empty"),$E38*'SK '!D$39,AND($C38="Electric passenger train",$D38="Average"),$E38*'SK '!D$40,AND($C38="Electric passenger train",$D38="Nearly full"),$E38*'SK '!D$41,AND($C38="Diesel passenger train",$D38="Almost empty"),$E38*'SK '!D$47,AND($C38="Diesel passenger train",$D38="Average"),$E38*'SK '!D$48,AND($C38="Diesel passenger train",$D38="Nearly full"),$E38*'SK '!D$49,AND($C38="Walking"),$E38*0,AND($C38="Bike"),$E38*0,AND($C38="Plane - domestic flight"),$E38*'SK '!$C62,AND($C38="Plane - international - intra EU"),$E38*'SK '!$C64,AND($C38="Plane - international (extra EU)"),$E38*'SK '!$C66)</f>
        <v>#N/A</v>
      </c>
      <c r="H38" s="145"/>
      <c r="I38" s="148">
        <f t="shared" si="6"/>
        <v>0</v>
      </c>
      <c r="J38" s="146" t="e" cm="1">
        <f t="array" ref="J38">_xlfn.IFS(C38="Fuel car",C38*DATA!$C$17,C38="Electric car",C38*DATA!$F$27,C38="Hybrid car",I38*(0.5*DATA!$C$17+0.5*DATA!$F$27))</f>
        <v>#N/A</v>
      </c>
      <c r="L38" s="218"/>
      <c r="M38" s="219"/>
      <c r="N38" s="220"/>
    </row>
    <row r="39" spans="1:14" ht="14.5" customHeight="1" x14ac:dyDescent="0.2">
      <c r="A39" s="222"/>
      <c r="B39" s="30"/>
      <c r="C39" s="15"/>
      <c r="D39" s="15"/>
      <c r="E39" s="125"/>
      <c r="F39" s="128" t="e" cm="1">
        <f t="array" ref="F39">_xlfn.IFS(AND($C39="Fuel car",$D39=1),$E39*'SK '!C$7,AND($C39="Fuel car",$D39=2),$E39*'SK '!C$8,AND($C39="Fuel car",$D39=3),$E39*'SK '!C$9,AND($C39="Fuel car",$D39=4),$E39*'SK '!C$10,AND($C39="Fuel car",$D39=5),$E39*'SK '!C$11,AND($C39="Motorcycle",$D39=1),$E39*'SK '!C$13,AND($C39="Motorcycle",$D39=2),$E39*'SK '!C$14,AND($C39="Electric car",$D39=1),$E39*'SK '!C$16,AND($C39="Electric car",$D39=2),$E39*'SK '!C$17,AND($C39="Electric car",$D39=3),$E39*'SK '!C$18,AND($C39="Electric car",$D39=4),$E39*'SK '!C$19,AND($C39="Electric car",$D39=5),$E39*'SK '!C$20,AND($C39="Hybrid car",$D39=1),$E39*'SK '!C$22,AND($C39="Hybrid car",$D39=2),$E39*'SK '!C$23,AND($C39="Hybrid car",$D39=3),$E39*'SK '!C$24,AND($C39="Hybrid car",$D39=4),$E39*'SK '!C$25,AND($C39="Hybrid car",$D39=5),$E39*'SK '!C$26,AND($C39="Electric motorcycle",$D39=1),$E39*'SK '!C$28,AND($C39="Electric motorcycle",$D39=2),$E39*'SK '!C$29,AND($C39="Electric bike",$D39=1),$E39*'SK '!C$31,AND($C39="Electric scooter",$D39=1),$E39*'SK '!C$33,AND($C39="Bus",$D39="Almost empty"),$E39*'SK '!H$23,AND($C39="Bus",$D39="Average"),$E39*'SK '!H$24,AND($C39="Bus",$D39="Nearly full"),$E39*'SK '!H$25,AND($C39="Electric bus",$D39="Almost empty"),$E39*'SK '!H$7,AND($C39="Electric bus",$D39="Average"),$E39*'SK '!H$8,AND($C39="Electric bus",$D39="Nearly full"),$E39*'SK '!H$9,AND($C39="Diesel bus",$D39="Almost empty"),$E39*'SK '!H$19,AND($C39="Diesel bus",$D39="Average"),$E39*'SK '!H$20,AND($C39="Diesel bus",$D39="Nearly full"),$E39*'SK '!H$21,AND($C39="Hybrid-electric bus",$D39="Almost empty"),$E39*'SK '!H$11,AND($C39="Hybrid-electric bus",$D39="Average"),$E39*'SK '!H$12,AND($C39="Hybrid-electric bus",$D39="Nearly full"),$E39*'SK '!H$13,AND($C39="Alternative fuel bus",$D39="Almost empty"),$E39*'SK '!H$15,AND($C39="Alternative fuel bus",$D39="Average"),$E39*'SK '!H$16,AND($C39="Alternative fuel bus",$D39="Nearly full"),$E39*'SK '!H$17,AND($C39="Metro, tram, urban light train",$D39="Almost empty"),$E39*'SK '!C$35,AND($C39="Metro, tram, urban light train",$D39="Average"),$E39*'SK '!C$36,AND($C39="Metro, tram, urban light train",$D39="Nearly full"),$E39*'SK '!C$37,AND($C39="Electric passenger train",$D39="Almost empty"),$E39*'SK '!C$39,AND($C39="Electric passenger train",$D39="Average"),$E39*'SK '!C$40,AND($C39="Electric passenger train",$D39="Nearly full"),$E39*'SK '!C$41,AND($C39="Diesel passenger train",$D39="Almost empty"),$E39*'SK '!C$47,AND($C39="Diesel passenger train",$D39="Average"),$E39*'SK '!C$48,AND($C39="Diesel passenger train",$D39="Nearly full"),$E39*'SK '!C$49,AND($C39="Walking"),$E39*0,AND($C39="Bike"),$E39*0,AND($C39="Plane - domestic flight"),$E39*'SK '!$C63,AND($C39="Plane - international - intra EU"),$E39*'SK '!$C65,AND($C39="Plane - international (extra EU)"),$E39*'SK '!$C67)</f>
        <v>#N/A</v>
      </c>
      <c r="G39" s="31" t="e" cm="1">
        <f t="array" ref="G39">_xlfn.IFS(AND($C39="Fuel car",$D39=1),$E39*'SK '!D$7,AND($C39="Fuel car",$D39=2),$E39*'SK '!D$8,AND($C39="Fuel car",$D39=3),$E39*'SK '!D$9,AND($C39="Fuel car",$D39=4),$E39*'SK '!D$10,AND($C39="Fuel car",$D39=5),$E39*'SK '!D$11,AND($C39="Motorcycle",$D39=1),$E39*'SK '!D$13,AND($C39="Motorcycle",$D39=2),$E39*'SK '!D$14,AND($C39="Electric car",$D39=1),$E39*'SK '!D$16,AND($C39="Electric car",$D39=2),$E39*'SK '!D$17,AND($C39="Electric car",$D39=3),$E39*'SK '!D$18,AND($C39="Electric car",$D39=4),$E39*'SK '!D$19,AND($C39="Electric car",$D39=5),$E39*'SK '!D$20,AND($C39="Hybrid car",$D39=1),$E39*'SK '!D$22,AND($C39="Hybrid car",$D39=2),$E39*'SK '!D$23,AND($C39="Hybrid car",$D39=3),$E39*'SK '!D$24,AND($C39="Hybrid car",$D39=4),$E39*'SK '!D$25,AND($C39="Hybrid car",$D39=5),$E39*'SK '!D$26,AND($C39="Electric motorcycle",$D39=1),$E39*'SK '!D$28,AND($C39="Electric motorcycle",$D39=2),$E39*'SK '!D$29,AND($C39="Electric bike",$D39=1),$E39*'SK '!D$31,AND($C39="Electric scooter",$D39=1),$E39*'SK '!D$33,AND($C39="Bus",$D39="Almost empty"),$E39*'SK '!I$23,AND($C39="Bus",$D39="Average"),$E39*'SK '!I$24,AND($C39="Bus",$D39="Nearly full"),$E39*'SK '!I$25,AND($C39="Electric bus",$D39="Almost empty"),$E39*'SK '!I$7,AND($C39="Electric bus",$D39="Average"),$E39*'SK '!I$8,AND($C39="Electric bus",$D39="Nearly full"),$E39*'SK '!I$9,AND($C39="Diesel bus",$D39="Almost empty"),$E39*'SK '!I$19,AND($C39="Diesel bus",$D39="Average"),$E39*'SK '!I$20,AND($C39="Diesel bus",$D39="Nearly full"),$E39*'SK '!I$21,AND($C39="Hybrid-electric bus",$D39="Almost empty"),$E39*'SK '!I$11,AND($C39="Hybrid-electric bus",$D39="Average"),$E39*'SK '!I$12,AND($C39="Hybrid-electric bus",$D39="Nearly full"),$E39*'SK '!I$13,AND($C39="Alternative fuel bus",$D39="Almost empty"),$E39*'SK '!I$15,AND($C39="Alternative fuel bus",$D39="Average"),$E39*'SK '!I$16,AND($C39="Alternative fuel bus",$D39="Nearly full"),$E39*'SK '!I$17,AND($C39="Metro, tram, urban light train",$D39="Almost empty"),$E39*'SK '!D$35,AND($C39="Metro, tram, urban light train",$D39="Average"),$E39*'SK '!D$36,AND($C39="Metro, tram, urban light train",$D39="Nearly full"),$E39*'SK '!D$37,AND($C39="Electric passenger train",$D39="Almost empty"),$E39*'SK '!D$39,AND($C39="Electric passenger train",$D39="Average"),$E39*'SK '!D$40,AND($C39="Electric passenger train",$D39="Nearly full"),$E39*'SK '!D$41,AND($C39="Diesel passenger train",$D39="Almost empty"),$E39*'SK '!D$47,AND($C39="Diesel passenger train",$D39="Average"),$E39*'SK '!D$48,AND($C39="Diesel passenger train",$D39="Nearly full"),$E39*'SK '!D$49,AND($C39="Walking"),$E39*0,AND($C39="Bike"),$E39*0,AND($C39="Plane - domestic flight"),$E39*'SK '!$C63,AND($C39="Plane - international - intra EU"),$E39*'SK '!$C65,AND($C39="Plane - international (extra EU)"),$E39*'SK '!$C67)</f>
        <v>#N/A</v>
      </c>
      <c r="H39" s="145"/>
      <c r="I39" s="148">
        <f t="shared" si="6"/>
        <v>0</v>
      </c>
      <c r="J39" s="146" t="e" cm="1">
        <f t="array" ref="J39">_xlfn.IFS(C39="Fuel car",C39*DATA!$C$17,C39="Electric car",C39*DATA!$F$27,C39="Hybrid car",I39*(0.5*DATA!$C$17+0.5*DATA!$F$27))</f>
        <v>#N/A</v>
      </c>
      <c r="L39" s="226" t="s">
        <v>80</v>
      </c>
      <c r="M39" s="227"/>
      <c r="N39" s="228"/>
    </row>
    <row r="40" spans="1:14" x14ac:dyDescent="0.2">
      <c r="A40" s="222"/>
      <c r="B40" s="30"/>
      <c r="C40" s="15"/>
      <c r="D40" s="15"/>
      <c r="E40" s="125"/>
      <c r="F40" s="128" t="e" cm="1">
        <f t="array" ref="F40">_xlfn.IFS(AND($C40="Fuel car",$D40=1),$E40*'SK '!C$7,AND($C40="Fuel car",$D40=2),$E40*'SK '!C$8,AND($C40="Fuel car",$D40=3),$E40*'SK '!C$9,AND($C40="Fuel car",$D40=4),$E40*'SK '!C$10,AND($C40="Fuel car",$D40=5),$E40*'SK '!C$11,AND($C40="Motorcycle",$D40=1),$E40*'SK '!C$13,AND($C40="Motorcycle",$D40=2),$E40*'SK '!C$14,AND($C40="Electric car",$D40=1),$E40*'SK '!C$16,AND($C40="Electric car",$D40=2),$E40*'SK '!C$17,AND($C40="Electric car",$D40=3),$E40*'SK '!C$18,AND($C40="Electric car",$D40=4),$E40*'SK '!C$19,AND($C40="Electric car",$D40=5),$E40*'SK '!C$20,AND($C40="Hybrid car",$D40=1),$E40*'SK '!C$22,AND($C40="Hybrid car",$D40=2),$E40*'SK '!C$23,AND($C40="Hybrid car",$D40=3),$E40*'SK '!C$24,AND($C40="Hybrid car",$D40=4),$E40*'SK '!C$25,AND($C40="Hybrid car",$D40=5),$E40*'SK '!C$26,AND($C40="Electric motorcycle",$D40=1),$E40*'SK '!C$28,AND($C40="Electric motorcycle",$D40=2),$E40*'SK '!C$29,AND($C40="Electric bike",$D40=1),$E40*'SK '!C$31,AND($C40="Electric scooter",$D40=1),$E40*'SK '!C$33,AND($C40="Bus",$D40="Almost empty"),$E40*'SK '!H$23,AND($C40="Bus",$D40="Average"),$E40*'SK '!H$24,AND($C40="Bus",$D40="Nearly full"),$E40*'SK '!H$25,AND($C40="Electric bus",$D40="Almost empty"),$E40*'SK '!H$7,AND($C40="Electric bus",$D40="Average"),$E40*'SK '!H$8,AND($C40="Electric bus",$D40="Nearly full"),$E40*'SK '!H$9,AND($C40="Diesel bus",$D40="Almost empty"),$E40*'SK '!H$19,AND($C40="Diesel bus",$D40="Average"),$E40*'SK '!H$20,AND($C40="Diesel bus",$D40="Nearly full"),$E40*'SK '!H$21,AND($C40="Hybrid-electric bus",$D40="Almost empty"),$E40*'SK '!H$11,AND($C40="Hybrid-electric bus",$D40="Average"),$E40*'SK '!H$12,AND($C40="Hybrid-electric bus",$D40="Nearly full"),$E40*'SK '!H$13,AND($C40="Alternative fuel bus",$D40="Almost empty"),$E40*'SK '!H$15,AND($C40="Alternative fuel bus",$D40="Average"),$E40*'SK '!H$16,AND($C40="Alternative fuel bus",$D40="Nearly full"),$E40*'SK '!H$17,AND($C40="Metro, tram, urban light train",$D40="Almost empty"),$E40*'SK '!C$35,AND($C40="Metro, tram, urban light train",$D40="Average"),$E40*'SK '!C$36,AND($C40="Metro, tram, urban light train",$D40="Nearly full"),$E40*'SK '!C$37,AND($C40="Electric passenger train",$D40="Almost empty"),$E40*'SK '!C$39,AND($C40="Electric passenger train",$D40="Average"),$E40*'SK '!C$40,AND($C40="Electric passenger train",$D40="Nearly full"),$E40*'SK '!C$41,AND($C40="Diesel passenger train",$D40="Almost empty"),$E40*'SK '!C$47,AND($C40="Diesel passenger train",$D40="Average"),$E40*'SK '!C$48,AND($C40="Diesel passenger train",$D40="Nearly full"),$E40*'SK '!C$49,AND($C40="Walking"),$E40*0,AND($C40="Bike"),$E40*0,AND($C40="Plane - domestic flight"),$E40*'SK '!$C64,AND($C40="Plane - international - intra EU"),$E40*'SK '!$C66,AND($C40="Plane - international (extra EU)"),$E40*'SK '!$C68)</f>
        <v>#N/A</v>
      </c>
      <c r="G40" s="31" t="e" cm="1">
        <f t="array" ref="G40">_xlfn.IFS(AND($C40="Fuel car",$D40=1),$E40*'SK '!D$7,AND($C40="Fuel car",$D40=2),$E40*'SK '!D$8,AND($C40="Fuel car",$D40=3),$E40*'SK '!D$9,AND($C40="Fuel car",$D40=4),$E40*'SK '!D$10,AND($C40="Fuel car",$D40=5),$E40*'SK '!D$11,AND($C40="Motorcycle",$D40=1),$E40*'SK '!D$13,AND($C40="Motorcycle",$D40=2),$E40*'SK '!D$14,AND($C40="Electric car",$D40=1),$E40*'SK '!D$16,AND($C40="Electric car",$D40=2),$E40*'SK '!D$17,AND($C40="Electric car",$D40=3),$E40*'SK '!D$18,AND($C40="Electric car",$D40=4),$E40*'SK '!D$19,AND($C40="Electric car",$D40=5),$E40*'SK '!D$20,AND($C40="Hybrid car",$D40=1),$E40*'SK '!D$22,AND($C40="Hybrid car",$D40=2),$E40*'SK '!D$23,AND($C40="Hybrid car",$D40=3),$E40*'SK '!D$24,AND($C40="Hybrid car",$D40=4),$E40*'SK '!D$25,AND($C40="Hybrid car",$D40=5),$E40*'SK '!D$26,AND($C40="Electric motorcycle",$D40=1),$E40*'SK '!D$28,AND($C40="Electric motorcycle",$D40=2),$E40*'SK '!D$29,AND($C40="Electric bike",$D40=1),$E40*'SK '!D$31,AND($C40="Electric scooter",$D40=1),$E40*'SK '!D$33,AND($C40="Bus",$D40="Almost empty"),$E40*'SK '!I$23,AND($C40="Bus",$D40="Average"),$E40*'SK '!I$24,AND($C40="Bus",$D40="Nearly full"),$E40*'SK '!I$25,AND($C40="Electric bus",$D40="Almost empty"),$E40*'SK '!I$7,AND($C40="Electric bus",$D40="Average"),$E40*'SK '!I$8,AND($C40="Electric bus",$D40="Nearly full"),$E40*'SK '!I$9,AND($C40="Diesel bus",$D40="Almost empty"),$E40*'SK '!I$19,AND($C40="Diesel bus",$D40="Average"),$E40*'SK '!I$20,AND($C40="Diesel bus",$D40="Nearly full"),$E40*'SK '!I$21,AND($C40="Hybrid-electric bus",$D40="Almost empty"),$E40*'SK '!I$11,AND($C40="Hybrid-electric bus",$D40="Average"),$E40*'SK '!I$12,AND($C40="Hybrid-electric bus",$D40="Nearly full"),$E40*'SK '!I$13,AND($C40="Alternative fuel bus",$D40="Almost empty"),$E40*'SK '!I$15,AND($C40="Alternative fuel bus",$D40="Average"),$E40*'SK '!I$16,AND($C40="Alternative fuel bus",$D40="Nearly full"),$E40*'SK '!I$17,AND($C40="Metro, tram, urban light train",$D40="Almost empty"),$E40*'SK '!D$35,AND($C40="Metro, tram, urban light train",$D40="Average"),$E40*'SK '!D$36,AND($C40="Metro, tram, urban light train",$D40="Nearly full"),$E40*'SK '!D$37,AND($C40="Electric passenger train",$D40="Almost empty"),$E40*'SK '!D$39,AND($C40="Electric passenger train",$D40="Average"),$E40*'SK '!D$40,AND($C40="Electric passenger train",$D40="Nearly full"),$E40*'SK '!D$41,AND($C40="Diesel passenger train",$D40="Almost empty"),$E40*'SK '!D$47,AND($C40="Diesel passenger train",$D40="Average"),$E40*'SK '!D$48,AND($C40="Diesel passenger train",$D40="Nearly full"),$E40*'SK '!D$49,AND($C40="Walking"),$E40*0,AND($C40="Bike"),$E40*0,AND($C40="Plane - domestic flight"),$E40*'SK '!$C64,AND($C40="Plane - international - intra EU"),$E40*'SK '!$C66,AND($C40="Plane - international (extra EU)"),$E40*'SK '!$C68)</f>
        <v>#N/A</v>
      </c>
      <c r="H40" s="145"/>
      <c r="I40" s="148">
        <f t="shared" si="6"/>
        <v>0</v>
      </c>
      <c r="J40" s="146" t="e" cm="1">
        <f t="array" ref="J40">_xlfn.IFS(C40="Fuel car",C40*DATA!$C$17,C40="Electric car",C40*DATA!$F$27,C40="Hybrid car",I40*(0.5*DATA!$C$17+0.5*DATA!$F$27))</f>
        <v>#N/A</v>
      </c>
      <c r="L40" s="229"/>
      <c r="M40" s="230"/>
      <c r="N40" s="231"/>
    </row>
    <row r="41" spans="1:14" ht="14.5" customHeight="1" x14ac:dyDescent="0.2">
      <c r="A41" s="222"/>
      <c r="B41" s="30"/>
      <c r="C41" s="15"/>
      <c r="D41" s="15"/>
      <c r="E41" s="125"/>
      <c r="F41" s="128" t="e" cm="1">
        <f t="array" ref="F41">_xlfn.IFS(AND($C41="Fuel car",$D41=1),$E41*'SK '!C$7,AND($C41="Fuel car",$D41=2),$E41*'SK '!C$8,AND($C41="Fuel car",$D41=3),$E41*'SK '!C$9,AND($C41="Fuel car",$D41=4),$E41*'SK '!C$10,AND($C41="Fuel car",$D41=5),$E41*'SK '!C$11,AND($C41="Motorcycle",$D41=1),$E41*'SK '!C$13,AND($C41="Motorcycle",$D41=2),$E41*'SK '!C$14,AND($C41="Electric car",$D41=1),$E41*'SK '!C$16,AND($C41="Electric car",$D41=2),$E41*'SK '!C$17,AND($C41="Electric car",$D41=3),$E41*'SK '!C$18,AND($C41="Electric car",$D41=4),$E41*'SK '!C$19,AND($C41="Electric car",$D41=5),$E41*'SK '!C$20,AND($C41="Hybrid car",$D41=1),$E41*'SK '!C$22,AND($C41="Hybrid car",$D41=2),$E41*'SK '!C$23,AND($C41="Hybrid car",$D41=3),$E41*'SK '!C$24,AND($C41="Hybrid car",$D41=4),$E41*'SK '!C$25,AND($C41="Hybrid car",$D41=5),$E41*'SK '!C$26,AND($C41="Electric motorcycle",$D41=1),$E41*'SK '!C$28,AND($C41="Electric motorcycle",$D41=2),$E41*'SK '!C$29,AND($C41="Electric bike",$D41=1),$E41*'SK '!C$31,AND($C41="Electric scooter",$D41=1),$E41*'SK '!C$33,AND($C41="Bus",$D41="Almost empty"),$E41*'SK '!H$23,AND($C41="Bus",$D41="Average"),$E41*'SK '!H$24,AND($C41="Bus",$D41="Nearly full"),$E41*'SK '!H$25,AND($C41="Electric bus",$D41="Almost empty"),$E41*'SK '!H$7,AND($C41="Electric bus",$D41="Average"),$E41*'SK '!H$8,AND($C41="Electric bus",$D41="Nearly full"),$E41*'SK '!H$9,AND($C41="Diesel bus",$D41="Almost empty"),$E41*'SK '!H$19,AND($C41="Diesel bus",$D41="Average"),$E41*'SK '!H$20,AND($C41="Diesel bus",$D41="Nearly full"),$E41*'SK '!H$21,AND($C41="Hybrid-electric bus",$D41="Almost empty"),$E41*'SK '!H$11,AND($C41="Hybrid-electric bus",$D41="Average"),$E41*'SK '!H$12,AND($C41="Hybrid-electric bus",$D41="Nearly full"),$E41*'SK '!H$13,AND($C41="Alternative fuel bus",$D41="Almost empty"),$E41*'SK '!H$15,AND($C41="Alternative fuel bus",$D41="Average"),$E41*'SK '!H$16,AND($C41="Alternative fuel bus",$D41="Nearly full"),$E41*'SK '!H$17,AND($C41="Metro, tram, urban light train",$D41="Almost empty"),$E41*'SK '!C$35,AND($C41="Metro, tram, urban light train",$D41="Average"),$E41*'SK '!C$36,AND($C41="Metro, tram, urban light train",$D41="Nearly full"),$E41*'SK '!C$37,AND($C41="Electric passenger train",$D41="Almost empty"),$E41*'SK '!C$39,AND($C41="Electric passenger train",$D41="Average"),$E41*'SK '!C$40,AND($C41="Electric passenger train",$D41="Nearly full"),$E41*'SK '!C$41,AND($C41="Diesel passenger train",$D41="Almost empty"),$E41*'SK '!C$47,AND($C41="Diesel passenger train",$D41="Average"),$E41*'SK '!C$48,AND($C41="Diesel passenger train",$D41="Nearly full"),$E41*'SK '!C$49,AND($C41="Walking"),$E41*0,AND($C41="Bike"),$E41*0,AND($C41="Plane - domestic flight"),$E41*'SK '!$C65,AND($C41="Plane - international - intra EU"),$E41*'SK '!$C67,AND($C41="Plane - international (extra EU)"),$E41*'SK '!$C69)</f>
        <v>#N/A</v>
      </c>
      <c r="G41" s="31" t="e" cm="1">
        <f t="array" ref="G41">_xlfn.IFS(AND($C41="Fuel car",$D41=1),$E41*'SK '!D$7,AND($C41="Fuel car",$D41=2),$E41*'SK '!D$8,AND($C41="Fuel car",$D41=3),$E41*'SK '!D$9,AND($C41="Fuel car",$D41=4),$E41*'SK '!D$10,AND($C41="Fuel car",$D41=5),$E41*'SK '!D$11,AND($C41="Motorcycle",$D41=1),$E41*'SK '!D$13,AND($C41="Motorcycle",$D41=2),$E41*'SK '!D$14,AND($C41="Electric car",$D41=1),$E41*'SK '!D$16,AND($C41="Electric car",$D41=2),$E41*'SK '!D$17,AND($C41="Electric car",$D41=3),$E41*'SK '!D$18,AND($C41="Electric car",$D41=4),$E41*'SK '!D$19,AND($C41="Electric car",$D41=5),$E41*'SK '!D$20,AND($C41="Hybrid car",$D41=1),$E41*'SK '!D$22,AND($C41="Hybrid car",$D41=2),$E41*'SK '!D$23,AND($C41="Hybrid car",$D41=3),$E41*'SK '!D$24,AND($C41="Hybrid car",$D41=4),$E41*'SK '!D$25,AND($C41="Hybrid car",$D41=5),$E41*'SK '!D$26,AND($C41="Electric motorcycle",$D41=1),$E41*'SK '!D$28,AND($C41="Electric motorcycle",$D41=2),$E41*'SK '!D$29,AND($C41="Electric bike",$D41=1),$E41*'SK '!D$31,AND($C41="Electric scooter",$D41=1),$E41*'SK '!D$33,AND($C41="Bus",$D41="Almost empty"),$E41*'SK '!I$23,AND($C41="Bus",$D41="Average"),$E41*'SK '!I$24,AND($C41="Bus",$D41="Nearly full"),$E41*'SK '!I$25,AND($C41="Electric bus",$D41="Almost empty"),$E41*'SK '!I$7,AND($C41="Electric bus",$D41="Average"),$E41*'SK '!I$8,AND($C41="Electric bus",$D41="Nearly full"),$E41*'SK '!I$9,AND($C41="Diesel bus",$D41="Almost empty"),$E41*'SK '!I$19,AND($C41="Diesel bus",$D41="Average"),$E41*'SK '!I$20,AND($C41="Diesel bus",$D41="Nearly full"),$E41*'SK '!I$21,AND($C41="Hybrid-electric bus",$D41="Almost empty"),$E41*'SK '!I$11,AND($C41="Hybrid-electric bus",$D41="Average"),$E41*'SK '!I$12,AND($C41="Hybrid-electric bus",$D41="Nearly full"),$E41*'SK '!I$13,AND($C41="Alternative fuel bus",$D41="Almost empty"),$E41*'SK '!I$15,AND($C41="Alternative fuel bus",$D41="Average"),$E41*'SK '!I$16,AND($C41="Alternative fuel bus",$D41="Nearly full"),$E41*'SK '!I$17,AND($C41="Metro, tram, urban light train",$D41="Almost empty"),$E41*'SK '!D$35,AND($C41="Metro, tram, urban light train",$D41="Average"),$E41*'SK '!D$36,AND($C41="Metro, tram, urban light train",$D41="Nearly full"),$E41*'SK '!D$37,AND($C41="Electric passenger train",$D41="Almost empty"),$E41*'SK '!D$39,AND($C41="Electric passenger train",$D41="Average"),$E41*'SK '!D$40,AND($C41="Electric passenger train",$D41="Nearly full"),$E41*'SK '!D$41,AND($C41="Diesel passenger train",$D41="Almost empty"),$E41*'SK '!D$47,AND($C41="Diesel passenger train",$D41="Average"),$E41*'SK '!D$48,AND($C41="Diesel passenger train",$D41="Nearly full"),$E41*'SK '!D$49,AND($C41="Walking"),$E41*0,AND($C41="Bike"),$E41*0,AND($C41="Plane - domestic flight"),$E41*'SK '!$C65,AND($C41="Plane - international - intra EU"),$E41*'SK '!$C67,AND($C41="Plane - international (extra EU)"),$E41*'SK '!$C69)</f>
        <v>#N/A</v>
      </c>
      <c r="H41" s="145"/>
      <c r="I41" s="148">
        <f t="shared" si="6"/>
        <v>0</v>
      </c>
      <c r="J41" s="146" t="e" cm="1">
        <f t="array" ref="J41">_xlfn.IFS(C41="Fuel car",C41*DATA!$C$17,C41="Electric car",C41*DATA!$F$27,C41="Hybrid car",I41*(0.5*DATA!$C$17+0.5*DATA!$F$27))</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car",$D42=1),$E42*'SK '!C$7,AND($C42="Fuel car",$D42=2),$E42*'SK '!C$8,AND($C42="Fuel car",$D42=3),$E42*'SK '!C$9,AND($C42="Fuel car",$D42=4),$E42*'SK '!C$10,AND($C42="Fuel car",$D42=5),$E42*'SK '!C$11,AND($C42="Motorcycle",$D42=1),$E42*'SK '!C$13,AND($C42="Motorcycle",$D42=2),$E42*'SK '!C$14,AND($C42="Electric car",$D42=1),$E42*'SK '!C$16,AND($C42="Electric car",$D42=2),$E42*'SK '!C$17,AND($C42="Electric car",$D42=3),$E42*'SK '!C$18,AND($C42="Electric car",$D42=4),$E42*'SK '!C$19,AND($C42="Electric car",$D42=5),$E42*'SK '!C$20,AND($C42="Hybrid car",$D42=1),$E42*'SK '!C$22,AND($C42="Hybrid car",$D42=2),$E42*'SK '!C$23,AND($C42="Hybrid car",$D42=3),$E42*'SK '!C$24,AND($C42="Hybrid car",$D42=4),$E42*'SK '!C$25,AND($C42="Hybrid car",$D42=5),$E42*'SK '!C$26,AND($C42="Electric motorcycle",$D42=1),$E42*'SK '!C$28,AND($C42="Electric motorcycle",$D42=2),$E42*'SK '!C$29,AND($C42="Electric bike",$D42=1),$E42*'SK '!C$31,AND($C42="Electric scooter",$D42=1),$E42*'SK '!C$33,AND($C42="Bus",$D42="Almost empty"),$E42*'SK '!H$23,AND($C42="Bus",$D42="Average"),$E42*'SK '!H$24,AND($C42="Bus",$D42="Nearly full"),$E42*'SK '!H$25,AND($C42="Electric bus",$D42="Almost empty"),$E42*'SK '!H$7,AND($C42="Electric bus",$D42="Average"),$E42*'SK '!H$8,AND($C42="Electric bus",$D42="Nearly full"),$E42*'SK '!H$9,AND($C42="Diesel bus",$D42="Almost empty"),$E42*'SK '!H$19,AND($C42="Diesel bus",$D42="Average"),$E42*'SK '!H$20,AND($C42="Diesel bus",$D42="Nearly full"),$E42*'SK '!H$21,AND($C42="Hybrid-electric bus",$D42="Almost empty"),$E42*'SK '!H$11,AND($C42="Hybrid-electric bus",$D42="Average"),$E42*'SK '!H$12,AND($C42="Hybrid-electric bus",$D42="Nearly full"),$E42*'SK '!H$13,AND($C42="Alternative fuel bus",$D42="Almost empty"),$E42*'SK '!H$15,AND($C42="Alternative fuel bus",$D42="Average"),$E42*'SK '!H$16,AND($C42="Alternative fuel bus",$D42="Nearly full"),$E42*'SK '!H$17,AND($C42="Metro, tram, urban light train",$D42="Almost empty"),$E42*'SK '!C$35,AND($C42="Metro, tram, urban light train",$D42="Average"),$E42*'SK '!C$36,AND($C42="Metro, tram, urban light train",$D42="Nearly full"),$E42*'SK '!C$37,AND($C42="Electric passenger train",$D42="Almost empty"),$E42*'SK '!C$39,AND($C42="Electric passenger train",$D42="Average"),$E42*'SK '!C$40,AND($C42="Electric passenger train",$D42="Nearly full"),$E42*'SK '!C$41,AND($C42="Diesel passenger train",$D42="Almost empty"),$E42*'SK '!C$47,AND($C42="Diesel passenger train",$D42="Average"),$E42*'SK '!C$48,AND($C42="Diesel passenger train",$D42="Nearly full"),$E42*'SK '!C$49,AND($C42="Walking"),$E42*0,AND($C42="Bike"),$E42*0,AND($C42="Plane - domestic flight"),$E42*'SK '!$C66,AND($C42="Plane - international - intra EU"),$E42*'SK '!$C68,AND($C42="Plane - international (extra EU)"),$E42*'SK '!$C70)</f>
        <v>#N/A</v>
      </c>
      <c r="G42" s="31" t="e" cm="1">
        <f t="array" ref="G42">_xlfn.IFS(AND($C42="Fuel car",$D42=1),$E42*'SK '!D$7,AND($C42="Fuel car",$D42=2),$E42*'SK '!D$8,AND($C42="Fuel car",$D42=3),$E42*'SK '!D$9,AND($C42="Fuel car",$D42=4),$E42*'SK '!D$10,AND($C42="Fuel car",$D42=5),$E42*'SK '!D$11,AND($C42="Motorcycle",$D42=1),$E42*'SK '!D$13,AND($C42="Motorcycle",$D42=2),$E42*'SK '!D$14,AND($C42="Electric car",$D42=1),$E42*'SK '!D$16,AND($C42="Electric car",$D42=2),$E42*'SK '!D$17,AND($C42="Electric car",$D42=3),$E42*'SK '!D$18,AND($C42="Electric car",$D42=4),$E42*'SK '!D$19,AND($C42="Electric car",$D42=5),$E42*'SK '!D$20,AND($C42="Hybrid car",$D42=1),$E42*'SK '!D$22,AND($C42="Hybrid car",$D42=2),$E42*'SK '!D$23,AND($C42="Hybrid car",$D42=3),$E42*'SK '!D$24,AND($C42="Hybrid car",$D42=4),$E42*'SK '!D$25,AND($C42="Hybrid car",$D42=5),$E42*'SK '!D$26,AND($C42="Electric motorcycle",$D42=1),$E42*'SK '!D$28,AND($C42="Electric motorcycle",$D42=2),$E42*'SK '!D$29,AND($C42="Electric bike",$D42=1),$E42*'SK '!D$31,AND($C42="Electric scooter",$D42=1),$E42*'SK '!D$33,AND($C42="Bus",$D42="Almost empty"),$E42*'SK '!I$23,AND($C42="Bus",$D42="Average"),$E42*'SK '!I$24,AND($C42="Bus",$D42="Nearly full"),$E42*'SK '!I$25,AND($C42="Electric bus",$D42="Almost empty"),$E42*'SK '!I$7,AND($C42="Electric bus",$D42="Average"),$E42*'SK '!I$8,AND($C42="Electric bus",$D42="Nearly full"),$E42*'SK '!I$9,AND($C42="Diesel bus",$D42="Almost empty"),$E42*'SK '!I$19,AND($C42="Diesel bus",$D42="Average"),$E42*'SK '!I$20,AND($C42="Diesel bus",$D42="Nearly full"),$E42*'SK '!I$21,AND($C42="Hybrid-electric bus",$D42="Almost empty"),$E42*'SK '!I$11,AND($C42="Hybrid-electric bus",$D42="Average"),$E42*'SK '!I$12,AND($C42="Hybrid-electric bus",$D42="Nearly full"),$E42*'SK '!I$13,AND($C42="Alternative fuel bus",$D42="Almost empty"),$E42*'SK '!I$15,AND($C42="Alternative fuel bus",$D42="Average"),$E42*'SK '!I$16,AND($C42="Alternative fuel bus",$D42="Nearly full"),$E42*'SK '!I$17,AND($C42="Metro, tram, urban light train",$D42="Almost empty"),$E42*'SK '!D$35,AND($C42="Metro, tram, urban light train",$D42="Average"),$E42*'SK '!D$36,AND($C42="Metro, tram, urban light train",$D42="Nearly full"),$E42*'SK '!D$37,AND($C42="Electric passenger train",$D42="Almost empty"),$E42*'SK '!D$39,AND($C42="Electric passenger train",$D42="Average"),$E42*'SK '!D$40,AND($C42="Electric passenger train",$D42="Nearly full"),$E42*'SK '!D$41,AND($C42="Diesel passenger train",$D42="Almost empty"),$E42*'SK '!D$47,AND($C42="Diesel passenger train",$D42="Average"),$E42*'SK '!D$48,AND($C42="Diesel passenger train",$D42="Nearly full"),$E42*'SK '!D$49,AND($C42="Walking"),$E42*0,AND($C42="Bike"),$E42*0,AND($C42="Plane - domestic flight"),$E42*'SK '!$C66,AND($C42="Plane - international - intra EU"),$E42*'SK '!$C68,AND($C42="Plane - international (extra EU)"),$E42*'SK '!$C70)</f>
        <v>#N/A</v>
      </c>
      <c r="H42" s="145"/>
      <c r="I42" s="148">
        <f t="shared" si="6"/>
        <v>0</v>
      </c>
      <c r="J42" s="146" t="e" cm="1">
        <f t="array" ref="J42">_xlfn.IFS(C42="Fuel car",C42*DATA!$C$17,C42="Electric car",C42*DATA!$F$27,C42="Hybrid car",I42*(0.5*DATA!$C$17+0.5*DATA!$F$27))</f>
        <v>#N/A</v>
      </c>
      <c r="L42" s="235"/>
      <c r="M42" s="236"/>
      <c r="N42" s="237"/>
    </row>
    <row r="43" spans="1:14" ht="14.5" customHeight="1" thickBot="1" x14ac:dyDescent="0.25">
      <c r="A43" s="222"/>
      <c r="B43" s="30"/>
      <c r="C43" s="15"/>
      <c r="D43" s="15"/>
      <c r="E43" s="125"/>
      <c r="F43" s="128" t="e" cm="1">
        <f t="array" ref="F43">_xlfn.IFS(AND($C43="Fuel car",$D43=1),$E43*'SK '!C$7,AND($C43="Fuel car",$D43=2),$E43*'SK '!C$8,AND($C43="Fuel car",$D43=3),$E43*'SK '!C$9,AND($C43="Fuel car",$D43=4),$E43*'SK '!C$10,AND($C43="Fuel car",$D43=5),$E43*'SK '!C$11,AND($C43="Motorcycle",$D43=1),$E43*'SK '!C$13,AND($C43="Motorcycle",$D43=2),$E43*'SK '!C$14,AND($C43="Electric car",$D43=1),$E43*'SK '!C$16,AND($C43="Electric car",$D43=2),$E43*'SK '!C$17,AND($C43="Electric car",$D43=3),$E43*'SK '!C$18,AND($C43="Electric car",$D43=4),$E43*'SK '!C$19,AND($C43="Electric car",$D43=5),$E43*'SK '!C$20,AND($C43="Hybrid car",$D43=1),$E43*'SK '!C$22,AND($C43="Hybrid car",$D43=2),$E43*'SK '!C$23,AND($C43="Hybrid car",$D43=3),$E43*'SK '!C$24,AND($C43="Hybrid car",$D43=4),$E43*'SK '!C$25,AND($C43="Hybrid car",$D43=5),$E43*'SK '!C$26,AND($C43="Electric motorcycle",$D43=1),$E43*'SK '!C$28,AND($C43="Electric motorcycle",$D43=2),$E43*'SK '!C$29,AND($C43="Electric bike",$D43=1),$E43*'SK '!C$31,AND($C43="Electric scooter",$D43=1),$E43*'SK '!C$33,AND($C43="Bus",$D43="Almost empty"),$E43*'SK '!H$23,AND($C43="Bus",$D43="Average"),$E43*'SK '!H$24,AND($C43="Bus",$D43="Nearly full"),$E43*'SK '!H$25,AND($C43="Electric bus",$D43="Almost empty"),$E43*'SK '!H$7,AND($C43="Electric bus",$D43="Average"),$E43*'SK '!H$8,AND($C43="Electric bus",$D43="Nearly full"),$E43*'SK '!H$9,AND($C43="Diesel bus",$D43="Almost empty"),$E43*'SK '!H$19,AND($C43="Diesel bus",$D43="Average"),$E43*'SK '!H$20,AND($C43="Diesel bus",$D43="Nearly full"),$E43*'SK '!H$21,AND($C43="Hybrid-electric bus",$D43="Almost empty"),$E43*'SK '!H$11,AND($C43="Hybrid-electric bus",$D43="Average"),$E43*'SK '!H$12,AND($C43="Hybrid-electric bus",$D43="Nearly full"),$E43*'SK '!H$13,AND($C43="Alternative fuel bus",$D43="Almost empty"),$E43*'SK '!H$15,AND($C43="Alternative fuel bus",$D43="Average"),$E43*'SK '!H$16,AND($C43="Alternative fuel bus",$D43="Nearly full"),$E43*'SK '!H$17,AND($C43="Metro, tram, urban light train",$D43="Almost empty"),$E43*'SK '!C$35,AND($C43="Metro, tram, urban light train",$D43="Average"),$E43*'SK '!C$36,AND($C43="Metro, tram, urban light train",$D43="Nearly full"),$E43*'SK '!C$37,AND($C43="Electric passenger train",$D43="Almost empty"),$E43*'SK '!C$39,AND($C43="Electric passenger train",$D43="Average"),$E43*'SK '!C$40,AND($C43="Electric passenger train",$D43="Nearly full"),$E43*'SK '!C$41,AND($C43="Diesel passenger train",$D43="Almost empty"),$E43*'SK '!C$47,AND($C43="Diesel passenger train",$D43="Average"),$E43*'SK '!C$48,AND($C43="Diesel passenger train",$D43="Nearly full"),$E43*'SK '!C$49,AND($C43="Walking"),$E43*0,AND($C43="Bike"),$E43*0,AND($C43="Plane - domestic flight"),$E43*'SK '!$C67,AND($C43="Plane - international - intra EU"),$E43*'SK '!$C69,AND($C43="Plane - international (extra EU)"),$E43*'SK '!$C71)</f>
        <v>#N/A</v>
      </c>
      <c r="G43" s="31" t="e" cm="1">
        <f t="array" ref="G43">_xlfn.IFS(AND($C43="Fuel car",$D43=1),$E43*'SK '!D$7,AND($C43="Fuel car",$D43=2),$E43*'SK '!D$8,AND($C43="Fuel car",$D43=3),$E43*'SK '!D$9,AND($C43="Fuel car",$D43=4),$E43*'SK '!D$10,AND($C43="Fuel car",$D43=5),$E43*'SK '!D$11,AND($C43="Motorcycle",$D43=1),$E43*'SK '!D$13,AND($C43="Motorcycle",$D43=2),$E43*'SK '!D$14,AND($C43="Electric car",$D43=1),$E43*'SK '!D$16,AND($C43="Electric car",$D43=2),$E43*'SK '!D$17,AND($C43="Electric car",$D43=3),$E43*'SK '!D$18,AND($C43="Electric car",$D43=4),$E43*'SK '!D$19,AND($C43="Electric car",$D43=5),$E43*'SK '!D$20,AND($C43="Hybrid car",$D43=1),$E43*'SK '!D$22,AND($C43="Hybrid car",$D43=2),$E43*'SK '!D$23,AND($C43="Hybrid car",$D43=3),$E43*'SK '!D$24,AND($C43="Hybrid car",$D43=4),$E43*'SK '!D$25,AND($C43="Hybrid car",$D43=5),$E43*'SK '!D$26,AND($C43="Electric motorcycle",$D43=1),$E43*'SK '!D$28,AND($C43="Electric motorcycle",$D43=2),$E43*'SK '!D$29,AND($C43="Electric bike",$D43=1),$E43*'SK '!D$31,AND($C43="Electric scooter",$D43=1),$E43*'SK '!D$33,AND($C43="Bus",$D43="Almost empty"),$E43*'SK '!I$23,AND($C43="Bus",$D43="Average"),$E43*'SK '!I$24,AND($C43="Bus",$D43="Nearly full"),$E43*'SK '!I$25,AND($C43="Electric bus",$D43="Almost empty"),$E43*'SK '!I$7,AND($C43="Electric bus",$D43="Average"),$E43*'SK '!I$8,AND($C43="Electric bus",$D43="Nearly full"),$E43*'SK '!I$9,AND($C43="Diesel bus",$D43="Almost empty"),$E43*'SK '!I$19,AND($C43="Diesel bus",$D43="Average"),$E43*'SK '!I$20,AND($C43="Diesel bus",$D43="Nearly full"),$E43*'SK '!I$21,AND($C43="Hybrid-electric bus",$D43="Almost empty"),$E43*'SK '!I$11,AND($C43="Hybrid-electric bus",$D43="Average"),$E43*'SK '!I$12,AND($C43="Hybrid-electric bus",$D43="Nearly full"),$E43*'SK '!I$13,AND($C43="Alternative fuel bus",$D43="Almost empty"),$E43*'SK '!I$15,AND($C43="Alternative fuel bus",$D43="Average"),$E43*'SK '!I$16,AND($C43="Alternative fuel bus",$D43="Nearly full"),$E43*'SK '!I$17,AND($C43="Metro, tram, urban light train",$D43="Almost empty"),$E43*'SK '!D$35,AND($C43="Metro, tram, urban light train",$D43="Average"),$E43*'SK '!D$36,AND($C43="Metro, tram, urban light train",$D43="Nearly full"),$E43*'SK '!D$37,AND($C43="Electric passenger train",$D43="Almost empty"),$E43*'SK '!D$39,AND($C43="Electric passenger train",$D43="Average"),$E43*'SK '!D$40,AND($C43="Electric passenger train",$D43="Nearly full"),$E43*'SK '!D$41,AND($C43="Diesel passenger train",$D43="Almost empty"),$E43*'SK '!D$47,AND($C43="Diesel passenger train",$D43="Average"),$E43*'SK '!D$48,AND($C43="Diesel passenger train",$D43="Nearly full"),$E43*'SK '!D$49,AND($C43="Walking"),$E43*0,AND($C43="Bike"),$E43*0,AND($C43="Plane - domestic flight"),$E43*'SK '!$C67,AND($C43="Plane - international - intra EU"),$E43*'SK '!$C69,AND($C43="Plane - international (extra EU)"),$E43*'SK '!$C71)</f>
        <v>#N/A</v>
      </c>
      <c r="H43" s="109"/>
      <c r="I43" s="154">
        <f t="shared" si="6"/>
        <v>0</v>
      </c>
      <c r="J43" s="147" t="e" cm="1">
        <f t="array" ref="J43">_xlfn.IFS(C43="Fuel car",C43*DATA!$C$17,C43="Electric car",C43*DATA!$F$27,C43="Hybrid car",I43*(0.5*DATA!$C$17+0.5*DATA!$F$27))</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car",$D44=1),$E44*'SK '!C$7,AND($C44="Fuel car",$D44=2),$E44*'SK '!C$8,AND($C44="Fuel car",$D44=3),$E44*'SK '!C$9,AND($C44="Fuel car",$D44=4),$E44*'SK '!C$10,AND($C44="Fuel car",$D44=5),$E44*'SK '!C$11,AND($C44="Motorcycle",$D44=1),$E44*'SK '!C$13,AND($C44="Motorcycle",$D44=2),$E44*'SK '!C$14,AND($C44="Electric car",$D44=1),$E44*'SK '!C$16,AND($C44="Electric car",$D44=2),$E44*'SK '!C$17,AND($C44="Electric car",$D44=3),$E44*'SK '!C$18,AND($C44="Electric car",$D44=4),$E44*'SK '!C$19,AND($C44="Electric car",$D44=5),$E44*'SK '!C$20,AND($C44="Hybrid car",$D44=1),$E44*'SK '!C$22,AND($C44="Hybrid car",$D44=2),$E44*'SK '!C$23,AND($C44="Hybrid car",$D44=3),$E44*'SK '!C$24,AND($C44="Hybrid car",$D44=4),$E44*'SK '!C$25,AND($C44="Hybrid car",$D44=5),$E44*'SK '!C$26,AND($C44="Electric motorcycle",$D44=1),$E44*'SK '!C$28,AND($C44="Electric motorcycle",$D44=2),$E44*'SK '!C$29,AND($C44="Electric bike",$D44=1),$E44*'SK '!C$31,AND($C44="Electric scooter",$D44=1),$E44*'SK '!C$33,AND($C44="Bus",$D44="Almost empty"),$E44*'SK '!H$23,AND($C44="Bus",$D44="Average"),$E44*'SK '!H$24,AND($C44="Bus",$D44="Nearly full"),$E44*'SK '!H$25,AND($C44="Electric bus",$D44="Almost empty"),$E44*'SK '!H$7,AND($C44="Electric bus",$D44="Average"),$E44*'SK '!H$8,AND($C44="Electric bus",$D44="Nearly full"),$E44*'SK '!H$9,AND($C44="Diesel bus",$D44="Almost empty"),$E44*'SK '!H$19,AND($C44="Diesel bus",$D44="Average"),$E44*'SK '!H$20,AND($C44="Diesel bus",$D44="Nearly full"),$E44*'SK '!H$21,AND($C44="Hybrid-electric bus",$D44="Almost empty"),$E44*'SK '!H$11,AND($C44="Hybrid-electric bus",$D44="Average"),$E44*'SK '!H$12,AND($C44="Hybrid-electric bus",$D44="Nearly full"),$E44*'SK '!H$13,AND($C44="Alternative fuel bus",$D44="Almost empty"),$E44*'SK '!H$15,AND($C44="Alternative fuel bus",$D44="Average"),$E44*'SK '!H$16,AND($C44="Alternative fuel bus",$D44="Nearly full"),$E44*'SK '!H$17,AND($C44="Metro, tram, urban light train",$D44="Almost empty"),$E44*'SK '!C$35,AND($C44="Metro, tram, urban light train",$D44="Average"),$E44*'SK '!C$36,AND($C44="Metro, tram, urban light train",$D44="Nearly full"),$E44*'SK '!C$37,AND($C44="Electric passenger train",$D44="Almost empty"),$E44*'SK '!C$39,AND($C44="Electric passenger train",$D44="Average"),$E44*'SK '!C$40,AND($C44="Electric passenger train",$D44="Nearly full"),$E44*'SK '!C$41,AND($C44="Diesel passenger train",$D44="Almost empty"),$E44*'SK '!C$47,AND($C44="Diesel passenger train",$D44="Average"),$E44*'SK '!C$48,AND($C44="Diesel passenger train",$D44="Nearly full"),$E44*'SK '!C$49,AND($C44="Walking"),$E44*0,AND($C44="Bike"),$E44*0,AND($C44="Plane - domestic flight"),$E44*'SK '!$C68,AND($C44="Plane - international - intra EU"),$E44*'SK '!$C70,AND($C44="Plane - international (extra EU)"),$E44*'SK '!$C72)</f>
        <v>#N/A</v>
      </c>
      <c r="G44" s="31" t="e" cm="1">
        <f t="array" ref="G44">_xlfn.IFS(AND($C44="Fuel car",$D44=1),$E44*'SK '!D$7,AND($C44="Fuel car",$D44=2),$E44*'SK '!D$8,AND($C44="Fuel car",$D44=3),$E44*'SK '!D$9,AND($C44="Fuel car",$D44=4),$E44*'SK '!D$10,AND($C44="Fuel car",$D44=5),$E44*'SK '!D$11,AND($C44="Motorcycle",$D44=1),$E44*'SK '!D$13,AND($C44="Motorcycle",$D44=2),$E44*'SK '!D$14,AND($C44="Electric car",$D44=1),$E44*'SK '!D$16,AND($C44="Electric car",$D44=2),$E44*'SK '!D$17,AND($C44="Electric car",$D44=3),$E44*'SK '!D$18,AND($C44="Electric car",$D44=4),$E44*'SK '!D$19,AND($C44="Electric car",$D44=5),$E44*'SK '!D$20,AND($C44="Hybrid car",$D44=1),$E44*'SK '!D$22,AND($C44="Hybrid car",$D44=2),$E44*'SK '!D$23,AND($C44="Hybrid car",$D44=3),$E44*'SK '!D$24,AND($C44="Hybrid car",$D44=4),$E44*'SK '!D$25,AND($C44="Hybrid car",$D44=5),$E44*'SK '!D$26,AND($C44="Electric motorcycle",$D44=1),$E44*'SK '!D$28,AND($C44="Electric motorcycle",$D44=2),$E44*'SK '!D$29,AND($C44="Electric bike",$D44=1),$E44*'SK '!D$31,AND($C44="Electric scooter",$D44=1),$E44*'SK '!D$33,AND($C44="Bus",$D44="Almost empty"),$E44*'SK '!I$23,AND($C44="Bus",$D44="Average"),$E44*'SK '!I$24,AND($C44="Bus",$D44="Nearly full"),$E44*'SK '!I$25,AND($C44="Electric bus",$D44="Almost empty"),$E44*'SK '!I$7,AND($C44="Electric bus",$D44="Average"),$E44*'SK '!I$8,AND($C44="Electric bus",$D44="Nearly full"),$E44*'SK '!I$9,AND($C44="Diesel bus",$D44="Almost empty"),$E44*'SK '!I$19,AND($C44="Diesel bus",$D44="Average"),$E44*'SK '!I$20,AND($C44="Diesel bus",$D44="Nearly full"),$E44*'SK '!I$21,AND($C44="Hybrid-electric bus",$D44="Almost empty"),$E44*'SK '!I$11,AND($C44="Hybrid-electric bus",$D44="Average"),$E44*'SK '!I$12,AND($C44="Hybrid-electric bus",$D44="Nearly full"),$E44*'SK '!I$13,AND($C44="Alternative fuel bus",$D44="Almost empty"),$E44*'SK '!I$15,AND($C44="Alternative fuel bus",$D44="Average"),$E44*'SK '!I$16,AND($C44="Alternative fuel bus",$D44="Nearly full"),$E44*'SK '!I$17,AND($C44="Metro, tram, urban light train",$D44="Almost empty"),$E44*'SK '!D$35,AND($C44="Metro, tram, urban light train",$D44="Average"),$E44*'SK '!D$36,AND($C44="Metro, tram, urban light train",$D44="Nearly full"),$E44*'SK '!D$37,AND($C44="Electric passenger train",$D44="Almost empty"),$E44*'SK '!D$39,AND($C44="Electric passenger train",$D44="Average"),$E44*'SK '!D$40,AND($C44="Electric passenger train",$D44="Nearly full"),$E44*'SK '!D$41,AND($C44="Diesel passenger train",$D44="Almost empty"),$E44*'SK '!D$47,AND($C44="Diesel passenger train",$D44="Average"),$E44*'SK '!D$48,AND($C44="Diesel passenger train",$D44="Nearly full"),$E44*'SK '!D$49,AND($C44="Walking"),$E44*0,AND($C44="Bike"),$E44*0,AND($C44="Plane - domestic flight"),$E44*'SK '!$C68,AND($C44="Plane - international - intra EU"),$E44*'SK '!$C70,AND($C44="Plane - international (extra EU)"),$E44*'SK '!$C72)</f>
        <v>#N/A</v>
      </c>
      <c r="L44" s="218"/>
      <c r="M44" s="219"/>
      <c r="N44" s="220"/>
    </row>
    <row r="45" spans="1:14" ht="14.5" customHeight="1" x14ac:dyDescent="0.2">
      <c r="A45" s="222"/>
      <c r="B45" s="30"/>
      <c r="C45" s="15"/>
      <c r="D45" s="15"/>
      <c r="E45" s="125"/>
      <c r="F45" s="128" t="e" cm="1">
        <f t="array" ref="F45">_xlfn.IFS(AND($C45="Fuel car",$D45=1),$E45*'SK '!C$7,AND($C45="Fuel car",$D45=2),$E45*'SK '!C$8,AND($C45="Fuel car",$D45=3),$E45*'SK '!C$9,AND($C45="Fuel car",$D45=4),$E45*'SK '!C$10,AND($C45="Fuel car",$D45=5),$E45*'SK '!C$11,AND($C45="Motorcycle",$D45=1),$E45*'SK '!C$13,AND($C45="Motorcycle",$D45=2),$E45*'SK '!C$14,AND($C45="Electric car",$D45=1),$E45*'SK '!C$16,AND($C45="Electric car",$D45=2),$E45*'SK '!C$17,AND($C45="Electric car",$D45=3),$E45*'SK '!C$18,AND($C45="Electric car",$D45=4),$E45*'SK '!C$19,AND($C45="Electric car",$D45=5),$E45*'SK '!C$20,AND($C45="Hybrid car",$D45=1),$E45*'SK '!C$22,AND($C45="Hybrid car",$D45=2),$E45*'SK '!C$23,AND($C45="Hybrid car",$D45=3),$E45*'SK '!C$24,AND($C45="Hybrid car",$D45=4),$E45*'SK '!C$25,AND($C45="Hybrid car",$D45=5),$E45*'SK '!C$26,AND($C45="Electric motorcycle",$D45=1),$E45*'SK '!C$28,AND($C45="Electric motorcycle",$D45=2),$E45*'SK '!C$29,AND($C45="Electric bike",$D45=1),$E45*'SK '!C$31,AND($C45="Electric scooter",$D45=1),$E45*'SK '!C$33,AND($C45="Bus",$D45="Almost empty"),$E45*'SK '!H$23,AND($C45="Bus",$D45="Average"),$E45*'SK '!H$24,AND($C45="Bus",$D45="Nearly full"),$E45*'SK '!H$25,AND($C45="Electric bus",$D45="Almost empty"),$E45*'SK '!H$7,AND($C45="Electric bus",$D45="Average"),$E45*'SK '!H$8,AND($C45="Electric bus",$D45="Nearly full"),$E45*'SK '!H$9,AND($C45="Diesel bus",$D45="Almost empty"),$E45*'SK '!H$19,AND($C45="Diesel bus",$D45="Average"),$E45*'SK '!H$20,AND($C45="Diesel bus",$D45="Nearly full"),$E45*'SK '!H$21,AND($C45="Hybrid-electric bus",$D45="Almost empty"),$E45*'SK '!H$11,AND($C45="Hybrid-electric bus",$D45="Average"),$E45*'SK '!H$12,AND($C45="Hybrid-electric bus",$D45="Nearly full"),$E45*'SK '!H$13,AND($C45="Alternative fuel bus",$D45="Almost empty"),$E45*'SK '!H$15,AND($C45="Alternative fuel bus",$D45="Average"),$E45*'SK '!H$16,AND($C45="Alternative fuel bus",$D45="Nearly full"),$E45*'SK '!H$17,AND($C45="Metro, tram, urban light train",$D45="Almost empty"),$E45*'SK '!C$35,AND($C45="Metro, tram, urban light train",$D45="Average"),$E45*'SK '!C$36,AND($C45="Metro, tram, urban light train",$D45="Nearly full"),$E45*'SK '!C$37,AND($C45="Electric passenger train",$D45="Almost empty"),$E45*'SK '!C$39,AND($C45="Electric passenger train",$D45="Average"),$E45*'SK '!C$40,AND($C45="Electric passenger train",$D45="Nearly full"),$E45*'SK '!C$41,AND($C45="Diesel passenger train",$D45="Almost empty"),$E45*'SK '!C$47,AND($C45="Diesel passenger train",$D45="Average"),$E45*'SK '!C$48,AND($C45="Diesel passenger train",$D45="Nearly full"),$E45*'SK '!C$49,AND($C45="Walking"),$E45*0,AND($C45="Bike"),$E45*0,AND($C45="Plane - domestic flight"),$E45*'SK '!$C69,AND($C45="Plane - international - intra EU"),$E45*'SK '!$C71,AND($C45="Plane - international (extra EU)"),$E45*'SK '!$C73)</f>
        <v>#N/A</v>
      </c>
      <c r="G45" s="31" t="e" cm="1">
        <f t="array" ref="G45">_xlfn.IFS(AND($C45="Fuel car",$D45=1),$E45*'SK '!D$7,AND($C45="Fuel car",$D45=2),$E45*'SK '!D$8,AND($C45="Fuel car",$D45=3),$E45*'SK '!D$9,AND($C45="Fuel car",$D45=4),$E45*'SK '!D$10,AND($C45="Fuel car",$D45=5),$E45*'SK '!D$11,AND($C45="Motorcycle",$D45=1),$E45*'SK '!D$13,AND($C45="Motorcycle",$D45=2),$E45*'SK '!D$14,AND($C45="Electric car",$D45=1),$E45*'SK '!D$16,AND($C45="Electric car",$D45=2),$E45*'SK '!D$17,AND($C45="Electric car",$D45=3),$E45*'SK '!D$18,AND($C45="Electric car",$D45=4),$E45*'SK '!D$19,AND($C45="Electric car",$D45=5),$E45*'SK '!D$20,AND($C45="Hybrid car",$D45=1),$E45*'SK '!D$22,AND($C45="Hybrid car",$D45=2),$E45*'SK '!D$23,AND($C45="Hybrid car",$D45=3),$E45*'SK '!D$24,AND($C45="Hybrid car",$D45=4),$E45*'SK '!D$25,AND($C45="Hybrid car",$D45=5),$E45*'SK '!D$26,AND($C45="Electric motorcycle",$D45=1),$E45*'SK '!D$28,AND($C45="Electric motorcycle",$D45=2),$E45*'SK '!D$29,AND($C45="Electric bike",$D45=1),$E45*'SK '!D$31,AND($C45="Electric scooter",$D45=1),$E45*'SK '!D$33,AND($C45="Bus",$D45="Almost empty"),$E45*'SK '!I$23,AND($C45="Bus",$D45="Average"),$E45*'SK '!I$24,AND($C45="Bus",$D45="Nearly full"),$E45*'SK '!I$25,AND($C45="Electric bus",$D45="Almost empty"),$E45*'SK '!I$7,AND($C45="Electric bus",$D45="Average"),$E45*'SK '!I$8,AND($C45="Electric bus",$D45="Nearly full"),$E45*'SK '!I$9,AND($C45="Diesel bus",$D45="Almost empty"),$E45*'SK '!I$19,AND($C45="Diesel bus",$D45="Average"),$E45*'SK '!I$20,AND($C45="Diesel bus",$D45="Nearly full"),$E45*'SK '!I$21,AND($C45="Hybrid-electric bus",$D45="Almost empty"),$E45*'SK '!I$11,AND($C45="Hybrid-electric bus",$D45="Average"),$E45*'SK '!I$12,AND($C45="Hybrid-electric bus",$D45="Nearly full"),$E45*'SK '!I$13,AND($C45="Alternative fuel bus",$D45="Almost empty"),$E45*'SK '!I$15,AND($C45="Alternative fuel bus",$D45="Average"),$E45*'SK '!I$16,AND($C45="Alternative fuel bus",$D45="Nearly full"),$E45*'SK '!I$17,AND($C45="Metro, tram, urban light train",$D45="Almost empty"),$E45*'SK '!D$35,AND($C45="Metro, tram, urban light train",$D45="Average"),$E45*'SK '!D$36,AND($C45="Metro, tram, urban light train",$D45="Nearly full"),$E45*'SK '!D$37,AND($C45="Electric passenger train",$D45="Almost empty"),$E45*'SK '!D$39,AND($C45="Electric passenger train",$D45="Average"),$E45*'SK '!D$40,AND($C45="Electric passenger train",$D45="Nearly full"),$E45*'SK '!D$41,AND($C45="Diesel passenger train",$D45="Almost empty"),$E45*'SK '!D$47,AND($C45="Diesel passenger train",$D45="Average"),$E45*'SK '!D$48,AND($C45="Diesel passenger train",$D45="Nearly full"),$E45*'SK '!D$49,AND($C45="Walking"),$E45*0,AND($C45="Bike"),$E45*0,AND($C45="Plane - domestic flight"),$E45*'SK '!$C69,AND($C45="Plane - international - intra EU"),$E45*'SK '!$C71,AND($C45="Plane - international (extra EU)"),$E45*'SK '!$C73)</f>
        <v>#N/A</v>
      </c>
      <c r="L45" s="198" t="s">
        <v>256</v>
      </c>
      <c r="M45" s="199"/>
      <c r="N45" s="200"/>
    </row>
    <row r="46" spans="1:14" ht="16" thickBot="1" x14ac:dyDescent="0.25">
      <c r="A46" s="222"/>
      <c r="B46" s="30"/>
      <c r="C46" s="15"/>
      <c r="D46" s="15"/>
      <c r="E46" s="125"/>
      <c r="F46" s="128" t="e" cm="1">
        <f t="array" ref="F46">_xlfn.IFS(AND($C46="Fuel car",$D46=1),$E46*'SK '!C$7,AND($C46="Fuel car",$D46=2),$E46*'SK '!C$8,AND($C46="Fuel car",$D46=3),$E46*'SK '!C$9,AND($C46="Fuel car",$D46=4),$E46*'SK '!C$10,AND($C46="Fuel car",$D46=5),$E46*'SK '!C$11,AND($C46="Motorcycle",$D46=1),$E46*'SK '!C$13,AND($C46="Motorcycle",$D46=2),$E46*'SK '!C$14,AND($C46="Electric car",$D46=1),$E46*'SK '!C$16,AND($C46="Electric car",$D46=2),$E46*'SK '!C$17,AND($C46="Electric car",$D46=3),$E46*'SK '!C$18,AND($C46="Electric car",$D46=4),$E46*'SK '!C$19,AND($C46="Electric car",$D46=5),$E46*'SK '!C$20,AND($C46="Hybrid car",$D46=1),$E46*'SK '!C$22,AND($C46="Hybrid car",$D46=2),$E46*'SK '!C$23,AND($C46="Hybrid car",$D46=3),$E46*'SK '!C$24,AND($C46="Hybrid car",$D46=4),$E46*'SK '!C$25,AND($C46="Hybrid car",$D46=5),$E46*'SK '!C$26,AND($C46="Electric motorcycle",$D46=1),$E46*'SK '!C$28,AND($C46="Electric motorcycle",$D46=2),$E46*'SK '!C$29,AND($C46="Electric bike",$D46=1),$E46*'SK '!C$31,AND($C46="Electric scooter",$D46=1),$E46*'SK '!C$33,AND($C46="Bus",$D46="Almost empty"),$E46*'SK '!H$23,AND($C46="Bus",$D46="Average"),$E46*'SK '!H$24,AND($C46="Bus",$D46="Nearly full"),$E46*'SK '!H$25,AND($C46="Electric bus",$D46="Almost empty"),$E46*'SK '!H$7,AND($C46="Electric bus",$D46="Average"),$E46*'SK '!H$8,AND($C46="Electric bus",$D46="Nearly full"),$E46*'SK '!H$9,AND($C46="Diesel bus",$D46="Almost empty"),$E46*'SK '!H$19,AND($C46="Diesel bus",$D46="Average"),$E46*'SK '!H$20,AND($C46="Diesel bus",$D46="Nearly full"),$E46*'SK '!H$21,AND($C46="Hybrid-electric bus",$D46="Almost empty"),$E46*'SK '!H$11,AND($C46="Hybrid-electric bus",$D46="Average"),$E46*'SK '!H$12,AND($C46="Hybrid-electric bus",$D46="Nearly full"),$E46*'SK '!H$13,AND($C46="Alternative fuel bus",$D46="Almost empty"),$E46*'SK '!H$15,AND($C46="Alternative fuel bus",$D46="Average"),$E46*'SK '!H$16,AND($C46="Alternative fuel bus",$D46="Nearly full"),$E46*'SK '!H$17,AND($C46="Metro, tram, urban light train",$D46="Almost empty"),$E46*'SK '!C$35,AND($C46="Metro, tram, urban light train",$D46="Average"),$E46*'SK '!C$36,AND($C46="Metro, tram, urban light train",$D46="Nearly full"),$E46*'SK '!C$37,AND($C46="Electric passenger train",$D46="Almost empty"),$E46*'SK '!C$39,AND($C46="Electric passenger train",$D46="Average"),$E46*'SK '!C$40,AND($C46="Electric passenger train",$D46="Nearly full"),$E46*'SK '!C$41,AND($C46="Diesel passenger train",$D46="Almost empty"),$E46*'SK '!C$47,AND($C46="Diesel passenger train",$D46="Average"),$E46*'SK '!C$48,AND($C46="Diesel passenger train",$D46="Nearly full"),$E46*'SK '!C$49,AND($C46="Walking"),$E46*0,AND($C46="Bike"),$E46*0,AND($C46="Plane - domestic flight"),$E46*'SK '!$C70,AND($C46="Plane - international - intra EU"),$E46*'SK '!$C72,AND($C46="Plane - international (extra EU)"),$E46*'SK '!$C74)</f>
        <v>#N/A</v>
      </c>
      <c r="G46" s="31" t="e" cm="1">
        <f t="array" ref="G46">_xlfn.IFS(AND($C46="Fuel car",$D46=1),$E46*'SK '!D$7,AND($C46="Fuel car",$D46=2),$E46*'SK '!D$8,AND($C46="Fuel car",$D46=3),$E46*'SK '!D$9,AND($C46="Fuel car",$D46=4),$E46*'SK '!D$10,AND($C46="Fuel car",$D46=5),$E46*'SK '!D$11,AND($C46="Motorcycle",$D46=1),$E46*'SK '!D$13,AND($C46="Motorcycle",$D46=2),$E46*'SK '!D$14,AND($C46="Electric car",$D46=1),$E46*'SK '!D$16,AND($C46="Electric car",$D46=2),$E46*'SK '!D$17,AND($C46="Electric car",$D46=3),$E46*'SK '!D$18,AND($C46="Electric car",$D46=4),$E46*'SK '!D$19,AND($C46="Electric car",$D46=5),$E46*'SK '!D$20,AND($C46="Hybrid car",$D46=1),$E46*'SK '!D$22,AND($C46="Hybrid car",$D46=2),$E46*'SK '!D$23,AND($C46="Hybrid car",$D46=3),$E46*'SK '!D$24,AND($C46="Hybrid car",$D46=4),$E46*'SK '!D$25,AND($C46="Hybrid car",$D46=5),$E46*'SK '!D$26,AND($C46="Electric motorcycle",$D46=1),$E46*'SK '!D$28,AND($C46="Electric motorcycle",$D46=2),$E46*'SK '!D$29,AND($C46="Electric bike",$D46=1),$E46*'SK '!D$31,AND($C46="Electric scooter",$D46=1),$E46*'SK '!D$33,AND($C46="Bus",$D46="Almost empty"),$E46*'SK '!I$23,AND($C46="Bus",$D46="Average"),$E46*'SK '!I$24,AND($C46="Bus",$D46="Nearly full"),$E46*'SK '!I$25,AND($C46="Electric bus",$D46="Almost empty"),$E46*'SK '!I$7,AND($C46="Electric bus",$D46="Average"),$E46*'SK '!I$8,AND($C46="Electric bus",$D46="Nearly full"),$E46*'SK '!I$9,AND($C46="Diesel bus",$D46="Almost empty"),$E46*'SK '!I$19,AND($C46="Diesel bus",$D46="Average"),$E46*'SK '!I$20,AND($C46="Diesel bus",$D46="Nearly full"),$E46*'SK '!I$21,AND($C46="Hybrid-electric bus",$D46="Almost empty"),$E46*'SK '!I$11,AND($C46="Hybrid-electric bus",$D46="Average"),$E46*'SK '!I$12,AND($C46="Hybrid-electric bus",$D46="Nearly full"),$E46*'SK '!I$13,AND($C46="Alternative fuel bus",$D46="Almost empty"),$E46*'SK '!I$15,AND($C46="Alternative fuel bus",$D46="Average"),$E46*'SK '!I$16,AND($C46="Alternative fuel bus",$D46="Nearly full"),$E46*'SK '!I$17,AND($C46="Metro, tram, urban light train",$D46="Almost empty"),$E46*'SK '!D$35,AND($C46="Metro, tram, urban light train",$D46="Average"),$E46*'SK '!D$36,AND($C46="Metro, tram, urban light train",$D46="Nearly full"),$E46*'SK '!D$37,AND($C46="Electric passenger train",$D46="Almost empty"),$E46*'SK '!D$39,AND($C46="Electric passenger train",$D46="Average"),$E46*'SK '!D$40,AND($C46="Electric passenger train",$D46="Nearly full"),$E46*'SK '!D$41,AND($C46="Diesel passenger train",$D46="Almost empty"),$E46*'SK '!D$47,AND($C46="Diesel passenger train",$D46="Average"),$E46*'SK '!D$48,AND($C46="Diesel passenger train",$D46="Nearly full"),$E46*'SK '!D$49,AND($C46="Walking"),$E46*0,AND($C46="Bike"),$E46*0,AND($C46="Plane - domestic flight"),$E46*'SK '!$C70,AND($C46="Plane - international - intra EU"),$E46*'SK '!$C72,AND($C46="Plane - international (extra EU)"),$E46*'SK '!$C74)</f>
        <v>#N/A</v>
      </c>
      <c r="L46" s="246"/>
      <c r="M46" s="247"/>
      <c r="N46" s="248"/>
    </row>
    <row r="47" spans="1:14" ht="20" thickBot="1" x14ac:dyDescent="0.25">
      <c r="A47" s="222"/>
      <c r="B47" s="30"/>
      <c r="C47" s="15"/>
      <c r="D47" s="15"/>
      <c r="E47" s="125"/>
      <c r="F47" s="128" t="e" cm="1">
        <f t="array" ref="F47">_xlfn.IFS(AND($C47="Fuel car",$D47=1),$E47*'SK '!C$7,AND($C47="Fuel car",$D47=2),$E47*'SK '!C$8,AND($C47="Fuel car",$D47=3),$E47*'SK '!C$9,AND($C47="Fuel car",$D47=4),$E47*'SK '!C$10,AND($C47="Fuel car",$D47=5),$E47*'SK '!C$11,AND($C47="Motorcycle",$D47=1),$E47*'SK '!C$13,AND($C47="Motorcycle",$D47=2),$E47*'SK '!C$14,AND($C47="Electric car",$D47=1),$E47*'SK '!C$16,AND($C47="Electric car",$D47=2),$E47*'SK '!C$17,AND($C47="Electric car",$D47=3),$E47*'SK '!C$18,AND($C47="Electric car",$D47=4),$E47*'SK '!C$19,AND($C47="Electric car",$D47=5),$E47*'SK '!C$20,AND($C47="Hybrid car",$D47=1),$E47*'SK '!C$22,AND($C47="Hybrid car",$D47=2),$E47*'SK '!C$23,AND($C47="Hybrid car",$D47=3),$E47*'SK '!C$24,AND($C47="Hybrid car",$D47=4),$E47*'SK '!C$25,AND($C47="Hybrid car",$D47=5),$E47*'SK '!C$26,AND($C47="Electric motorcycle",$D47=1),$E47*'SK '!C$28,AND($C47="Electric motorcycle",$D47=2),$E47*'SK '!C$29,AND($C47="Electric bike",$D47=1),$E47*'SK '!C$31,AND($C47="Electric scooter",$D47=1),$E47*'SK '!C$33,AND($C47="Bus",$D47="Almost empty"),$E47*'SK '!H$23,AND($C47="Bus",$D47="Average"),$E47*'SK '!H$24,AND($C47="Bus",$D47="Nearly full"),$E47*'SK '!H$25,AND($C47="Electric bus",$D47="Almost empty"),$E47*'SK '!H$7,AND($C47="Electric bus",$D47="Average"),$E47*'SK '!H$8,AND($C47="Electric bus",$D47="Nearly full"),$E47*'SK '!H$9,AND($C47="Diesel bus",$D47="Almost empty"),$E47*'SK '!H$19,AND($C47="Diesel bus",$D47="Average"),$E47*'SK '!H$20,AND($C47="Diesel bus",$D47="Nearly full"),$E47*'SK '!H$21,AND($C47="Hybrid-electric bus",$D47="Almost empty"),$E47*'SK '!H$11,AND($C47="Hybrid-electric bus",$D47="Average"),$E47*'SK '!H$12,AND($C47="Hybrid-electric bus",$D47="Nearly full"),$E47*'SK '!H$13,AND($C47="Alternative fuel bus",$D47="Almost empty"),$E47*'SK '!H$15,AND($C47="Alternative fuel bus",$D47="Average"),$E47*'SK '!H$16,AND($C47="Alternative fuel bus",$D47="Nearly full"),$E47*'SK '!H$17,AND($C47="Metro, tram, urban light train",$D47="Almost empty"),$E47*'SK '!C$35,AND($C47="Metro, tram, urban light train",$D47="Average"),$E47*'SK '!C$36,AND($C47="Metro, tram, urban light train",$D47="Nearly full"),$E47*'SK '!C$37,AND($C47="Electric passenger train",$D47="Almost empty"),$E47*'SK '!C$39,AND($C47="Electric passenger train",$D47="Average"),$E47*'SK '!C$40,AND($C47="Electric passenger train",$D47="Nearly full"),$E47*'SK '!C$41,AND($C47="Diesel passenger train",$D47="Almost empty"),$E47*'SK '!C$47,AND($C47="Diesel passenger train",$D47="Average"),$E47*'SK '!C$48,AND($C47="Diesel passenger train",$D47="Nearly full"),$E47*'SK '!C$49,AND($C47="Walking"),$E47*0,AND($C47="Bike"),$E47*0,AND($C47="Plane - domestic flight"),$E47*'SK '!$C71,AND($C47="Plane - international - intra EU"),$E47*'SK '!$C73,AND($C47="Plane - international (extra EU)"),$E47*'SK '!$C75)</f>
        <v>#N/A</v>
      </c>
      <c r="G47" s="31" t="e" cm="1">
        <f t="array" ref="G47">_xlfn.IFS(AND($C47="Fuel car",$D47=1),$E47*'SK '!D$7,AND($C47="Fuel car",$D47=2),$E47*'SK '!D$8,AND($C47="Fuel car",$D47=3),$E47*'SK '!D$9,AND($C47="Fuel car",$D47=4),$E47*'SK '!D$10,AND($C47="Fuel car",$D47=5),$E47*'SK '!D$11,AND($C47="Motorcycle",$D47=1),$E47*'SK '!D$13,AND($C47="Motorcycle",$D47=2),$E47*'SK '!D$14,AND($C47="Electric car",$D47=1),$E47*'SK '!D$16,AND($C47="Electric car",$D47=2),$E47*'SK '!D$17,AND($C47="Electric car",$D47=3),$E47*'SK '!D$18,AND($C47="Electric car",$D47=4),$E47*'SK '!D$19,AND($C47="Electric car",$D47=5),$E47*'SK '!D$20,AND($C47="Hybrid car",$D47=1),$E47*'SK '!D$22,AND($C47="Hybrid car",$D47=2),$E47*'SK '!D$23,AND($C47="Hybrid car",$D47=3),$E47*'SK '!D$24,AND($C47="Hybrid car",$D47=4),$E47*'SK '!D$25,AND($C47="Hybrid car",$D47=5),$E47*'SK '!D$26,AND($C47="Electric motorcycle",$D47=1),$E47*'SK '!D$28,AND($C47="Electric motorcycle",$D47=2),$E47*'SK '!D$29,AND($C47="Electric bike",$D47=1),$E47*'SK '!D$31,AND($C47="Electric scooter",$D47=1),$E47*'SK '!D$33,AND($C47="Bus",$D47="Almost empty"),$E47*'SK '!I$23,AND($C47="Bus",$D47="Average"),$E47*'SK '!I$24,AND($C47="Bus",$D47="Nearly full"),$E47*'SK '!I$25,AND($C47="Electric bus",$D47="Almost empty"),$E47*'SK '!I$7,AND($C47="Electric bus",$D47="Average"),$E47*'SK '!I$8,AND($C47="Electric bus",$D47="Nearly full"),$E47*'SK '!I$9,AND($C47="Diesel bus",$D47="Almost empty"),$E47*'SK '!I$19,AND($C47="Diesel bus",$D47="Average"),$E47*'SK '!I$20,AND($C47="Diesel bus",$D47="Nearly full"),$E47*'SK '!I$21,AND($C47="Hybrid-electric bus",$D47="Almost empty"),$E47*'SK '!I$11,AND($C47="Hybrid-electric bus",$D47="Average"),$E47*'SK '!I$12,AND($C47="Hybrid-electric bus",$D47="Nearly full"),$E47*'SK '!I$13,AND($C47="Alternative fuel bus",$D47="Almost empty"),$E47*'SK '!I$15,AND($C47="Alternative fuel bus",$D47="Average"),$E47*'SK '!I$16,AND($C47="Alternative fuel bus",$D47="Nearly full"),$E47*'SK '!I$17,AND($C47="Metro, tram, urban light train",$D47="Almost empty"),$E47*'SK '!D$35,AND($C47="Metro, tram, urban light train",$D47="Average"),$E47*'SK '!D$36,AND($C47="Metro, tram, urban light train",$D47="Nearly full"),$E47*'SK '!D$37,AND($C47="Electric passenger train",$D47="Almost empty"),$E47*'SK '!D$39,AND($C47="Electric passenger train",$D47="Average"),$E47*'SK '!D$40,AND($C47="Electric passenger train",$D47="Nearly full"),$E47*'SK '!D$41,AND($C47="Diesel passenger train",$D47="Almost empty"),$E47*'SK '!D$47,AND($C47="Diesel passenger train",$D47="Average"),$E47*'SK '!D$48,AND($C47="Diesel passenger train",$D47="Nearly full"),$E47*'SK '!D$49,AND($C47="Walking"),$E47*0,AND($C47="Bike"),$E47*0,AND($C47="Plane - domestic flight"),$E47*'SK '!$C71,AND($C47="Plane - international - intra EU"),$E47*'SK '!$C73,AND($C47="Plane - international (extra EU)"),$E47*'SK '!$C75)</f>
        <v>#N/A</v>
      </c>
      <c r="L47" s="238" t="s">
        <v>56</v>
      </c>
      <c r="M47" s="239"/>
      <c r="N47" s="240"/>
    </row>
    <row r="48" spans="1:14" ht="16" thickBot="1" x14ac:dyDescent="0.25">
      <c r="A48" s="222"/>
      <c r="B48" s="30"/>
      <c r="C48" s="15"/>
      <c r="D48" s="15"/>
      <c r="E48" s="125"/>
      <c r="F48" s="128" t="e" cm="1">
        <f t="array" ref="F48">_xlfn.IFS(AND($C48="Fuel car",$D48=1),$E48*'SK '!C$7,AND($C48="Fuel car",$D48=2),$E48*'SK '!C$8,AND($C48="Fuel car",$D48=3),$E48*'SK '!C$9,AND($C48="Fuel car",$D48=4),$E48*'SK '!C$10,AND($C48="Fuel car",$D48=5),$E48*'SK '!C$11,AND($C48="Motorcycle",$D48=1),$E48*'SK '!C$13,AND($C48="Motorcycle",$D48=2),$E48*'SK '!C$14,AND($C48="Electric car",$D48=1),$E48*'SK '!C$16,AND($C48="Electric car",$D48=2),$E48*'SK '!C$17,AND($C48="Electric car",$D48=3),$E48*'SK '!C$18,AND($C48="Electric car",$D48=4),$E48*'SK '!C$19,AND($C48="Electric car",$D48=5),$E48*'SK '!C$20,AND($C48="Hybrid car",$D48=1),$E48*'SK '!C$22,AND($C48="Hybrid car",$D48=2),$E48*'SK '!C$23,AND($C48="Hybrid car",$D48=3),$E48*'SK '!C$24,AND($C48="Hybrid car",$D48=4),$E48*'SK '!C$25,AND($C48="Hybrid car",$D48=5),$E48*'SK '!C$26,AND($C48="Electric motorcycle",$D48=1),$E48*'SK '!C$28,AND($C48="Electric motorcycle",$D48=2),$E48*'SK '!C$29,AND($C48="Electric bike",$D48=1),$E48*'SK '!C$31,AND($C48="Electric scooter",$D48=1),$E48*'SK '!C$33,AND($C48="Bus",$D48="Almost empty"),$E48*'SK '!H$23,AND($C48="Bus",$D48="Average"),$E48*'SK '!H$24,AND($C48="Bus",$D48="Nearly full"),$E48*'SK '!H$25,AND($C48="Electric bus",$D48="Almost empty"),$E48*'SK '!H$7,AND($C48="Electric bus",$D48="Average"),$E48*'SK '!H$8,AND($C48="Electric bus",$D48="Nearly full"),$E48*'SK '!H$9,AND($C48="Diesel bus",$D48="Almost empty"),$E48*'SK '!H$19,AND($C48="Diesel bus",$D48="Average"),$E48*'SK '!H$20,AND($C48="Diesel bus",$D48="Nearly full"),$E48*'SK '!H$21,AND($C48="Hybrid-electric bus",$D48="Almost empty"),$E48*'SK '!H$11,AND($C48="Hybrid-electric bus",$D48="Average"),$E48*'SK '!H$12,AND($C48="Hybrid-electric bus",$D48="Nearly full"),$E48*'SK '!H$13,AND($C48="Alternative fuel bus",$D48="Almost empty"),$E48*'SK '!H$15,AND($C48="Alternative fuel bus",$D48="Average"),$E48*'SK '!H$16,AND($C48="Alternative fuel bus",$D48="Nearly full"),$E48*'SK '!H$17,AND($C48="Metro, tram, urban light train",$D48="Almost empty"),$E48*'SK '!C$35,AND($C48="Metro, tram, urban light train",$D48="Average"),$E48*'SK '!C$36,AND($C48="Metro, tram, urban light train",$D48="Nearly full"),$E48*'SK '!C$37,AND($C48="Electric passenger train",$D48="Almost empty"),$E48*'SK '!C$39,AND($C48="Electric passenger train",$D48="Average"),$E48*'SK '!C$40,AND($C48="Electric passenger train",$D48="Nearly full"),$E48*'SK '!C$41,AND($C48="Diesel passenger train",$D48="Almost empty"),$E48*'SK '!C$47,AND($C48="Diesel passenger train",$D48="Average"),$E48*'SK '!C$48,AND($C48="Diesel passenger train",$D48="Nearly full"),$E48*'SK '!C$49,AND($C48="Walking"),$E48*0,AND($C48="Bike"),$E48*0,AND($C48="Plane - domestic flight"),$E48*'SK '!$C72,AND($C48="Plane - international - intra EU"),$E48*'SK '!$C74,AND($C48="Plane - international (extra EU)"),$E48*'SK '!$C76)</f>
        <v>#N/A</v>
      </c>
      <c r="G48" s="31" t="e" cm="1">
        <f t="array" ref="G48">_xlfn.IFS(AND($C48="Fuel car",$D48=1),$E48*'SK '!D$7,AND($C48="Fuel car",$D48=2),$E48*'SK '!D$8,AND($C48="Fuel car",$D48=3),$E48*'SK '!D$9,AND($C48="Fuel car",$D48=4),$E48*'SK '!D$10,AND($C48="Fuel car",$D48=5),$E48*'SK '!D$11,AND($C48="Motorcycle",$D48=1),$E48*'SK '!D$13,AND($C48="Motorcycle",$D48=2),$E48*'SK '!D$14,AND($C48="Electric car",$D48=1),$E48*'SK '!D$16,AND($C48="Electric car",$D48=2),$E48*'SK '!D$17,AND($C48="Electric car",$D48=3),$E48*'SK '!D$18,AND($C48="Electric car",$D48=4),$E48*'SK '!D$19,AND($C48="Electric car",$D48=5),$E48*'SK '!D$20,AND($C48="Hybrid car",$D48=1),$E48*'SK '!D$22,AND($C48="Hybrid car",$D48=2),$E48*'SK '!D$23,AND($C48="Hybrid car",$D48=3),$E48*'SK '!D$24,AND($C48="Hybrid car",$D48=4),$E48*'SK '!D$25,AND($C48="Hybrid car",$D48=5),$E48*'SK '!D$26,AND($C48="Electric motorcycle",$D48=1),$E48*'SK '!D$28,AND($C48="Electric motorcycle",$D48=2),$E48*'SK '!D$29,AND($C48="Electric bike",$D48=1),$E48*'SK '!D$31,AND($C48="Electric scooter",$D48=1),$E48*'SK '!D$33,AND($C48="Bus",$D48="Almost empty"),$E48*'SK '!I$23,AND($C48="Bus",$D48="Average"),$E48*'SK '!I$24,AND($C48="Bus",$D48="Nearly full"),$E48*'SK '!I$25,AND($C48="Electric bus",$D48="Almost empty"),$E48*'SK '!I$7,AND($C48="Electric bus",$D48="Average"),$E48*'SK '!I$8,AND($C48="Electric bus",$D48="Nearly full"),$E48*'SK '!I$9,AND($C48="Diesel bus",$D48="Almost empty"),$E48*'SK '!I$19,AND($C48="Diesel bus",$D48="Average"),$E48*'SK '!I$20,AND($C48="Diesel bus",$D48="Nearly full"),$E48*'SK '!I$21,AND($C48="Hybrid-electric bus",$D48="Almost empty"),$E48*'SK '!I$11,AND($C48="Hybrid-electric bus",$D48="Average"),$E48*'SK '!I$12,AND($C48="Hybrid-electric bus",$D48="Nearly full"),$E48*'SK '!I$13,AND($C48="Alternative fuel bus",$D48="Almost empty"),$E48*'SK '!I$15,AND($C48="Alternative fuel bus",$D48="Average"),$E48*'SK '!I$16,AND($C48="Alternative fuel bus",$D48="Nearly full"),$E48*'SK '!I$17,AND($C48="Metro, tram, urban light train",$D48="Almost empty"),$E48*'SK '!D$35,AND($C48="Metro, tram, urban light train",$D48="Average"),$E48*'SK '!D$36,AND($C48="Metro, tram, urban light train",$D48="Nearly full"),$E48*'SK '!D$37,AND($C48="Electric passenger train",$D48="Almost empty"),$E48*'SK '!D$39,AND($C48="Electric passenger train",$D48="Average"),$E48*'SK '!D$40,AND($C48="Electric passenger train",$D48="Nearly full"),$E48*'SK '!D$41,AND($C48="Diesel passenger train",$D48="Almost empty"),$E48*'SK '!D$47,AND($C48="Diesel passenger train",$D48="Average"),$E48*'SK '!D$48,AND($C48="Diesel passenger train",$D48="Nearly full"),$E48*'SK '!D$49,AND($C48="Walking"),$E48*0,AND($C48="Bike"),$E48*0,AND($C48="Plane - domestic flight"),$E48*'SK '!$C72,AND($C48="Plane - international - intra EU"),$E48*'SK '!$C74,AND($C48="Plane - international (extra EU)"),$E48*'SK '!$C76)</f>
        <v>#N/A</v>
      </c>
      <c r="H48" s="196" t="s">
        <v>67</v>
      </c>
      <c r="I48" s="197"/>
      <c r="L48" s="249"/>
      <c r="M48" s="250"/>
      <c r="N48" s="251"/>
    </row>
    <row r="49" spans="1:14" x14ac:dyDescent="0.2">
      <c r="A49" s="222"/>
      <c r="B49" s="30"/>
      <c r="C49" s="15"/>
      <c r="D49" s="15"/>
      <c r="E49" s="125"/>
      <c r="F49" s="128" t="e" cm="1">
        <f t="array" ref="F49">_xlfn.IFS(AND($C49="Fuel car",$D49=1),$E49*'SK '!C$7,AND($C49="Fuel car",$D49=2),$E49*'SK '!C$8,AND($C49="Fuel car",$D49=3),$E49*'SK '!C$9,AND($C49="Fuel car",$D49=4),$E49*'SK '!C$10,AND($C49="Fuel car",$D49=5),$E49*'SK '!C$11,AND($C49="Motorcycle",$D49=1),$E49*'SK '!C$13,AND($C49="Motorcycle",$D49=2),$E49*'SK '!C$14,AND($C49="Electric car",$D49=1),$E49*'SK '!C$16,AND($C49="Electric car",$D49=2),$E49*'SK '!C$17,AND($C49="Electric car",$D49=3),$E49*'SK '!C$18,AND($C49="Electric car",$D49=4),$E49*'SK '!C$19,AND($C49="Electric car",$D49=5),$E49*'SK '!C$20,AND($C49="Hybrid car",$D49=1),$E49*'SK '!C$22,AND($C49="Hybrid car",$D49=2),$E49*'SK '!C$23,AND($C49="Hybrid car",$D49=3),$E49*'SK '!C$24,AND($C49="Hybrid car",$D49=4),$E49*'SK '!C$25,AND($C49="Hybrid car",$D49=5),$E49*'SK '!C$26,AND($C49="Electric motorcycle",$D49=1),$E49*'SK '!C$28,AND($C49="Electric motorcycle",$D49=2),$E49*'SK '!C$29,AND($C49="Electric bike",$D49=1),$E49*'SK '!C$31,AND($C49="Electric scooter",$D49=1),$E49*'SK '!C$33,AND($C49="Bus",$D49="Almost empty"),$E49*'SK '!H$23,AND($C49="Bus",$D49="Average"),$E49*'SK '!H$24,AND($C49="Bus",$D49="Nearly full"),$E49*'SK '!H$25,AND($C49="Electric bus",$D49="Almost empty"),$E49*'SK '!H$7,AND($C49="Electric bus",$D49="Average"),$E49*'SK '!H$8,AND($C49="Electric bus",$D49="Nearly full"),$E49*'SK '!H$9,AND($C49="Diesel bus",$D49="Almost empty"),$E49*'SK '!H$19,AND($C49="Diesel bus",$D49="Average"),$E49*'SK '!H$20,AND($C49="Diesel bus",$D49="Nearly full"),$E49*'SK '!H$21,AND($C49="Hybrid-electric bus",$D49="Almost empty"),$E49*'SK '!H$11,AND($C49="Hybrid-electric bus",$D49="Average"),$E49*'SK '!H$12,AND($C49="Hybrid-electric bus",$D49="Nearly full"),$E49*'SK '!H$13,AND($C49="Alternative fuel bus",$D49="Almost empty"),$E49*'SK '!H$15,AND($C49="Alternative fuel bus",$D49="Average"),$E49*'SK '!H$16,AND($C49="Alternative fuel bus",$D49="Nearly full"),$E49*'SK '!H$17,AND($C49="Metro, tram, urban light train",$D49="Almost empty"),$E49*'SK '!C$35,AND($C49="Metro, tram, urban light train",$D49="Average"),$E49*'SK '!C$36,AND($C49="Metro, tram, urban light train",$D49="Nearly full"),$E49*'SK '!C$37,AND($C49="Electric passenger train",$D49="Almost empty"),$E49*'SK '!C$39,AND($C49="Electric passenger train",$D49="Average"),$E49*'SK '!C$40,AND($C49="Electric passenger train",$D49="Nearly full"),$E49*'SK '!C$41,AND($C49="Diesel passenger train",$D49="Almost empty"),$E49*'SK '!C$47,AND($C49="Diesel passenger train",$D49="Average"),$E49*'SK '!C$48,AND($C49="Diesel passenger train",$D49="Nearly full"),$E49*'SK '!C$49,AND($C49="Walking"),$E49*0,AND($C49="Bike"),$E49*0,AND($C49="Plane - domestic flight"),$E49*'SK '!$C73,AND($C49="Plane - international - intra EU"),$E49*'SK '!$C75,AND($C49="Plane - international (extra EU)"),$E49*'SK '!$C77)</f>
        <v>#N/A</v>
      </c>
      <c r="G49" s="31" t="e" cm="1">
        <f t="array" ref="G49">_xlfn.IFS(AND($C49="Fuel car",$D49=1),$E49*'SK '!D$7,AND($C49="Fuel car",$D49=2),$E49*'SK '!D$8,AND($C49="Fuel car",$D49=3),$E49*'SK '!D$9,AND($C49="Fuel car",$D49=4),$E49*'SK '!D$10,AND($C49="Fuel car",$D49=5),$E49*'SK '!D$11,AND($C49="Motorcycle",$D49=1),$E49*'SK '!D$13,AND($C49="Motorcycle",$D49=2),$E49*'SK '!D$14,AND($C49="Electric car",$D49=1),$E49*'SK '!D$16,AND($C49="Electric car",$D49=2),$E49*'SK '!D$17,AND($C49="Electric car",$D49=3),$E49*'SK '!D$18,AND($C49="Electric car",$D49=4),$E49*'SK '!D$19,AND($C49="Electric car",$D49=5),$E49*'SK '!D$20,AND($C49="Hybrid car",$D49=1),$E49*'SK '!D$22,AND($C49="Hybrid car",$D49=2),$E49*'SK '!D$23,AND($C49="Hybrid car",$D49=3),$E49*'SK '!D$24,AND($C49="Hybrid car",$D49=4),$E49*'SK '!D$25,AND($C49="Hybrid car",$D49=5),$E49*'SK '!D$26,AND($C49="Electric motorcycle",$D49=1),$E49*'SK '!D$28,AND($C49="Electric motorcycle",$D49=2),$E49*'SK '!D$29,AND($C49="Electric bike",$D49=1),$E49*'SK '!D$31,AND($C49="Electric scooter",$D49=1),$E49*'SK '!D$33,AND($C49="Bus",$D49="Almost empty"),$E49*'SK '!I$23,AND($C49="Bus",$D49="Average"),$E49*'SK '!I$24,AND($C49="Bus",$D49="Nearly full"),$E49*'SK '!I$25,AND($C49="Electric bus",$D49="Almost empty"),$E49*'SK '!I$7,AND($C49="Electric bus",$D49="Average"),$E49*'SK '!I$8,AND($C49="Electric bus",$D49="Nearly full"),$E49*'SK '!I$9,AND($C49="Diesel bus",$D49="Almost empty"),$E49*'SK '!I$19,AND($C49="Diesel bus",$D49="Average"),$E49*'SK '!I$20,AND($C49="Diesel bus",$D49="Nearly full"),$E49*'SK '!I$21,AND($C49="Hybrid-electric bus",$D49="Almost empty"),$E49*'SK '!I$11,AND($C49="Hybrid-electric bus",$D49="Average"),$E49*'SK '!I$12,AND($C49="Hybrid-electric bus",$D49="Nearly full"),$E49*'SK '!I$13,AND($C49="Alternative fuel bus",$D49="Almost empty"),$E49*'SK '!I$15,AND($C49="Alternative fuel bus",$D49="Average"),$E49*'SK '!I$16,AND($C49="Alternative fuel bus",$D49="Nearly full"),$E49*'SK '!I$17,AND($C49="Metro, tram, urban light train",$D49="Almost empty"),$E49*'SK '!D$35,AND($C49="Metro, tram, urban light train",$D49="Average"),$E49*'SK '!D$36,AND($C49="Metro, tram, urban light train",$D49="Nearly full"),$E49*'SK '!D$37,AND($C49="Electric passenger train",$D49="Almost empty"),$E49*'SK '!D$39,AND($C49="Electric passenger train",$D49="Average"),$E49*'SK '!D$40,AND($C49="Electric passenger train",$D49="Nearly full"),$E49*'SK '!D$41,AND($C49="Diesel passenger train",$D49="Almost empty"),$E49*'SK '!D$47,AND($C49="Diesel passenger train",$D49="Average"),$E49*'SK '!D$48,AND($C49="Diesel passenger train",$D49="Nearly full"),$E49*'SK '!D$49,AND($C49="Walking"),$E49*0,AND($C49="Bike"),$E49*0,AND($C49="Plane - domestic flight"),$E49*'SK '!$C73,AND($C49="Plane - international - intra EU"),$E49*'SK '!$C75,AND($C49="Plane - international (extra EU)"),$E49*'SK '!$C77)</f>
        <v>#N/A</v>
      </c>
      <c r="H49" s="244" t="s">
        <v>74</v>
      </c>
      <c r="I49" s="141"/>
      <c r="L49" s="252"/>
      <c r="M49" s="253"/>
      <c r="N49" s="254"/>
    </row>
    <row r="50" spans="1:14" ht="16" thickBot="1" x14ac:dyDescent="0.25">
      <c r="A50" s="222"/>
      <c r="B50" s="51"/>
      <c r="C50" s="15"/>
      <c r="D50" s="15"/>
      <c r="E50" s="126"/>
      <c r="F50" s="128" t="e" cm="1">
        <f t="array" ref="F50">_xlfn.IFS(AND($C50="Fuel car",$D50=1),$E50*'SK '!C$7,AND($C50="Fuel car",$D50=2),$E50*'SK '!C$8,AND($C50="Fuel car",$D50=3),$E50*'SK '!C$9,AND($C50="Fuel car",$D50=4),$E50*'SK '!C$10,AND($C50="Fuel car",$D50=5),$E50*'SK '!C$11,AND($C50="Motorcycle",$D50=1),$E50*'SK '!C$13,AND($C50="Motorcycle",$D50=2),$E50*'SK '!C$14,AND($C50="Electric car",$D50=1),$E50*'SK '!C$16,AND($C50="Electric car",$D50=2),$E50*'SK '!C$17,AND($C50="Electric car",$D50=3),$E50*'SK '!C$18,AND($C50="Electric car",$D50=4),$E50*'SK '!C$19,AND($C50="Electric car",$D50=5),$E50*'SK '!C$20,AND($C50="Hybrid car",$D50=1),$E50*'SK '!C$22,AND($C50="Hybrid car",$D50=2),$E50*'SK '!C$23,AND($C50="Hybrid car",$D50=3),$E50*'SK '!C$24,AND($C50="Hybrid car",$D50=4),$E50*'SK '!C$25,AND($C50="Hybrid car",$D50=5),$E50*'SK '!C$26,AND($C50="Electric motorcycle",$D50=1),$E50*'SK '!C$28,AND($C50="Electric motorcycle",$D50=2),$E50*'SK '!C$29,AND($C50="Electric bike",$D50=1),$E50*'SK '!C$31,AND($C50="Electric scooter",$D50=1),$E50*'SK '!C$33,AND($C50="Bus",$D50="Almost empty"),$E50*'SK '!H$23,AND($C50="Bus",$D50="Average"),$E50*'SK '!H$24,AND($C50="Bus",$D50="Nearly full"),$E50*'SK '!H$25,AND($C50="Electric bus",$D50="Almost empty"),$E50*'SK '!H$7,AND($C50="Electric bus",$D50="Average"),$E50*'SK '!H$8,AND($C50="Electric bus",$D50="Nearly full"),$E50*'SK '!H$9,AND($C50="Diesel bus",$D50="Almost empty"),$E50*'SK '!H$19,AND($C50="Diesel bus",$D50="Average"),$E50*'SK '!H$20,AND($C50="Diesel bus",$D50="Nearly full"),$E50*'SK '!H$21,AND($C50="Hybrid-electric bus",$D50="Almost empty"),$E50*'SK '!H$11,AND($C50="Hybrid-electric bus",$D50="Average"),$E50*'SK '!H$12,AND($C50="Hybrid-electric bus",$D50="Nearly full"),$E50*'SK '!H$13,AND($C50="Alternative fuel bus",$D50="Almost empty"),$E50*'SK '!H$15,AND($C50="Alternative fuel bus",$D50="Average"),$E50*'SK '!H$16,AND($C50="Alternative fuel bus",$D50="Nearly full"),$E50*'SK '!H$17,AND($C50="Metro, tram, urban light train",$D50="Almost empty"),$E50*'SK '!C$35,AND($C50="Metro, tram, urban light train",$D50="Average"),$E50*'SK '!C$36,AND($C50="Metro, tram, urban light train",$D50="Nearly full"),$E50*'SK '!C$37,AND($C50="Electric passenger train",$D50="Almost empty"),$E50*'SK '!C$39,AND($C50="Electric passenger train",$D50="Average"),$E50*'SK '!C$40,AND($C50="Electric passenger train",$D50="Nearly full"),$E50*'SK '!C$41,AND($C50="Diesel passenger train",$D50="Almost empty"),$E50*'SK '!C$47,AND($C50="Diesel passenger train",$D50="Average"),$E50*'SK '!C$48,AND($C50="Diesel passenger train",$D50="Nearly full"),$E50*'SK '!C$49,AND($C50="Walking"),$E50*0,AND($C50="Bike"),$E50*0,AND($C50="Plane - domestic flight"),$E50*'SK '!$C74,AND($C50="Plane - international - intra EU"),$E50*'SK '!$C76,AND($C50="Plane - international (extra EU)"),$E50*'SK '!$C78)</f>
        <v>#N/A</v>
      </c>
      <c r="G50" s="31" t="e" cm="1">
        <f t="array" ref="G50">_xlfn.IFS(AND($C50="Fuel car",$D50=1),$E50*'SK '!D$7,AND($C50="Fuel car",$D50=2),$E50*'SK '!D$8,AND($C50="Fuel car",$D50=3),$E50*'SK '!D$9,AND($C50="Fuel car",$D50=4),$E50*'SK '!D$10,AND($C50="Fuel car",$D50=5),$E50*'SK '!D$11,AND($C50="Motorcycle",$D50=1),$E50*'SK '!D$13,AND($C50="Motorcycle",$D50=2),$E50*'SK '!D$14,AND($C50="Electric car",$D50=1),$E50*'SK '!D$16,AND($C50="Electric car",$D50=2),$E50*'SK '!D$17,AND($C50="Electric car",$D50=3),$E50*'SK '!D$18,AND($C50="Electric car",$D50=4),$E50*'SK '!D$19,AND($C50="Electric car",$D50=5),$E50*'SK '!D$20,AND($C50="Hybrid car",$D50=1),$E50*'SK '!D$22,AND($C50="Hybrid car",$D50=2),$E50*'SK '!D$23,AND($C50="Hybrid car",$D50=3),$E50*'SK '!D$24,AND($C50="Hybrid car",$D50=4),$E50*'SK '!D$25,AND($C50="Hybrid car",$D50=5),$E50*'SK '!D$26,AND($C50="Electric motorcycle",$D50=1),$E50*'SK '!D$28,AND($C50="Electric motorcycle",$D50=2),$E50*'SK '!D$29,AND($C50="Electric bike",$D50=1),$E50*'SK '!D$31,AND($C50="Electric scooter",$D50=1),$E50*'SK '!D$33,AND($C50="Bus",$D50="Almost empty"),$E50*'SK '!I$23,AND($C50="Bus",$D50="Average"),$E50*'SK '!I$24,AND($C50="Bus",$D50="Nearly full"),$E50*'SK '!I$25,AND($C50="Electric bus",$D50="Almost empty"),$E50*'SK '!I$7,AND($C50="Electric bus",$D50="Average"),$E50*'SK '!I$8,AND($C50="Electric bus",$D50="Nearly full"),$E50*'SK '!I$9,AND($C50="Diesel bus",$D50="Almost empty"),$E50*'SK '!I$19,AND($C50="Diesel bus",$D50="Average"),$E50*'SK '!I$20,AND($C50="Diesel bus",$D50="Nearly full"),$E50*'SK '!I$21,AND($C50="Hybrid-electric bus",$D50="Almost empty"),$E50*'SK '!I$11,AND($C50="Hybrid-electric bus",$D50="Average"),$E50*'SK '!I$12,AND($C50="Hybrid-electric bus",$D50="Nearly full"),$E50*'SK '!I$13,AND($C50="Alternative fuel bus",$D50="Almost empty"),$E50*'SK '!I$15,AND($C50="Alternative fuel bus",$D50="Average"),$E50*'SK '!I$16,AND($C50="Alternative fuel bus",$D50="Nearly full"),$E50*'SK '!I$17,AND($C50="Metro, tram, urban light train",$D50="Almost empty"),$E50*'SK '!D$35,AND($C50="Metro, tram, urban light train",$D50="Average"),$E50*'SK '!D$36,AND($C50="Metro, tram, urban light train",$D50="Nearly full"),$E50*'SK '!D$37,AND($C50="Electric passenger train",$D50="Almost empty"),$E50*'SK '!D$39,AND($C50="Electric passenger train",$D50="Average"),$E50*'SK '!D$40,AND($C50="Electric passenger train",$D50="Nearly full"),$E50*'SK '!D$41,AND($C50="Diesel passenger train",$D50="Almost empty"),$E50*'SK '!D$47,AND($C50="Diesel passenger train",$D50="Average"),$E50*'SK '!D$48,AND($C50="Diesel passenger train",$D50="Nearly full"),$E50*'SK '!D$49,AND($C50="Walking"),$E50*0,AND($C50="Bike"),$E50*0,AND($C50="Plane - domestic flight"),$E50*'SK '!$C74,AND($C50="Plane - international - intra EU"),$E50*'SK '!$C76,AND($C50="Plane - international (extra EU)"),$E50*'SK '!$C78)</f>
        <v>#N/A</v>
      </c>
      <c r="H50" s="245"/>
      <c r="I50" s="142"/>
      <c r="L50" s="252"/>
      <c r="M50" s="253"/>
      <c r="N50" s="254"/>
    </row>
    <row r="51" spans="1:14" ht="33" thickBot="1" x14ac:dyDescent="0.25">
      <c r="A51" s="222"/>
      <c r="B51" s="53"/>
      <c r="C51" s="32"/>
      <c r="D51" s="34"/>
      <c r="E51" s="113"/>
      <c r="F51" s="129" t="e" cm="1">
        <f t="array" ref="F51">_xlfn.IFS(AND($C51="Fuel car",$D51=1),$E51*'SK '!C$7,AND($C51="Fuel car",$D51=2),$E51*'SK '!C$8,AND($C51="Fuel car",$D51=3),$E51*'SK '!C$9,AND($C51="Fuel car",$D51=4),$E51*'SK '!C$10,AND($C51="Fuel car",$D51=5),$E51*'SK '!C$11,AND($C51="Motorcycle",$D51=1),$E51*'SK '!C$13,AND($C51="Motorcycle",$D51=2),$E51*'SK '!C$14,AND($C51="Electric car",$D51=1),$E51*'SK '!C$16,AND($C51="Electric car",$D51=2),$E51*'SK '!C$17,AND($C51="Electric car",$D51=3),$E51*'SK '!C$18,AND($C51="Electric car",$D51=4),$E51*'SK '!C$19,AND($C51="Electric car",$D51=5),$E51*'SK '!C$20,AND($C51="Hybrid car",$D51=1),$E51*'SK '!C$22,AND($C51="Hybrid car",$D51=2),$E51*'SK '!C$23,AND($C51="Hybrid car",$D51=3),$E51*'SK '!C$24,AND($C51="Hybrid car",$D51=4),$E51*'SK '!C$25,AND($C51="Hybrid car",$D51=5),$E51*'SK '!C$26,AND($C51="Electric motorcycle",$D51=1),$E51*'SK '!C$28,AND($C51="Electric motorcycle",$D51=2),$E51*'SK '!C$29,AND($C51="Electric bike",$D51=1),$E51*'SK '!C$31,AND($C51="Electric scooter",$D51=1),$E51*'SK '!C$33,AND($C51="Bus",$D51="Almost empty"),$E51*'SK '!H$23,AND($C51="Bus",$D51="Average"),$E51*'SK '!H$24,AND($C51="Bus",$D51="Nearly full"),$E51*'SK '!H$25,AND($C51="Electric bus",$D51="Almost empty"),$E51*'SK '!H$7,AND($C51="Electric bus",$D51="Average"),$E51*'SK '!H$8,AND($C51="Electric bus",$D51="Nearly full"),$E51*'SK '!H$9,AND($C51="Diesel bus",$D51="Almost empty"),$E51*'SK '!H$19,AND($C51="Diesel bus",$D51="Average"),$E51*'SK '!H$20,AND($C51="Diesel bus",$D51="Nearly full"),$E51*'SK '!H$21,AND($C51="Hybrid-electric bus",$D51="Almost empty"),$E51*'SK '!H$11,AND($C51="Hybrid-electric bus",$D51="Average"),$E51*'SK '!H$12,AND($C51="Hybrid-electric bus",$D51="Nearly full"),$E51*'SK '!H$13,AND($C51="Alternative fuel bus",$D51="Almost empty"),$E51*'SK '!H$15,AND($C51="Alternative fuel bus",$D51="Average"),$E51*'SK '!H$16,AND($C51="Alternative fuel bus",$D51="Nearly full"),$E51*'SK '!H$17,AND($C51="Metro, tram, urban light train",$D51="Almost empty"),$E51*'SK '!C$35,AND($C51="Metro, tram, urban light train",$D51="Average"),$E51*'SK '!C$36,AND($C51="Metro, tram, urban light train",$D51="Nearly full"),$E51*'SK '!C$37,AND($C51="Electric passenger train",$D51="Almost empty"),$E51*'SK '!C$39,AND($C51="Electric passenger train",$D51="Average"),$E51*'SK '!C$40,AND($C51="Electric passenger train",$D51="Nearly full"),$E51*'SK '!C$41,AND($C51="Diesel passenger train",$D51="Almost empty"),$E51*'SK '!C$47,AND($C51="Diesel passenger train",$D51="Average"),$E51*'SK '!C$48,AND($C51="Diesel passenger train",$D51="Nearly full"),$E51*'SK '!C$49,AND($C51="Walking"),$E51*0,AND($C51="Bike"),$E51*0,AND($C51="Plane - domestic flight"),$E51*'SK '!$C75,AND($C51="Plane - international - intra EU"),$E51*'SK '!$C77,AND($C51="Plane - international (extra EU)"),$E51*'SK '!$C79)</f>
        <v>#N/A</v>
      </c>
      <c r="G51" s="35" t="e" cm="1">
        <f t="array" ref="G51">_xlfn.IFS(AND($C51="Fuel car",$D51=1),$E51*'SK '!D$7,AND($C51="Fuel car",$D51=2),$E51*'SK '!D$8,AND($C51="Fuel car",$D51=3),$E51*'SK '!D$9,AND($C51="Fuel car",$D51=4),$E51*'SK '!D$10,AND($C51="Fuel car",$D51=5),$E51*'SK '!D$11,AND($C51="Motorcycle",$D51=1),$E51*'SK '!D$13,AND($C51="Motorcycle",$D51=2),$E51*'SK '!D$14,AND($C51="Electric car",$D51=1),$E51*'SK '!D$16,AND($C51="Electric car",$D51=2),$E51*'SK '!D$17,AND($C51="Electric car",$D51=3),$E51*'SK '!D$18,AND($C51="Electric car",$D51=4),$E51*'SK '!D$19,AND($C51="Electric car",$D51=5),$E51*'SK '!D$20,AND($C51="Hybrid car",$D51=1),$E51*'SK '!D$22,AND($C51="Hybrid car",$D51=2),$E51*'SK '!D$23,AND($C51="Hybrid car",$D51=3),$E51*'SK '!D$24,AND($C51="Hybrid car",$D51=4),$E51*'SK '!D$25,AND($C51="Hybrid car",$D51=5),$E51*'SK '!D$26,AND($C51="Electric motorcycle",$D51=1),$E51*'SK '!D$28,AND($C51="Electric motorcycle",$D51=2),$E51*'SK '!D$29,AND($C51="Electric bike",$D51=1),$E51*'SK '!D$31,AND($C51="Electric scooter",$D51=1),$E51*'SK '!D$33,AND($C51="Bus",$D51="Almost empty"),$E51*'SK '!I$23,AND($C51="Bus",$D51="Average"),$E51*'SK '!I$24,AND($C51="Bus",$D51="Nearly full"),$E51*'SK '!I$25,AND($C51="Electric bus",$D51="Almost empty"),$E51*'SK '!I$7,AND($C51="Electric bus",$D51="Average"),$E51*'SK '!I$8,AND($C51="Electric bus",$D51="Nearly full"),$E51*'SK '!I$9,AND($C51="Diesel bus",$D51="Almost empty"),$E51*'SK '!I$19,AND($C51="Diesel bus",$D51="Average"),$E51*'SK '!I$20,AND($C51="Diesel bus",$D51="Nearly full"),$E51*'SK '!I$21,AND($C51="Hybrid-electric bus",$D51="Almost empty"),$E51*'SK '!I$11,AND($C51="Hybrid-electric bus",$D51="Average"),$E51*'SK '!I$12,AND($C51="Hybrid-electric bus",$D51="Nearly full"),$E51*'SK '!I$13,AND($C51="Alternative fuel bus",$D51="Almost empty"),$E51*'SK '!I$15,AND($C51="Alternative fuel bus",$D51="Average"),$E51*'SK '!I$16,AND($C51="Alternative fuel bus",$D51="Nearly full"),$E51*'SK '!I$17,AND($C51="Metro, tram, urban light train",$D51="Almost empty"),$E51*'SK '!D$35,AND($C51="Metro, tram, urban light train",$D51="Average"),$E51*'SK '!D$36,AND($C51="Metro, tram, urban light train",$D51="Nearly full"),$E51*'SK '!D$37,AND($C51="Electric passenger train",$D51="Almost empty"),$E51*'SK '!D$39,AND($C51="Electric passenger train",$D51="Average"),$E51*'SK '!D$40,AND($C51="Electric passenger train",$D51="Nearly full"),$E51*'SK '!D$41,AND($C51="Diesel passenger train",$D51="Almost empty"),$E51*'SK '!D$47,AND($C51="Diesel passenger train",$D51="Average"),$E51*'SK '!D$48,AND($C51="Diesel passenger train",$D51="Nearly full"),$E51*'SK '!D$49,AND($C51="Walking"),$E51*0,AND($C51="Bike"),$E51*0,AND($C51="Plane - domestic flight"),$E51*'SK '!$C75,AND($C51="Plane - international - intra EU"),$E51*'SK '!$C77,AND($C51="Plane - international (extra EU)"),$E51*'SK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_xlfn.IFS(AND(D57&lt;='SK '!L4),"A+",AND(D57&lt;='SK '!M4,D57&gt;'SK '!L4),"A",AND(D57&lt;='SK '!N4,D57&gt;'SK '!M4),"B",AND(D57&lt;='SK '!O4,D57&gt;'SK '!N4),"C",AND(D57&lt;='SK '!P4,D57&gt;'SK '!O4),"D",AND(D57&lt;='SK '!Q4,D57&gt;'SK '!P4),"E",AND(D57&lt;='SK '!R4,D57&gt;'SK '!Q4),"F",AND(D57&gt;'SK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_xlfn.IFS(D58="#","#",AND(D58&lt;='SK '!L5),"A+",AND(D58&lt;='SK '!M5,D58&gt;'SK '!L5),"A",AND(D58&lt;='SK '!N5,D58&gt;'SK '!M5),"B",AND(D58&lt;='SK '!O5,D58&gt;'SK '!N5),"C",AND(D58&lt;='SK '!P5,D58&gt;'SK '!O5),"D",AND(D58&lt;='SK '!Q5,D58&gt;'SK '!P5),"E",AND(D58&lt;='SK '!R5,D58&gt;'SK '!Q5),"F",AND(D58&gt;'SK '!R5),"G")</f>
        <v>#</v>
      </c>
    </row>
    <row r="59" spans="1:14" ht="32" x14ac:dyDescent="0.2">
      <c r="A59" s="262"/>
      <c r="B59" s="264"/>
      <c r="C59" s="21" t="s">
        <v>88</v>
      </c>
      <c r="D59" s="47" t="e">
        <f>IF(ISNUMBER(D58), D57 + D58, D57)</f>
        <v>#DIV/0!</v>
      </c>
      <c r="E59" s="277"/>
      <c r="G59" s="264"/>
      <c r="H59" t="s">
        <v>88</v>
      </c>
      <c r="I59" s="56" t="e" cm="1">
        <f t="array" ref="I59">_xlfn.IFS(AND(D59&lt;='SK '!L6),"A+",AND(D59&lt;='SK '!M6,D59&gt;'SK '!L6),"A",AND(D59&lt;='SK '!N6,D59&gt;'SK '!M6),"B",AND(D59&lt;='SK '!O6,D59&gt;'SK '!N6),"C",AND(D59&lt;='SK '!P6,D59&gt;'SK '!O6),"D",AND(D59&lt;='SK '!Q6,D59&gt;'SK '!P6),"E",AND(D59&lt;='SK '!R6,D59&gt;'SK '!Q6),"F",AND(D59&gt;'SK '!R6),"G")</f>
        <v>#DIV/0!</v>
      </c>
    </row>
    <row r="60" spans="1:14" ht="16" x14ac:dyDescent="0.2">
      <c r="A60" s="262"/>
      <c r="B60" s="264"/>
      <c r="C60" s="21" t="s">
        <v>89</v>
      </c>
      <c r="D60" s="99">
        <f>I30</f>
        <v>0</v>
      </c>
      <c r="E60" s="277"/>
      <c r="G60" s="264"/>
      <c r="H60" t="s">
        <v>89</v>
      </c>
      <c r="I60" s="56" t="str" cm="1">
        <f t="array" ref="I60">_xlfn.IFS(AND(D60&lt;='SK '!L7),"A+",AND(D60&lt;='SK '!M7,D60&gt;'SK '!L7),"A",AND(D60&lt;='SK '!N7,D60&gt;'SK '!M7),"B",AND(D60&lt;='SK '!O7,D60&gt;'SK '!N7),"C",AND(D60&lt;='SK '!P7,D60&gt;'SK '!O7),"D",AND(D60&lt;='SK '!Q7,D60&gt;'SK '!P7),"E",AND(D60&lt;='SK '!R7,D60&gt;'SK '!Q7),"F",AND(D60&gt;'SK '!R7),"G")</f>
        <v>A+</v>
      </c>
    </row>
    <row r="61" spans="1:14" ht="16" thickBot="1" x14ac:dyDescent="0.25">
      <c r="A61" s="262"/>
      <c r="B61" s="265"/>
      <c r="C61" s="16" t="s">
        <v>57</v>
      </c>
      <c r="D61" s="58" t="e">
        <f>SUM(D59:D60)</f>
        <v>#DIV/0!</v>
      </c>
      <c r="E61" s="261"/>
      <c r="G61" s="265"/>
      <c r="H61" s="16" t="s">
        <v>57</v>
      </c>
      <c r="I61" s="1" t="e" cm="1">
        <f t="array" ref="I61">_xlfn.IFS(AND(D61&lt;='SK '!L8),"A+",AND(D61&lt;='SK '!M8,D61&gt;'SK '!L8),"A",AND(D61&lt;='SK '!N8,D61&gt;'SK '!M8),"B",AND(D61&lt;='SK '!O8,D61&gt;'SK '!N8),"C",AND(D61&lt;='SK '!P8,D61&gt;'SK '!O8),"D",AND(D61&lt;='SK '!Q8,D61&gt;'SK '!P8),"E",AND(D61&lt;='SK '!R8,D61&gt;'SK '!Q8),"F",AND(D61&gt;'SK '!R8),"G")</f>
        <v>#DIV/0!</v>
      </c>
    </row>
    <row r="62" spans="1:14" ht="32" x14ac:dyDescent="0.2">
      <c r="A62" s="262"/>
      <c r="B62" s="263" t="s">
        <v>90</v>
      </c>
      <c r="C62" s="57" t="s">
        <v>85</v>
      </c>
      <c r="D62" s="100" t="e">
        <f>I16</f>
        <v>#DIV/0!</v>
      </c>
      <c r="E62" s="266" t="s">
        <v>91</v>
      </c>
      <c r="G62" s="263" t="s">
        <v>90</v>
      </c>
      <c r="H62" s="46" t="s">
        <v>85</v>
      </c>
      <c r="I62" s="55" t="e" cm="1">
        <f t="array" ref="I62">_xlfn.IFS(AND(D62&lt;='SK '!L9),"A+",AND(D62&lt;='SK '!M9,D62&gt;'SK '!L9),"A",AND(D62&lt;='SK '!N9,D62&gt;'SK '!M9),"B",AND(D62&lt;='SK '!O9,D62&gt;'SK '!N9),"C",AND(D62&lt;='SK '!P9,D62&gt;'SK '!O9),"D",AND(D62&lt;='SK '!Q9,D62&gt;'SK '!P9),"E",AND(D62&lt;='SK '!R9,D62&gt;'SK '!Q9),"F",AND(D62&gt;'SK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_xlfn.IFS(D63="#","#",AND(D63&lt;='SK '!L10),"A+",AND(D63&lt;='SK '!M10,D63&gt;'SK '!L10),"A",AND(D63&lt;='SK '!N10,D63&gt;'SK '!M10),"B",AND(D63&lt;='SK '!O10,D63&gt;'SK '!N10),"C",AND(D63&lt;='SK '!P10,D63&gt;'SK '!O10),"D",AND(D63&lt;='SK '!Q10,D63&gt;'SK '!P10),"E",AND(D63&lt;='SK '!R10,D63&gt;'SK '!Q10),"F",AND(D63&gt;'SK '!R10),"G")</f>
        <v>#</v>
      </c>
    </row>
    <row r="64" spans="1:14" ht="32" x14ac:dyDescent="0.2">
      <c r="A64" s="262"/>
      <c r="B64" s="264"/>
      <c r="C64" s="21" t="s">
        <v>92</v>
      </c>
      <c r="D64" s="47" t="e">
        <f>IF(ISNUMBER(D63), D62 + D63, D62)</f>
        <v>#DIV/0!</v>
      </c>
      <c r="E64" s="202"/>
      <c r="G64" s="264"/>
      <c r="H64" t="s">
        <v>92</v>
      </c>
      <c r="I64" s="56" t="e" cm="1">
        <f t="array" ref="I64">_xlfn.IFS(AND(D64&lt;='SK '!L11),"A+",AND(D64&lt;='SK '!M11,D64&gt;'SK '!L11),"A",AND(D64&lt;='SK '!N11,D64&gt;'SK '!M11),"B",AND(D64&lt;='SK '!O11,D64&gt;'SK '!N11),"C",AND(D64&lt;='SK '!P11,D64&gt;'SK '!O11),"D",AND(D64&lt;='SK '!Q11,D64&gt;'SK '!P11),"E",AND(D64&lt;='SK '!R11,D64&gt;'SK '!Q11),"F",AND(D64&gt;'SK '!R11),"G")</f>
        <v>#DIV/0!</v>
      </c>
    </row>
    <row r="65" spans="1:9" x14ac:dyDescent="0.2">
      <c r="A65" s="262"/>
      <c r="B65" s="264"/>
      <c r="C65" t="s">
        <v>89</v>
      </c>
      <c r="D65" s="99">
        <f>I31</f>
        <v>0</v>
      </c>
      <c r="E65" s="202"/>
      <c r="G65" s="264"/>
      <c r="H65" t="s">
        <v>89</v>
      </c>
      <c r="I65" s="56" t="str" cm="1">
        <f t="array" ref="I65">_xlfn.IFS(AND(D65&lt;='SK '!L12),"A+",AND(D65&lt;='SK '!M12,D65&gt;'SK '!L12),"A",AND(D65&lt;='SK '!N12,D65&gt;'SK '!M12),"B",AND(D65&lt;='SK '!O12,D65&gt;'SK '!N12),"C",AND(D65&lt;='SK '!P12,D65&gt;'SK '!O12),"D",AND(D65&lt;='SK '!Q12,D65&gt;'SK '!P12),"E",AND(D65&lt;='SK '!R12,D65&gt;'SK '!Q12),"F",AND(D65&gt;'SK '!R12),"G")</f>
        <v>A+</v>
      </c>
    </row>
    <row r="66" spans="1:9" ht="16" thickBot="1" x14ac:dyDescent="0.25">
      <c r="A66" s="262"/>
      <c r="B66" s="265"/>
      <c r="C66" s="16" t="s">
        <v>57</v>
      </c>
      <c r="D66" s="16" t="e">
        <f>SUM(D64:D65)</f>
        <v>#DIV/0!</v>
      </c>
      <c r="E66" s="267"/>
      <c r="G66" s="265"/>
      <c r="H66" s="16" t="s">
        <v>57</v>
      </c>
      <c r="I66" s="1" t="e" cm="1">
        <f t="array" ref="I66">_xlfn.IFS(AND(D66&lt;='SK '!L13),"A+",AND(D66&lt;='SK '!M13,D66&gt;'SK '!L13),"A",AND(D66&lt;='SK '!N13,D66&gt;'SK '!M13),"B",AND(D66&lt;='SK '!O13,D66&gt;'SK '!N13),"C",AND(D66&lt;='SK '!P13,D66&gt;'SK '!O13),"D",AND(D66&lt;='SK '!Q13,D66&gt;'SK '!P13),"E",AND(D66&lt;='SK '!R13,D66&gt;'SK '!Q13),"F",AND(D66&gt;'SK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73" priority="7" operator="equal">
      <formula>"A+"</formula>
    </cfRule>
    <cfRule type="containsText" dxfId="172" priority="8" operator="containsText" text="A">
      <formula>NOT(ISERROR(SEARCH("A",I57)))</formula>
    </cfRule>
    <cfRule type="containsText" dxfId="171" priority="9" operator="containsText" text="B">
      <formula>NOT(ISERROR(SEARCH("B",I57)))</formula>
    </cfRule>
    <cfRule type="containsText" dxfId="170" priority="10" operator="containsText" text="C">
      <formula>NOT(ISERROR(SEARCH("C",I57)))</formula>
    </cfRule>
    <cfRule type="containsText" dxfId="169" priority="11" operator="containsText" text="D">
      <formula>NOT(ISERROR(SEARCH("D",I57)))</formula>
    </cfRule>
    <cfRule type="containsText" dxfId="168" priority="12" operator="containsText" text="E">
      <formula>NOT(ISERROR(SEARCH("E",I57)))</formula>
    </cfRule>
    <cfRule type="containsText" dxfId="167" priority="13" operator="containsText" text="F">
      <formula>NOT(ISERROR(SEARCH("F",I57)))</formula>
    </cfRule>
    <cfRule type="containsText" dxfId="166" priority="14" operator="containsText" text="G">
      <formula>NOT(ISERROR(SEARCH("G",I57)))</formula>
    </cfRule>
  </conditionalFormatting>
  <conditionalFormatting sqref="K5:K15">
    <cfRule type="expression" dxfId="49" priority="2" stopIfTrue="1">
      <formula>$O$19="No"</formula>
    </cfRule>
  </conditionalFormatting>
  <conditionalFormatting sqref="L5:L15">
    <cfRule type="expression" dxfId="48"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81AE49E8-C8D3-5E4C-B632-37F59AF19505}">
      <formula1>AND(Q19="Yes", ISNUMBER(L5))</formula1>
    </dataValidation>
    <dataValidation type="custom" operator="lessThan" allowBlank="1" showErrorMessage="1" errorTitle="Error" error="You can only enter values if you have selected HOME PV. The value must be a number." sqref="K5:K15" xr:uid="{52E50347-9F7A-C042-A311-AC582494017B}">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6D2CA79E-0767-4BC0-B280-5CAB7A1CB7CF}">
          <x14:formula1>
            <xm:f>DATA!$J$3:$J$10</xm:f>
          </x14:formula1>
          <xm:sqref>D29:D51</xm:sqref>
        </x14:dataValidation>
        <x14:dataValidation type="list" allowBlank="1" showInputMessage="1" showErrorMessage="1" xr:uid="{D89C1C9C-B8C3-4446-BAF7-E3623F48A785}">
          <x14:formula1>
            <xm:f>DATA!$B$15:$B$23</xm:f>
          </x14:formula1>
          <xm:sqref>J2</xm:sqref>
        </x14:dataValidation>
        <x14:dataValidation type="list" allowBlank="1" showInputMessage="1" showErrorMessage="1" xr:uid="{2A3F1B32-F2EE-45CB-933A-795EE9453C10}">
          <x14:formula1>
            <xm:f>DATA!$H$3:$H$23</xm:f>
          </x14:formula1>
          <xm:sqref>C29:C51</xm:sqref>
        </x14:dataValidation>
        <x14:dataValidation type="list" allowBlank="1" showInputMessage="1" showErrorMessage="1" xr:uid="{7F1D3498-0712-2349-9D84-CE2A6D178A4E}">
          <x14:formula1>
            <xm:f>DATA!$B$3:$B$13</xm:f>
          </x14:formula1>
          <xm:sqref>H2</xm:sqref>
        </x14:dataValidation>
        <x14:dataValidation type="list" allowBlank="1" showInputMessage="1" showErrorMessage="1" xr:uid="{1F756E81-8302-D74E-9ECD-40C49842CA04}">
          <x14:formula1>
            <xm:f>DATA!$L$4:$L$5</xm:f>
          </x14:formula1>
          <xm:sqref>O18:O19 Q19</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5FAD-EEE2-4518-99D6-1396AD3D0AB6}">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7" customWidth="1"/>
    <col min="5" max="5" width="19.1640625" customWidth="1"/>
    <col min="6" max="6" width="17.1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117</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IF($O$18="Yes",(E5/$F$2)*DATA!$C$9,(E5/$F$2)*DATA!F$28)+IF(ISBLANK(K5),0,K5/$F$2)*DATA!$C$9-IF(ISBLANK(L5),0,L5/$F$2)*DATA!F$28</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IF($O$18="Yes",(E6/$F$2)*DATA!$C$9,(E6/$F$2)*DATA!F$28)+IF(ISBLANK(K6),0,K6/$F$2)*DATA!$C$9-IF(ISBLANK(L6),0,L6/$F$2)*DATA!F$28</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IF($O$18="Yes",(E7/$F$2)*DATA!$C$9,(E7/$F$2)*DATA!F$28)+IF(ISBLANK(K7),0,K7/$F$2)*DATA!$C$9-IF(ISBLANK(L7),0,L7/$F$2)*DATA!F$28</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IF($O$18="Yes",(E8/$F$2)*DATA!$C$9,(E8/$F$2)*DATA!F$28)+IF(ISBLANK(K8),0,K8/$F$2)*DATA!$C$9-IF(ISBLANK(L8),0,L8/$F$2)*DATA!F$28</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IF($O$18="Yes",(E9/$F$2)*DATA!$C$9,(E9/$F$2)*DATA!F$28)+IF(ISBLANK(K9),0,K9/$F$2)*DATA!$C$9-IF(ISBLANK(L9),0,L9/$F$2)*DATA!F$28</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IF($O$18="Yes",(E10/$F$2)*DATA!$C$9,(E10/$F$2)*DATA!F$28)+IF(ISBLANK(K10),0,K10/$F$2)*DATA!$C$9-IF(ISBLANK(L10),0,L10/$F$2)*DATA!F$28</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IF($O$18="Yes",(E11/$F$2)*DATA!$C$9,(E11/$F$2)*DATA!F$28)+IF(ISBLANK(K11),0,K11/$F$2)*DATA!$C$9-IF(ISBLANK(L11),0,L11/$F$2)*DATA!F$28</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IF($O$18="Yes",(E12/$F$2)*DATA!$C$9,(E12/$F$2)*DATA!F$28)+IF(ISBLANK(K12),0,K12/$F$2)*DATA!$C$9-IF(ISBLANK(L12),0,L12/$F$2)*DATA!F$28</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IF($O$18="Yes",(E13/$F$2)*DATA!$C$9,(E13/$F$2)*DATA!F$28)+IF(ISBLANK(K13),0,K13/$F$2)*DATA!$C$9-IF(ISBLANK(L13),0,L13/$F$2)*DATA!F$28</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IF($O$18="Yes",(E14/$F$2)*DATA!$C$9,(E14/$F$2)*DATA!F$28)+IF(ISBLANK(K14),0,K14/$F$2)*DATA!$C$9-IF(ISBLANK(L14),0,L14/$F$2)*DATA!F$28</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IF($O$18="Yes",(E15/$F$2)*DATA!$C$9,(E15/$F$2)*DATA!F$28)+IF(ISBLANK(K15),0,K15/$F$2)*DATA!$C$9-IF(ISBLANK(L15),0,L15/$F$2)*DATA!F$28</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car",$D29=1),$E29*'SL '!C$7,AND($C29="Fuel car",$D29=2),$E29*'SL '!C$8,AND($C29="Fuel car",$D29=3),$E29*'SL '!C$9,AND($C29="Fuel car",$D29=4),$E29*'SL '!C$10,AND($C29="Fuel car",$D29=5),$E29*'SL '!C$11,AND($C29="Motorcycle",$D29=1),$E29*'SL '!C$13,AND($C29="Motorcycle",$D29=2),$E29*'SL '!C$14,AND($C29="Electric car",$D29=1),$E29*'SL '!C$16,AND($C29="Electric car",$D29=2),$E29*'SL '!C$17,AND($C29="Electric car",$D29=3),$E29*'SL '!C$18,AND($C29="Electric car",$D29=4),$E29*'SL '!C$19,AND($C29="Electric car",$D29=5),$E29*'SL '!C$20,AND($C29="Hybrid car",$D29=1),$E29*'SL '!C$22,AND($C29="Hybrid car",$D29=2),$E29*'SL '!C$23,AND($C29="Hybrid car",$D29=3),$E29*'SL '!C$24,AND($C29="Hybrid car",$D29=4),$E29*'SL '!C$25,AND($C29="Hybrid car",$D29=5),$E29*'SL '!C$26,AND($C29="Electric motorcycle",$D29=1),$E29*'SL '!C$28,AND($C29="Electric motorcycle",$D29=2),$E29*'SL '!C$29,AND($C29="Electric bike",$D29=1),$E29*'SL '!C$31,AND($C29="Electric scooter",$D29=1),$E29*'SL '!C$33,AND($C29="Bus",$D29="Almost empty"),$E29*'SL '!H$23,AND($C29="Bus",$D29="Average"),$E29*'SL '!H$24,AND($C29="Bus",$D29="Nearly full"),$E29*'SL '!H$25,AND($C29="Electric bus",$D29="Almost empty"),$E29*'SL '!H$7,AND($C29="Electric bus",$D29="Average"),$E29*'SL '!H$8,AND($C29="Electric bus",$D29="Nearly full"),$E29*'SL '!H$9,AND($C29="Diesel bus",$D29="Almost empty"),$E29*'SL '!H$19,AND($C29="Diesel bus",$D29="Average"),$E29*'SL '!H$20,AND($C29="Diesel bus",$D29="Nearly full"),$E29*'SL '!H$21,AND($C29="Hybrid-electric bus",$D29="Almost empty"),$E29*'SL '!H$11,AND($C29="Hybrid-electric bus",$D29="Average"),$E29*'SL '!H$12,AND($C29="Hybrid-electric bus",$D29="Nearly full"),$E29*'SL '!H$13,AND($C29="Alternative fuel bus",$D29="Almost empty"),$E29*'SL '!H$15,AND($C29="Alternative fuel bus",$D29="Average"),$E29*'SL '!H$16,AND($C29="Alternative fuel bus",$D29="Nearly full"),$E29*'SL '!H$17,AND($C29="Metro, tram, urban light train",$D29="Almost empty"),$E29*'SL '!C$35,AND($C29="Metro, tram, urban light train",$D29="Average"),$E29*'SL '!C$36,AND($C29="Metro, tram, urban light train",$D29="Nearly full"),$E29*'SL '!C$37,AND($C29="Electric passenger train",$D29="Almost empty"),$E29*'SL '!C$39,AND($C29="Electric passenger train",$D29="Average"),$E29*'SL '!C$40,AND($C29="Electric passenger train",$D29="Nearly full"),$E29*'SL '!C$41,AND($C29="Diesel passenger train",$D29="Almost empty"),$E29*'SL '!C$47,AND($C29="Diesel passenger train",$D29="Average"),$E29*'SL '!C$48,AND($C29="Diesel passenger train",$D29="Nearly full"),$E29*'SL '!C$49,AND($C29="Walking"),$E29*0,AND($C29="Bike"),$E29*0,AND($C29="Plane - domestic flight"),$E29*'SL '!$C53,AND($C29="Plane - international - intra EU"),$E29*'SL '!$C55,AND($C29="Plane - international (extra EU)"),$E29*'SL '!$C57)</f>
        <v>#N/A</v>
      </c>
      <c r="G29" s="104" t="e" cm="1">
        <f t="array" ref="G29">_xlfn.IFS(AND($C29="Fuel car",$D29=1),$E29*'SL '!D$7,AND($C29="Fuel car",$D29=2),$E29*'SL '!D$8,AND($C29="Fuel car",$D29=3),$E29*'SL '!D$9,AND($C29="Fuel car",$D29=4),$E29*'SL '!D$10,AND($C29="Fuel car",$D29=5),$E29*'SL '!D$11,AND($C29="Motorcycle",$D29=1),$E29*'SL '!D$13,AND($C29="Motorcycle",$D29=2),$E29*'SL '!D$14,AND($C29="Electric car",$D29=1),$E29*'SL '!D$16,AND($C29="Electric car",$D29=2),$E29*'SL '!D$17,AND($C29="Electric car",$D29=3),$E29*'SL '!D$18,AND($C29="Electric car",$D29=4),$E29*'SL '!D$19,AND($C29="Electric car",$D29=5),$E29*'SL '!D$20,AND($C29="Hybrid car",$D29=1),$E29*'SL '!D$22,AND($C29="Hybrid car",$D29=2),$E29*'SL '!D$23,AND($C29="Hybrid car",$D29=3),$E29*'SL '!D$24,AND($C29="Hybrid car",$D29=4),$E29*'SL '!D$25,AND($C29="Hybrid car",$D29=5),$E29*'SL '!D$26,AND($C29="Electric motorcycle",$D29=1),$E29*'SL '!D$28,AND($C29="Electric motorcycle",$D29=2),$E29*'SL '!D$29,AND($C29="Electric bike",$D29=1),$E29*'SL '!D$31,AND($C29="Electric scooter",$D29=1),$E29*'SL '!D$33,AND($C29="Bus",$D29="Almost empty"),$E29*'SL '!I$23,AND($C29="Bus",$D29="Average"),$E29*'SL '!I$24,AND($C29="Bus",$D29="Nearly full"),$E29*'SL '!I$25,AND($C29="Electric bus",$D29="Almost empty"),$E29*'SL '!I$7,AND($C29="Electric bus",$D29="Average"),$E29*'SL '!I$8,AND($C29="Electric bus",$D29="Nearly full"),$E29*'SL '!I$9,AND($C29="Diesel bus",$D29="Almost empty"),$E29*'SL '!I$19,AND($C29="Diesel bus",$D29="Average"),$E29*'SL '!I$20,AND($C29="Diesel bus",$D29="Nearly full"),$E29*'SL '!I$21,AND($C29="Hybrid-electric bus",$D29="Almost empty"),$E29*'SL '!I$11,AND($C29="Hybrid-electric bus",$D29="Average"),$E29*'SL '!I$12,AND($C29="Hybrid-electric bus",$D29="Nearly full"),$E29*'SL '!I$13,AND($C29="Alternative fuel bus",$D29="Almost empty"),$E29*'SL '!I$15,AND($C29="Alternative fuel bus",$D29="Average"),$E29*'SL '!I$16,AND($C29="Alternative fuel bus",$D29="Nearly full"),$E29*'SL '!I$17,AND($C29="Metro, tram, urban light train",$D29="Almost empty"),$E29*'SL '!D$35,AND($C29="Metro, tram, urban light train",$D29="Average"),$E29*'SL '!D$36,AND($C29="Metro, tram, urban light train",$D29="Nearly full"),$E29*'SL '!D$37,AND($C29="Electric passenger train",$D29="Almost empty"),$E29*'SL '!D$39,AND($C29="Electric passenger train",$D29="Average"),$E29*'SL '!D$40,AND($C29="Electric passenger train",$D29="Nearly full"),$E29*'SL '!D$41,AND($C29="Diesel passenger train",$D29="Almost empty"),$E29*'SL '!D$47,AND($C29="Diesel passenger train",$D29="Average"),$E29*'SL '!D$48,AND($C29="Diesel passenger train",$D29="Nearly full"),$E29*'SL '!D$49,AND($C29="Walking"),$E29*0,AND($C29="Bike"),$E29*0,AND($C29="Plane - domestic flight"),$E29*'SL '!$C53,AND($C29="Plane - international - intra EU"),$E29*'SL '!$C55,AND($C29="Plane - international (extra EU)"),$E29*'SL '!$C57)</f>
        <v>#N/A</v>
      </c>
      <c r="H29" s="151"/>
      <c r="I29" s="152">
        <f>H29/10*E29</f>
        <v>0</v>
      </c>
      <c r="J29" s="146" t="e" cm="1">
        <f t="array" ref="J29">_xlfn.IFS(C29="Fuel car",C29*DATA!$C$17,C29="Electric car",C29*DATA!$F$28,C29="Hybrid car",I29*(0.5*DATA!$C$17+0.5*DATA!$F$28))</f>
        <v>#N/A</v>
      </c>
      <c r="L29" s="218"/>
      <c r="M29" s="219"/>
      <c r="N29" s="220"/>
    </row>
    <row r="30" spans="1:17" ht="32" customHeight="1" x14ac:dyDescent="0.2">
      <c r="A30" s="222"/>
      <c r="B30" s="30"/>
      <c r="C30" s="15"/>
      <c r="D30" s="15"/>
      <c r="E30" s="125"/>
      <c r="F30" s="128" t="e" cm="1">
        <f t="array" ref="F30">_xlfn.IFS(AND($C30="Fuel car",$D30=1),$E30*'SL '!C$7,AND($C30="Fuel car",$D30=2),$E30*'SL '!C$8,AND($C30="Fuel car",$D30=3),$E30*'SL '!C$9,AND($C30="Fuel car",$D30=4),$E30*'SL '!C$10,AND($C30="Fuel car",$D30=5),$E30*'SL '!C$11,AND($C30="Motorcycle",$D30=1),$E30*'SL '!C$13,AND($C30="Motorcycle",$D30=2),$E30*'SL '!C$14,AND($C30="Electric car",$D30=1),$E30*'SL '!C$16,AND($C30="Electric car",$D30=2),$E30*'SL '!C$17,AND($C30="Electric car",$D30=3),$E30*'SL '!C$18,AND($C30="Electric car",$D30=4),$E30*'SL '!C$19,AND($C30="Electric car",$D30=5),$E30*'SL '!C$20,AND($C30="Hybrid car",$D30=1),$E30*'SL '!C$22,AND($C30="Hybrid car",$D30=2),$E30*'SL '!C$23,AND($C30="Hybrid car",$D30=3),$E30*'SL '!C$24,AND($C30="Hybrid car",$D30=4),$E30*'SL '!C$25,AND($C30="Hybrid car",$D30=5),$E30*'SL '!C$26,AND($C30="Electric motorcycle",$D30=1),$E30*'SL '!C$28,AND($C30="Electric motorcycle",$D30=2),$E30*'SL '!C$29,AND($C30="Electric bike",$D30=1),$E30*'SL '!C$31,AND($C30="Electric scooter",$D30=1),$E30*'SL '!C$33,AND($C30="Bus",$D30="Almost empty"),$E30*'SL '!H$23,AND($C30="Bus",$D30="Average"),$E30*'SL '!H$24,AND($C30="Bus",$D30="Nearly full"),$E30*'SL '!H$25,AND($C30="Electric bus",$D30="Almost empty"),$E30*'SL '!H$7,AND($C30="Electric bus",$D30="Average"),$E30*'SL '!H$8,AND($C30="Electric bus",$D30="Nearly full"),$E30*'SL '!H$9,AND($C30="Diesel bus",$D30="Almost empty"),$E30*'SL '!H$19,AND($C30="Diesel bus",$D30="Average"),$E30*'SL '!H$20,AND($C30="Diesel bus",$D30="Nearly full"),$E30*'SL '!H$21,AND($C30="Hybrid-electric bus",$D30="Almost empty"),$E30*'SL '!H$11,AND($C30="Hybrid-electric bus",$D30="Average"),$E30*'SL '!H$12,AND($C30="Hybrid-electric bus",$D30="Nearly full"),$E30*'SL '!H$13,AND($C30="Alternative fuel bus",$D30="Almost empty"),$E30*'SL '!H$15,AND($C30="Alternative fuel bus",$D30="Average"),$E30*'SL '!H$16,AND($C30="Alternative fuel bus",$D30="Nearly full"),$E30*'SL '!H$17,AND($C30="Metro, tram, urban light train",$D30="Almost empty"),$E30*'SL '!C$35,AND($C30="Metro, tram, urban light train",$D30="Average"),$E30*'SL '!C$36,AND($C30="Metro, tram, urban light train",$D30="Nearly full"),$E30*'SL '!C$37,AND($C30="Electric passenger train",$D30="Almost empty"),$E30*'SL '!C$39,AND($C30="Electric passenger train",$D30="Average"),$E30*'SL '!C$40,AND($C30="Electric passenger train",$D30="Nearly full"),$E30*'SL '!C$41,AND($C30="Diesel passenger train",$D30="Almost empty"),$E30*'SL '!C$47,AND($C30="Diesel passenger train",$D30="Average"),$E30*'SL '!C$48,AND($C30="Diesel passenger train",$D30="Nearly full"),$E30*'SL '!C$49,AND($C30="Walking"),$E30*0,AND($C30="Bike"),$E30*0,AND($C30="Plane - domestic flight"),$E30*'SL '!$C54,AND($C30="Plane - international - intra EU"),$E30*'SL '!$C56,AND($C30="Plane - international (extra EU)"),$E30*'SL '!$C58)</f>
        <v>#N/A</v>
      </c>
      <c r="G30" s="31" t="e" cm="1">
        <f t="array" ref="G30">_xlfn.IFS(AND($C30="Fuel car",$D30=1),$E30*'SL '!D$7,AND($C30="Fuel car",$D30=2),$E30*'SL '!D$8,AND($C30="Fuel car",$D30=3),$E30*'SL '!D$9,AND($C30="Fuel car",$D30=4),$E30*'SL '!D$10,AND($C30="Fuel car",$D30=5),$E30*'SL '!D$11,AND($C30="Motorcycle",$D30=1),$E30*'SL '!D$13,AND($C30="Motorcycle",$D30=2),$E30*'SL '!D$14,AND($C30="Electric car",$D30=1),$E30*'SL '!D$16,AND($C30="Electric car",$D30=2),$E30*'SL '!D$17,AND($C30="Electric car",$D30=3),$E30*'SL '!D$18,AND($C30="Electric car",$D30=4),$E30*'SL '!D$19,AND($C30="Electric car",$D30=5),$E30*'SL '!D$20,AND($C30="Hybrid car",$D30=1),$E30*'SL '!D$22,AND($C30="Hybrid car",$D30=2),$E30*'SL '!D$23,AND($C30="Hybrid car",$D30=3),$E30*'SL '!D$24,AND($C30="Hybrid car",$D30=4),$E30*'SL '!D$25,AND($C30="Hybrid car",$D30=5),$E30*'SL '!D$26,AND($C30="Electric motorcycle",$D30=1),$E30*'SL '!D$28,AND($C30="Electric motorcycle",$D30=2),$E30*'SL '!D$29,AND($C30="Electric bike",$D30=1),$E30*'SL '!D$31,AND($C30="Electric scooter",$D30=1),$E30*'SL '!D$33,AND($C30="Bus",$D30="Almost empty"),$E30*'SL '!I$23,AND($C30="Bus",$D30="Average"),$E30*'SL '!I$24,AND($C30="Bus",$D30="Nearly full"),$E30*'SL '!I$25,AND($C30="Electric bus",$D30="Almost empty"),$E30*'SL '!I$7,AND($C30="Electric bus",$D30="Average"),$E30*'SL '!I$8,AND($C30="Electric bus",$D30="Nearly full"),$E30*'SL '!I$9,AND($C30="Diesel bus",$D30="Almost empty"),$E30*'SL '!I$19,AND($C30="Diesel bus",$D30="Average"),$E30*'SL '!I$20,AND($C30="Diesel bus",$D30="Nearly full"),$E30*'SL '!I$21,AND($C30="Hybrid-electric bus",$D30="Almost empty"),$E30*'SL '!I$11,AND($C30="Hybrid-electric bus",$D30="Average"),$E30*'SL '!I$12,AND($C30="Hybrid-electric bus",$D30="Nearly full"),$E30*'SL '!I$13,AND($C30="Alternative fuel bus",$D30="Almost empty"),$E30*'SL '!I$15,AND($C30="Alternative fuel bus",$D30="Average"),$E30*'SL '!I$16,AND($C30="Alternative fuel bus",$D30="Nearly full"),$E30*'SL '!I$17,AND($C30="Metro, tram, urban light train",$D30="Almost empty"),$E30*'SL '!D$35,AND($C30="Metro, tram, urban light train",$D30="Average"),$E30*'SL '!D$36,AND($C30="Metro, tram, urban light train",$D30="Nearly full"),$E30*'SL '!D$37,AND($C30="Electric passenger train",$D30="Almost empty"),$E30*'SL '!D$39,AND($C30="Electric passenger train",$D30="Average"),$E30*'SL '!D$40,AND($C30="Electric passenger train",$D30="Nearly full"),$E30*'SL '!D$41,AND($C30="Diesel passenger train",$D30="Almost empty"),$E30*'SL '!D$47,AND($C30="Diesel passenger train",$D30="Average"),$E30*'SL '!D$48,AND($C30="Diesel passenger train",$D30="Nearly full"),$E30*'SL '!D$49,AND($C30="Walking"),$E30*0,AND($C30="Bike"),$E30*0,AND($C30="Plane - domestic flight"),$E30*'SL '!$C54,AND($C30="Plane - international - intra EU"),$E30*'SL '!$C56,AND($C30="Plane - international (extra EU)"),$E30*'SL '!$C58)</f>
        <v>#N/A</v>
      </c>
      <c r="H30" s="145"/>
      <c r="I30" s="148">
        <f t="shared" ref="I30:I43" si="6">H30/10*E30</f>
        <v>0</v>
      </c>
      <c r="J30" s="146" t="e" cm="1">
        <f t="array" ref="J30">_xlfn.IFS(C30="Fuel car",C30*DATA!$C$17,C30="Electric car",C30*DATA!$F$28,C30="Hybrid car",I30*(0.5*DATA!$C$17+0.5*DATA!$F$28))</f>
        <v>#N/A</v>
      </c>
      <c r="L30" s="215" t="s">
        <v>76</v>
      </c>
      <c r="M30" s="216"/>
      <c r="N30" s="217"/>
    </row>
    <row r="31" spans="1:17" x14ac:dyDescent="0.2">
      <c r="A31" s="222"/>
      <c r="B31" s="30"/>
      <c r="C31" s="15"/>
      <c r="D31" s="15"/>
      <c r="E31" s="125"/>
      <c r="F31" s="128" t="e" cm="1">
        <f t="array" ref="F31">_xlfn.IFS(AND($C31="Fuel car",$D31=1),$E31*'SL '!C$7,AND($C31="Fuel car",$D31=2),$E31*'SL '!C$8,AND($C31="Fuel car",$D31=3),$E31*'SL '!C$9,AND($C31="Fuel car",$D31=4),$E31*'SL '!C$10,AND($C31="Fuel car",$D31=5),$E31*'SL '!C$11,AND($C31="Motorcycle",$D31=1),$E31*'SL '!C$13,AND($C31="Motorcycle",$D31=2),$E31*'SL '!C$14,AND($C31="Electric car",$D31=1),$E31*'SL '!C$16,AND($C31="Electric car",$D31=2),$E31*'SL '!C$17,AND($C31="Electric car",$D31=3),$E31*'SL '!C$18,AND($C31="Electric car",$D31=4),$E31*'SL '!C$19,AND($C31="Electric car",$D31=5),$E31*'SL '!C$20,AND($C31="Hybrid car",$D31=1),$E31*'SL '!C$22,AND($C31="Hybrid car",$D31=2),$E31*'SL '!C$23,AND($C31="Hybrid car",$D31=3),$E31*'SL '!C$24,AND($C31="Hybrid car",$D31=4),$E31*'SL '!C$25,AND($C31="Hybrid car",$D31=5),$E31*'SL '!C$26,AND($C31="Electric motorcycle",$D31=1),$E31*'SL '!C$28,AND($C31="Electric motorcycle",$D31=2),$E31*'SL '!C$29,AND($C31="Electric bike",$D31=1),$E31*'SL '!C$31,AND($C31="Electric scooter",$D31=1),$E31*'SL '!C$33,AND($C31="Bus",$D31="Almost empty"),$E31*'SL '!H$23,AND($C31="Bus",$D31="Average"),$E31*'SL '!H$24,AND($C31="Bus",$D31="Nearly full"),$E31*'SL '!H$25,AND($C31="Electric bus",$D31="Almost empty"),$E31*'SL '!H$7,AND($C31="Electric bus",$D31="Average"),$E31*'SL '!H$8,AND($C31="Electric bus",$D31="Nearly full"),$E31*'SL '!H$9,AND($C31="Diesel bus",$D31="Almost empty"),$E31*'SL '!H$19,AND($C31="Diesel bus",$D31="Average"),$E31*'SL '!H$20,AND($C31="Diesel bus",$D31="Nearly full"),$E31*'SL '!H$21,AND($C31="Hybrid-electric bus",$D31="Almost empty"),$E31*'SL '!H$11,AND($C31="Hybrid-electric bus",$D31="Average"),$E31*'SL '!H$12,AND($C31="Hybrid-electric bus",$D31="Nearly full"),$E31*'SL '!H$13,AND($C31="Alternative fuel bus",$D31="Almost empty"),$E31*'SL '!H$15,AND($C31="Alternative fuel bus",$D31="Average"),$E31*'SL '!H$16,AND($C31="Alternative fuel bus",$D31="Nearly full"),$E31*'SL '!H$17,AND($C31="Metro, tram, urban light train",$D31="Almost empty"),$E31*'SL '!C$35,AND($C31="Metro, tram, urban light train",$D31="Average"),$E31*'SL '!C$36,AND($C31="Metro, tram, urban light train",$D31="Nearly full"),$E31*'SL '!C$37,AND($C31="Electric passenger train",$D31="Almost empty"),$E31*'SL '!C$39,AND($C31="Electric passenger train",$D31="Average"),$E31*'SL '!C$40,AND($C31="Electric passenger train",$D31="Nearly full"),$E31*'SL '!C$41,AND($C31="Diesel passenger train",$D31="Almost empty"),$E31*'SL '!C$47,AND($C31="Diesel passenger train",$D31="Average"),$E31*'SL '!C$48,AND($C31="Diesel passenger train",$D31="Nearly full"),$E31*'SL '!C$49,AND($C31="Walking"),$E31*0,AND($C31="Bike"),$E31*0,AND($C31="Plane - domestic flight"),$E31*'SL '!$C55,AND($C31="Plane - international - intra EU"),$E31*'SL '!$C57,AND($C31="Plane - international (extra EU)"),$E31*'SL '!$C59)</f>
        <v>#N/A</v>
      </c>
      <c r="G31" s="31" t="e" cm="1">
        <f t="array" ref="G31">_xlfn.IFS(AND($C31="Fuel car",$D31=1),$E31*'SL '!D$7,AND($C31="Fuel car",$D31=2),$E31*'SL '!D$8,AND($C31="Fuel car",$D31=3),$E31*'SL '!D$9,AND($C31="Fuel car",$D31=4),$E31*'SL '!D$10,AND($C31="Fuel car",$D31=5),$E31*'SL '!D$11,AND($C31="Motorcycle",$D31=1),$E31*'SL '!D$13,AND($C31="Motorcycle",$D31=2),$E31*'SL '!D$14,AND($C31="Electric car",$D31=1),$E31*'SL '!D$16,AND($C31="Electric car",$D31=2),$E31*'SL '!D$17,AND($C31="Electric car",$D31=3),$E31*'SL '!D$18,AND($C31="Electric car",$D31=4),$E31*'SL '!D$19,AND($C31="Electric car",$D31=5),$E31*'SL '!D$20,AND($C31="Hybrid car",$D31=1),$E31*'SL '!D$22,AND($C31="Hybrid car",$D31=2),$E31*'SL '!D$23,AND($C31="Hybrid car",$D31=3),$E31*'SL '!D$24,AND($C31="Hybrid car",$D31=4),$E31*'SL '!D$25,AND($C31="Hybrid car",$D31=5),$E31*'SL '!D$26,AND($C31="Electric motorcycle",$D31=1),$E31*'SL '!D$28,AND($C31="Electric motorcycle",$D31=2),$E31*'SL '!D$29,AND($C31="Electric bike",$D31=1),$E31*'SL '!D$31,AND($C31="Electric scooter",$D31=1),$E31*'SL '!D$33,AND($C31="Bus",$D31="Almost empty"),$E31*'SL '!I$23,AND($C31="Bus",$D31="Average"),$E31*'SL '!I$24,AND($C31="Bus",$D31="Nearly full"),$E31*'SL '!I$25,AND($C31="Electric bus",$D31="Almost empty"),$E31*'SL '!I$7,AND($C31="Electric bus",$D31="Average"),$E31*'SL '!I$8,AND($C31="Electric bus",$D31="Nearly full"),$E31*'SL '!I$9,AND($C31="Diesel bus",$D31="Almost empty"),$E31*'SL '!I$19,AND($C31="Diesel bus",$D31="Average"),$E31*'SL '!I$20,AND($C31="Diesel bus",$D31="Nearly full"),$E31*'SL '!I$21,AND($C31="Hybrid-electric bus",$D31="Almost empty"),$E31*'SL '!I$11,AND($C31="Hybrid-electric bus",$D31="Average"),$E31*'SL '!I$12,AND($C31="Hybrid-electric bus",$D31="Nearly full"),$E31*'SL '!I$13,AND($C31="Alternative fuel bus",$D31="Almost empty"),$E31*'SL '!I$15,AND($C31="Alternative fuel bus",$D31="Average"),$E31*'SL '!I$16,AND($C31="Alternative fuel bus",$D31="Nearly full"),$E31*'SL '!I$17,AND($C31="Metro, tram, urban light train",$D31="Almost empty"),$E31*'SL '!D$35,AND($C31="Metro, tram, urban light train",$D31="Average"),$E31*'SL '!D$36,AND($C31="Metro, tram, urban light train",$D31="Nearly full"),$E31*'SL '!D$37,AND($C31="Electric passenger train",$D31="Almost empty"),$E31*'SL '!D$39,AND($C31="Electric passenger train",$D31="Average"),$E31*'SL '!D$40,AND($C31="Electric passenger train",$D31="Nearly full"),$E31*'SL '!D$41,AND($C31="Diesel passenger train",$D31="Almost empty"),$E31*'SL '!D$47,AND($C31="Diesel passenger train",$D31="Average"),$E31*'SL '!D$48,AND($C31="Diesel passenger train",$D31="Nearly full"),$E31*'SL '!D$49,AND($C31="Walking"),$E31*0,AND($C31="Bike"),$E31*0,AND($C31="Plane - domestic flight"),$E31*'SL '!$C55,AND($C31="Plane - international - intra EU"),$E31*'SL '!$C57,AND($C31="Plane - international (extra EU)"),$E31*'SL '!$C59)</f>
        <v>#N/A</v>
      </c>
      <c r="H31" s="145"/>
      <c r="I31" s="148">
        <f t="shared" si="6"/>
        <v>0</v>
      </c>
      <c r="J31" s="146" t="e" cm="1">
        <f t="array" ref="J31">_xlfn.IFS(C31="Fuel car",C31*DATA!$C$17,C31="Electric car",C31*DATA!$F$28,C31="Hybrid car",I31*(0.5*DATA!$C$17+0.5*DATA!$F$28))</f>
        <v>#N/A</v>
      </c>
      <c r="L31" s="223"/>
      <c r="M31" s="224"/>
      <c r="N31" s="225"/>
    </row>
    <row r="32" spans="1:17" ht="16" thickBot="1" x14ac:dyDescent="0.25">
      <c r="A32" s="222"/>
      <c r="B32" s="30"/>
      <c r="C32" s="15"/>
      <c r="D32" s="15"/>
      <c r="E32" s="125"/>
      <c r="F32" s="128" t="e" cm="1">
        <f t="array" ref="F32">_xlfn.IFS(AND($C32="Fuel car",$D32=1),$E32*'SL '!C$7,AND($C32="Fuel car",$D32=2),$E32*'SL '!C$8,AND($C32="Fuel car",$D32=3),$E32*'SL '!C$9,AND($C32="Fuel car",$D32=4),$E32*'SL '!C$10,AND($C32="Fuel car",$D32=5),$E32*'SL '!C$11,AND($C32="Motorcycle",$D32=1),$E32*'SL '!C$13,AND($C32="Motorcycle",$D32=2),$E32*'SL '!C$14,AND($C32="Electric car",$D32=1),$E32*'SL '!C$16,AND($C32="Electric car",$D32=2),$E32*'SL '!C$17,AND($C32="Electric car",$D32=3),$E32*'SL '!C$18,AND($C32="Electric car",$D32=4),$E32*'SL '!C$19,AND($C32="Electric car",$D32=5),$E32*'SL '!C$20,AND($C32="Hybrid car",$D32=1),$E32*'SL '!C$22,AND($C32="Hybrid car",$D32=2),$E32*'SL '!C$23,AND($C32="Hybrid car",$D32=3),$E32*'SL '!C$24,AND($C32="Hybrid car",$D32=4),$E32*'SL '!C$25,AND($C32="Hybrid car",$D32=5),$E32*'SL '!C$26,AND($C32="Electric motorcycle",$D32=1),$E32*'SL '!C$28,AND($C32="Electric motorcycle",$D32=2),$E32*'SL '!C$29,AND($C32="Electric bike",$D32=1),$E32*'SL '!C$31,AND($C32="Electric scooter",$D32=1),$E32*'SL '!C$33,AND($C32="Bus",$D32="Almost empty"),$E32*'SL '!H$23,AND($C32="Bus",$D32="Average"),$E32*'SL '!H$24,AND($C32="Bus",$D32="Nearly full"),$E32*'SL '!H$25,AND($C32="Electric bus",$D32="Almost empty"),$E32*'SL '!H$7,AND($C32="Electric bus",$D32="Average"),$E32*'SL '!H$8,AND($C32="Electric bus",$D32="Nearly full"),$E32*'SL '!H$9,AND($C32="Diesel bus",$D32="Almost empty"),$E32*'SL '!H$19,AND($C32="Diesel bus",$D32="Average"),$E32*'SL '!H$20,AND($C32="Diesel bus",$D32="Nearly full"),$E32*'SL '!H$21,AND($C32="Hybrid-electric bus",$D32="Almost empty"),$E32*'SL '!H$11,AND($C32="Hybrid-electric bus",$D32="Average"),$E32*'SL '!H$12,AND($C32="Hybrid-electric bus",$D32="Nearly full"),$E32*'SL '!H$13,AND($C32="Alternative fuel bus",$D32="Almost empty"),$E32*'SL '!H$15,AND($C32="Alternative fuel bus",$D32="Average"),$E32*'SL '!H$16,AND($C32="Alternative fuel bus",$D32="Nearly full"),$E32*'SL '!H$17,AND($C32="Metro, tram, urban light train",$D32="Almost empty"),$E32*'SL '!C$35,AND($C32="Metro, tram, urban light train",$D32="Average"),$E32*'SL '!C$36,AND($C32="Metro, tram, urban light train",$D32="Nearly full"),$E32*'SL '!C$37,AND($C32="Electric passenger train",$D32="Almost empty"),$E32*'SL '!C$39,AND($C32="Electric passenger train",$D32="Average"),$E32*'SL '!C$40,AND($C32="Electric passenger train",$D32="Nearly full"),$E32*'SL '!C$41,AND($C32="Diesel passenger train",$D32="Almost empty"),$E32*'SL '!C$47,AND($C32="Diesel passenger train",$D32="Average"),$E32*'SL '!C$48,AND($C32="Diesel passenger train",$D32="Nearly full"),$E32*'SL '!C$49,AND($C32="Walking"),$E32*0,AND($C32="Bike"),$E32*0,AND($C32="Plane - domestic flight"),$E32*'SL '!$C56,AND($C32="Plane - international - intra EU"),$E32*'SL '!$C58,AND($C32="Plane - international (extra EU)"),$E32*'SL '!$C60)</f>
        <v>#N/A</v>
      </c>
      <c r="G32" s="31" t="e" cm="1">
        <f t="array" ref="G32">_xlfn.IFS(AND($C32="Fuel car",$D32=1),$E32*'SL '!D$7,AND($C32="Fuel car",$D32=2),$E32*'SL '!D$8,AND($C32="Fuel car",$D32=3),$E32*'SL '!D$9,AND($C32="Fuel car",$D32=4),$E32*'SL '!D$10,AND($C32="Fuel car",$D32=5),$E32*'SL '!D$11,AND($C32="Motorcycle",$D32=1),$E32*'SL '!D$13,AND($C32="Motorcycle",$D32=2),$E32*'SL '!D$14,AND($C32="Electric car",$D32=1),$E32*'SL '!D$16,AND($C32="Electric car",$D32=2),$E32*'SL '!D$17,AND($C32="Electric car",$D32=3),$E32*'SL '!D$18,AND($C32="Electric car",$D32=4),$E32*'SL '!D$19,AND($C32="Electric car",$D32=5),$E32*'SL '!D$20,AND($C32="Hybrid car",$D32=1),$E32*'SL '!D$22,AND($C32="Hybrid car",$D32=2),$E32*'SL '!D$23,AND($C32="Hybrid car",$D32=3),$E32*'SL '!D$24,AND($C32="Hybrid car",$D32=4),$E32*'SL '!D$25,AND($C32="Hybrid car",$D32=5),$E32*'SL '!D$26,AND($C32="Electric motorcycle",$D32=1),$E32*'SL '!D$28,AND($C32="Electric motorcycle",$D32=2),$E32*'SL '!D$29,AND($C32="Electric bike",$D32=1),$E32*'SL '!D$31,AND($C32="Electric scooter",$D32=1),$E32*'SL '!D$33,AND($C32="Bus",$D32="Almost empty"),$E32*'SL '!I$23,AND($C32="Bus",$D32="Average"),$E32*'SL '!I$24,AND($C32="Bus",$D32="Nearly full"),$E32*'SL '!I$25,AND($C32="Electric bus",$D32="Almost empty"),$E32*'SL '!I$7,AND($C32="Electric bus",$D32="Average"),$E32*'SL '!I$8,AND($C32="Electric bus",$D32="Nearly full"),$E32*'SL '!I$9,AND($C32="Diesel bus",$D32="Almost empty"),$E32*'SL '!I$19,AND($C32="Diesel bus",$D32="Average"),$E32*'SL '!I$20,AND($C32="Diesel bus",$D32="Nearly full"),$E32*'SL '!I$21,AND($C32="Hybrid-electric bus",$D32="Almost empty"),$E32*'SL '!I$11,AND($C32="Hybrid-electric bus",$D32="Average"),$E32*'SL '!I$12,AND($C32="Hybrid-electric bus",$D32="Nearly full"),$E32*'SL '!I$13,AND($C32="Alternative fuel bus",$D32="Almost empty"),$E32*'SL '!I$15,AND($C32="Alternative fuel bus",$D32="Average"),$E32*'SL '!I$16,AND($C32="Alternative fuel bus",$D32="Nearly full"),$E32*'SL '!I$17,AND($C32="Metro, tram, urban light train",$D32="Almost empty"),$E32*'SL '!D$35,AND($C32="Metro, tram, urban light train",$D32="Average"),$E32*'SL '!D$36,AND($C32="Metro, tram, urban light train",$D32="Nearly full"),$E32*'SL '!D$37,AND($C32="Electric passenger train",$D32="Almost empty"),$E32*'SL '!D$39,AND($C32="Electric passenger train",$D32="Average"),$E32*'SL '!D$40,AND($C32="Electric passenger train",$D32="Nearly full"),$E32*'SL '!D$41,AND($C32="Diesel passenger train",$D32="Almost empty"),$E32*'SL '!D$47,AND($C32="Diesel passenger train",$D32="Average"),$E32*'SL '!D$48,AND($C32="Diesel passenger train",$D32="Nearly full"),$E32*'SL '!D$49,AND($C32="Walking"),$E32*0,AND($C32="Bike"),$E32*0,AND($C32="Plane - domestic flight"),$E32*'SL '!$C56,AND($C32="Plane - international - intra EU"),$E32*'SL '!$C58,AND($C32="Plane - international (extra EU)"),$E32*'SL '!$C60)</f>
        <v>#N/A</v>
      </c>
      <c r="H32" s="145"/>
      <c r="I32" s="148">
        <f t="shared" si="6"/>
        <v>0</v>
      </c>
      <c r="J32" s="146" t="e" cm="1">
        <f t="array" ref="J32">_xlfn.IFS(C32="Fuel car",C32*DATA!$C$17,C32="Electric car",C32*DATA!$F$28,C32="Hybrid car",I32*(0.5*DATA!$C$17+0.5*DATA!$F$28))</f>
        <v>#N/A</v>
      </c>
      <c r="L32" s="218"/>
      <c r="M32" s="219"/>
      <c r="N32" s="220"/>
    </row>
    <row r="33" spans="1:14" ht="14.5" customHeight="1" x14ac:dyDescent="0.2">
      <c r="A33" s="222"/>
      <c r="B33" s="30"/>
      <c r="C33" s="15"/>
      <c r="D33" s="15"/>
      <c r="E33" s="125"/>
      <c r="F33" s="128" t="e" cm="1">
        <f t="array" ref="F33">_xlfn.IFS(AND($C33="Fuel car",$D33=1),$E33*'SL '!C$7,AND($C33="Fuel car",$D33=2),$E33*'SL '!C$8,AND($C33="Fuel car",$D33=3),$E33*'SL '!C$9,AND($C33="Fuel car",$D33=4),$E33*'SL '!C$10,AND($C33="Fuel car",$D33=5),$E33*'SL '!C$11,AND($C33="Motorcycle",$D33=1),$E33*'SL '!C$13,AND($C33="Motorcycle",$D33=2),$E33*'SL '!C$14,AND($C33="Electric car",$D33=1),$E33*'SL '!C$16,AND($C33="Electric car",$D33=2),$E33*'SL '!C$17,AND($C33="Electric car",$D33=3),$E33*'SL '!C$18,AND($C33="Electric car",$D33=4),$E33*'SL '!C$19,AND($C33="Electric car",$D33=5),$E33*'SL '!C$20,AND($C33="Hybrid car",$D33=1),$E33*'SL '!C$22,AND($C33="Hybrid car",$D33=2),$E33*'SL '!C$23,AND($C33="Hybrid car",$D33=3),$E33*'SL '!C$24,AND($C33="Hybrid car",$D33=4),$E33*'SL '!C$25,AND($C33="Hybrid car",$D33=5),$E33*'SL '!C$26,AND($C33="Electric motorcycle",$D33=1),$E33*'SL '!C$28,AND($C33="Electric motorcycle",$D33=2),$E33*'SL '!C$29,AND($C33="Electric bike",$D33=1),$E33*'SL '!C$31,AND($C33="Electric scooter",$D33=1),$E33*'SL '!C$33,AND($C33="Bus",$D33="Almost empty"),$E33*'SL '!H$23,AND($C33="Bus",$D33="Average"),$E33*'SL '!H$24,AND($C33="Bus",$D33="Nearly full"),$E33*'SL '!H$25,AND($C33="Electric bus",$D33="Almost empty"),$E33*'SL '!H$7,AND($C33="Electric bus",$D33="Average"),$E33*'SL '!H$8,AND($C33="Electric bus",$D33="Nearly full"),$E33*'SL '!H$9,AND($C33="Diesel bus",$D33="Almost empty"),$E33*'SL '!H$19,AND($C33="Diesel bus",$D33="Average"),$E33*'SL '!H$20,AND($C33="Diesel bus",$D33="Nearly full"),$E33*'SL '!H$21,AND($C33="Hybrid-electric bus",$D33="Almost empty"),$E33*'SL '!H$11,AND($C33="Hybrid-electric bus",$D33="Average"),$E33*'SL '!H$12,AND($C33="Hybrid-electric bus",$D33="Nearly full"),$E33*'SL '!H$13,AND($C33="Alternative fuel bus",$D33="Almost empty"),$E33*'SL '!H$15,AND($C33="Alternative fuel bus",$D33="Average"),$E33*'SL '!H$16,AND($C33="Alternative fuel bus",$D33="Nearly full"),$E33*'SL '!H$17,AND($C33="Metro, tram, urban light train",$D33="Almost empty"),$E33*'SL '!C$35,AND($C33="Metro, tram, urban light train",$D33="Average"),$E33*'SL '!C$36,AND($C33="Metro, tram, urban light train",$D33="Nearly full"),$E33*'SL '!C$37,AND($C33="Electric passenger train",$D33="Almost empty"),$E33*'SL '!C$39,AND($C33="Electric passenger train",$D33="Average"),$E33*'SL '!C$40,AND($C33="Electric passenger train",$D33="Nearly full"),$E33*'SL '!C$41,AND($C33="Diesel passenger train",$D33="Almost empty"),$E33*'SL '!C$47,AND($C33="Diesel passenger train",$D33="Average"),$E33*'SL '!C$48,AND($C33="Diesel passenger train",$D33="Nearly full"),$E33*'SL '!C$49,AND($C33="Walking"),$E33*0,AND($C33="Bike"),$E33*0,AND($C33="Plane - domestic flight"),$E33*'SL '!$C57,AND($C33="Plane - international - intra EU"),$E33*'SL '!$C59,AND($C33="Plane - international (extra EU)"),$E33*'SL '!$C61)</f>
        <v>#N/A</v>
      </c>
      <c r="G33" s="31" t="e" cm="1">
        <f t="array" ref="G33">_xlfn.IFS(AND($C33="Fuel car",$D33=1),$E33*'SL '!D$7,AND($C33="Fuel car",$D33=2),$E33*'SL '!D$8,AND($C33="Fuel car",$D33=3),$E33*'SL '!D$9,AND($C33="Fuel car",$D33=4),$E33*'SL '!D$10,AND($C33="Fuel car",$D33=5),$E33*'SL '!D$11,AND($C33="Motorcycle",$D33=1),$E33*'SL '!D$13,AND($C33="Motorcycle",$D33=2),$E33*'SL '!D$14,AND($C33="Electric car",$D33=1),$E33*'SL '!D$16,AND($C33="Electric car",$D33=2),$E33*'SL '!D$17,AND($C33="Electric car",$D33=3),$E33*'SL '!D$18,AND($C33="Electric car",$D33=4),$E33*'SL '!D$19,AND($C33="Electric car",$D33=5),$E33*'SL '!D$20,AND($C33="Hybrid car",$D33=1),$E33*'SL '!D$22,AND($C33="Hybrid car",$D33=2),$E33*'SL '!D$23,AND($C33="Hybrid car",$D33=3),$E33*'SL '!D$24,AND($C33="Hybrid car",$D33=4),$E33*'SL '!D$25,AND($C33="Hybrid car",$D33=5),$E33*'SL '!D$26,AND($C33="Electric motorcycle",$D33=1),$E33*'SL '!D$28,AND($C33="Electric motorcycle",$D33=2),$E33*'SL '!D$29,AND($C33="Electric bike",$D33=1),$E33*'SL '!D$31,AND($C33="Electric scooter",$D33=1),$E33*'SL '!D$33,AND($C33="Bus",$D33="Almost empty"),$E33*'SL '!I$23,AND($C33="Bus",$D33="Average"),$E33*'SL '!I$24,AND($C33="Bus",$D33="Nearly full"),$E33*'SL '!I$25,AND($C33="Electric bus",$D33="Almost empty"),$E33*'SL '!I$7,AND($C33="Electric bus",$D33="Average"),$E33*'SL '!I$8,AND($C33="Electric bus",$D33="Nearly full"),$E33*'SL '!I$9,AND($C33="Diesel bus",$D33="Almost empty"),$E33*'SL '!I$19,AND($C33="Diesel bus",$D33="Average"),$E33*'SL '!I$20,AND($C33="Diesel bus",$D33="Nearly full"),$E33*'SL '!I$21,AND($C33="Hybrid-electric bus",$D33="Almost empty"),$E33*'SL '!I$11,AND($C33="Hybrid-electric bus",$D33="Average"),$E33*'SL '!I$12,AND($C33="Hybrid-electric bus",$D33="Nearly full"),$E33*'SL '!I$13,AND($C33="Alternative fuel bus",$D33="Almost empty"),$E33*'SL '!I$15,AND($C33="Alternative fuel bus",$D33="Average"),$E33*'SL '!I$16,AND($C33="Alternative fuel bus",$D33="Nearly full"),$E33*'SL '!I$17,AND($C33="Metro, tram, urban light train",$D33="Almost empty"),$E33*'SL '!D$35,AND($C33="Metro, tram, urban light train",$D33="Average"),$E33*'SL '!D$36,AND($C33="Metro, tram, urban light train",$D33="Nearly full"),$E33*'SL '!D$37,AND($C33="Electric passenger train",$D33="Almost empty"),$E33*'SL '!D$39,AND($C33="Electric passenger train",$D33="Average"),$E33*'SL '!D$40,AND($C33="Electric passenger train",$D33="Nearly full"),$E33*'SL '!D$41,AND($C33="Diesel passenger train",$D33="Almost empty"),$E33*'SL '!D$47,AND($C33="Diesel passenger train",$D33="Average"),$E33*'SL '!D$48,AND($C33="Diesel passenger train",$D33="Nearly full"),$E33*'SL '!D$49,AND($C33="Walking"),$E33*0,AND($C33="Bike"),$E33*0,AND($C33="Plane - domestic flight"),$E33*'SL '!$C57,AND($C33="Plane - international - intra EU"),$E33*'SL '!$C59,AND($C33="Plane - international (extra EU)"),$E33*'SL '!$C61)</f>
        <v>#N/A</v>
      </c>
      <c r="H33" s="145"/>
      <c r="I33" s="148">
        <f t="shared" si="6"/>
        <v>0</v>
      </c>
      <c r="J33" s="146" t="e" cm="1">
        <f t="array" ref="J33">_xlfn.IFS(C33="Fuel car",C33*DATA!$C$17,C33="Electric car",C33*DATA!$F$28,C33="Hybrid car",I33*(0.5*DATA!$C$17+0.5*DATA!$F$28))</f>
        <v>#N/A</v>
      </c>
      <c r="L33" s="223" t="s">
        <v>78</v>
      </c>
      <c r="M33" s="224"/>
      <c r="N33" s="225"/>
    </row>
    <row r="34" spans="1:14" x14ac:dyDescent="0.2">
      <c r="A34" s="222"/>
      <c r="B34" s="30"/>
      <c r="C34" s="15"/>
      <c r="D34" s="15"/>
      <c r="E34" s="125"/>
      <c r="F34" s="128" t="e" cm="1">
        <f t="array" ref="F34">_xlfn.IFS(AND($C34="Fuel car",$D34=1),$E34*'SL '!C$7,AND($C34="Fuel car",$D34=2),$E34*'SL '!C$8,AND($C34="Fuel car",$D34=3),$E34*'SL '!C$9,AND($C34="Fuel car",$D34=4),$E34*'SL '!C$10,AND($C34="Fuel car",$D34=5),$E34*'SL '!C$11,AND($C34="Motorcycle",$D34=1),$E34*'SL '!C$13,AND($C34="Motorcycle",$D34=2),$E34*'SL '!C$14,AND($C34="Electric car",$D34=1),$E34*'SL '!C$16,AND($C34="Electric car",$D34=2),$E34*'SL '!C$17,AND($C34="Electric car",$D34=3),$E34*'SL '!C$18,AND($C34="Electric car",$D34=4),$E34*'SL '!C$19,AND($C34="Electric car",$D34=5),$E34*'SL '!C$20,AND($C34="Hybrid car",$D34=1),$E34*'SL '!C$22,AND($C34="Hybrid car",$D34=2),$E34*'SL '!C$23,AND($C34="Hybrid car",$D34=3),$E34*'SL '!C$24,AND($C34="Hybrid car",$D34=4),$E34*'SL '!C$25,AND($C34="Hybrid car",$D34=5),$E34*'SL '!C$26,AND($C34="Electric motorcycle",$D34=1),$E34*'SL '!C$28,AND($C34="Electric motorcycle",$D34=2),$E34*'SL '!C$29,AND($C34="Electric bike",$D34=1),$E34*'SL '!C$31,AND($C34="Electric scooter",$D34=1),$E34*'SL '!C$33,AND($C34="Bus",$D34="Almost empty"),$E34*'SL '!H$23,AND($C34="Bus",$D34="Average"),$E34*'SL '!H$24,AND($C34="Bus",$D34="Nearly full"),$E34*'SL '!H$25,AND($C34="Electric bus",$D34="Almost empty"),$E34*'SL '!H$7,AND($C34="Electric bus",$D34="Average"),$E34*'SL '!H$8,AND($C34="Electric bus",$D34="Nearly full"),$E34*'SL '!H$9,AND($C34="Diesel bus",$D34="Almost empty"),$E34*'SL '!H$19,AND($C34="Diesel bus",$D34="Average"),$E34*'SL '!H$20,AND($C34="Diesel bus",$D34="Nearly full"),$E34*'SL '!H$21,AND($C34="Hybrid-electric bus",$D34="Almost empty"),$E34*'SL '!H$11,AND($C34="Hybrid-electric bus",$D34="Average"),$E34*'SL '!H$12,AND($C34="Hybrid-electric bus",$D34="Nearly full"),$E34*'SL '!H$13,AND($C34="Alternative fuel bus",$D34="Almost empty"),$E34*'SL '!H$15,AND($C34="Alternative fuel bus",$D34="Average"),$E34*'SL '!H$16,AND($C34="Alternative fuel bus",$D34="Nearly full"),$E34*'SL '!H$17,AND($C34="Metro, tram, urban light train",$D34="Almost empty"),$E34*'SL '!C$35,AND($C34="Metro, tram, urban light train",$D34="Average"),$E34*'SL '!C$36,AND($C34="Metro, tram, urban light train",$D34="Nearly full"),$E34*'SL '!C$37,AND($C34="Electric passenger train",$D34="Almost empty"),$E34*'SL '!C$39,AND($C34="Electric passenger train",$D34="Average"),$E34*'SL '!C$40,AND($C34="Electric passenger train",$D34="Nearly full"),$E34*'SL '!C$41,AND($C34="Diesel passenger train",$D34="Almost empty"),$E34*'SL '!C$47,AND($C34="Diesel passenger train",$D34="Average"),$E34*'SL '!C$48,AND($C34="Diesel passenger train",$D34="Nearly full"),$E34*'SL '!C$49,AND($C34="Walking"),$E34*0,AND($C34="Bike"),$E34*0,AND($C34="Plane - domestic flight"),$E34*'SL '!$C58,AND($C34="Plane - international - intra EU"),$E34*'SL '!$C60,AND($C34="Plane - international (extra EU)"),$E34*'SL '!$C62)</f>
        <v>#N/A</v>
      </c>
      <c r="G34" s="31" t="e" cm="1">
        <f t="array" ref="G34">_xlfn.IFS(AND($C34="Fuel car",$D34=1),$E34*'SL '!D$7,AND($C34="Fuel car",$D34=2),$E34*'SL '!D$8,AND($C34="Fuel car",$D34=3),$E34*'SL '!D$9,AND($C34="Fuel car",$D34=4),$E34*'SL '!D$10,AND($C34="Fuel car",$D34=5),$E34*'SL '!D$11,AND($C34="Motorcycle",$D34=1),$E34*'SL '!D$13,AND($C34="Motorcycle",$D34=2),$E34*'SL '!D$14,AND($C34="Electric car",$D34=1),$E34*'SL '!D$16,AND($C34="Electric car",$D34=2),$E34*'SL '!D$17,AND($C34="Electric car",$D34=3),$E34*'SL '!D$18,AND($C34="Electric car",$D34=4),$E34*'SL '!D$19,AND($C34="Electric car",$D34=5),$E34*'SL '!D$20,AND($C34="Hybrid car",$D34=1),$E34*'SL '!D$22,AND($C34="Hybrid car",$D34=2),$E34*'SL '!D$23,AND($C34="Hybrid car",$D34=3),$E34*'SL '!D$24,AND($C34="Hybrid car",$D34=4),$E34*'SL '!D$25,AND($C34="Hybrid car",$D34=5),$E34*'SL '!D$26,AND($C34="Electric motorcycle",$D34=1),$E34*'SL '!D$28,AND($C34="Electric motorcycle",$D34=2),$E34*'SL '!D$29,AND($C34="Electric bike",$D34=1),$E34*'SL '!D$31,AND($C34="Electric scooter",$D34=1),$E34*'SL '!D$33,AND($C34="Bus",$D34="Almost empty"),$E34*'SL '!I$23,AND($C34="Bus",$D34="Average"),$E34*'SL '!I$24,AND($C34="Bus",$D34="Nearly full"),$E34*'SL '!I$25,AND($C34="Electric bus",$D34="Almost empty"),$E34*'SL '!I$7,AND($C34="Electric bus",$D34="Average"),$E34*'SL '!I$8,AND($C34="Electric bus",$D34="Nearly full"),$E34*'SL '!I$9,AND($C34="Diesel bus",$D34="Almost empty"),$E34*'SL '!I$19,AND($C34="Diesel bus",$D34="Average"),$E34*'SL '!I$20,AND($C34="Diesel bus",$D34="Nearly full"),$E34*'SL '!I$21,AND($C34="Hybrid-electric bus",$D34="Almost empty"),$E34*'SL '!I$11,AND($C34="Hybrid-electric bus",$D34="Average"),$E34*'SL '!I$12,AND($C34="Hybrid-electric bus",$D34="Nearly full"),$E34*'SL '!I$13,AND($C34="Alternative fuel bus",$D34="Almost empty"),$E34*'SL '!I$15,AND($C34="Alternative fuel bus",$D34="Average"),$E34*'SL '!I$16,AND($C34="Alternative fuel bus",$D34="Nearly full"),$E34*'SL '!I$17,AND($C34="Metro, tram, urban light train",$D34="Almost empty"),$E34*'SL '!D$35,AND($C34="Metro, tram, urban light train",$D34="Average"),$E34*'SL '!D$36,AND($C34="Metro, tram, urban light train",$D34="Nearly full"),$E34*'SL '!D$37,AND($C34="Electric passenger train",$D34="Almost empty"),$E34*'SL '!D$39,AND($C34="Electric passenger train",$D34="Average"),$E34*'SL '!D$40,AND($C34="Electric passenger train",$D34="Nearly full"),$E34*'SL '!D$41,AND($C34="Diesel passenger train",$D34="Almost empty"),$E34*'SL '!D$47,AND($C34="Diesel passenger train",$D34="Average"),$E34*'SL '!D$48,AND($C34="Diesel passenger train",$D34="Nearly full"),$E34*'SL '!D$49,AND($C34="Walking"),$E34*0,AND($C34="Bike"),$E34*0,AND($C34="Plane - domestic flight"),$E34*'SL '!$C58,AND($C34="Plane - international - intra EU"),$E34*'SL '!$C60,AND($C34="Plane - international (extra EU)"),$E34*'SL '!$C62)</f>
        <v>#N/A</v>
      </c>
      <c r="H34" s="145"/>
      <c r="I34" s="148">
        <f t="shared" si="6"/>
        <v>0</v>
      </c>
      <c r="J34" s="146" t="e" cm="1">
        <f t="array" ref="J34">_xlfn.IFS(C34="Fuel car",C34*DATA!$C$17,C34="Electric car",C34*DATA!$F$28,C34="Hybrid car",I34*(0.5*DATA!$C$17+0.5*DATA!$F$28))</f>
        <v>#N/A</v>
      </c>
      <c r="L34" s="223"/>
      <c r="M34" s="224"/>
      <c r="N34" s="225"/>
    </row>
    <row r="35" spans="1:14" ht="14.5" customHeight="1" x14ac:dyDescent="0.2">
      <c r="A35" s="222"/>
      <c r="B35" s="30"/>
      <c r="C35" s="15"/>
      <c r="D35" s="15"/>
      <c r="E35" s="125"/>
      <c r="F35" s="128" t="e" cm="1">
        <f t="array" ref="F35">_xlfn.IFS(AND($C35="Fuel car",$D35=1),$E35*'SL '!C$7,AND($C35="Fuel car",$D35=2),$E35*'SL '!C$8,AND($C35="Fuel car",$D35=3),$E35*'SL '!C$9,AND($C35="Fuel car",$D35=4),$E35*'SL '!C$10,AND($C35="Fuel car",$D35=5),$E35*'SL '!C$11,AND($C35="Motorcycle",$D35=1),$E35*'SL '!C$13,AND($C35="Motorcycle",$D35=2),$E35*'SL '!C$14,AND($C35="Electric car",$D35=1),$E35*'SL '!C$16,AND($C35="Electric car",$D35=2),$E35*'SL '!C$17,AND($C35="Electric car",$D35=3),$E35*'SL '!C$18,AND($C35="Electric car",$D35=4),$E35*'SL '!C$19,AND($C35="Electric car",$D35=5),$E35*'SL '!C$20,AND($C35="Hybrid car",$D35=1),$E35*'SL '!C$22,AND($C35="Hybrid car",$D35=2),$E35*'SL '!C$23,AND($C35="Hybrid car",$D35=3),$E35*'SL '!C$24,AND($C35="Hybrid car",$D35=4),$E35*'SL '!C$25,AND($C35="Hybrid car",$D35=5),$E35*'SL '!C$26,AND($C35="Electric motorcycle",$D35=1),$E35*'SL '!C$28,AND($C35="Electric motorcycle",$D35=2),$E35*'SL '!C$29,AND($C35="Electric bike",$D35=1),$E35*'SL '!C$31,AND($C35="Electric scooter",$D35=1),$E35*'SL '!C$33,AND($C35="Bus",$D35="Almost empty"),$E35*'SL '!H$23,AND($C35="Bus",$D35="Average"),$E35*'SL '!H$24,AND($C35="Bus",$D35="Nearly full"),$E35*'SL '!H$25,AND($C35="Electric bus",$D35="Almost empty"),$E35*'SL '!H$7,AND($C35="Electric bus",$D35="Average"),$E35*'SL '!H$8,AND($C35="Electric bus",$D35="Nearly full"),$E35*'SL '!H$9,AND($C35="Diesel bus",$D35="Almost empty"),$E35*'SL '!H$19,AND($C35="Diesel bus",$D35="Average"),$E35*'SL '!H$20,AND($C35="Diesel bus",$D35="Nearly full"),$E35*'SL '!H$21,AND($C35="Hybrid-electric bus",$D35="Almost empty"),$E35*'SL '!H$11,AND($C35="Hybrid-electric bus",$D35="Average"),$E35*'SL '!H$12,AND($C35="Hybrid-electric bus",$D35="Nearly full"),$E35*'SL '!H$13,AND($C35="Alternative fuel bus",$D35="Almost empty"),$E35*'SL '!H$15,AND($C35="Alternative fuel bus",$D35="Average"),$E35*'SL '!H$16,AND($C35="Alternative fuel bus",$D35="Nearly full"),$E35*'SL '!H$17,AND($C35="Metro, tram, urban light train",$D35="Almost empty"),$E35*'SL '!C$35,AND($C35="Metro, tram, urban light train",$D35="Average"),$E35*'SL '!C$36,AND($C35="Metro, tram, urban light train",$D35="Nearly full"),$E35*'SL '!C$37,AND($C35="Electric passenger train",$D35="Almost empty"),$E35*'SL '!C$39,AND($C35="Electric passenger train",$D35="Average"),$E35*'SL '!C$40,AND($C35="Electric passenger train",$D35="Nearly full"),$E35*'SL '!C$41,AND($C35="Diesel passenger train",$D35="Almost empty"),$E35*'SL '!C$47,AND($C35="Diesel passenger train",$D35="Average"),$E35*'SL '!C$48,AND($C35="Diesel passenger train",$D35="Nearly full"),$E35*'SL '!C$49,AND($C35="Walking"),$E35*0,AND($C35="Bike"),$E35*0,AND($C35="Plane - domestic flight"),$E35*'SL '!$C59,AND($C35="Plane - international - intra EU"),$E35*'SL '!$C61,AND($C35="Plane - international (extra EU)"),$E35*'SL '!$C63)</f>
        <v>#N/A</v>
      </c>
      <c r="G35" s="31" t="e" cm="1">
        <f t="array" ref="G35">_xlfn.IFS(AND($C35="Fuel car",$D35=1),$E35*'SL '!D$7,AND($C35="Fuel car",$D35=2),$E35*'SL '!D$8,AND($C35="Fuel car",$D35=3),$E35*'SL '!D$9,AND($C35="Fuel car",$D35=4),$E35*'SL '!D$10,AND($C35="Fuel car",$D35=5),$E35*'SL '!D$11,AND($C35="Motorcycle",$D35=1),$E35*'SL '!D$13,AND($C35="Motorcycle",$D35=2),$E35*'SL '!D$14,AND($C35="Electric car",$D35=1),$E35*'SL '!D$16,AND($C35="Electric car",$D35=2),$E35*'SL '!D$17,AND($C35="Electric car",$D35=3),$E35*'SL '!D$18,AND($C35="Electric car",$D35=4),$E35*'SL '!D$19,AND($C35="Electric car",$D35=5),$E35*'SL '!D$20,AND($C35="Hybrid car",$D35=1),$E35*'SL '!D$22,AND($C35="Hybrid car",$D35=2),$E35*'SL '!D$23,AND($C35="Hybrid car",$D35=3),$E35*'SL '!D$24,AND($C35="Hybrid car",$D35=4),$E35*'SL '!D$25,AND($C35="Hybrid car",$D35=5),$E35*'SL '!D$26,AND($C35="Electric motorcycle",$D35=1),$E35*'SL '!D$28,AND($C35="Electric motorcycle",$D35=2),$E35*'SL '!D$29,AND($C35="Electric bike",$D35=1),$E35*'SL '!D$31,AND($C35="Electric scooter",$D35=1),$E35*'SL '!D$33,AND($C35="Bus",$D35="Almost empty"),$E35*'SL '!I$23,AND($C35="Bus",$D35="Average"),$E35*'SL '!I$24,AND($C35="Bus",$D35="Nearly full"),$E35*'SL '!I$25,AND($C35="Electric bus",$D35="Almost empty"),$E35*'SL '!I$7,AND($C35="Electric bus",$D35="Average"),$E35*'SL '!I$8,AND($C35="Electric bus",$D35="Nearly full"),$E35*'SL '!I$9,AND($C35="Diesel bus",$D35="Almost empty"),$E35*'SL '!I$19,AND($C35="Diesel bus",$D35="Average"),$E35*'SL '!I$20,AND($C35="Diesel bus",$D35="Nearly full"),$E35*'SL '!I$21,AND($C35="Hybrid-electric bus",$D35="Almost empty"),$E35*'SL '!I$11,AND($C35="Hybrid-electric bus",$D35="Average"),$E35*'SL '!I$12,AND($C35="Hybrid-electric bus",$D35="Nearly full"),$E35*'SL '!I$13,AND($C35="Alternative fuel bus",$D35="Almost empty"),$E35*'SL '!I$15,AND($C35="Alternative fuel bus",$D35="Average"),$E35*'SL '!I$16,AND($C35="Alternative fuel bus",$D35="Nearly full"),$E35*'SL '!I$17,AND($C35="Metro, tram, urban light train",$D35="Almost empty"),$E35*'SL '!D$35,AND($C35="Metro, tram, urban light train",$D35="Average"),$E35*'SL '!D$36,AND($C35="Metro, tram, urban light train",$D35="Nearly full"),$E35*'SL '!D$37,AND($C35="Electric passenger train",$D35="Almost empty"),$E35*'SL '!D$39,AND($C35="Electric passenger train",$D35="Average"),$E35*'SL '!D$40,AND($C35="Electric passenger train",$D35="Nearly full"),$E35*'SL '!D$41,AND($C35="Diesel passenger train",$D35="Almost empty"),$E35*'SL '!D$47,AND($C35="Diesel passenger train",$D35="Average"),$E35*'SL '!D$48,AND($C35="Diesel passenger train",$D35="Nearly full"),$E35*'SL '!D$49,AND($C35="Walking"),$E35*0,AND($C35="Bike"),$E35*0,AND($C35="Plane - domestic flight"),$E35*'SL '!$C59,AND($C35="Plane - international - intra EU"),$E35*'SL '!$C61,AND($C35="Plane - international (extra EU)"),$E35*'SL '!$C63)</f>
        <v>#N/A</v>
      </c>
      <c r="H35" s="145"/>
      <c r="I35" s="148">
        <f t="shared" si="6"/>
        <v>0</v>
      </c>
      <c r="J35" s="146" t="e" cm="1">
        <f t="array" ref="J35">_xlfn.IFS(C35="Fuel car",C35*DATA!$C$17,C35="Electric car",C35*DATA!$F$28,C35="Hybrid car",I35*(0.5*DATA!$C$17+0.5*DATA!$F$28))</f>
        <v>#N/A</v>
      </c>
      <c r="L35" s="223"/>
      <c r="M35" s="224"/>
      <c r="N35" s="225"/>
    </row>
    <row r="36" spans="1:14" ht="16" thickBot="1" x14ac:dyDescent="0.25">
      <c r="A36" s="222"/>
      <c r="B36" s="30"/>
      <c r="C36" s="15"/>
      <c r="D36" s="15"/>
      <c r="E36" s="125"/>
      <c r="F36" s="128" t="e" cm="1">
        <f t="array" ref="F36">_xlfn.IFS(AND($C36="Fuel car",$D36=1),$E36*'SL '!C$7,AND($C36="Fuel car",$D36=2),$E36*'SL '!C$8,AND($C36="Fuel car",$D36=3),$E36*'SL '!C$9,AND($C36="Fuel car",$D36=4),$E36*'SL '!C$10,AND($C36="Fuel car",$D36=5),$E36*'SL '!C$11,AND($C36="Motorcycle",$D36=1),$E36*'SL '!C$13,AND($C36="Motorcycle",$D36=2),$E36*'SL '!C$14,AND($C36="Electric car",$D36=1),$E36*'SL '!C$16,AND($C36="Electric car",$D36=2),$E36*'SL '!C$17,AND($C36="Electric car",$D36=3),$E36*'SL '!C$18,AND($C36="Electric car",$D36=4),$E36*'SL '!C$19,AND($C36="Electric car",$D36=5),$E36*'SL '!C$20,AND($C36="Hybrid car",$D36=1),$E36*'SL '!C$22,AND($C36="Hybrid car",$D36=2),$E36*'SL '!C$23,AND($C36="Hybrid car",$D36=3),$E36*'SL '!C$24,AND($C36="Hybrid car",$D36=4),$E36*'SL '!C$25,AND($C36="Hybrid car",$D36=5),$E36*'SL '!C$26,AND($C36="Electric motorcycle",$D36=1),$E36*'SL '!C$28,AND($C36="Electric motorcycle",$D36=2),$E36*'SL '!C$29,AND($C36="Electric bike",$D36=1),$E36*'SL '!C$31,AND($C36="Electric scooter",$D36=1),$E36*'SL '!C$33,AND($C36="Bus",$D36="Almost empty"),$E36*'SL '!H$23,AND($C36="Bus",$D36="Average"),$E36*'SL '!H$24,AND($C36="Bus",$D36="Nearly full"),$E36*'SL '!H$25,AND($C36="Electric bus",$D36="Almost empty"),$E36*'SL '!H$7,AND($C36="Electric bus",$D36="Average"),$E36*'SL '!H$8,AND($C36="Electric bus",$D36="Nearly full"),$E36*'SL '!H$9,AND($C36="Diesel bus",$D36="Almost empty"),$E36*'SL '!H$19,AND($C36="Diesel bus",$D36="Average"),$E36*'SL '!H$20,AND($C36="Diesel bus",$D36="Nearly full"),$E36*'SL '!H$21,AND($C36="Hybrid-electric bus",$D36="Almost empty"),$E36*'SL '!H$11,AND($C36="Hybrid-electric bus",$D36="Average"),$E36*'SL '!H$12,AND($C36="Hybrid-electric bus",$D36="Nearly full"),$E36*'SL '!H$13,AND($C36="Alternative fuel bus",$D36="Almost empty"),$E36*'SL '!H$15,AND($C36="Alternative fuel bus",$D36="Average"),$E36*'SL '!H$16,AND($C36="Alternative fuel bus",$D36="Nearly full"),$E36*'SL '!H$17,AND($C36="Metro, tram, urban light train",$D36="Almost empty"),$E36*'SL '!C$35,AND($C36="Metro, tram, urban light train",$D36="Average"),$E36*'SL '!C$36,AND($C36="Metro, tram, urban light train",$D36="Nearly full"),$E36*'SL '!C$37,AND($C36="Electric passenger train",$D36="Almost empty"),$E36*'SL '!C$39,AND($C36="Electric passenger train",$D36="Average"),$E36*'SL '!C$40,AND($C36="Electric passenger train",$D36="Nearly full"),$E36*'SL '!C$41,AND($C36="Diesel passenger train",$D36="Almost empty"),$E36*'SL '!C$47,AND($C36="Diesel passenger train",$D36="Average"),$E36*'SL '!C$48,AND($C36="Diesel passenger train",$D36="Nearly full"),$E36*'SL '!C$49,AND($C36="Walking"),$E36*0,AND($C36="Bike"),$E36*0,AND($C36="Plane - domestic flight"),$E36*'SL '!$C60,AND($C36="Plane - international - intra EU"),$E36*'SL '!$C62,AND($C36="Plane - international (extra EU)"),$E36*'SL '!$C64)</f>
        <v>#N/A</v>
      </c>
      <c r="G36" s="31" t="e" cm="1">
        <f t="array" ref="G36">_xlfn.IFS(AND($C36="Fuel car",$D36=1),$E36*'SL '!D$7,AND($C36="Fuel car",$D36=2),$E36*'SL '!D$8,AND($C36="Fuel car",$D36=3),$E36*'SL '!D$9,AND($C36="Fuel car",$D36=4),$E36*'SL '!D$10,AND($C36="Fuel car",$D36=5),$E36*'SL '!D$11,AND($C36="Motorcycle",$D36=1),$E36*'SL '!D$13,AND($C36="Motorcycle",$D36=2),$E36*'SL '!D$14,AND($C36="Electric car",$D36=1),$E36*'SL '!D$16,AND($C36="Electric car",$D36=2),$E36*'SL '!D$17,AND($C36="Electric car",$D36=3),$E36*'SL '!D$18,AND($C36="Electric car",$D36=4),$E36*'SL '!D$19,AND($C36="Electric car",$D36=5),$E36*'SL '!D$20,AND($C36="Hybrid car",$D36=1),$E36*'SL '!D$22,AND($C36="Hybrid car",$D36=2),$E36*'SL '!D$23,AND($C36="Hybrid car",$D36=3),$E36*'SL '!D$24,AND($C36="Hybrid car",$D36=4),$E36*'SL '!D$25,AND($C36="Hybrid car",$D36=5),$E36*'SL '!D$26,AND($C36="Electric motorcycle",$D36=1),$E36*'SL '!D$28,AND($C36="Electric motorcycle",$D36=2),$E36*'SL '!D$29,AND($C36="Electric bike",$D36=1),$E36*'SL '!D$31,AND($C36="Electric scooter",$D36=1),$E36*'SL '!D$33,AND($C36="Bus",$D36="Almost empty"),$E36*'SL '!I$23,AND($C36="Bus",$D36="Average"),$E36*'SL '!I$24,AND($C36="Bus",$D36="Nearly full"),$E36*'SL '!I$25,AND($C36="Electric bus",$D36="Almost empty"),$E36*'SL '!I$7,AND($C36="Electric bus",$D36="Average"),$E36*'SL '!I$8,AND($C36="Electric bus",$D36="Nearly full"),$E36*'SL '!I$9,AND($C36="Diesel bus",$D36="Almost empty"),$E36*'SL '!I$19,AND($C36="Diesel bus",$D36="Average"),$E36*'SL '!I$20,AND($C36="Diesel bus",$D36="Nearly full"),$E36*'SL '!I$21,AND($C36="Hybrid-electric bus",$D36="Almost empty"),$E36*'SL '!I$11,AND($C36="Hybrid-electric bus",$D36="Average"),$E36*'SL '!I$12,AND($C36="Hybrid-electric bus",$D36="Nearly full"),$E36*'SL '!I$13,AND($C36="Alternative fuel bus",$D36="Almost empty"),$E36*'SL '!I$15,AND($C36="Alternative fuel bus",$D36="Average"),$E36*'SL '!I$16,AND($C36="Alternative fuel bus",$D36="Nearly full"),$E36*'SL '!I$17,AND($C36="Metro, tram, urban light train",$D36="Almost empty"),$E36*'SL '!D$35,AND($C36="Metro, tram, urban light train",$D36="Average"),$E36*'SL '!D$36,AND($C36="Metro, tram, urban light train",$D36="Nearly full"),$E36*'SL '!D$37,AND($C36="Electric passenger train",$D36="Almost empty"),$E36*'SL '!D$39,AND($C36="Electric passenger train",$D36="Average"),$E36*'SL '!D$40,AND($C36="Electric passenger train",$D36="Nearly full"),$E36*'SL '!D$41,AND($C36="Diesel passenger train",$D36="Almost empty"),$E36*'SL '!D$47,AND($C36="Diesel passenger train",$D36="Average"),$E36*'SL '!D$48,AND($C36="Diesel passenger train",$D36="Nearly full"),$E36*'SL '!D$49,AND($C36="Walking"),$E36*0,AND($C36="Bike"),$E36*0,AND($C36="Plane - domestic flight"),$E36*'SL '!$C60,AND($C36="Plane - international - intra EU"),$E36*'SL '!$C62,AND($C36="Plane - international (extra EU)"),$E36*'SL '!$C64)</f>
        <v>#N/A</v>
      </c>
      <c r="H36" s="145"/>
      <c r="I36" s="148">
        <f t="shared" si="6"/>
        <v>0</v>
      </c>
      <c r="J36" s="146" t="e" cm="1">
        <f t="array" ref="J36">_xlfn.IFS(C36="Fuel car",C36*DATA!$C$17,C36="Electric car",C36*DATA!$F$28,C36="Hybrid car",I36*(0.5*DATA!$C$17+0.5*DATA!$F$28))</f>
        <v>#N/A</v>
      </c>
      <c r="L36" s="218"/>
      <c r="M36" s="219"/>
      <c r="N36" s="220"/>
    </row>
    <row r="37" spans="1:14" ht="14.5" customHeight="1" x14ac:dyDescent="0.2">
      <c r="A37" s="222"/>
      <c r="B37" s="30"/>
      <c r="C37" s="15"/>
      <c r="D37" s="15"/>
      <c r="E37" s="125"/>
      <c r="F37" s="128" t="e" cm="1">
        <f t="array" ref="F37">_xlfn.IFS(AND($C37="Fuel car",$D37=1),$E37*'SL '!C$7,AND($C37="Fuel car",$D37=2),$E37*'SL '!C$8,AND($C37="Fuel car",$D37=3),$E37*'SL '!C$9,AND($C37="Fuel car",$D37=4),$E37*'SL '!C$10,AND($C37="Fuel car",$D37=5),$E37*'SL '!C$11,AND($C37="Motorcycle",$D37=1),$E37*'SL '!C$13,AND($C37="Motorcycle",$D37=2),$E37*'SL '!C$14,AND($C37="Electric car",$D37=1),$E37*'SL '!C$16,AND($C37="Electric car",$D37=2),$E37*'SL '!C$17,AND($C37="Electric car",$D37=3),$E37*'SL '!C$18,AND($C37="Electric car",$D37=4),$E37*'SL '!C$19,AND($C37="Electric car",$D37=5),$E37*'SL '!C$20,AND($C37="Hybrid car",$D37=1),$E37*'SL '!C$22,AND($C37="Hybrid car",$D37=2),$E37*'SL '!C$23,AND($C37="Hybrid car",$D37=3),$E37*'SL '!C$24,AND($C37="Hybrid car",$D37=4),$E37*'SL '!C$25,AND($C37="Hybrid car",$D37=5),$E37*'SL '!C$26,AND($C37="Electric motorcycle",$D37=1),$E37*'SL '!C$28,AND($C37="Electric motorcycle",$D37=2),$E37*'SL '!C$29,AND($C37="Electric bike",$D37=1),$E37*'SL '!C$31,AND($C37="Electric scooter",$D37=1),$E37*'SL '!C$33,AND($C37="Bus",$D37="Almost empty"),$E37*'SL '!H$23,AND($C37="Bus",$D37="Average"),$E37*'SL '!H$24,AND($C37="Bus",$D37="Nearly full"),$E37*'SL '!H$25,AND($C37="Electric bus",$D37="Almost empty"),$E37*'SL '!H$7,AND($C37="Electric bus",$D37="Average"),$E37*'SL '!H$8,AND($C37="Electric bus",$D37="Nearly full"),$E37*'SL '!H$9,AND($C37="Diesel bus",$D37="Almost empty"),$E37*'SL '!H$19,AND($C37="Diesel bus",$D37="Average"),$E37*'SL '!H$20,AND($C37="Diesel bus",$D37="Nearly full"),$E37*'SL '!H$21,AND($C37="Hybrid-electric bus",$D37="Almost empty"),$E37*'SL '!H$11,AND($C37="Hybrid-electric bus",$D37="Average"),$E37*'SL '!H$12,AND($C37="Hybrid-electric bus",$D37="Nearly full"),$E37*'SL '!H$13,AND($C37="Alternative fuel bus",$D37="Almost empty"),$E37*'SL '!H$15,AND($C37="Alternative fuel bus",$D37="Average"),$E37*'SL '!H$16,AND($C37="Alternative fuel bus",$D37="Nearly full"),$E37*'SL '!H$17,AND($C37="Metro, tram, urban light train",$D37="Almost empty"),$E37*'SL '!C$35,AND($C37="Metro, tram, urban light train",$D37="Average"),$E37*'SL '!C$36,AND($C37="Metro, tram, urban light train",$D37="Nearly full"),$E37*'SL '!C$37,AND($C37="Electric passenger train",$D37="Almost empty"),$E37*'SL '!C$39,AND($C37="Electric passenger train",$D37="Average"),$E37*'SL '!C$40,AND($C37="Electric passenger train",$D37="Nearly full"),$E37*'SL '!C$41,AND($C37="Diesel passenger train",$D37="Almost empty"),$E37*'SL '!C$47,AND($C37="Diesel passenger train",$D37="Average"),$E37*'SL '!C$48,AND($C37="Diesel passenger train",$D37="Nearly full"),$E37*'SL '!C$49,AND($C37="Walking"),$E37*0,AND($C37="Bike"),$E37*0,AND($C37="Plane - domestic flight"),$E37*'SL '!$C61,AND($C37="Plane - international - intra EU"),$E37*'SL '!$C63,AND($C37="Plane - international (extra EU)"),$E37*'SL '!$C65)</f>
        <v>#N/A</v>
      </c>
      <c r="G37" s="31" t="e" cm="1">
        <f t="array" ref="G37">_xlfn.IFS(AND($C37="Fuel car",$D37=1),$E37*'SL '!D$7,AND($C37="Fuel car",$D37=2),$E37*'SL '!D$8,AND($C37="Fuel car",$D37=3),$E37*'SL '!D$9,AND($C37="Fuel car",$D37=4),$E37*'SL '!D$10,AND($C37="Fuel car",$D37=5),$E37*'SL '!D$11,AND($C37="Motorcycle",$D37=1),$E37*'SL '!D$13,AND($C37="Motorcycle",$D37=2),$E37*'SL '!D$14,AND($C37="Electric car",$D37=1),$E37*'SL '!D$16,AND($C37="Electric car",$D37=2),$E37*'SL '!D$17,AND($C37="Electric car",$D37=3),$E37*'SL '!D$18,AND($C37="Electric car",$D37=4),$E37*'SL '!D$19,AND($C37="Electric car",$D37=5),$E37*'SL '!D$20,AND($C37="Hybrid car",$D37=1),$E37*'SL '!D$22,AND($C37="Hybrid car",$D37=2),$E37*'SL '!D$23,AND($C37="Hybrid car",$D37=3),$E37*'SL '!D$24,AND($C37="Hybrid car",$D37=4),$E37*'SL '!D$25,AND($C37="Hybrid car",$D37=5),$E37*'SL '!D$26,AND($C37="Electric motorcycle",$D37=1),$E37*'SL '!D$28,AND($C37="Electric motorcycle",$D37=2),$E37*'SL '!D$29,AND($C37="Electric bike",$D37=1),$E37*'SL '!D$31,AND($C37="Electric scooter",$D37=1),$E37*'SL '!D$33,AND($C37="Bus",$D37="Almost empty"),$E37*'SL '!I$23,AND($C37="Bus",$D37="Average"),$E37*'SL '!I$24,AND($C37="Bus",$D37="Nearly full"),$E37*'SL '!I$25,AND($C37="Electric bus",$D37="Almost empty"),$E37*'SL '!I$7,AND($C37="Electric bus",$D37="Average"),$E37*'SL '!I$8,AND($C37="Electric bus",$D37="Nearly full"),$E37*'SL '!I$9,AND($C37="Diesel bus",$D37="Almost empty"),$E37*'SL '!I$19,AND($C37="Diesel bus",$D37="Average"),$E37*'SL '!I$20,AND($C37="Diesel bus",$D37="Nearly full"),$E37*'SL '!I$21,AND($C37="Hybrid-electric bus",$D37="Almost empty"),$E37*'SL '!I$11,AND($C37="Hybrid-electric bus",$D37="Average"),$E37*'SL '!I$12,AND($C37="Hybrid-electric bus",$D37="Nearly full"),$E37*'SL '!I$13,AND($C37="Alternative fuel bus",$D37="Almost empty"),$E37*'SL '!I$15,AND($C37="Alternative fuel bus",$D37="Average"),$E37*'SL '!I$16,AND($C37="Alternative fuel bus",$D37="Nearly full"),$E37*'SL '!I$17,AND($C37="Metro, tram, urban light train",$D37="Almost empty"),$E37*'SL '!D$35,AND($C37="Metro, tram, urban light train",$D37="Average"),$E37*'SL '!D$36,AND($C37="Metro, tram, urban light train",$D37="Nearly full"),$E37*'SL '!D$37,AND($C37="Electric passenger train",$D37="Almost empty"),$E37*'SL '!D$39,AND($C37="Electric passenger train",$D37="Average"),$E37*'SL '!D$40,AND($C37="Electric passenger train",$D37="Nearly full"),$E37*'SL '!D$41,AND($C37="Diesel passenger train",$D37="Almost empty"),$E37*'SL '!D$47,AND($C37="Diesel passenger train",$D37="Average"),$E37*'SL '!D$48,AND($C37="Diesel passenger train",$D37="Nearly full"),$E37*'SL '!D$49,AND($C37="Walking"),$E37*0,AND($C37="Bike"),$E37*0,AND($C37="Plane - domestic flight"),$E37*'SL '!$C61,AND($C37="Plane - international - intra EU"),$E37*'SL '!$C63,AND($C37="Plane - international (extra EU)"),$E37*'SL '!$C65)</f>
        <v>#N/A</v>
      </c>
      <c r="H37" s="145"/>
      <c r="I37" s="148">
        <f t="shared" si="6"/>
        <v>0</v>
      </c>
      <c r="J37" s="146" t="e" cm="1">
        <f t="array" ref="J37">_xlfn.IFS(C37="Fuel car",C37*DATA!$C$17,C37="Electric car",C37*DATA!$F$28,C37="Hybrid car",I37*(0.5*DATA!$C$17+0.5*DATA!$F$28))</f>
        <v>#N/A</v>
      </c>
      <c r="L37" s="215" t="s">
        <v>79</v>
      </c>
      <c r="M37" s="216"/>
      <c r="N37" s="217"/>
    </row>
    <row r="38" spans="1:14" ht="16" thickBot="1" x14ac:dyDescent="0.25">
      <c r="A38" s="222"/>
      <c r="B38" s="30"/>
      <c r="C38" s="15"/>
      <c r="D38" s="15"/>
      <c r="E38" s="125"/>
      <c r="F38" s="128" t="e" cm="1">
        <f t="array" ref="F38">_xlfn.IFS(AND($C38="Fuel car",$D38=1),$E38*'SL '!C$7,AND($C38="Fuel car",$D38=2),$E38*'SL '!C$8,AND($C38="Fuel car",$D38=3),$E38*'SL '!C$9,AND($C38="Fuel car",$D38=4),$E38*'SL '!C$10,AND($C38="Fuel car",$D38=5),$E38*'SL '!C$11,AND($C38="Motorcycle",$D38=1),$E38*'SL '!C$13,AND($C38="Motorcycle",$D38=2),$E38*'SL '!C$14,AND($C38="Electric car",$D38=1),$E38*'SL '!C$16,AND($C38="Electric car",$D38=2),$E38*'SL '!C$17,AND($C38="Electric car",$D38=3),$E38*'SL '!C$18,AND($C38="Electric car",$D38=4),$E38*'SL '!C$19,AND($C38="Electric car",$D38=5),$E38*'SL '!C$20,AND($C38="Hybrid car",$D38=1),$E38*'SL '!C$22,AND($C38="Hybrid car",$D38=2),$E38*'SL '!C$23,AND($C38="Hybrid car",$D38=3),$E38*'SL '!C$24,AND($C38="Hybrid car",$D38=4),$E38*'SL '!C$25,AND($C38="Hybrid car",$D38=5),$E38*'SL '!C$26,AND($C38="Electric motorcycle",$D38=1),$E38*'SL '!C$28,AND($C38="Electric motorcycle",$D38=2),$E38*'SL '!C$29,AND($C38="Electric bike",$D38=1),$E38*'SL '!C$31,AND($C38="Electric scooter",$D38=1),$E38*'SL '!C$33,AND($C38="Bus",$D38="Almost empty"),$E38*'SL '!H$23,AND($C38="Bus",$D38="Average"),$E38*'SL '!H$24,AND($C38="Bus",$D38="Nearly full"),$E38*'SL '!H$25,AND($C38="Electric bus",$D38="Almost empty"),$E38*'SL '!H$7,AND($C38="Electric bus",$D38="Average"),$E38*'SL '!H$8,AND($C38="Electric bus",$D38="Nearly full"),$E38*'SL '!H$9,AND($C38="Diesel bus",$D38="Almost empty"),$E38*'SL '!H$19,AND($C38="Diesel bus",$D38="Average"),$E38*'SL '!H$20,AND($C38="Diesel bus",$D38="Nearly full"),$E38*'SL '!H$21,AND($C38="Hybrid-electric bus",$D38="Almost empty"),$E38*'SL '!H$11,AND($C38="Hybrid-electric bus",$D38="Average"),$E38*'SL '!H$12,AND($C38="Hybrid-electric bus",$D38="Nearly full"),$E38*'SL '!H$13,AND($C38="Alternative fuel bus",$D38="Almost empty"),$E38*'SL '!H$15,AND($C38="Alternative fuel bus",$D38="Average"),$E38*'SL '!H$16,AND($C38="Alternative fuel bus",$D38="Nearly full"),$E38*'SL '!H$17,AND($C38="Metro, tram, urban light train",$D38="Almost empty"),$E38*'SL '!C$35,AND($C38="Metro, tram, urban light train",$D38="Average"),$E38*'SL '!C$36,AND($C38="Metro, tram, urban light train",$D38="Nearly full"),$E38*'SL '!C$37,AND($C38="Electric passenger train",$D38="Almost empty"),$E38*'SL '!C$39,AND($C38="Electric passenger train",$D38="Average"),$E38*'SL '!C$40,AND($C38="Electric passenger train",$D38="Nearly full"),$E38*'SL '!C$41,AND($C38="Diesel passenger train",$D38="Almost empty"),$E38*'SL '!C$47,AND($C38="Diesel passenger train",$D38="Average"),$E38*'SL '!C$48,AND($C38="Diesel passenger train",$D38="Nearly full"),$E38*'SL '!C$49,AND($C38="Walking"),$E38*0,AND($C38="Bike"),$E38*0,AND($C38="Plane - domestic flight"),$E38*'SL '!$C62,AND($C38="Plane - international - intra EU"),$E38*'SL '!$C64,AND($C38="Plane - international (extra EU)"),$E38*'SL '!$C66)</f>
        <v>#N/A</v>
      </c>
      <c r="G38" s="31" t="e" cm="1">
        <f t="array" ref="G38">_xlfn.IFS(AND($C38="Fuel car",$D38=1),$E38*'SL '!D$7,AND($C38="Fuel car",$D38=2),$E38*'SL '!D$8,AND($C38="Fuel car",$D38=3),$E38*'SL '!D$9,AND($C38="Fuel car",$D38=4),$E38*'SL '!D$10,AND($C38="Fuel car",$D38=5),$E38*'SL '!D$11,AND($C38="Motorcycle",$D38=1),$E38*'SL '!D$13,AND($C38="Motorcycle",$D38=2),$E38*'SL '!D$14,AND($C38="Electric car",$D38=1),$E38*'SL '!D$16,AND($C38="Electric car",$D38=2),$E38*'SL '!D$17,AND($C38="Electric car",$D38=3),$E38*'SL '!D$18,AND($C38="Electric car",$D38=4),$E38*'SL '!D$19,AND($C38="Electric car",$D38=5),$E38*'SL '!D$20,AND($C38="Hybrid car",$D38=1),$E38*'SL '!D$22,AND($C38="Hybrid car",$D38=2),$E38*'SL '!D$23,AND($C38="Hybrid car",$D38=3),$E38*'SL '!D$24,AND($C38="Hybrid car",$D38=4),$E38*'SL '!D$25,AND($C38="Hybrid car",$D38=5),$E38*'SL '!D$26,AND($C38="Electric motorcycle",$D38=1),$E38*'SL '!D$28,AND($C38="Electric motorcycle",$D38=2),$E38*'SL '!D$29,AND($C38="Electric bike",$D38=1),$E38*'SL '!D$31,AND($C38="Electric scooter",$D38=1),$E38*'SL '!D$33,AND($C38="Bus",$D38="Almost empty"),$E38*'SL '!I$23,AND($C38="Bus",$D38="Average"),$E38*'SL '!I$24,AND($C38="Bus",$D38="Nearly full"),$E38*'SL '!I$25,AND($C38="Electric bus",$D38="Almost empty"),$E38*'SL '!I$7,AND($C38="Electric bus",$D38="Average"),$E38*'SL '!I$8,AND($C38="Electric bus",$D38="Nearly full"),$E38*'SL '!I$9,AND($C38="Diesel bus",$D38="Almost empty"),$E38*'SL '!I$19,AND($C38="Diesel bus",$D38="Average"),$E38*'SL '!I$20,AND($C38="Diesel bus",$D38="Nearly full"),$E38*'SL '!I$21,AND($C38="Hybrid-electric bus",$D38="Almost empty"),$E38*'SL '!I$11,AND($C38="Hybrid-electric bus",$D38="Average"),$E38*'SL '!I$12,AND($C38="Hybrid-electric bus",$D38="Nearly full"),$E38*'SL '!I$13,AND($C38="Alternative fuel bus",$D38="Almost empty"),$E38*'SL '!I$15,AND($C38="Alternative fuel bus",$D38="Average"),$E38*'SL '!I$16,AND($C38="Alternative fuel bus",$D38="Nearly full"),$E38*'SL '!I$17,AND($C38="Metro, tram, urban light train",$D38="Almost empty"),$E38*'SL '!D$35,AND($C38="Metro, tram, urban light train",$D38="Average"),$E38*'SL '!D$36,AND($C38="Metro, tram, urban light train",$D38="Nearly full"),$E38*'SL '!D$37,AND($C38="Electric passenger train",$D38="Almost empty"),$E38*'SL '!D$39,AND($C38="Electric passenger train",$D38="Average"),$E38*'SL '!D$40,AND($C38="Electric passenger train",$D38="Nearly full"),$E38*'SL '!D$41,AND($C38="Diesel passenger train",$D38="Almost empty"),$E38*'SL '!D$47,AND($C38="Diesel passenger train",$D38="Average"),$E38*'SL '!D$48,AND($C38="Diesel passenger train",$D38="Nearly full"),$E38*'SL '!D$49,AND($C38="Walking"),$E38*0,AND($C38="Bike"),$E38*0,AND($C38="Plane - domestic flight"),$E38*'SL '!$C62,AND($C38="Plane - international - intra EU"),$E38*'SL '!$C64,AND($C38="Plane - international (extra EU)"),$E38*'SL '!$C66)</f>
        <v>#N/A</v>
      </c>
      <c r="H38" s="145"/>
      <c r="I38" s="148">
        <f t="shared" si="6"/>
        <v>0</v>
      </c>
      <c r="J38" s="146" t="e" cm="1">
        <f t="array" ref="J38">_xlfn.IFS(C38="Fuel car",C38*DATA!$C$17,C38="Electric car",C38*DATA!$F$28,C38="Hybrid car",I38*(0.5*DATA!$C$17+0.5*DATA!$F$28))</f>
        <v>#N/A</v>
      </c>
      <c r="L38" s="218"/>
      <c r="M38" s="219"/>
      <c r="N38" s="220"/>
    </row>
    <row r="39" spans="1:14" ht="14.5" customHeight="1" x14ac:dyDescent="0.2">
      <c r="A39" s="222"/>
      <c r="B39" s="30"/>
      <c r="C39" s="15"/>
      <c r="D39" s="15"/>
      <c r="E39" s="125"/>
      <c r="F39" s="128" t="e" cm="1">
        <f t="array" ref="F39">_xlfn.IFS(AND($C39="Fuel car",$D39=1),$E39*'SL '!C$7,AND($C39="Fuel car",$D39=2),$E39*'SL '!C$8,AND($C39="Fuel car",$D39=3),$E39*'SL '!C$9,AND($C39="Fuel car",$D39=4),$E39*'SL '!C$10,AND($C39="Fuel car",$D39=5),$E39*'SL '!C$11,AND($C39="Motorcycle",$D39=1),$E39*'SL '!C$13,AND($C39="Motorcycle",$D39=2),$E39*'SL '!C$14,AND($C39="Electric car",$D39=1),$E39*'SL '!C$16,AND($C39="Electric car",$D39=2),$E39*'SL '!C$17,AND($C39="Electric car",$D39=3),$E39*'SL '!C$18,AND($C39="Electric car",$D39=4),$E39*'SL '!C$19,AND($C39="Electric car",$D39=5),$E39*'SL '!C$20,AND($C39="Hybrid car",$D39=1),$E39*'SL '!C$22,AND($C39="Hybrid car",$D39=2),$E39*'SL '!C$23,AND($C39="Hybrid car",$D39=3),$E39*'SL '!C$24,AND($C39="Hybrid car",$D39=4),$E39*'SL '!C$25,AND($C39="Hybrid car",$D39=5),$E39*'SL '!C$26,AND($C39="Electric motorcycle",$D39=1),$E39*'SL '!C$28,AND($C39="Electric motorcycle",$D39=2),$E39*'SL '!C$29,AND($C39="Electric bike",$D39=1),$E39*'SL '!C$31,AND($C39="Electric scooter",$D39=1),$E39*'SL '!C$33,AND($C39="Bus",$D39="Almost empty"),$E39*'SL '!H$23,AND($C39="Bus",$D39="Average"),$E39*'SL '!H$24,AND($C39="Bus",$D39="Nearly full"),$E39*'SL '!H$25,AND($C39="Electric bus",$D39="Almost empty"),$E39*'SL '!H$7,AND($C39="Electric bus",$D39="Average"),$E39*'SL '!H$8,AND($C39="Electric bus",$D39="Nearly full"),$E39*'SL '!H$9,AND($C39="Diesel bus",$D39="Almost empty"),$E39*'SL '!H$19,AND($C39="Diesel bus",$D39="Average"),$E39*'SL '!H$20,AND($C39="Diesel bus",$D39="Nearly full"),$E39*'SL '!H$21,AND($C39="Hybrid-electric bus",$D39="Almost empty"),$E39*'SL '!H$11,AND($C39="Hybrid-electric bus",$D39="Average"),$E39*'SL '!H$12,AND($C39="Hybrid-electric bus",$D39="Nearly full"),$E39*'SL '!H$13,AND($C39="Alternative fuel bus",$D39="Almost empty"),$E39*'SL '!H$15,AND($C39="Alternative fuel bus",$D39="Average"),$E39*'SL '!H$16,AND($C39="Alternative fuel bus",$D39="Nearly full"),$E39*'SL '!H$17,AND($C39="Metro, tram, urban light train",$D39="Almost empty"),$E39*'SL '!C$35,AND($C39="Metro, tram, urban light train",$D39="Average"),$E39*'SL '!C$36,AND($C39="Metro, tram, urban light train",$D39="Nearly full"),$E39*'SL '!C$37,AND($C39="Electric passenger train",$D39="Almost empty"),$E39*'SL '!C$39,AND($C39="Electric passenger train",$D39="Average"),$E39*'SL '!C$40,AND($C39="Electric passenger train",$D39="Nearly full"),$E39*'SL '!C$41,AND($C39="Diesel passenger train",$D39="Almost empty"),$E39*'SL '!C$47,AND($C39="Diesel passenger train",$D39="Average"),$E39*'SL '!C$48,AND($C39="Diesel passenger train",$D39="Nearly full"),$E39*'SL '!C$49,AND($C39="Walking"),$E39*0,AND($C39="Bike"),$E39*0,AND($C39="Plane - domestic flight"),$E39*'SL '!$C63,AND($C39="Plane - international - intra EU"),$E39*'SL '!$C65,AND($C39="Plane - international (extra EU)"),$E39*'SL '!$C67)</f>
        <v>#N/A</v>
      </c>
      <c r="G39" s="31" t="e" cm="1">
        <f t="array" ref="G39">_xlfn.IFS(AND($C39="Fuel car",$D39=1),$E39*'SL '!D$7,AND($C39="Fuel car",$D39=2),$E39*'SL '!D$8,AND($C39="Fuel car",$D39=3),$E39*'SL '!D$9,AND($C39="Fuel car",$D39=4),$E39*'SL '!D$10,AND($C39="Fuel car",$D39=5),$E39*'SL '!D$11,AND($C39="Motorcycle",$D39=1),$E39*'SL '!D$13,AND($C39="Motorcycle",$D39=2),$E39*'SL '!D$14,AND($C39="Electric car",$D39=1),$E39*'SL '!D$16,AND($C39="Electric car",$D39=2),$E39*'SL '!D$17,AND($C39="Electric car",$D39=3),$E39*'SL '!D$18,AND($C39="Electric car",$D39=4),$E39*'SL '!D$19,AND($C39="Electric car",$D39=5),$E39*'SL '!D$20,AND($C39="Hybrid car",$D39=1),$E39*'SL '!D$22,AND($C39="Hybrid car",$D39=2),$E39*'SL '!D$23,AND($C39="Hybrid car",$D39=3),$E39*'SL '!D$24,AND($C39="Hybrid car",$D39=4),$E39*'SL '!D$25,AND($C39="Hybrid car",$D39=5),$E39*'SL '!D$26,AND($C39="Electric motorcycle",$D39=1),$E39*'SL '!D$28,AND($C39="Electric motorcycle",$D39=2),$E39*'SL '!D$29,AND($C39="Electric bike",$D39=1),$E39*'SL '!D$31,AND($C39="Electric scooter",$D39=1),$E39*'SL '!D$33,AND($C39="Bus",$D39="Almost empty"),$E39*'SL '!I$23,AND($C39="Bus",$D39="Average"),$E39*'SL '!I$24,AND($C39="Bus",$D39="Nearly full"),$E39*'SL '!I$25,AND($C39="Electric bus",$D39="Almost empty"),$E39*'SL '!I$7,AND($C39="Electric bus",$D39="Average"),$E39*'SL '!I$8,AND($C39="Electric bus",$D39="Nearly full"),$E39*'SL '!I$9,AND($C39="Diesel bus",$D39="Almost empty"),$E39*'SL '!I$19,AND($C39="Diesel bus",$D39="Average"),$E39*'SL '!I$20,AND($C39="Diesel bus",$D39="Nearly full"),$E39*'SL '!I$21,AND($C39="Hybrid-electric bus",$D39="Almost empty"),$E39*'SL '!I$11,AND($C39="Hybrid-electric bus",$D39="Average"),$E39*'SL '!I$12,AND($C39="Hybrid-electric bus",$D39="Nearly full"),$E39*'SL '!I$13,AND($C39="Alternative fuel bus",$D39="Almost empty"),$E39*'SL '!I$15,AND($C39="Alternative fuel bus",$D39="Average"),$E39*'SL '!I$16,AND($C39="Alternative fuel bus",$D39="Nearly full"),$E39*'SL '!I$17,AND($C39="Metro, tram, urban light train",$D39="Almost empty"),$E39*'SL '!D$35,AND($C39="Metro, tram, urban light train",$D39="Average"),$E39*'SL '!D$36,AND($C39="Metro, tram, urban light train",$D39="Nearly full"),$E39*'SL '!D$37,AND($C39="Electric passenger train",$D39="Almost empty"),$E39*'SL '!D$39,AND($C39="Electric passenger train",$D39="Average"),$E39*'SL '!D$40,AND($C39="Electric passenger train",$D39="Nearly full"),$E39*'SL '!D$41,AND($C39="Diesel passenger train",$D39="Almost empty"),$E39*'SL '!D$47,AND($C39="Diesel passenger train",$D39="Average"),$E39*'SL '!D$48,AND($C39="Diesel passenger train",$D39="Nearly full"),$E39*'SL '!D$49,AND($C39="Walking"),$E39*0,AND($C39="Bike"),$E39*0,AND($C39="Plane - domestic flight"),$E39*'SL '!$C63,AND($C39="Plane - international - intra EU"),$E39*'SL '!$C65,AND($C39="Plane - international (extra EU)"),$E39*'SL '!$C67)</f>
        <v>#N/A</v>
      </c>
      <c r="H39" s="145"/>
      <c r="I39" s="148">
        <f t="shared" si="6"/>
        <v>0</v>
      </c>
      <c r="J39" s="146" t="e" cm="1">
        <f t="array" ref="J39">_xlfn.IFS(C39="Fuel car",C39*DATA!$C$17,C39="Electric car",C39*DATA!$F$28,C39="Hybrid car",I39*(0.5*DATA!$C$17+0.5*DATA!$F$28))</f>
        <v>#N/A</v>
      </c>
      <c r="L39" s="226" t="s">
        <v>80</v>
      </c>
      <c r="M39" s="227"/>
      <c r="N39" s="228"/>
    </row>
    <row r="40" spans="1:14" x14ac:dyDescent="0.2">
      <c r="A40" s="222"/>
      <c r="B40" s="30"/>
      <c r="C40" s="15"/>
      <c r="D40" s="15"/>
      <c r="E40" s="125"/>
      <c r="F40" s="128" t="e" cm="1">
        <f t="array" ref="F40">_xlfn.IFS(AND($C40="Fuel car",$D40=1),$E40*'SL '!C$7,AND($C40="Fuel car",$D40=2),$E40*'SL '!C$8,AND($C40="Fuel car",$D40=3),$E40*'SL '!C$9,AND($C40="Fuel car",$D40=4),$E40*'SL '!C$10,AND($C40="Fuel car",$D40=5),$E40*'SL '!C$11,AND($C40="Motorcycle",$D40=1),$E40*'SL '!C$13,AND($C40="Motorcycle",$D40=2),$E40*'SL '!C$14,AND($C40="Electric car",$D40=1),$E40*'SL '!C$16,AND($C40="Electric car",$D40=2),$E40*'SL '!C$17,AND($C40="Electric car",$D40=3),$E40*'SL '!C$18,AND($C40="Electric car",$D40=4),$E40*'SL '!C$19,AND($C40="Electric car",$D40=5),$E40*'SL '!C$20,AND($C40="Hybrid car",$D40=1),$E40*'SL '!C$22,AND($C40="Hybrid car",$D40=2),$E40*'SL '!C$23,AND($C40="Hybrid car",$D40=3),$E40*'SL '!C$24,AND($C40="Hybrid car",$D40=4),$E40*'SL '!C$25,AND($C40="Hybrid car",$D40=5),$E40*'SL '!C$26,AND($C40="Electric motorcycle",$D40=1),$E40*'SL '!C$28,AND($C40="Electric motorcycle",$D40=2),$E40*'SL '!C$29,AND($C40="Electric bike",$D40=1),$E40*'SL '!C$31,AND($C40="Electric scooter",$D40=1),$E40*'SL '!C$33,AND($C40="Bus",$D40="Almost empty"),$E40*'SL '!H$23,AND($C40="Bus",$D40="Average"),$E40*'SL '!H$24,AND($C40="Bus",$D40="Nearly full"),$E40*'SL '!H$25,AND($C40="Electric bus",$D40="Almost empty"),$E40*'SL '!H$7,AND($C40="Electric bus",$D40="Average"),$E40*'SL '!H$8,AND($C40="Electric bus",$D40="Nearly full"),$E40*'SL '!H$9,AND($C40="Diesel bus",$D40="Almost empty"),$E40*'SL '!H$19,AND($C40="Diesel bus",$D40="Average"),$E40*'SL '!H$20,AND($C40="Diesel bus",$D40="Nearly full"),$E40*'SL '!H$21,AND($C40="Hybrid-electric bus",$D40="Almost empty"),$E40*'SL '!H$11,AND($C40="Hybrid-electric bus",$D40="Average"),$E40*'SL '!H$12,AND($C40="Hybrid-electric bus",$D40="Nearly full"),$E40*'SL '!H$13,AND($C40="Alternative fuel bus",$D40="Almost empty"),$E40*'SL '!H$15,AND($C40="Alternative fuel bus",$D40="Average"),$E40*'SL '!H$16,AND($C40="Alternative fuel bus",$D40="Nearly full"),$E40*'SL '!H$17,AND($C40="Metro, tram, urban light train",$D40="Almost empty"),$E40*'SL '!C$35,AND($C40="Metro, tram, urban light train",$D40="Average"),$E40*'SL '!C$36,AND($C40="Metro, tram, urban light train",$D40="Nearly full"),$E40*'SL '!C$37,AND($C40="Electric passenger train",$D40="Almost empty"),$E40*'SL '!C$39,AND($C40="Electric passenger train",$D40="Average"),$E40*'SL '!C$40,AND($C40="Electric passenger train",$D40="Nearly full"),$E40*'SL '!C$41,AND($C40="Diesel passenger train",$D40="Almost empty"),$E40*'SL '!C$47,AND($C40="Diesel passenger train",$D40="Average"),$E40*'SL '!C$48,AND($C40="Diesel passenger train",$D40="Nearly full"),$E40*'SL '!C$49,AND($C40="Walking"),$E40*0,AND($C40="Bike"),$E40*0,AND($C40="Plane - domestic flight"),$E40*'SL '!$C64,AND($C40="Plane - international - intra EU"),$E40*'SL '!$C66,AND($C40="Plane - international (extra EU)"),$E40*'SL '!$C68)</f>
        <v>#N/A</v>
      </c>
      <c r="G40" s="31" t="e" cm="1">
        <f t="array" ref="G40">_xlfn.IFS(AND($C40="Fuel car",$D40=1),$E40*'SL '!D$7,AND($C40="Fuel car",$D40=2),$E40*'SL '!D$8,AND($C40="Fuel car",$D40=3),$E40*'SL '!D$9,AND($C40="Fuel car",$D40=4),$E40*'SL '!D$10,AND($C40="Fuel car",$D40=5),$E40*'SL '!D$11,AND($C40="Motorcycle",$D40=1),$E40*'SL '!D$13,AND($C40="Motorcycle",$D40=2),$E40*'SL '!D$14,AND($C40="Electric car",$D40=1),$E40*'SL '!D$16,AND($C40="Electric car",$D40=2),$E40*'SL '!D$17,AND($C40="Electric car",$D40=3),$E40*'SL '!D$18,AND($C40="Electric car",$D40=4),$E40*'SL '!D$19,AND($C40="Electric car",$D40=5),$E40*'SL '!D$20,AND($C40="Hybrid car",$D40=1),$E40*'SL '!D$22,AND($C40="Hybrid car",$D40=2),$E40*'SL '!D$23,AND($C40="Hybrid car",$D40=3),$E40*'SL '!D$24,AND($C40="Hybrid car",$D40=4),$E40*'SL '!D$25,AND($C40="Hybrid car",$D40=5),$E40*'SL '!D$26,AND($C40="Electric motorcycle",$D40=1),$E40*'SL '!D$28,AND($C40="Electric motorcycle",$D40=2),$E40*'SL '!D$29,AND($C40="Electric bike",$D40=1),$E40*'SL '!D$31,AND($C40="Electric scooter",$D40=1),$E40*'SL '!D$33,AND($C40="Bus",$D40="Almost empty"),$E40*'SL '!I$23,AND($C40="Bus",$D40="Average"),$E40*'SL '!I$24,AND($C40="Bus",$D40="Nearly full"),$E40*'SL '!I$25,AND($C40="Electric bus",$D40="Almost empty"),$E40*'SL '!I$7,AND($C40="Electric bus",$D40="Average"),$E40*'SL '!I$8,AND($C40="Electric bus",$D40="Nearly full"),$E40*'SL '!I$9,AND($C40="Diesel bus",$D40="Almost empty"),$E40*'SL '!I$19,AND($C40="Diesel bus",$D40="Average"),$E40*'SL '!I$20,AND($C40="Diesel bus",$D40="Nearly full"),$E40*'SL '!I$21,AND($C40="Hybrid-electric bus",$D40="Almost empty"),$E40*'SL '!I$11,AND($C40="Hybrid-electric bus",$D40="Average"),$E40*'SL '!I$12,AND($C40="Hybrid-electric bus",$D40="Nearly full"),$E40*'SL '!I$13,AND($C40="Alternative fuel bus",$D40="Almost empty"),$E40*'SL '!I$15,AND($C40="Alternative fuel bus",$D40="Average"),$E40*'SL '!I$16,AND($C40="Alternative fuel bus",$D40="Nearly full"),$E40*'SL '!I$17,AND($C40="Metro, tram, urban light train",$D40="Almost empty"),$E40*'SL '!D$35,AND($C40="Metro, tram, urban light train",$D40="Average"),$E40*'SL '!D$36,AND($C40="Metro, tram, urban light train",$D40="Nearly full"),$E40*'SL '!D$37,AND($C40="Electric passenger train",$D40="Almost empty"),$E40*'SL '!D$39,AND($C40="Electric passenger train",$D40="Average"),$E40*'SL '!D$40,AND($C40="Electric passenger train",$D40="Nearly full"),$E40*'SL '!D$41,AND($C40="Diesel passenger train",$D40="Almost empty"),$E40*'SL '!D$47,AND($C40="Diesel passenger train",$D40="Average"),$E40*'SL '!D$48,AND($C40="Diesel passenger train",$D40="Nearly full"),$E40*'SL '!D$49,AND($C40="Walking"),$E40*0,AND($C40="Bike"),$E40*0,AND($C40="Plane - domestic flight"),$E40*'SL '!$C64,AND($C40="Plane - international - intra EU"),$E40*'SL '!$C66,AND($C40="Plane - international (extra EU)"),$E40*'SL '!$C68)</f>
        <v>#N/A</v>
      </c>
      <c r="H40" s="145"/>
      <c r="I40" s="148">
        <f t="shared" si="6"/>
        <v>0</v>
      </c>
      <c r="J40" s="146" t="e" cm="1">
        <f t="array" ref="J40">_xlfn.IFS(C40="Fuel car",C40*DATA!$C$17,C40="Electric car",C40*DATA!$F$28,C40="Hybrid car",I40*(0.5*DATA!$C$17+0.5*DATA!$F$28))</f>
        <v>#N/A</v>
      </c>
      <c r="L40" s="229"/>
      <c r="M40" s="230"/>
      <c r="N40" s="231"/>
    </row>
    <row r="41" spans="1:14" ht="14.5" customHeight="1" x14ac:dyDescent="0.2">
      <c r="A41" s="222"/>
      <c r="B41" s="30"/>
      <c r="C41" s="15"/>
      <c r="D41" s="15"/>
      <c r="E41" s="125"/>
      <c r="F41" s="128" t="e" cm="1">
        <f t="array" ref="F41">_xlfn.IFS(AND($C41="Fuel car",$D41=1),$E41*'SL '!C$7,AND($C41="Fuel car",$D41=2),$E41*'SL '!C$8,AND($C41="Fuel car",$D41=3),$E41*'SL '!C$9,AND($C41="Fuel car",$D41=4),$E41*'SL '!C$10,AND($C41="Fuel car",$D41=5),$E41*'SL '!C$11,AND($C41="Motorcycle",$D41=1),$E41*'SL '!C$13,AND($C41="Motorcycle",$D41=2),$E41*'SL '!C$14,AND($C41="Electric car",$D41=1),$E41*'SL '!C$16,AND($C41="Electric car",$D41=2),$E41*'SL '!C$17,AND($C41="Electric car",$D41=3),$E41*'SL '!C$18,AND($C41="Electric car",$D41=4),$E41*'SL '!C$19,AND($C41="Electric car",$D41=5),$E41*'SL '!C$20,AND($C41="Hybrid car",$D41=1),$E41*'SL '!C$22,AND($C41="Hybrid car",$D41=2),$E41*'SL '!C$23,AND($C41="Hybrid car",$D41=3),$E41*'SL '!C$24,AND($C41="Hybrid car",$D41=4),$E41*'SL '!C$25,AND($C41="Hybrid car",$D41=5),$E41*'SL '!C$26,AND($C41="Electric motorcycle",$D41=1),$E41*'SL '!C$28,AND($C41="Electric motorcycle",$D41=2),$E41*'SL '!C$29,AND($C41="Electric bike",$D41=1),$E41*'SL '!C$31,AND($C41="Electric scooter",$D41=1),$E41*'SL '!C$33,AND($C41="Bus",$D41="Almost empty"),$E41*'SL '!H$23,AND($C41="Bus",$D41="Average"),$E41*'SL '!H$24,AND($C41="Bus",$D41="Nearly full"),$E41*'SL '!H$25,AND($C41="Electric bus",$D41="Almost empty"),$E41*'SL '!H$7,AND($C41="Electric bus",$D41="Average"),$E41*'SL '!H$8,AND($C41="Electric bus",$D41="Nearly full"),$E41*'SL '!H$9,AND($C41="Diesel bus",$D41="Almost empty"),$E41*'SL '!H$19,AND($C41="Diesel bus",$D41="Average"),$E41*'SL '!H$20,AND($C41="Diesel bus",$D41="Nearly full"),$E41*'SL '!H$21,AND($C41="Hybrid-electric bus",$D41="Almost empty"),$E41*'SL '!H$11,AND($C41="Hybrid-electric bus",$D41="Average"),$E41*'SL '!H$12,AND($C41="Hybrid-electric bus",$D41="Nearly full"),$E41*'SL '!H$13,AND($C41="Alternative fuel bus",$D41="Almost empty"),$E41*'SL '!H$15,AND($C41="Alternative fuel bus",$D41="Average"),$E41*'SL '!H$16,AND($C41="Alternative fuel bus",$D41="Nearly full"),$E41*'SL '!H$17,AND($C41="Metro, tram, urban light train",$D41="Almost empty"),$E41*'SL '!C$35,AND($C41="Metro, tram, urban light train",$D41="Average"),$E41*'SL '!C$36,AND($C41="Metro, tram, urban light train",$D41="Nearly full"),$E41*'SL '!C$37,AND($C41="Electric passenger train",$D41="Almost empty"),$E41*'SL '!C$39,AND($C41="Electric passenger train",$D41="Average"),$E41*'SL '!C$40,AND($C41="Electric passenger train",$D41="Nearly full"),$E41*'SL '!C$41,AND($C41="Diesel passenger train",$D41="Almost empty"),$E41*'SL '!C$47,AND($C41="Diesel passenger train",$D41="Average"),$E41*'SL '!C$48,AND($C41="Diesel passenger train",$D41="Nearly full"),$E41*'SL '!C$49,AND($C41="Walking"),$E41*0,AND($C41="Bike"),$E41*0,AND($C41="Plane - domestic flight"),$E41*'SL '!$C65,AND($C41="Plane - international - intra EU"),$E41*'SL '!$C67,AND($C41="Plane - international (extra EU)"),$E41*'SL '!$C69)</f>
        <v>#N/A</v>
      </c>
      <c r="G41" s="31" t="e" cm="1">
        <f t="array" ref="G41">_xlfn.IFS(AND($C41="Fuel car",$D41=1),$E41*'SL '!D$7,AND($C41="Fuel car",$D41=2),$E41*'SL '!D$8,AND($C41="Fuel car",$D41=3),$E41*'SL '!D$9,AND($C41="Fuel car",$D41=4),$E41*'SL '!D$10,AND($C41="Fuel car",$D41=5),$E41*'SL '!D$11,AND($C41="Motorcycle",$D41=1),$E41*'SL '!D$13,AND($C41="Motorcycle",$D41=2),$E41*'SL '!D$14,AND($C41="Electric car",$D41=1),$E41*'SL '!D$16,AND($C41="Electric car",$D41=2),$E41*'SL '!D$17,AND($C41="Electric car",$D41=3),$E41*'SL '!D$18,AND($C41="Electric car",$D41=4),$E41*'SL '!D$19,AND($C41="Electric car",$D41=5),$E41*'SL '!D$20,AND($C41="Hybrid car",$D41=1),$E41*'SL '!D$22,AND($C41="Hybrid car",$D41=2),$E41*'SL '!D$23,AND($C41="Hybrid car",$D41=3),$E41*'SL '!D$24,AND($C41="Hybrid car",$D41=4),$E41*'SL '!D$25,AND($C41="Hybrid car",$D41=5),$E41*'SL '!D$26,AND($C41="Electric motorcycle",$D41=1),$E41*'SL '!D$28,AND($C41="Electric motorcycle",$D41=2),$E41*'SL '!D$29,AND($C41="Electric bike",$D41=1),$E41*'SL '!D$31,AND($C41="Electric scooter",$D41=1),$E41*'SL '!D$33,AND($C41="Bus",$D41="Almost empty"),$E41*'SL '!I$23,AND($C41="Bus",$D41="Average"),$E41*'SL '!I$24,AND($C41="Bus",$D41="Nearly full"),$E41*'SL '!I$25,AND($C41="Electric bus",$D41="Almost empty"),$E41*'SL '!I$7,AND($C41="Electric bus",$D41="Average"),$E41*'SL '!I$8,AND($C41="Electric bus",$D41="Nearly full"),$E41*'SL '!I$9,AND($C41="Diesel bus",$D41="Almost empty"),$E41*'SL '!I$19,AND($C41="Diesel bus",$D41="Average"),$E41*'SL '!I$20,AND($C41="Diesel bus",$D41="Nearly full"),$E41*'SL '!I$21,AND($C41="Hybrid-electric bus",$D41="Almost empty"),$E41*'SL '!I$11,AND($C41="Hybrid-electric bus",$D41="Average"),$E41*'SL '!I$12,AND($C41="Hybrid-electric bus",$D41="Nearly full"),$E41*'SL '!I$13,AND($C41="Alternative fuel bus",$D41="Almost empty"),$E41*'SL '!I$15,AND($C41="Alternative fuel bus",$D41="Average"),$E41*'SL '!I$16,AND($C41="Alternative fuel bus",$D41="Nearly full"),$E41*'SL '!I$17,AND($C41="Metro, tram, urban light train",$D41="Almost empty"),$E41*'SL '!D$35,AND($C41="Metro, tram, urban light train",$D41="Average"),$E41*'SL '!D$36,AND($C41="Metro, tram, urban light train",$D41="Nearly full"),$E41*'SL '!D$37,AND($C41="Electric passenger train",$D41="Almost empty"),$E41*'SL '!D$39,AND($C41="Electric passenger train",$D41="Average"),$E41*'SL '!D$40,AND($C41="Electric passenger train",$D41="Nearly full"),$E41*'SL '!D$41,AND($C41="Diesel passenger train",$D41="Almost empty"),$E41*'SL '!D$47,AND($C41="Diesel passenger train",$D41="Average"),$E41*'SL '!D$48,AND($C41="Diesel passenger train",$D41="Nearly full"),$E41*'SL '!D$49,AND($C41="Walking"),$E41*0,AND($C41="Bike"),$E41*0,AND($C41="Plane - domestic flight"),$E41*'SL '!$C65,AND($C41="Plane - international - intra EU"),$E41*'SL '!$C67,AND($C41="Plane - international (extra EU)"),$E41*'SL '!$C69)</f>
        <v>#N/A</v>
      </c>
      <c r="H41" s="145"/>
      <c r="I41" s="148">
        <f t="shared" si="6"/>
        <v>0</v>
      </c>
      <c r="J41" s="146" t="e" cm="1">
        <f t="array" ref="J41">_xlfn.IFS(C41="Fuel car",C41*DATA!$C$17,C41="Electric car",C41*DATA!$F$28,C41="Hybrid car",I41*(0.5*DATA!$C$17+0.5*DATA!$F$28))</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car",$D42=1),$E42*'SL '!C$7,AND($C42="Fuel car",$D42=2),$E42*'SL '!C$8,AND($C42="Fuel car",$D42=3),$E42*'SL '!C$9,AND($C42="Fuel car",$D42=4),$E42*'SL '!C$10,AND($C42="Fuel car",$D42=5),$E42*'SL '!C$11,AND($C42="Motorcycle",$D42=1),$E42*'SL '!C$13,AND($C42="Motorcycle",$D42=2),$E42*'SL '!C$14,AND($C42="Electric car",$D42=1),$E42*'SL '!C$16,AND($C42="Electric car",$D42=2),$E42*'SL '!C$17,AND($C42="Electric car",$D42=3),$E42*'SL '!C$18,AND($C42="Electric car",$D42=4),$E42*'SL '!C$19,AND($C42="Electric car",$D42=5),$E42*'SL '!C$20,AND($C42="Hybrid car",$D42=1),$E42*'SL '!C$22,AND($C42="Hybrid car",$D42=2),$E42*'SL '!C$23,AND($C42="Hybrid car",$D42=3),$E42*'SL '!C$24,AND($C42="Hybrid car",$D42=4),$E42*'SL '!C$25,AND($C42="Hybrid car",$D42=5),$E42*'SL '!C$26,AND($C42="Electric motorcycle",$D42=1),$E42*'SL '!C$28,AND($C42="Electric motorcycle",$D42=2),$E42*'SL '!C$29,AND($C42="Electric bike",$D42=1),$E42*'SL '!C$31,AND($C42="Electric scooter",$D42=1),$E42*'SL '!C$33,AND($C42="Bus",$D42="Almost empty"),$E42*'SL '!H$23,AND($C42="Bus",$D42="Average"),$E42*'SL '!H$24,AND($C42="Bus",$D42="Nearly full"),$E42*'SL '!H$25,AND($C42="Electric bus",$D42="Almost empty"),$E42*'SL '!H$7,AND($C42="Electric bus",$D42="Average"),$E42*'SL '!H$8,AND($C42="Electric bus",$D42="Nearly full"),$E42*'SL '!H$9,AND($C42="Diesel bus",$D42="Almost empty"),$E42*'SL '!H$19,AND($C42="Diesel bus",$D42="Average"),$E42*'SL '!H$20,AND($C42="Diesel bus",$D42="Nearly full"),$E42*'SL '!H$21,AND($C42="Hybrid-electric bus",$D42="Almost empty"),$E42*'SL '!H$11,AND($C42="Hybrid-electric bus",$D42="Average"),$E42*'SL '!H$12,AND($C42="Hybrid-electric bus",$D42="Nearly full"),$E42*'SL '!H$13,AND($C42="Alternative fuel bus",$D42="Almost empty"),$E42*'SL '!H$15,AND($C42="Alternative fuel bus",$D42="Average"),$E42*'SL '!H$16,AND($C42="Alternative fuel bus",$D42="Nearly full"),$E42*'SL '!H$17,AND($C42="Metro, tram, urban light train",$D42="Almost empty"),$E42*'SL '!C$35,AND($C42="Metro, tram, urban light train",$D42="Average"),$E42*'SL '!C$36,AND($C42="Metro, tram, urban light train",$D42="Nearly full"),$E42*'SL '!C$37,AND($C42="Electric passenger train",$D42="Almost empty"),$E42*'SL '!C$39,AND($C42="Electric passenger train",$D42="Average"),$E42*'SL '!C$40,AND($C42="Electric passenger train",$D42="Nearly full"),$E42*'SL '!C$41,AND($C42="Diesel passenger train",$D42="Almost empty"),$E42*'SL '!C$47,AND($C42="Diesel passenger train",$D42="Average"),$E42*'SL '!C$48,AND($C42="Diesel passenger train",$D42="Nearly full"),$E42*'SL '!C$49,AND($C42="Walking"),$E42*0,AND($C42="Bike"),$E42*0,AND($C42="Plane - domestic flight"),$E42*'SL '!$C66,AND($C42="Plane - international - intra EU"),$E42*'SL '!$C68,AND($C42="Plane - international (extra EU)"),$E42*'SL '!$C70)</f>
        <v>#N/A</v>
      </c>
      <c r="G42" s="31" t="e" cm="1">
        <f t="array" ref="G42">_xlfn.IFS(AND($C42="Fuel car",$D42=1),$E42*'SL '!D$7,AND($C42="Fuel car",$D42=2),$E42*'SL '!D$8,AND($C42="Fuel car",$D42=3),$E42*'SL '!D$9,AND($C42="Fuel car",$D42=4),$E42*'SL '!D$10,AND($C42="Fuel car",$D42=5),$E42*'SL '!D$11,AND($C42="Motorcycle",$D42=1),$E42*'SL '!D$13,AND($C42="Motorcycle",$D42=2),$E42*'SL '!D$14,AND($C42="Electric car",$D42=1),$E42*'SL '!D$16,AND($C42="Electric car",$D42=2),$E42*'SL '!D$17,AND($C42="Electric car",$D42=3),$E42*'SL '!D$18,AND($C42="Electric car",$D42=4),$E42*'SL '!D$19,AND($C42="Electric car",$D42=5),$E42*'SL '!D$20,AND($C42="Hybrid car",$D42=1),$E42*'SL '!D$22,AND($C42="Hybrid car",$D42=2),$E42*'SL '!D$23,AND($C42="Hybrid car",$D42=3),$E42*'SL '!D$24,AND($C42="Hybrid car",$D42=4),$E42*'SL '!D$25,AND($C42="Hybrid car",$D42=5),$E42*'SL '!D$26,AND($C42="Electric motorcycle",$D42=1),$E42*'SL '!D$28,AND($C42="Electric motorcycle",$D42=2),$E42*'SL '!D$29,AND($C42="Electric bike",$D42=1),$E42*'SL '!D$31,AND($C42="Electric scooter",$D42=1),$E42*'SL '!D$33,AND($C42="Bus",$D42="Almost empty"),$E42*'SL '!I$23,AND($C42="Bus",$D42="Average"),$E42*'SL '!I$24,AND($C42="Bus",$D42="Nearly full"),$E42*'SL '!I$25,AND($C42="Electric bus",$D42="Almost empty"),$E42*'SL '!I$7,AND($C42="Electric bus",$D42="Average"),$E42*'SL '!I$8,AND($C42="Electric bus",$D42="Nearly full"),$E42*'SL '!I$9,AND($C42="Diesel bus",$D42="Almost empty"),$E42*'SL '!I$19,AND($C42="Diesel bus",$D42="Average"),$E42*'SL '!I$20,AND($C42="Diesel bus",$D42="Nearly full"),$E42*'SL '!I$21,AND($C42="Hybrid-electric bus",$D42="Almost empty"),$E42*'SL '!I$11,AND($C42="Hybrid-electric bus",$D42="Average"),$E42*'SL '!I$12,AND($C42="Hybrid-electric bus",$D42="Nearly full"),$E42*'SL '!I$13,AND($C42="Alternative fuel bus",$D42="Almost empty"),$E42*'SL '!I$15,AND($C42="Alternative fuel bus",$D42="Average"),$E42*'SL '!I$16,AND($C42="Alternative fuel bus",$D42="Nearly full"),$E42*'SL '!I$17,AND($C42="Metro, tram, urban light train",$D42="Almost empty"),$E42*'SL '!D$35,AND($C42="Metro, tram, urban light train",$D42="Average"),$E42*'SL '!D$36,AND($C42="Metro, tram, urban light train",$D42="Nearly full"),$E42*'SL '!D$37,AND($C42="Electric passenger train",$D42="Almost empty"),$E42*'SL '!D$39,AND($C42="Electric passenger train",$D42="Average"),$E42*'SL '!D$40,AND($C42="Electric passenger train",$D42="Nearly full"),$E42*'SL '!D$41,AND($C42="Diesel passenger train",$D42="Almost empty"),$E42*'SL '!D$47,AND($C42="Diesel passenger train",$D42="Average"),$E42*'SL '!D$48,AND($C42="Diesel passenger train",$D42="Nearly full"),$E42*'SL '!D$49,AND($C42="Walking"),$E42*0,AND($C42="Bike"),$E42*0,AND($C42="Plane - domestic flight"),$E42*'SL '!$C66,AND($C42="Plane - international - intra EU"),$E42*'SL '!$C68,AND($C42="Plane - international (extra EU)"),$E42*'SL '!$C70)</f>
        <v>#N/A</v>
      </c>
      <c r="H42" s="145"/>
      <c r="I42" s="148">
        <f t="shared" si="6"/>
        <v>0</v>
      </c>
      <c r="J42" s="146" t="e" cm="1">
        <f t="array" ref="J42">_xlfn.IFS(C42="Fuel car",C42*DATA!$C$17,C42="Electric car",C42*DATA!$F$28,C42="Hybrid car",I42*(0.5*DATA!$C$17+0.5*DATA!$F$28))</f>
        <v>#N/A</v>
      </c>
      <c r="L42" s="235"/>
      <c r="M42" s="236"/>
      <c r="N42" s="237"/>
    </row>
    <row r="43" spans="1:14" ht="14.5" customHeight="1" thickBot="1" x14ac:dyDescent="0.25">
      <c r="A43" s="222"/>
      <c r="B43" s="30"/>
      <c r="C43" s="15"/>
      <c r="D43" s="15"/>
      <c r="E43" s="125"/>
      <c r="F43" s="128" t="e" cm="1">
        <f t="array" ref="F43">_xlfn.IFS(AND($C43="Fuel car",$D43=1),$E43*'SL '!C$7,AND($C43="Fuel car",$D43=2),$E43*'SL '!C$8,AND($C43="Fuel car",$D43=3),$E43*'SL '!C$9,AND($C43="Fuel car",$D43=4),$E43*'SL '!C$10,AND($C43="Fuel car",$D43=5),$E43*'SL '!C$11,AND($C43="Motorcycle",$D43=1),$E43*'SL '!C$13,AND($C43="Motorcycle",$D43=2),$E43*'SL '!C$14,AND($C43="Electric car",$D43=1),$E43*'SL '!C$16,AND($C43="Electric car",$D43=2),$E43*'SL '!C$17,AND($C43="Electric car",$D43=3),$E43*'SL '!C$18,AND($C43="Electric car",$D43=4),$E43*'SL '!C$19,AND($C43="Electric car",$D43=5),$E43*'SL '!C$20,AND($C43="Hybrid car",$D43=1),$E43*'SL '!C$22,AND($C43="Hybrid car",$D43=2),$E43*'SL '!C$23,AND($C43="Hybrid car",$D43=3),$E43*'SL '!C$24,AND($C43="Hybrid car",$D43=4),$E43*'SL '!C$25,AND($C43="Hybrid car",$D43=5),$E43*'SL '!C$26,AND($C43="Electric motorcycle",$D43=1),$E43*'SL '!C$28,AND($C43="Electric motorcycle",$D43=2),$E43*'SL '!C$29,AND($C43="Electric bike",$D43=1),$E43*'SL '!C$31,AND($C43="Electric scooter",$D43=1),$E43*'SL '!C$33,AND($C43="Bus",$D43="Almost empty"),$E43*'SL '!H$23,AND($C43="Bus",$D43="Average"),$E43*'SL '!H$24,AND($C43="Bus",$D43="Nearly full"),$E43*'SL '!H$25,AND($C43="Electric bus",$D43="Almost empty"),$E43*'SL '!H$7,AND($C43="Electric bus",$D43="Average"),$E43*'SL '!H$8,AND($C43="Electric bus",$D43="Nearly full"),$E43*'SL '!H$9,AND($C43="Diesel bus",$D43="Almost empty"),$E43*'SL '!H$19,AND($C43="Diesel bus",$D43="Average"),$E43*'SL '!H$20,AND($C43="Diesel bus",$D43="Nearly full"),$E43*'SL '!H$21,AND($C43="Hybrid-electric bus",$D43="Almost empty"),$E43*'SL '!H$11,AND($C43="Hybrid-electric bus",$D43="Average"),$E43*'SL '!H$12,AND($C43="Hybrid-electric bus",$D43="Nearly full"),$E43*'SL '!H$13,AND($C43="Alternative fuel bus",$D43="Almost empty"),$E43*'SL '!H$15,AND($C43="Alternative fuel bus",$D43="Average"),$E43*'SL '!H$16,AND($C43="Alternative fuel bus",$D43="Nearly full"),$E43*'SL '!H$17,AND($C43="Metro, tram, urban light train",$D43="Almost empty"),$E43*'SL '!C$35,AND($C43="Metro, tram, urban light train",$D43="Average"),$E43*'SL '!C$36,AND($C43="Metro, tram, urban light train",$D43="Nearly full"),$E43*'SL '!C$37,AND($C43="Electric passenger train",$D43="Almost empty"),$E43*'SL '!C$39,AND($C43="Electric passenger train",$D43="Average"),$E43*'SL '!C$40,AND($C43="Electric passenger train",$D43="Nearly full"),$E43*'SL '!C$41,AND($C43="Diesel passenger train",$D43="Almost empty"),$E43*'SL '!C$47,AND($C43="Diesel passenger train",$D43="Average"),$E43*'SL '!C$48,AND($C43="Diesel passenger train",$D43="Nearly full"),$E43*'SL '!C$49,AND($C43="Walking"),$E43*0,AND($C43="Bike"),$E43*0,AND($C43="Plane - domestic flight"),$E43*'SL '!$C67,AND($C43="Plane - international - intra EU"),$E43*'SL '!$C69,AND($C43="Plane - international (extra EU)"),$E43*'SL '!$C71)</f>
        <v>#N/A</v>
      </c>
      <c r="G43" s="31" t="e" cm="1">
        <f t="array" ref="G43">_xlfn.IFS(AND($C43="Fuel car",$D43=1),$E43*'SL '!D$7,AND($C43="Fuel car",$D43=2),$E43*'SL '!D$8,AND($C43="Fuel car",$D43=3),$E43*'SL '!D$9,AND($C43="Fuel car",$D43=4),$E43*'SL '!D$10,AND($C43="Fuel car",$D43=5),$E43*'SL '!D$11,AND($C43="Motorcycle",$D43=1),$E43*'SL '!D$13,AND($C43="Motorcycle",$D43=2),$E43*'SL '!D$14,AND($C43="Electric car",$D43=1),$E43*'SL '!D$16,AND($C43="Electric car",$D43=2),$E43*'SL '!D$17,AND($C43="Electric car",$D43=3),$E43*'SL '!D$18,AND($C43="Electric car",$D43=4),$E43*'SL '!D$19,AND($C43="Electric car",$D43=5),$E43*'SL '!D$20,AND($C43="Hybrid car",$D43=1),$E43*'SL '!D$22,AND($C43="Hybrid car",$D43=2),$E43*'SL '!D$23,AND($C43="Hybrid car",$D43=3),$E43*'SL '!D$24,AND($C43="Hybrid car",$D43=4),$E43*'SL '!D$25,AND($C43="Hybrid car",$D43=5),$E43*'SL '!D$26,AND($C43="Electric motorcycle",$D43=1),$E43*'SL '!D$28,AND($C43="Electric motorcycle",$D43=2),$E43*'SL '!D$29,AND($C43="Electric bike",$D43=1),$E43*'SL '!D$31,AND($C43="Electric scooter",$D43=1),$E43*'SL '!D$33,AND($C43="Bus",$D43="Almost empty"),$E43*'SL '!I$23,AND($C43="Bus",$D43="Average"),$E43*'SL '!I$24,AND($C43="Bus",$D43="Nearly full"),$E43*'SL '!I$25,AND($C43="Electric bus",$D43="Almost empty"),$E43*'SL '!I$7,AND($C43="Electric bus",$D43="Average"),$E43*'SL '!I$8,AND($C43="Electric bus",$D43="Nearly full"),$E43*'SL '!I$9,AND($C43="Diesel bus",$D43="Almost empty"),$E43*'SL '!I$19,AND($C43="Diesel bus",$D43="Average"),$E43*'SL '!I$20,AND($C43="Diesel bus",$D43="Nearly full"),$E43*'SL '!I$21,AND($C43="Hybrid-electric bus",$D43="Almost empty"),$E43*'SL '!I$11,AND($C43="Hybrid-electric bus",$D43="Average"),$E43*'SL '!I$12,AND($C43="Hybrid-electric bus",$D43="Nearly full"),$E43*'SL '!I$13,AND($C43="Alternative fuel bus",$D43="Almost empty"),$E43*'SL '!I$15,AND($C43="Alternative fuel bus",$D43="Average"),$E43*'SL '!I$16,AND($C43="Alternative fuel bus",$D43="Nearly full"),$E43*'SL '!I$17,AND($C43="Metro, tram, urban light train",$D43="Almost empty"),$E43*'SL '!D$35,AND($C43="Metro, tram, urban light train",$D43="Average"),$E43*'SL '!D$36,AND($C43="Metro, tram, urban light train",$D43="Nearly full"),$E43*'SL '!D$37,AND($C43="Electric passenger train",$D43="Almost empty"),$E43*'SL '!D$39,AND($C43="Electric passenger train",$D43="Average"),$E43*'SL '!D$40,AND($C43="Electric passenger train",$D43="Nearly full"),$E43*'SL '!D$41,AND($C43="Diesel passenger train",$D43="Almost empty"),$E43*'SL '!D$47,AND($C43="Diesel passenger train",$D43="Average"),$E43*'SL '!D$48,AND($C43="Diesel passenger train",$D43="Nearly full"),$E43*'SL '!D$49,AND($C43="Walking"),$E43*0,AND($C43="Bike"),$E43*0,AND($C43="Plane - domestic flight"),$E43*'SL '!$C67,AND($C43="Plane - international - intra EU"),$E43*'SL '!$C69,AND($C43="Plane - international (extra EU)"),$E43*'SL '!$C71)</f>
        <v>#N/A</v>
      </c>
      <c r="H43" s="109"/>
      <c r="I43" s="154">
        <f t="shared" si="6"/>
        <v>0</v>
      </c>
      <c r="J43" s="147" t="e" cm="1">
        <f t="array" ref="J43">_xlfn.IFS(C43="Fuel car",C43*DATA!$C$17,C43="Electric car",C43*DATA!$F$28,C43="Hybrid car",I43*(0.5*DATA!$C$17+0.5*DATA!$F$28))</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car",$D44=1),$E44*'SL '!C$7,AND($C44="Fuel car",$D44=2),$E44*'SL '!C$8,AND($C44="Fuel car",$D44=3),$E44*'SL '!C$9,AND($C44="Fuel car",$D44=4),$E44*'SL '!C$10,AND($C44="Fuel car",$D44=5),$E44*'SL '!C$11,AND($C44="Motorcycle",$D44=1),$E44*'SL '!C$13,AND($C44="Motorcycle",$D44=2),$E44*'SL '!C$14,AND($C44="Electric car",$D44=1),$E44*'SL '!C$16,AND($C44="Electric car",$D44=2),$E44*'SL '!C$17,AND($C44="Electric car",$D44=3),$E44*'SL '!C$18,AND($C44="Electric car",$D44=4),$E44*'SL '!C$19,AND($C44="Electric car",$D44=5),$E44*'SL '!C$20,AND($C44="Hybrid car",$D44=1),$E44*'SL '!C$22,AND($C44="Hybrid car",$D44=2),$E44*'SL '!C$23,AND($C44="Hybrid car",$D44=3),$E44*'SL '!C$24,AND($C44="Hybrid car",$D44=4),$E44*'SL '!C$25,AND($C44="Hybrid car",$D44=5),$E44*'SL '!C$26,AND($C44="Electric motorcycle",$D44=1),$E44*'SL '!C$28,AND($C44="Electric motorcycle",$D44=2),$E44*'SL '!C$29,AND($C44="Electric bike",$D44=1),$E44*'SL '!C$31,AND($C44="Electric scooter",$D44=1),$E44*'SL '!C$33,AND($C44="Bus",$D44="Almost empty"),$E44*'SL '!H$23,AND($C44="Bus",$D44="Average"),$E44*'SL '!H$24,AND($C44="Bus",$D44="Nearly full"),$E44*'SL '!H$25,AND($C44="Electric bus",$D44="Almost empty"),$E44*'SL '!H$7,AND($C44="Electric bus",$D44="Average"),$E44*'SL '!H$8,AND($C44="Electric bus",$D44="Nearly full"),$E44*'SL '!H$9,AND($C44="Diesel bus",$D44="Almost empty"),$E44*'SL '!H$19,AND($C44="Diesel bus",$D44="Average"),$E44*'SL '!H$20,AND($C44="Diesel bus",$D44="Nearly full"),$E44*'SL '!H$21,AND($C44="Hybrid-electric bus",$D44="Almost empty"),$E44*'SL '!H$11,AND($C44="Hybrid-electric bus",$D44="Average"),$E44*'SL '!H$12,AND($C44="Hybrid-electric bus",$D44="Nearly full"),$E44*'SL '!H$13,AND($C44="Alternative fuel bus",$D44="Almost empty"),$E44*'SL '!H$15,AND($C44="Alternative fuel bus",$D44="Average"),$E44*'SL '!H$16,AND($C44="Alternative fuel bus",$D44="Nearly full"),$E44*'SL '!H$17,AND($C44="Metro, tram, urban light train",$D44="Almost empty"),$E44*'SL '!C$35,AND($C44="Metro, tram, urban light train",$D44="Average"),$E44*'SL '!C$36,AND($C44="Metro, tram, urban light train",$D44="Nearly full"),$E44*'SL '!C$37,AND($C44="Electric passenger train",$D44="Almost empty"),$E44*'SL '!C$39,AND($C44="Electric passenger train",$D44="Average"),$E44*'SL '!C$40,AND($C44="Electric passenger train",$D44="Nearly full"),$E44*'SL '!C$41,AND($C44="Diesel passenger train",$D44="Almost empty"),$E44*'SL '!C$47,AND($C44="Diesel passenger train",$D44="Average"),$E44*'SL '!C$48,AND($C44="Diesel passenger train",$D44="Nearly full"),$E44*'SL '!C$49,AND($C44="Walking"),$E44*0,AND($C44="Bike"),$E44*0,AND($C44="Plane - domestic flight"),$E44*'SL '!$C68,AND($C44="Plane - international - intra EU"),$E44*'SL '!$C70,AND($C44="Plane - international (extra EU)"),$E44*'SL '!$C72)</f>
        <v>#N/A</v>
      </c>
      <c r="G44" s="31" t="e" cm="1">
        <f t="array" ref="G44">_xlfn.IFS(AND($C44="Fuel car",$D44=1),$E44*'SL '!D$7,AND($C44="Fuel car",$D44=2),$E44*'SL '!D$8,AND($C44="Fuel car",$D44=3),$E44*'SL '!D$9,AND($C44="Fuel car",$D44=4),$E44*'SL '!D$10,AND($C44="Fuel car",$D44=5),$E44*'SL '!D$11,AND($C44="Motorcycle",$D44=1),$E44*'SL '!D$13,AND($C44="Motorcycle",$D44=2),$E44*'SL '!D$14,AND($C44="Electric car",$D44=1),$E44*'SL '!D$16,AND($C44="Electric car",$D44=2),$E44*'SL '!D$17,AND($C44="Electric car",$D44=3),$E44*'SL '!D$18,AND($C44="Electric car",$D44=4),$E44*'SL '!D$19,AND($C44="Electric car",$D44=5),$E44*'SL '!D$20,AND($C44="Hybrid car",$D44=1),$E44*'SL '!D$22,AND($C44="Hybrid car",$D44=2),$E44*'SL '!D$23,AND($C44="Hybrid car",$D44=3),$E44*'SL '!D$24,AND($C44="Hybrid car",$D44=4),$E44*'SL '!D$25,AND($C44="Hybrid car",$D44=5),$E44*'SL '!D$26,AND($C44="Electric motorcycle",$D44=1),$E44*'SL '!D$28,AND($C44="Electric motorcycle",$D44=2),$E44*'SL '!D$29,AND($C44="Electric bike",$D44=1),$E44*'SL '!D$31,AND($C44="Electric scooter",$D44=1),$E44*'SL '!D$33,AND($C44="Bus",$D44="Almost empty"),$E44*'SL '!I$23,AND($C44="Bus",$D44="Average"),$E44*'SL '!I$24,AND($C44="Bus",$D44="Nearly full"),$E44*'SL '!I$25,AND($C44="Electric bus",$D44="Almost empty"),$E44*'SL '!I$7,AND($C44="Electric bus",$D44="Average"),$E44*'SL '!I$8,AND($C44="Electric bus",$D44="Nearly full"),$E44*'SL '!I$9,AND($C44="Diesel bus",$D44="Almost empty"),$E44*'SL '!I$19,AND($C44="Diesel bus",$D44="Average"),$E44*'SL '!I$20,AND($C44="Diesel bus",$D44="Nearly full"),$E44*'SL '!I$21,AND($C44="Hybrid-electric bus",$D44="Almost empty"),$E44*'SL '!I$11,AND($C44="Hybrid-electric bus",$D44="Average"),$E44*'SL '!I$12,AND($C44="Hybrid-electric bus",$D44="Nearly full"),$E44*'SL '!I$13,AND($C44="Alternative fuel bus",$D44="Almost empty"),$E44*'SL '!I$15,AND($C44="Alternative fuel bus",$D44="Average"),$E44*'SL '!I$16,AND($C44="Alternative fuel bus",$D44="Nearly full"),$E44*'SL '!I$17,AND($C44="Metro, tram, urban light train",$D44="Almost empty"),$E44*'SL '!D$35,AND($C44="Metro, tram, urban light train",$D44="Average"),$E44*'SL '!D$36,AND($C44="Metro, tram, urban light train",$D44="Nearly full"),$E44*'SL '!D$37,AND($C44="Electric passenger train",$D44="Almost empty"),$E44*'SL '!D$39,AND($C44="Electric passenger train",$D44="Average"),$E44*'SL '!D$40,AND($C44="Electric passenger train",$D44="Nearly full"),$E44*'SL '!D$41,AND($C44="Diesel passenger train",$D44="Almost empty"),$E44*'SL '!D$47,AND($C44="Diesel passenger train",$D44="Average"),$E44*'SL '!D$48,AND($C44="Diesel passenger train",$D44="Nearly full"),$E44*'SL '!D$49,AND($C44="Walking"),$E44*0,AND($C44="Bike"),$E44*0,AND($C44="Plane - domestic flight"),$E44*'SL '!$C68,AND($C44="Plane - international - intra EU"),$E44*'SL '!$C70,AND($C44="Plane - international (extra EU)"),$E44*'SL '!$C72)</f>
        <v>#N/A</v>
      </c>
      <c r="L44" s="218"/>
      <c r="M44" s="219"/>
      <c r="N44" s="220"/>
    </row>
    <row r="45" spans="1:14" ht="14.5" customHeight="1" x14ac:dyDescent="0.2">
      <c r="A45" s="222"/>
      <c r="B45" s="30"/>
      <c r="C45" s="15"/>
      <c r="D45" s="15"/>
      <c r="E45" s="125"/>
      <c r="F45" s="128" t="e" cm="1">
        <f t="array" ref="F45">_xlfn.IFS(AND($C45="Fuel car",$D45=1),$E45*'SL '!C$7,AND($C45="Fuel car",$D45=2),$E45*'SL '!C$8,AND($C45="Fuel car",$D45=3),$E45*'SL '!C$9,AND($C45="Fuel car",$D45=4),$E45*'SL '!C$10,AND($C45="Fuel car",$D45=5),$E45*'SL '!C$11,AND($C45="Motorcycle",$D45=1),$E45*'SL '!C$13,AND($C45="Motorcycle",$D45=2),$E45*'SL '!C$14,AND($C45="Electric car",$D45=1),$E45*'SL '!C$16,AND($C45="Electric car",$D45=2),$E45*'SL '!C$17,AND($C45="Electric car",$D45=3),$E45*'SL '!C$18,AND($C45="Electric car",$D45=4),$E45*'SL '!C$19,AND($C45="Electric car",$D45=5),$E45*'SL '!C$20,AND($C45="Hybrid car",$D45=1),$E45*'SL '!C$22,AND($C45="Hybrid car",$D45=2),$E45*'SL '!C$23,AND($C45="Hybrid car",$D45=3),$E45*'SL '!C$24,AND($C45="Hybrid car",$D45=4),$E45*'SL '!C$25,AND($C45="Hybrid car",$D45=5),$E45*'SL '!C$26,AND($C45="Electric motorcycle",$D45=1),$E45*'SL '!C$28,AND($C45="Electric motorcycle",$D45=2),$E45*'SL '!C$29,AND($C45="Electric bike",$D45=1),$E45*'SL '!C$31,AND($C45="Electric scooter",$D45=1),$E45*'SL '!C$33,AND($C45="Bus",$D45="Almost empty"),$E45*'SL '!H$23,AND($C45="Bus",$D45="Average"),$E45*'SL '!H$24,AND($C45="Bus",$D45="Nearly full"),$E45*'SL '!H$25,AND($C45="Electric bus",$D45="Almost empty"),$E45*'SL '!H$7,AND($C45="Electric bus",$D45="Average"),$E45*'SL '!H$8,AND($C45="Electric bus",$D45="Nearly full"),$E45*'SL '!H$9,AND($C45="Diesel bus",$D45="Almost empty"),$E45*'SL '!H$19,AND($C45="Diesel bus",$D45="Average"),$E45*'SL '!H$20,AND($C45="Diesel bus",$D45="Nearly full"),$E45*'SL '!H$21,AND($C45="Hybrid-electric bus",$D45="Almost empty"),$E45*'SL '!H$11,AND($C45="Hybrid-electric bus",$D45="Average"),$E45*'SL '!H$12,AND($C45="Hybrid-electric bus",$D45="Nearly full"),$E45*'SL '!H$13,AND($C45="Alternative fuel bus",$D45="Almost empty"),$E45*'SL '!H$15,AND($C45="Alternative fuel bus",$D45="Average"),$E45*'SL '!H$16,AND($C45="Alternative fuel bus",$D45="Nearly full"),$E45*'SL '!H$17,AND($C45="Metro, tram, urban light train",$D45="Almost empty"),$E45*'SL '!C$35,AND($C45="Metro, tram, urban light train",$D45="Average"),$E45*'SL '!C$36,AND($C45="Metro, tram, urban light train",$D45="Nearly full"),$E45*'SL '!C$37,AND($C45="Electric passenger train",$D45="Almost empty"),$E45*'SL '!C$39,AND($C45="Electric passenger train",$D45="Average"),$E45*'SL '!C$40,AND($C45="Electric passenger train",$D45="Nearly full"),$E45*'SL '!C$41,AND($C45="Diesel passenger train",$D45="Almost empty"),$E45*'SL '!C$47,AND($C45="Diesel passenger train",$D45="Average"),$E45*'SL '!C$48,AND($C45="Diesel passenger train",$D45="Nearly full"),$E45*'SL '!C$49,AND($C45="Walking"),$E45*0,AND($C45="Bike"),$E45*0,AND($C45="Plane - domestic flight"),$E45*'SL '!$C69,AND($C45="Plane - international - intra EU"),$E45*'SL '!$C71,AND($C45="Plane - international (extra EU)"),$E45*'SL '!$C73)</f>
        <v>#N/A</v>
      </c>
      <c r="G45" s="31" t="e" cm="1">
        <f t="array" ref="G45">_xlfn.IFS(AND($C45="Fuel car",$D45=1),$E45*'SL '!D$7,AND($C45="Fuel car",$D45=2),$E45*'SL '!D$8,AND($C45="Fuel car",$D45=3),$E45*'SL '!D$9,AND($C45="Fuel car",$D45=4),$E45*'SL '!D$10,AND($C45="Fuel car",$D45=5),$E45*'SL '!D$11,AND($C45="Motorcycle",$D45=1),$E45*'SL '!D$13,AND($C45="Motorcycle",$D45=2),$E45*'SL '!D$14,AND($C45="Electric car",$D45=1),$E45*'SL '!D$16,AND($C45="Electric car",$D45=2),$E45*'SL '!D$17,AND($C45="Electric car",$D45=3),$E45*'SL '!D$18,AND($C45="Electric car",$D45=4),$E45*'SL '!D$19,AND($C45="Electric car",$D45=5),$E45*'SL '!D$20,AND($C45="Hybrid car",$D45=1),$E45*'SL '!D$22,AND($C45="Hybrid car",$D45=2),$E45*'SL '!D$23,AND($C45="Hybrid car",$D45=3),$E45*'SL '!D$24,AND($C45="Hybrid car",$D45=4),$E45*'SL '!D$25,AND($C45="Hybrid car",$D45=5),$E45*'SL '!D$26,AND($C45="Electric motorcycle",$D45=1),$E45*'SL '!D$28,AND($C45="Electric motorcycle",$D45=2),$E45*'SL '!D$29,AND($C45="Electric bike",$D45=1),$E45*'SL '!D$31,AND($C45="Electric scooter",$D45=1),$E45*'SL '!D$33,AND($C45="Bus",$D45="Almost empty"),$E45*'SL '!I$23,AND($C45="Bus",$D45="Average"),$E45*'SL '!I$24,AND($C45="Bus",$D45="Nearly full"),$E45*'SL '!I$25,AND($C45="Electric bus",$D45="Almost empty"),$E45*'SL '!I$7,AND($C45="Electric bus",$D45="Average"),$E45*'SL '!I$8,AND($C45="Electric bus",$D45="Nearly full"),$E45*'SL '!I$9,AND($C45="Diesel bus",$D45="Almost empty"),$E45*'SL '!I$19,AND($C45="Diesel bus",$D45="Average"),$E45*'SL '!I$20,AND($C45="Diesel bus",$D45="Nearly full"),$E45*'SL '!I$21,AND($C45="Hybrid-electric bus",$D45="Almost empty"),$E45*'SL '!I$11,AND($C45="Hybrid-electric bus",$D45="Average"),$E45*'SL '!I$12,AND($C45="Hybrid-electric bus",$D45="Nearly full"),$E45*'SL '!I$13,AND($C45="Alternative fuel bus",$D45="Almost empty"),$E45*'SL '!I$15,AND($C45="Alternative fuel bus",$D45="Average"),$E45*'SL '!I$16,AND($C45="Alternative fuel bus",$D45="Nearly full"),$E45*'SL '!I$17,AND($C45="Metro, tram, urban light train",$D45="Almost empty"),$E45*'SL '!D$35,AND($C45="Metro, tram, urban light train",$D45="Average"),$E45*'SL '!D$36,AND($C45="Metro, tram, urban light train",$D45="Nearly full"),$E45*'SL '!D$37,AND($C45="Electric passenger train",$D45="Almost empty"),$E45*'SL '!D$39,AND($C45="Electric passenger train",$D45="Average"),$E45*'SL '!D$40,AND($C45="Electric passenger train",$D45="Nearly full"),$E45*'SL '!D$41,AND($C45="Diesel passenger train",$D45="Almost empty"),$E45*'SL '!D$47,AND($C45="Diesel passenger train",$D45="Average"),$E45*'SL '!D$48,AND($C45="Diesel passenger train",$D45="Nearly full"),$E45*'SL '!D$49,AND($C45="Walking"),$E45*0,AND($C45="Bike"),$E45*0,AND($C45="Plane - domestic flight"),$E45*'SL '!$C69,AND($C45="Plane - international - intra EU"),$E45*'SL '!$C71,AND($C45="Plane - international (extra EU)"),$E45*'SL '!$C73)</f>
        <v>#N/A</v>
      </c>
      <c r="L45" s="198" t="s">
        <v>256</v>
      </c>
      <c r="M45" s="199"/>
      <c r="N45" s="200"/>
    </row>
    <row r="46" spans="1:14" ht="16" thickBot="1" x14ac:dyDescent="0.25">
      <c r="A46" s="222"/>
      <c r="B46" s="30"/>
      <c r="C46" s="15"/>
      <c r="D46" s="15"/>
      <c r="E46" s="125"/>
      <c r="F46" s="128" t="e" cm="1">
        <f t="array" ref="F46">_xlfn.IFS(AND($C46="Fuel car",$D46=1),$E46*'SL '!C$7,AND($C46="Fuel car",$D46=2),$E46*'SL '!C$8,AND($C46="Fuel car",$D46=3),$E46*'SL '!C$9,AND($C46="Fuel car",$D46=4),$E46*'SL '!C$10,AND($C46="Fuel car",$D46=5),$E46*'SL '!C$11,AND($C46="Motorcycle",$D46=1),$E46*'SL '!C$13,AND($C46="Motorcycle",$D46=2),$E46*'SL '!C$14,AND($C46="Electric car",$D46=1),$E46*'SL '!C$16,AND($C46="Electric car",$D46=2),$E46*'SL '!C$17,AND($C46="Electric car",$D46=3),$E46*'SL '!C$18,AND($C46="Electric car",$D46=4),$E46*'SL '!C$19,AND($C46="Electric car",$D46=5),$E46*'SL '!C$20,AND($C46="Hybrid car",$D46=1),$E46*'SL '!C$22,AND($C46="Hybrid car",$D46=2),$E46*'SL '!C$23,AND($C46="Hybrid car",$D46=3),$E46*'SL '!C$24,AND($C46="Hybrid car",$D46=4),$E46*'SL '!C$25,AND($C46="Hybrid car",$D46=5),$E46*'SL '!C$26,AND($C46="Electric motorcycle",$D46=1),$E46*'SL '!C$28,AND($C46="Electric motorcycle",$D46=2),$E46*'SL '!C$29,AND($C46="Electric bike",$D46=1),$E46*'SL '!C$31,AND($C46="Electric scooter",$D46=1),$E46*'SL '!C$33,AND($C46="Bus",$D46="Almost empty"),$E46*'SL '!H$23,AND($C46="Bus",$D46="Average"),$E46*'SL '!H$24,AND($C46="Bus",$D46="Nearly full"),$E46*'SL '!H$25,AND($C46="Electric bus",$D46="Almost empty"),$E46*'SL '!H$7,AND($C46="Electric bus",$D46="Average"),$E46*'SL '!H$8,AND($C46="Electric bus",$D46="Nearly full"),$E46*'SL '!H$9,AND($C46="Diesel bus",$D46="Almost empty"),$E46*'SL '!H$19,AND($C46="Diesel bus",$D46="Average"),$E46*'SL '!H$20,AND($C46="Diesel bus",$D46="Nearly full"),$E46*'SL '!H$21,AND($C46="Hybrid-electric bus",$D46="Almost empty"),$E46*'SL '!H$11,AND($C46="Hybrid-electric bus",$D46="Average"),$E46*'SL '!H$12,AND($C46="Hybrid-electric bus",$D46="Nearly full"),$E46*'SL '!H$13,AND($C46="Alternative fuel bus",$D46="Almost empty"),$E46*'SL '!H$15,AND($C46="Alternative fuel bus",$D46="Average"),$E46*'SL '!H$16,AND($C46="Alternative fuel bus",$D46="Nearly full"),$E46*'SL '!H$17,AND($C46="Metro, tram, urban light train",$D46="Almost empty"),$E46*'SL '!C$35,AND($C46="Metro, tram, urban light train",$D46="Average"),$E46*'SL '!C$36,AND($C46="Metro, tram, urban light train",$D46="Nearly full"),$E46*'SL '!C$37,AND($C46="Electric passenger train",$D46="Almost empty"),$E46*'SL '!C$39,AND($C46="Electric passenger train",$D46="Average"),$E46*'SL '!C$40,AND($C46="Electric passenger train",$D46="Nearly full"),$E46*'SL '!C$41,AND($C46="Diesel passenger train",$D46="Almost empty"),$E46*'SL '!C$47,AND($C46="Diesel passenger train",$D46="Average"),$E46*'SL '!C$48,AND($C46="Diesel passenger train",$D46="Nearly full"),$E46*'SL '!C$49,AND($C46="Walking"),$E46*0,AND($C46="Bike"),$E46*0,AND($C46="Plane - domestic flight"),$E46*'SL '!$C70,AND($C46="Plane - international - intra EU"),$E46*'SL '!$C72,AND($C46="Plane - international (extra EU)"),$E46*'SL '!$C74)</f>
        <v>#N/A</v>
      </c>
      <c r="G46" s="31" t="e" cm="1">
        <f t="array" ref="G46">_xlfn.IFS(AND($C46="Fuel car",$D46=1),$E46*'SL '!D$7,AND($C46="Fuel car",$D46=2),$E46*'SL '!D$8,AND($C46="Fuel car",$D46=3),$E46*'SL '!D$9,AND($C46="Fuel car",$D46=4),$E46*'SL '!D$10,AND($C46="Fuel car",$D46=5),$E46*'SL '!D$11,AND($C46="Motorcycle",$D46=1),$E46*'SL '!D$13,AND($C46="Motorcycle",$D46=2),$E46*'SL '!D$14,AND($C46="Electric car",$D46=1),$E46*'SL '!D$16,AND($C46="Electric car",$D46=2),$E46*'SL '!D$17,AND($C46="Electric car",$D46=3),$E46*'SL '!D$18,AND($C46="Electric car",$D46=4),$E46*'SL '!D$19,AND($C46="Electric car",$D46=5),$E46*'SL '!D$20,AND($C46="Hybrid car",$D46=1),$E46*'SL '!D$22,AND($C46="Hybrid car",$D46=2),$E46*'SL '!D$23,AND($C46="Hybrid car",$D46=3),$E46*'SL '!D$24,AND($C46="Hybrid car",$D46=4),$E46*'SL '!D$25,AND($C46="Hybrid car",$D46=5),$E46*'SL '!D$26,AND($C46="Electric motorcycle",$D46=1),$E46*'SL '!D$28,AND($C46="Electric motorcycle",$D46=2),$E46*'SL '!D$29,AND($C46="Electric bike",$D46=1),$E46*'SL '!D$31,AND($C46="Electric scooter",$D46=1),$E46*'SL '!D$33,AND($C46="Bus",$D46="Almost empty"),$E46*'SL '!I$23,AND($C46="Bus",$D46="Average"),$E46*'SL '!I$24,AND($C46="Bus",$D46="Nearly full"),$E46*'SL '!I$25,AND($C46="Electric bus",$D46="Almost empty"),$E46*'SL '!I$7,AND($C46="Electric bus",$D46="Average"),$E46*'SL '!I$8,AND($C46="Electric bus",$D46="Nearly full"),$E46*'SL '!I$9,AND($C46="Diesel bus",$D46="Almost empty"),$E46*'SL '!I$19,AND($C46="Diesel bus",$D46="Average"),$E46*'SL '!I$20,AND($C46="Diesel bus",$D46="Nearly full"),$E46*'SL '!I$21,AND($C46="Hybrid-electric bus",$D46="Almost empty"),$E46*'SL '!I$11,AND($C46="Hybrid-electric bus",$D46="Average"),$E46*'SL '!I$12,AND($C46="Hybrid-electric bus",$D46="Nearly full"),$E46*'SL '!I$13,AND($C46="Alternative fuel bus",$D46="Almost empty"),$E46*'SL '!I$15,AND($C46="Alternative fuel bus",$D46="Average"),$E46*'SL '!I$16,AND($C46="Alternative fuel bus",$D46="Nearly full"),$E46*'SL '!I$17,AND($C46="Metro, tram, urban light train",$D46="Almost empty"),$E46*'SL '!D$35,AND($C46="Metro, tram, urban light train",$D46="Average"),$E46*'SL '!D$36,AND($C46="Metro, tram, urban light train",$D46="Nearly full"),$E46*'SL '!D$37,AND($C46="Electric passenger train",$D46="Almost empty"),$E46*'SL '!D$39,AND($C46="Electric passenger train",$D46="Average"),$E46*'SL '!D$40,AND($C46="Electric passenger train",$D46="Nearly full"),$E46*'SL '!D$41,AND($C46="Diesel passenger train",$D46="Almost empty"),$E46*'SL '!D$47,AND($C46="Diesel passenger train",$D46="Average"),$E46*'SL '!D$48,AND($C46="Diesel passenger train",$D46="Nearly full"),$E46*'SL '!D$49,AND($C46="Walking"),$E46*0,AND($C46="Bike"),$E46*0,AND($C46="Plane - domestic flight"),$E46*'SL '!$C70,AND($C46="Plane - international - intra EU"),$E46*'SL '!$C72,AND($C46="Plane - international (extra EU)"),$E46*'SL '!$C74)</f>
        <v>#N/A</v>
      </c>
      <c r="L46" s="246"/>
      <c r="M46" s="247"/>
      <c r="N46" s="248"/>
    </row>
    <row r="47" spans="1:14" ht="20" thickBot="1" x14ac:dyDescent="0.25">
      <c r="A47" s="222"/>
      <c r="B47" s="30"/>
      <c r="C47" s="15"/>
      <c r="D47" s="15"/>
      <c r="E47" s="125"/>
      <c r="F47" s="128" t="e" cm="1">
        <f t="array" ref="F47">_xlfn.IFS(AND($C47="Fuel car",$D47=1),$E47*'SL '!C$7,AND($C47="Fuel car",$D47=2),$E47*'SL '!C$8,AND($C47="Fuel car",$D47=3),$E47*'SL '!C$9,AND($C47="Fuel car",$D47=4),$E47*'SL '!C$10,AND($C47="Fuel car",$D47=5),$E47*'SL '!C$11,AND($C47="Motorcycle",$D47=1),$E47*'SL '!C$13,AND($C47="Motorcycle",$D47=2),$E47*'SL '!C$14,AND($C47="Electric car",$D47=1),$E47*'SL '!C$16,AND($C47="Electric car",$D47=2),$E47*'SL '!C$17,AND($C47="Electric car",$D47=3),$E47*'SL '!C$18,AND($C47="Electric car",$D47=4),$E47*'SL '!C$19,AND($C47="Electric car",$D47=5),$E47*'SL '!C$20,AND($C47="Hybrid car",$D47=1),$E47*'SL '!C$22,AND($C47="Hybrid car",$D47=2),$E47*'SL '!C$23,AND($C47="Hybrid car",$D47=3),$E47*'SL '!C$24,AND($C47="Hybrid car",$D47=4),$E47*'SL '!C$25,AND($C47="Hybrid car",$D47=5),$E47*'SL '!C$26,AND($C47="Electric motorcycle",$D47=1),$E47*'SL '!C$28,AND($C47="Electric motorcycle",$D47=2),$E47*'SL '!C$29,AND($C47="Electric bike",$D47=1),$E47*'SL '!C$31,AND($C47="Electric scooter",$D47=1),$E47*'SL '!C$33,AND($C47="Bus",$D47="Almost empty"),$E47*'SL '!H$23,AND($C47="Bus",$D47="Average"),$E47*'SL '!H$24,AND($C47="Bus",$D47="Nearly full"),$E47*'SL '!H$25,AND($C47="Electric bus",$D47="Almost empty"),$E47*'SL '!H$7,AND($C47="Electric bus",$D47="Average"),$E47*'SL '!H$8,AND($C47="Electric bus",$D47="Nearly full"),$E47*'SL '!H$9,AND($C47="Diesel bus",$D47="Almost empty"),$E47*'SL '!H$19,AND($C47="Diesel bus",$D47="Average"),$E47*'SL '!H$20,AND($C47="Diesel bus",$D47="Nearly full"),$E47*'SL '!H$21,AND($C47="Hybrid-electric bus",$D47="Almost empty"),$E47*'SL '!H$11,AND($C47="Hybrid-electric bus",$D47="Average"),$E47*'SL '!H$12,AND($C47="Hybrid-electric bus",$D47="Nearly full"),$E47*'SL '!H$13,AND($C47="Alternative fuel bus",$D47="Almost empty"),$E47*'SL '!H$15,AND($C47="Alternative fuel bus",$D47="Average"),$E47*'SL '!H$16,AND($C47="Alternative fuel bus",$D47="Nearly full"),$E47*'SL '!H$17,AND($C47="Metro, tram, urban light train",$D47="Almost empty"),$E47*'SL '!C$35,AND($C47="Metro, tram, urban light train",$D47="Average"),$E47*'SL '!C$36,AND($C47="Metro, tram, urban light train",$D47="Nearly full"),$E47*'SL '!C$37,AND($C47="Electric passenger train",$D47="Almost empty"),$E47*'SL '!C$39,AND($C47="Electric passenger train",$D47="Average"),$E47*'SL '!C$40,AND($C47="Electric passenger train",$D47="Nearly full"),$E47*'SL '!C$41,AND($C47="Diesel passenger train",$D47="Almost empty"),$E47*'SL '!C$47,AND($C47="Diesel passenger train",$D47="Average"),$E47*'SL '!C$48,AND($C47="Diesel passenger train",$D47="Nearly full"),$E47*'SL '!C$49,AND($C47="Walking"),$E47*0,AND($C47="Bike"),$E47*0,AND($C47="Plane - domestic flight"),$E47*'SL '!$C71,AND($C47="Plane - international - intra EU"),$E47*'SL '!$C73,AND($C47="Plane - international (extra EU)"),$E47*'SL '!$C75)</f>
        <v>#N/A</v>
      </c>
      <c r="G47" s="31" t="e" cm="1">
        <f t="array" ref="G47">_xlfn.IFS(AND($C47="Fuel car",$D47=1),$E47*'SL '!D$7,AND($C47="Fuel car",$D47=2),$E47*'SL '!D$8,AND($C47="Fuel car",$D47=3),$E47*'SL '!D$9,AND($C47="Fuel car",$D47=4),$E47*'SL '!D$10,AND($C47="Fuel car",$D47=5),$E47*'SL '!D$11,AND($C47="Motorcycle",$D47=1),$E47*'SL '!D$13,AND($C47="Motorcycle",$D47=2),$E47*'SL '!D$14,AND($C47="Electric car",$D47=1),$E47*'SL '!D$16,AND($C47="Electric car",$D47=2),$E47*'SL '!D$17,AND($C47="Electric car",$D47=3),$E47*'SL '!D$18,AND($C47="Electric car",$D47=4),$E47*'SL '!D$19,AND($C47="Electric car",$D47=5),$E47*'SL '!D$20,AND($C47="Hybrid car",$D47=1),$E47*'SL '!D$22,AND($C47="Hybrid car",$D47=2),$E47*'SL '!D$23,AND($C47="Hybrid car",$D47=3),$E47*'SL '!D$24,AND($C47="Hybrid car",$D47=4),$E47*'SL '!D$25,AND($C47="Hybrid car",$D47=5),$E47*'SL '!D$26,AND($C47="Electric motorcycle",$D47=1),$E47*'SL '!D$28,AND($C47="Electric motorcycle",$D47=2),$E47*'SL '!D$29,AND($C47="Electric bike",$D47=1),$E47*'SL '!D$31,AND($C47="Electric scooter",$D47=1),$E47*'SL '!D$33,AND($C47="Bus",$D47="Almost empty"),$E47*'SL '!I$23,AND($C47="Bus",$D47="Average"),$E47*'SL '!I$24,AND($C47="Bus",$D47="Nearly full"),$E47*'SL '!I$25,AND($C47="Electric bus",$D47="Almost empty"),$E47*'SL '!I$7,AND($C47="Electric bus",$D47="Average"),$E47*'SL '!I$8,AND($C47="Electric bus",$D47="Nearly full"),$E47*'SL '!I$9,AND($C47="Diesel bus",$D47="Almost empty"),$E47*'SL '!I$19,AND($C47="Diesel bus",$D47="Average"),$E47*'SL '!I$20,AND($C47="Diesel bus",$D47="Nearly full"),$E47*'SL '!I$21,AND($C47="Hybrid-electric bus",$D47="Almost empty"),$E47*'SL '!I$11,AND($C47="Hybrid-electric bus",$D47="Average"),$E47*'SL '!I$12,AND($C47="Hybrid-electric bus",$D47="Nearly full"),$E47*'SL '!I$13,AND($C47="Alternative fuel bus",$D47="Almost empty"),$E47*'SL '!I$15,AND($C47="Alternative fuel bus",$D47="Average"),$E47*'SL '!I$16,AND($C47="Alternative fuel bus",$D47="Nearly full"),$E47*'SL '!I$17,AND($C47="Metro, tram, urban light train",$D47="Almost empty"),$E47*'SL '!D$35,AND($C47="Metro, tram, urban light train",$D47="Average"),$E47*'SL '!D$36,AND($C47="Metro, tram, urban light train",$D47="Nearly full"),$E47*'SL '!D$37,AND($C47="Electric passenger train",$D47="Almost empty"),$E47*'SL '!D$39,AND($C47="Electric passenger train",$D47="Average"),$E47*'SL '!D$40,AND($C47="Electric passenger train",$D47="Nearly full"),$E47*'SL '!D$41,AND($C47="Diesel passenger train",$D47="Almost empty"),$E47*'SL '!D$47,AND($C47="Diesel passenger train",$D47="Average"),$E47*'SL '!D$48,AND($C47="Diesel passenger train",$D47="Nearly full"),$E47*'SL '!D$49,AND($C47="Walking"),$E47*0,AND($C47="Bike"),$E47*0,AND($C47="Plane - domestic flight"),$E47*'SL '!$C71,AND($C47="Plane - international - intra EU"),$E47*'SL '!$C73,AND($C47="Plane - international (extra EU)"),$E47*'SL '!$C75)</f>
        <v>#N/A</v>
      </c>
      <c r="L47" s="238" t="s">
        <v>56</v>
      </c>
      <c r="M47" s="239"/>
      <c r="N47" s="240"/>
    </row>
    <row r="48" spans="1:14" ht="16" thickBot="1" x14ac:dyDescent="0.25">
      <c r="A48" s="222"/>
      <c r="B48" s="30"/>
      <c r="C48" s="15"/>
      <c r="D48" s="15"/>
      <c r="E48" s="125"/>
      <c r="F48" s="128" t="e" cm="1">
        <f t="array" ref="F48">_xlfn.IFS(AND($C48="Fuel car",$D48=1),$E48*'SL '!C$7,AND($C48="Fuel car",$D48=2),$E48*'SL '!C$8,AND($C48="Fuel car",$D48=3),$E48*'SL '!C$9,AND($C48="Fuel car",$D48=4),$E48*'SL '!C$10,AND($C48="Fuel car",$D48=5),$E48*'SL '!C$11,AND($C48="Motorcycle",$D48=1),$E48*'SL '!C$13,AND($C48="Motorcycle",$D48=2),$E48*'SL '!C$14,AND($C48="Electric car",$D48=1),$E48*'SL '!C$16,AND($C48="Electric car",$D48=2),$E48*'SL '!C$17,AND($C48="Electric car",$D48=3),$E48*'SL '!C$18,AND($C48="Electric car",$D48=4),$E48*'SL '!C$19,AND($C48="Electric car",$D48=5),$E48*'SL '!C$20,AND($C48="Hybrid car",$D48=1),$E48*'SL '!C$22,AND($C48="Hybrid car",$D48=2),$E48*'SL '!C$23,AND($C48="Hybrid car",$D48=3),$E48*'SL '!C$24,AND($C48="Hybrid car",$D48=4),$E48*'SL '!C$25,AND($C48="Hybrid car",$D48=5),$E48*'SL '!C$26,AND($C48="Electric motorcycle",$D48=1),$E48*'SL '!C$28,AND($C48="Electric motorcycle",$D48=2),$E48*'SL '!C$29,AND($C48="Electric bike",$D48=1),$E48*'SL '!C$31,AND($C48="Electric scooter",$D48=1),$E48*'SL '!C$33,AND($C48="Bus",$D48="Almost empty"),$E48*'SL '!H$23,AND($C48="Bus",$D48="Average"),$E48*'SL '!H$24,AND($C48="Bus",$D48="Nearly full"),$E48*'SL '!H$25,AND($C48="Electric bus",$D48="Almost empty"),$E48*'SL '!H$7,AND($C48="Electric bus",$D48="Average"),$E48*'SL '!H$8,AND($C48="Electric bus",$D48="Nearly full"),$E48*'SL '!H$9,AND($C48="Diesel bus",$D48="Almost empty"),$E48*'SL '!H$19,AND($C48="Diesel bus",$D48="Average"),$E48*'SL '!H$20,AND($C48="Diesel bus",$D48="Nearly full"),$E48*'SL '!H$21,AND($C48="Hybrid-electric bus",$D48="Almost empty"),$E48*'SL '!H$11,AND($C48="Hybrid-electric bus",$D48="Average"),$E48*'SL '!H$12,AND($C48="Hybrid-electric bus",$D48="Nearly full"),$E48*'SL '!H$13,AND($C48="Alternative fuel bus",$D48="Almost empty"),$E48*'SL '!H$15,AND($C48="Alternative fuel bus",$D48="Average"),$E48*'SL '!H$16,AND($C48="Alternative fuel bus",$D48="Nearly full"),$E48*'SL '!H$17,AND($C48="Metro, tram, urban light train",$D48="Almost empty"),$E48*'SL '!C$35,AND($C48="Metro, tram, urban light train",$D48="Average"),$E48*'SL '!C$36,AND($C48="Metro, tram, urban light train",$D48="Nearly full"),$E48*'SL '!C$37,AND($C48="Electric passenger train",$D48="Almost empty"),$E48*'SL '!C$39,AND($C48="Electric passenger train",$D48="Average"),$E48*'SL '!C$40,AND($C48="Electric passenger train",$D48="Nearly full"),$E48*'SL '!C$41,AND($C48="Diesel passenger train",$D48="Almost empty"),$E48*'SL '!C$47,AND($C48="Diesel passenger train",$D48="Average"),$E48*'SL '!C$48,AND($C48="Diesel passenger train",$D48="Nearly full"),$E48*'SL '!C$49,AND($C48="Walking"),$E48*0,AND($C48="Bike"),$E48*0,AND($C48="Plane - domestic flight"),$E48*'SL '!$C72,AND($C48="Plane - international - intra EU"),$E48*'SL '!$C74,AND($C48="Plane - international (extra EU)"),$E48*'SL '!$C76)</f>
        <v>#N/A</v>
      </c>
      <c r="G48" s="31" t="e" cm="1">
        <f t="array" ref="G48">_xlfn.IFS(AND($C48="Fuel car",$D48=1),$E48*'SL '!D$7,AND($C48="Fuel car",$D48=2),$E48*'SL '!D$8,AND($C48="Fuel car",$D48=3),$E48*'SL '!D$9,AND($C48="Fuel car",$D48=4),$E48*'SL '!D$10,AND($C48="Fuel car",$D48=5),$E48*'SL '!D$11,AND($C48="Motorcycle",$D48=1),$E48*'SL '!D$13,AND($C48="Motorcycle",$D48=2),$E48*'SL '!D$14,AND($C48="Electric car",$D48=1),$E48*'SL '!D$16,AND($C48="Electric car",$D48=2),$E48*'SL '!D$17,AND($C48="Electric car",$D48=3),$E48*'SL '!D$18,AND($C48="Electric car",$D48=4),$E48*'SL '!D$19,AND($C48="Electric car",$D48=5),$E48*'SL '!D$20,AND($C48="Hybrid car",$D48=1),$E48*'SL '!D$22,AND($C48="Hybrid car",$D48=2),$E48*'SL '!D$23,AND($C48="Hybrid car",$D48=3),$E48*'SL '!D$24,AND($C48="Hybrid car",$D48=4),$E48*'SL '!D$25,AND($C48="Hybrid car",$D48=5),$E48*'SL '!D$26,AND($C48="Electric motorcycle",$D48=1),$E48*'SL '!D$28,AND($C48="Electric motorcycle",$D48=2),$E48*'SL '!D$29,AND($C48="Electric bike",$D48=1),$E48*'SL '!D$31,AND($C48="Electric scooter",$D48=1),$E48*'SL '!D$33,AND($C48="Bus",$D48="Almost empty"),$E48*'SL '!I$23,AND($C48="Bus",$D48="Average"),$E48*'SL '!I$24,AND($C48="Bus",$D48="Nearly full"),$E48*'SL '!I$25,AND($C48="Electric bus",$D48="Almost empty"),$E48*'SL '!I$7,AND($C48="Electric bus",$D48="Average"),$E48*'SL '!I$8,AND($C48="Electric bus",$D48="Nearly full"),$E48*'SL '!I$9,AND($C48="Diesel bus",$D48="Almost empty"),$E48*'SL '!I$19,AND($C48="Diesel bus",$D48="Average"),$E48*'SL '!I$20,AND($C48="Diesel bus",$D48="Nearly full"),$E48*'SL '!I$21,AND($C48="Hybrid-electric bus",$D48="Almost empty"),$E48*'SL '!I$11,AND($C48="Hybrid-electric bus",$D48="Average"),$E48*'SL '!I$12,AND($C48="Hybrid-electric bus",$D48="Nearly full"),$E48*'SL '!I$13,AND($C48="Alternative fuel bus",$D48="Almost empty"),$E48*'SL '!I$15,AND($C48="Alternative fuel bus",$D48="Average"),$E48*'SL '!I$16,AND($C48="Alternative fuel bus",$D48="Nearly full"),$E48*'SL '!I$17,AND($C48="Metro, tram, urban light train",$D48="Almost empty"),$E48*'SL '!D$35,AND($C48="Metro, tram, urban light train",$D48="Average"),$E48*'SL '!D$36,AND($C48="Metro, tram, urban light train",$D48="Nearly full"),$E48*'SL '!D$37,AND($C48="Electric passenger train",$D48="Almost empty"),$E48*'SL '!D$39,AND($C48="Electric passenger train",$D48="Average"),$E48*'SL '!D$40,AND($C48="Electric passenger train",$D48="Nearly full"),$E48*'SL '!D$41,AND($C48="Diesel passenger train",$D48="Almost empty"),$E48*'SL '!D$47,AND($C48="Diesel passenger train",$D48="Average"),$E48*'SL '!D$48,AND($C48="Diesel passenger train",$D48="Nearly full"),$E48*'SL '!D$49,AND($C48="Walking"),$E48*0,AND($C48="Bike"),$E48*0,AND($C48="Plane - domestic flight"),$E48*'SL '!$C72,AND($C48="Plane - international - intra EU"),$E48*'SL '!$C74,AND($C48="Plane - international (extra EU)"),$E48*'SL '!$C76)</f>
        <v>#N/A</v>
      </c>
      <c r="H48" s="196" t="s">
        <v>67</v>
      </c>
      <c r="I48" s="197"/>
      <c r="L48" s="249"/>
      <c r="M48" s="250"/>
      <c r="N48" s="251"/>
    </row>
    <row r="49" spans="1:14" x14ac:dyDescent="0.2">
      <c r="A49" s="222"/>
      <c r="B49" s="30"/>
      <c r="C49" s="15"/>
      <c r="D49" s="15"/>
      <c r="E49" s="125"/>
      <c r="F49" s="128" t="e" cm="1">
        <f t="array" ref="F49">_xlfn.IFS(AND($C49="Fuel car",$D49=1),$E49*'SL '!C$7,AND($C49="Fuel car",$D49=2),$E49*'SL '!C$8,AND($C49="Fuel car",$D49=3),$E49*'SL '!C$9,AND($C49="Fuel car",$D49=4),$E49*'SL '!C$10,AND($C49="Fuel car",$D49=5),$E49*'SL '!C$11,AND($C49="Motorcycle",$D49=1),$E49*'SL '!C$13,AND($C49="Motorcycle",$D49=2),$E49*'SL '!C$14,AND($C49="Electric car",$D49=1),$E49*'SL '!C$16,AND($C49="Electric car",$D49=2),$E49*'SL '!C$17,AND($C49="Electric car",$D49=3),$E49*'SL '!C$18,AND($C49="Electric car",$D49=4),$E49*'SL '!C$19,AND($C49="Electric car",$D49=5),$E49*'SL '!C$20,AND($C49="Hybrid car",$D49=1),$E49*'SL '!C$22,AND($C49="Hybrid car",$D49=2),$E49*'SL '!C$23,AND($C49="Hybrid car",$D49=3),$E49*'SL '!C$24,AND($C49="Hybrid car",$D49=4),$E49*'SL '!C$25,AND($C49="Hybrid car",$D49=5),$E49*'SL '!C$26,AND($C49="Electric motorcycle",$D49=1),$E49*'SL '!C$28,AND($C49="Electric motorcycle",$D49=2),$E49*'SL '!C$29,AND($C49="Electric bike",$D49=1),$E49*'SL '!C$31,AND($C49="Electric scooter",$D49=1),$E49*'SL '!C$33,AND($C49="Bus",$D49="Almost empty"),$E49*'SL '!H$23,AND($C49="Bus",$D49="Average"),$E49*'SL '!H$24,AND($C49="Bus",$D49="Nearly full"),$E49*'SL '!H$25,AND($C49="Electric bus",$D49="Almost empty"),$E49*'SL '!H$7,AND($C49="Electric bus",$D49="Average"),$E49*'SL '!H$8,AND($C49="Electric bus",$D49="Nearly full"),$E49*'SL '!H$9,AND($C49="Diesel bus",$D49="Almost empty"),$E49*'SL '!H$19,AND($C49="Diesel bus",$D49="Average"),$E49*'SL '!H$20,AND($C49="Diesel bus",$D49="Nearly full"),$E49*'SL '!H$21,AND($C49="Hybrid-electric bus",$D49="Almost empty"),$E49*'SL '!H$11,AND($C49="Hybrid-electric bus",$D49="Average"),$E49*'SL '!H$12,AND($C49="Hybrid-electric bus",$D49="Nearly full"),$E49*'SL '!H$13,AND($C49="Alternative fuel bus",$D49="Almost empty"),$E49*'SL '!H$15,AND($C49="Alternative fuel bus",$D49="Average"),$E49*'SL '!H$16,AND($C49="Alternative fuel bus",$D49="Nearly full"),$E49*'SL '!H$17,AND($C49="Metro, tram, urban light train",$D49="Almost empty"),$E49*'SL '!C$35,AND($C49="Metro, tram, urban light train",$D49="Average"),$E49*'SL '!C$36,AND($C49="Metro, tram, urban light train",$D49="Nearly full"),$E49*'SL '!C$37,AND($C49="Electric passenger train",$D49="Almost empty"),$E49*'SL '!C$39,AND($C49="Electric passenger train",$D49="Average"),$E49*'SL '!C$40,AND($C49="Electric passenger train",$D49="Nearly full"),$E49*'SL '!C$41,AND($C49="Diesel passenger train",$D49="Almost empty"),$E49*'SL '!C$47,AND($C49="Diesel passenger train",$D49="Average"),$E49*'SL '!C$48,AND($C49="Diesel passenger train",$D49="Nearly full"),$E49*'SL '!C$49,AND($C49="Walking"),$E49*0,AND($C49="Bike"),$E49*0,AND($C49="Plane - domestic flight"),$E49*'SL '!$C73,AND($C49="Plane - international - intra EU"),$E49*'SL '!$C75,AND($C49="Plane - international (extra EU)"),$E49*'SL '!$C77)</f>
        <v>#N/A</v>
      </c>
      <c r="G49" s="31" t="e" cm="1">
        <f t="array" ref="G49">_xlfn.IFS(AND($C49="Fuel car",$D49=1),$E49*'SL '!D$7,AND($C49="Fuel car",$D49=2),$E49*'SL '!D$8,AND($C49="Fuel car",$D49=3),$E49*'SL '!D$9,AND($C49="Fuel car",$D49=4),$E49*'SL '!D$10,AND($C49="Fuel car",$D49=5),$E49*'SL '!D$11,AND($C49="Motorcycle",$D49=1),$E49*'SL '!D$13,AND($C49="Motorcycle",$D49=2),$E49*'SL '!D$14,AND($C49="Electric car",$D49=1),$E49*'SL '!D$16,AND($C49="Electric car",$D49=2),$E49*'SL '!D$17,AND($C49="Electric car",$D49=3),$E49*'SL '!D$18,AND($C49="Electric car",$D49=4),$E49*'SL '!D$19,AND($C49="Electric car",$D49=5),$E49*'SL '!D$20,AND($C49="Hybrid car",$D49=1),$E49*'SL '!D$22,AND($C49="Hybrid car",$D49=2),$E49*'SL '!D$23,AND($C49="Hybrid car",$D49=3),$E49*'SL '!D$24,AND($C49="Hybrid car",$D49=4),$E49*'SL '!D$25,AND($C49="Hybrid car",$D49=5),$E49*'SL '!D$26,AND($C49="Electric motorcycle",$D49=1),$E49*'SL '!D$28,AND($C49="Electric motorcycle",$D49=2),$E49*'SL '!D$29,AND($C49="Electric bike",$D49=1),$E49*'SL '!D$31,AND($C49="Electric scooter",$D49=1),$E49*'SL '!D$33,AND($C49="Bus",$D49="Almost empty"),$E49*'SL '!I$23,AND($C49="Bus",$D49="Average"),$E49*'SL '!I$24,AND($C49="Bus",$D49="Nearly full"),$E49*'SL '!I$25,AND($C49="Electric bus",$D49="Almost empty"),$E49*'SL '!I$7,AND($C49="Electric bus",$D49="Average"),$E49*'SL '!I$8,AND($C49="Electric bus",$D49="Nearly full"),$E49*'SL '!I$9,AND($C49="Diesel bus",$D49="Almost empty"),$E49*'SL '!I$19,AND($C49="Diesel bus",$D49="Average"),$E49*'SL '!I$20,AND($C49="Diesel bus",$D49="Nearly full"),$E49*'SL '!I$21,AND($C49="Hybrid-electric bus",$D49="Almost empty"),$E49*'SL '!I$11,AND($C49="Hybrid-electric bus",$D49="Average"),$E49*'SL '!I$12,AND($C49="Hybrid-electric bus",$D49="Nearly full"),$E49*'SL '!I$13,AND($C49="Alternative fuel bus",$D49="Almost empty"),$E49*'SL '!I$15,AND($C49="Alternative fuel bus",$D49="Average"),$E49*'SL '!I$16,AND($C49="Alternative fuel bus",$D49="Nearly full"),$E49*'SL '!I$17,AND($C49="Metro, tram, urban light train",$D49="Almost empty"),$E49*'SL '!D$35,AND($C49="Metro, tram, urban light train",$D49="Average"),$E49*'SL '!D$36,AND($C49="Metro, tram, urban light train",$D49="Nearly full"),$E49*'SL '!D$37,AND($C49="Electric passenger train",$D49="Almost empty"),$E49*'SL '!D$39,AND($C49="Electric passenger train",$D49="Average"),$E49*'SL '!D$40,AND($C49="Electric passenger train",$D49="Nearly full"),$E49*'SL '!D$41,AND($C49="Diesel passenger train",$D49="Almost empty"),$E49*'SL '!D$47,AND($C49="Diesel passenger train",$D49="Average"),$E49*'SL '!D$48,AND($C49="Diesel passenger train",$D49="Nearly full"),$E49*'SL '!D$49,AND($C49="Walking"),$E49*0,AND($C49="Bike"),$E49*0,AND($C49="Plane - domestic flight"),$E49*'SL '!$C73,AND($C49="Plane - international - intra EU"),$E49*'SL '!$C75,AND($C49="Plane - international (extra EU)"),$E49*'SL '!$C77)</f>
        <v>#N/A</v>
      </c>
      <c r="H49" s="244" t="s">
        <v>74</v>
      </c>
      <c r="I49" s="141"/>
      <c r="L49" s="252"/>
      <c r="M49" s="253"/>
      <c r="N49" s="254"/>
    </row>
    <row r="50" spans="1:14" ht="16" thickBot="1" x14ac:dyDescent="0.25">
      <c r="A50" s="222"/>
      <c r="B50" s="51"/>
      <c r="C50" s="15"/>
      <c r="D50" s="15"/>
      <c r="E50" s="126"/>
      <c r="F50" s="128" t="e" cm="1">
        <f t="array" ref="F50">_xlfn.IFS(AND($C50="Fuel car",$D50=1),$E50*'SL '!C$7,AND($C50="Fuel car",$D50=2),$E50*'SL '!C$8,AND($C50="Fuel car",$D50=3),$E50*'SL '!C$9,AND($C50="Fuel car",$D50=4),$E50*'SL '!C$10,AND($C50="Fuel car",$D50=5),$E50*'SL '!C$11,AND($C50="Motorcycle",$D50=1),$E50*'SL '!C$13,AND($C50="Motorcycle",$D50=2),$E50*'SL '!C$14,AND($C50="Electric car",$D50=1),$E50*'SL '!C$16,AND($C50="Electric car",$D50=2),$E50*'SL '!C$17,AND($C50="Electric car",$D50=3),$E50*'SL '!C$18,AND($C50="Electric car",$D50=4),$E50*'SL '!C$19,AND($C50="Electric car",$D50=5),$E50*'SL '!C$20,AND($C50="Hybrid car",$D50=1),$E50*'SL '!C$22,AND($C50="Hybrid car",$D50=2),$E50*'SL '!C$23,AND($C50="Hybrid car",$D50=3),$E50*'SL '!C$24,AND($C50="Hybrid car",$D50=4),$E50*'SL '!C$25,AND($C50="Hybrid car",$D50=5),$E50*'SL '!C$26,AND($C50="Electric motorcycle",$D50=1),$E50*'SL '!C$28,AND($C50="Electric motorcycle",$D50=2),$E50*'SL '!C$29,AND($C50="Electric bike",$D50=1),$E50*'SL '!C$31,AND($C50="Electric scooter",$D50=1),$E50*'SL '!C$33,AND($C50="Bus",$D50="Almost empty"),$E50*'SL '!H$23,AND($C50="Bus",$D50="Average"),$E50*'SL '!H$24,AND($C50="Bus",$D50="Nearly full"),$E50*'SL '!H$25,AND($C50="Electric bus",$D50="Almost empty"),$E50*'SL '!H$7,AND($C50="Electric bus",$D50="Average"),$E50*'SL '!H$8,AND($C50="Electric bus",$D50="Nearly full"),$E50*'SL '!H$9,AND($C50="Diesel bus",$D50="Almost empty"),$E50*'SL '!H$19,AND($C50="Diesel bus",$D50="Average"),$E50*'SL '!H$20,AND($C50="Diesel bus",$D50="Nearly full"),$E50*'SL '!H$21,AND($C50="Hybrid-electric bus",$D50="Almost empty"),$E50*'SL '!H$11,AND($C50="Hybrid-electric bus",$D50="Average"),$E50*'SL '!H$12,AND($C50="Hybrid-electric bus",$D50="Nearly full"),$E50*'SL '!H$13,AND($C50="Alternative fuel bus",$D50="Almost empty"),$E50*'SL '!H$15,AND($C50="Alternative fuel bus",$D50="Average"),$E50*'SL '!H$16,AND($C50="Alternative fuel bus",$D50="Nearly full"),$E50*'SL '!H$17,AND($C50="Metro, tram, urban light train",$D50="Almost empty"),$E50*'SL '!C$35,AND($C50="Metro, tram, urban light train",$D50="Average"),$E50*'SL '!C$36,AND($C50="Metro, tram, urban light train",$D50="Nearly full"),$E50*'SL '!C$37,AND($C50="Electric passenger train",$D50="Almost empty"),$E50*'SL '!C$39,AND($C50="Electric passenger train",$D50="Average"),$E50*'SL '!C$40,AND($C50="Electric passenger train",$D50="Nearly full"),$E50*'SL '!C$41,AND($C50="Diesel passenger train",$D50="Almost empty"),$E50*'SL '!C$47,AND($C50="Diesel passenger train",$D50="Average"),$E50*'SL '!C$48,AND($C50="Diesel passenger train",$D50="Nearly full"),$E50*'SL '!C$49,AND($C50="Walking"),$E50*0,AND($C50="Bike"),$E50*0,AND($C50="Plane - domestic flight"),$E50*'SL '!$C74,AND($C50="Plane - international - intra EU"),$E50*'SL '!$C76,AND($C50="Plane - international (extra EU)"),$E50*'SL '!$C78)</f>
        <v>#N/A</v>
      </c>
      <c r="G50" s="31" t="e" cm="1">
        <f t="array" ref="G50">_xlfn.IFS(AND($C50="Fuel car",$D50=1),$E50*'SL '!D$7,AND($C50="Fuel car",$D50=2),$E50*'SL '!D$8,AND($C50="Fuel car",$D50=3),$E50*'SL '!D$9,AND($C50="Fuel car",$D50=4),$E50*'SL '!D$10,AND($C50="Fuel car",$D50=5),$E50*'SL '!D$11,AND($C50="Motorcycle",$D50=1),$E50*'SL '!D$13,AND($C50="Motorcycle",$D50=2),$E50*'SL '!D$14,AND($C50="Electric car",$D50=1),$E50*'SL '!D$16,AND($C50="Electric car",$D50=2),$E50*'SL '!D$17,AND($C50="Electric car",$D50=3),$E50*'SL '!D$18,AND($C50="Electric car",$D50=4),$E50*'SL '!D$19,AND($C50="Electric car",$D50=5),$E50*'SL '!D$20,AND($C50="Hybrid car",$D50=1),$E50*'SL '!D$22,AND($C50="Hybrid car",$D50=2),$E50*'SL '!D$23,AND($C50="Hybrid car",$D50=3),$E50*'SL '!D$24,AND($C50="Hybrid car",$D50=4),$E50*'SL '!D$25,AND($C50="Hybrid car",$D50=5),$E50*'SL '!D$26,AND($C50="Electric motorcycle",$D50=1),$E50*'SL '!D$28,AND($C50="Electric motorcycle",$D50=2),$E50*'SL '!D$29,AND($C50="Electric bike",$D50=1),$E50*'SL '!D$31,AND($C50="Electric scooter",$D50=1),$E50*'SL '!D$33,AND($C50="Bus",$D50="Almost empty"),$E50*'SL '!I$23,AND($C50="Bus",$D50="Average"),$E50*'SL '!I$24,AND($C50="Bus",$D50="Nearly full"),$E50*'SL '!I$25,AND($C50="Electric bus",$D50="Almost empty"),$E50*'SL '!I$7,AND($C50="Electric bus",$D50="Average"),$E50*'SL '!I$8,AND($C50="Electric bus",$D50="Nearly full"),$E50*'SL '!I$9,AND($C50="Diesel bus",$D50="Almost empty"),$E50*'SL '!I$19,AND($C50="Diesel bus",$D50="Average"),$E50*'SL '!I$20,AND($C50="Diesel bus",$D50="Nearly full"),$E50*'SL '!I$21,AND($C50="Hybrid-electric bus",$D50="Almost empty"),$E50*'SL '!I$11,AND($C50="Hybrid-electric bus",$D50="Average"),$E50*'SL '!I$12,AND($C50="Hybrid-electric bus",$D50="Nearly full"),$E50*'SL '!I$13,AND($C50="Alternative fuel bus",$D50="Almost empty"),$E50*'SL '!I$15,AND($C50="Alternative fuel bus",$D50="Average"),$E50*'SL '!I$16,AND($C50="Alternative fuel bus",$D50="Nearly full"),$E50*'SL '!I$17,AND($C50="Metro, tram, urban light train",$D50="Almost empty"),$E50*'SL '!D$35,AND($C50="Metro, tram, urban light train",$D50="Average"),$E50*'SL '!D$36,AND($C50="Metro, tram, urban light train",$D50="Nearly full"),$E50*'SL '!D$37,AND($C50="Electric passenger train",$D50="Almost empty"),$E50*'SL '!D$39,AND($C50="Electric passenger train",$D50="Average"),$E50*'SL '!D$40,AND($C50="Electric passenger train",$D50="Nearly full"),$E50*'SL '!D$41,AND($C50="Diesel passenger train",$D50="Almost empty"),$E50*'SL '!D$47,AND($C50="Diesel passenger train",$D50="Average"),$E50*'SL '!D$48,AND($C50="Diesel passenger train",$D50="Nearly full"),$E50*'SL '!D$49,AND($C50="Walking"),$E50*0,AND($C50="Bike"),$E50*0,AND($C50="Plane - domestic flight"),$E50*'SL '!$C74,AND($C50="Plane - international - intra EU"),$E50*'SL '!$C76,AND($C50="Plane - international (extra EU)"),$E50*'SL '!$C78)</f>
        <v>#N/A</v>
      </c>
      <c r="H50" s="245"/>
      <c r="I50" s="142"/>
      <c r="L50" s="252"/>
      <c r="M50" s="253"/>
      <c r="N50" s="254"/>
    </row>
    <row r="51" spans="1:14" ht="33" thickBot="1" x14ac:dyDescent="0.25">
      <c r="A51" s="222"/>
      <c r="B51" s="53"/>
      <c r="C51" s="32"/>
      <c r="D51" s="34"/>
      <c r="E51" s="113"/>
      <c r="F51" s="129" t="e" cm="1">
        <f t="array" ref="F51">_xlfn.IFS(AND($C51="Fuel car",$D51=1),$E51*'SL '!C$7,AND($C51="Fuel car",$D51=2),$E51*'SL '!C$8,AND($C51="Fuel car",$D51=3),$E51*'SL '!C$9,AND($C51="Fuel car",$D51=4),$E51*'SL '!C$10,AND($C51="Fuel car",$D51=5),$E51*'SL '!C$11,AND($C51="Motorcycle",$D51=1),$E51*'SL '!C$13,AND($C51="Motorcycle",$D51=2),$E51*'SL '!C$14,AND($C51="Electric car",$D51=1),$E51*'SL '!C$16,AND($C51="Electric car",$D51=2),$E51*'SL '!C$17,AND($C51="Electric car",$D51=3),$E51*'SL '!C$18,AND($C51="Electric car",$D51=4),$E51*'SL '!C$19,AND($C51="Electric car",$D51=5),$E51*'SL '!C$20,AND($C51="Hybrid car",$D51=1),$E51*'SL '!C$22,AND($C51="Hybrid car",$D51=2),$E51*'SL '!C$23,AND($C51="Hybrid car",$D51=3),$E51*'SL '!C$24,AND($C51="Hybrid car",$D51=4),$E51*'SL '!C$25,AND($C51="Hybrid car",$D51=5),$E51*'SL '!C$26,AND($C51="Electric motorcycle",$D51=1),$E51*'SL '!C$28,AND($C51="Electric motorcycle",$D51=2),$E51*'SL '!C$29,AND($C51="Electric bike",$D51=1),$E51*'SL '!C$31,AND($C51="Electric scooter",$D51=1),$E51*'SL '!C$33,AND($C51="Bus",$D51="Almost empty"),$E51*'SL '!H$23,AND($C51="Bus",$D51="Average"),$E51*'SL '!H$24,AND($C51="Bus",$D51="Nearly full"),$E51*'SL '!H$25,AND($C51="Electric bus",$D51="Almost empty"),$E51*'SL '!H$7,AND($C51="Electric bus",$D51="Average"),$E51*'SL '!H$8,AND($C51="Electric bus",$D51="Nearly full"),$E51*'SL '!H$9,AND($C51="Diesel bus",$D51="Almost empty"),$E51*'SL '!H$19,AND($C51="Diesel bus",$D51="Average"),$E51*'SL '!H$20,AND($C51="Diesel bus",$D51="Nearly full"),$E51*'SL '!H$21,AND($C51="Hybrid-electric bus",$D51="Almost empty"),$E51*'SL '!H$11,AND($C51="Hybrid-electric bus",$D51="Average"),$E51*'SL '!H$12,AND($C51="Hybrid-electric bus",$D51="Nearly full"),$E51*'SL '!H$13,AND($C51="Alternative fuel bus",$D51="Almost empty"),$E51*'SL '!H$15,AND($C51="Alternative fuel bus",$D51="Average"),$E51*'SL '!H$16,AND($C51="Alternative fuel bus",$D51="Nearly full"),$E51*'SL '!H$17,AND($C51="Metro, tram, urban light train",$D51="Almost empty"),$E51*'SL '!C$35,AND($C51="Metro, tram, urban light train",$D51="Average"),$E51*'SL '!C$36,AND($C51="Metro, tram, urban light train",$D51="Nearly full"),$E51*'SL '!C$37,AND($C51="Electric passenger train",$D51="Almost empty"),$E51*'SL '!C$39,AND($C51="Electric passenger train",$D51="Average"),$E51*'SL '!C$40,AND($C51="Electric passenger train",$D51="Nearly full"),$E51*'SL '!C$41,AND($C51="Diesel passenger train",$D51="Almost empty"),$E51*'SL '!C$47,AND($C51="Diesel passenger train",$D51="Average"),$E51*'SL '!C$48,AND($C51="Diesel passenger train",$D51="Nearly full"),$E51*'SL '!C$49,AND($C51="Walking"),$E51*0,AND($C51="Bike"),$E51*0,AND($C51="Plane - domestic flight"),$E51*'SL '!$C75,AND($C51="Plane - international - intra EU"),$E51*'SL '!$C77,AND($C51="Plane - international (extra EU)"),$E51*'SL '!$C79)</f>
        <v>#N/A</v>
      </c>
      <c r="G51" s="35" t="e" cm="1">
        <f t="array" ref="G51">_xlfn.IFS(AND($C51="Fuel car",$D51=1),$E51*'SL '!D$7,AND($C51="Fuel car",$D51=2),$E51*'SL '!D$8,AND($C51="Fuel car",$D51=3),$E51*'SL '!D$9,AND($C51="Fuel car",$D51=4),$E51*'SL '!D$10,AND($C51="Fuel car",$D51=5),$E51*'SL '!D$11,AND($C51="Motorcycle",$D51=1),$E51*'SL '!D$13,AND($C51="Motorcycle",$D51=2),$E51*'SL '!D$14,AND($C51="Electric car",$D51=1),$E51*'SL '!D$16,AND($C51="Electric car",$D51=2),$E51*'SL '!D$17,AND($C51="Electric car",$D51=3),$E51*'SL '!D$18,AND($C51="Electric car",$D51=4),$E51*'SL '!D$19,AND($C51="Electric car",$D51=5),$E51*'SL '!D$20,AND($C51="Hybrid car",$D51=1),$E51*'SL '!D$22,AND($C51="Hybrid car",$D51=2),$E51*'SL '!D$23,AND($C51="Hybrid car",$D51=3),$E51*'SL '!D$24,AND($C51="Hybrid car",$D51=4),$E51*'SL '!D$25,AND($C51="Hybrid car",$D51=5),$E51*'SL '!D$26,AND($C51="Electric motorcycle",$D51=1),$E51*'SL '!D$28,AND($C51="Electric motorcycle",$D51=2),$E51*'SL '!D$29,AND($C51="Electric bike",$D51=1),$E51*'SL '!D$31,AND($C51="Electric scooter",$D51=1),$E51*'SL '!D$33,AND($C51="Bus",$D51="Almost empty"),$E51*'SL '!I$23,AND($C51="Bus",$D51="Average"),$E51*'SL '!I$24,AND($C51="Bus",$D51="Nearly full"),$E51*'SL '!I$25,AND($C51="Electric bus",$D51="Almost empty"),$E51*'SL '!I$7,AND($C51="Electric bus",$D51="Average"),$E51*'SL '!I$8,AND($C51="Electric bus",$D51="Nearly full"),$E51*'SL '!I$9,AND($C51="Diesel bus",$D51="Almost empty"),$E51*'SL '!I$19,AND($C51="Diesel bus",$D51="Average"),$E51*'SL '!I$20,AND($C51="Diesel bus",$D51="Nearly full"),$E51*'SL '!I$21,AND($C51="Hybrid-electric bus",$D51="Almost empty"),$E51*'SL '!I$11,AND($C51="Hybrid-electric bus",$D51="Average"),$E51*'SL '!I$12,AND($C51="Hybrid-electric bus",$D51="Nearly full"),$E51*'SL '!I$13,AND($C51="Alternative fuel bus",$D51="Almost empty"),$E51*'SL '!I$15,AND($C51="Alternative fuel bus",$D51="Average"),$E51*'SL '!I$16,AND($C51="Alternative fuel bus",$D51="Nearly full"),$E51*'SL '!I$17,AND($C51="Metro, tram, urban light train",$D51="Almost empty"),$E51*'SL '!D$35,AND($C51="Metro, tram, urban light train",$D51="Average"),$E51*'SL '!D$36,AND($C51="Metro, tram, urban light train",$D51="Nearly full"),$E51*'SL '!D$37,AND($C51="Electric passenger train",$D51="Almost empty"),$E51*'SL '!D$39,AND($C51="Electric passenger train",$D51="Average"),$E51*'SL '!D$40,AND($C51="Electric passenger train",$D51="Nearly full"),$E51*'SL '!D$41,AND($C51="Diesel passenger train",$D51="Almost empty"),$E51*'SL '!D$47,AND($C51="Diesel passenger train",$D51="Average"),$E51*'SL '!D$48,AND($C51="Diesel passenger train",$D51="Nearly full"),$E51*'SL '!D$49,AND($C51="Walking"),$E51*0,AND($C51="Bike"),$E51*0,AND($C51="Plane - domestic flight"),$E51*'SL '!$C75,AND($C51="Plane - international - intra EU"),$E51*'SL '!$C77,AND($C51="Plane - international (extra EU)"),$E51*'SL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_xlfn.IFS(AND(D57&lt;='SL '!L4),"A+",AND(D57&lt;='SL '!M4,D57&gt;'SL '!L4),"A",AND(D57&lt;='SL '!N4,D57&gt;'SL '!M4),"B",AND(D57&lt;='SL '!O4,D57&gt;'SL '!N4),"C",AND(D57&lt;='SL '!P4,D57&gt;'SL '!O4),"D",AND(D57&lt;='SL '!Q4,D57&gt;'SL '!P4),"E",AND(D57&lt;='SL '!R4,D57&gt;'SL '!Q4),"F",AND(D57&gt;'SL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_xlfn.IFS(D58="#","#",AND(D58&lt;='SL '!L5),"A+",AND(D58&lt;='SL '!M5,D58&gt;'SL '!L5),"A",AND(D58&lt;='SL '!N5,D58&gt;'SL '!M5),"B",AND(D58&lt;='SL '!O5,D58&gt;'SL '!N5),"C",AND(D58&lt;='SL '!P5,D58&gt;'SL '!O5),"D",AND(D58&lt;='SL '!Q5,D58&gt;'SL '!P5),"E",AND(D58&lt;='SL '!R5,D58&gt;'SL '!Q5),"F",AND(D58&gt;'SL '!R5),"G")</f>
        <v>#</v>
      </c>
    </row>
    <row r="59" spans="1:14" ht="32" x14ac:dyDescent="0.2">
      <c r="A59" s="262"/>
      <c r="B59" s="264"/>
      <c r="C59" s="21" t="s">
        <v>88</v>
      </c>
      <c r="D59" s="47" t="e">
        <f>IF(ISNUMBER(D58), D57 + D58, D57)</f>
        <v>#DIV/0!</v>
      </c>
      <c r="E59" s="277"/>
      <c r="G59" s="264"/>
      <c r="H59" t="s">
        <v>88</v>
      </c>
      <c r="I59" s="56" t="e" cm="1">
        <f t="array" ref="I59">_xlfn.IFS(AND(D59&lt;='SL '!L6),"A+",AND(D59&lt;='SL '!M6,D59&gt;'SL '!L6),"A",AND(D59&lt;='SL '!N6,D59&gt;'SL '!M6),"B",AND(D59&lt;='SL '!O6,D59&gt;'SL '!N6),"C",AND(D59&lt;='SL '!P6,D59&gt;'SL '!O6),"D",AND(D59&lt;='SL '!Q6,D59&gt;'SL '!P6),"E",AND(D59&lt;='SL '!R6,D59&gt;'SL '!Q6),"F",AND(D59&gt;'SL '!R6),"G")</f>
        <v>#DIV/0!</v>
      </c>
    </row>
    <row r="60" spans="1:14" ht="16" x14ac:dyDescent="0.2">
      <c r="A60" s="262"/>
      <c r="B60" s="264"/>
      <c r="C60" s="21" t="s">
        <v>89</v>
      </c>
      <c r="D60" s="99">
        <f>I30</f>
        <v>0</v>
      </c>
      <c r="E60" s="277"/>
      <c r="G60" s="264"/>
      <c r="H60" t="s">
        <v>89</v>
      </c>
      <c r="I60" s="56" t="str" cm="1">
        <f t="array" ref="I60">_xlfn.IFS(AND(D60&lt;='SL '!L7),"A+",AND(D60&lt;='SL '!M7,D60&gt;'SL '!L7),"A",AND(D60&lt;='SL '!N7,D60&gt;'SL '!M7),"B",AND(D60&lt;='SL '!O7,D60&gt;'SL '!N7),"C",AND(D60&lt;='SL '!P7,D60&gt;'SL '!O7),"D",AND(D60&lt;='SL '!Q7,D60&gt;'SL '!P7),"E",AND(D60&lt;='SL '!R7,D60&gt;'SL '!Q7),"F",AND(D60&gt;'SL '!R7),"G")</f>
        <v>A+</v>
      </c>
    </row>
    <row r="61" spans="1:14" ht="16" thickBot="1" x14ac:dyDescent="0.25">
      <c r="A61" s="262"/>
      <c r="B61" s="265"/>
      <c r="C61" s="16" t="s">
        <v>57</v>
      </c>
      <c r="D61" s="58" t="e">
        <f>SUM(D59:D60)</f>
        <v>#DIV/0!</v>
      </c>
      <c r="E61" s="261"/>
      <c r="G61" s="265"/>
      <c r="H61" s="16" t="s">
        <v>57</v>
      </c>
      <c r="I61" s="1" t="e" cm="1">
        <f t="array" ref="I61">_xlfn.IFS(AND(D61&lt;='SL '!L8),"A+",AND(D61&lt;='SL '!M8,D61&gt;'SL '!L8),"A",AND(D61&lt;='SL '!N8,D61&gt;'SL '!M8),"B",AND(D61&lt;='SL '!O8,D61&gt;'SL '!N8),"C",AND(D61&lt;='SL '!P8,D61&gt;'SL '!O8),"D",AND(D61&lt;='SL '!Q8,D61&gt;'SL '!P8),"E",AND(D61&lt;='SL '!R8,D61&gt;'SL '!Q8),"F",AND(D61&gt;'SL '!R8),"G")</f>
        <v>#DIV/0!</v>
      </c>
    </row>
    <row r="62" spans="1:14" ht="32" x14ac:dyDescent="0.2">
      <c r="A62" s="262"/>
      <c r="B62" s="263" t="s">
        <v>90</v>
      </c>
      <c r="C62" s="57" t="s">
        <v>85</v>
      </c>
      <c r="D62" s="100" t="e">
        <f>I16</f>
        <v>#DIV/0!</v>
      </c>
      <c r="E62" s="266" t="s">
        <v>91</v>
      </c>
      <c r="G62" s="263" t="s">
        <v>90</v>
      </c>
      <c r="H62" s="46" t="s">
        <v>85</v>
      </c>
      <c r="I62" s="55" t="e" cm="1">
        <f t="array" ref="I62">_xlfn.IFS(AND(D62&lt;='SL '!L9),"A+",AND(D62&lt;='SL '!M9,D62&gt;'SL '!L9),"A",AND(D62&lt;='SL '!N9,D62&gt;'SL '!M9),"B",AND(D62&lt;='SL '!O9,D62&gt;'SL '!N9),"C",AND(D62&lt;='SL '!P9,D62&gt;'SL '!O9),"D",AND(D62&lt;='SL '!Q9,D62&gt;'SL '!P9),"E",AND(D62&lt;='SL '!R9,D62&gt;'SL '!Q9),"F",AND(D62&gt;'SL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_xlfn.IFS(D63="#","#",AND(D63&lt;='SL '!L10),"A+",AND(D63&lt;='SL '!M10,D63&gt;'SL '!L10),"A",AND(D63&lt;='SL '!N10,D63&gt;'SL '!M10),"B",AND(D63&lt;='SL '!O10,D63&gt;'SL '!N10),"C",AND(D63&lt;='SL '!P10,D63&gt;'SL '!O10),"D",AND(D63&lt;='SL '!Q10,D63&gt;'SL '!P10),"E",AND(D63&lt;='SL '!R10,D63&gt;'SL '!Q10),"F",AND(D63&gt;'SL '!R10),"G")</f>
        <v>#</v>
      </c>
    </row>
    <row r="64" spans="1:14" ht="32" x14ac:dyDescent="0.2">
      <c r="A64" s="262"/>
      <c r="B64" s="264"/>
      <c r="C64" s="21" t="s">
        <v>92</v>
      </c>
      <c r="D64" s="47" t="e">
        <f>IF(ISNUMBER(D63), D62 + D63, D62)</f>
        <v>#DIV/0!</v>
      </c>
      <c r="E64" s="202"/>
      <c r="G64" s="264"/>
      <c r="H64" t="s">
        <v>92</v>
      </c>
      <c r="I64" s="56" t="e" cm="1">
        <f t="array" ref="I64">_xlfn.IFS(AND(D64&lt;='SL '!L11),"A+",AND(D64&lt;='SL '!M11,D64&gt;'SL '!L11),"A",AND(D64&lt;='SL '!N11,D64&gt;'SL '!M11),"B",AND(D64&lt;='SL '!O11,D64&gt;'SL '!N11),"C",AND(D64&lt;='SL '!P11,D64&gt;'SL '!O11),"D",AND(D64&lt;='SL '!Q11,D64&gt;'SL '!P11),"E",AND(D64&lt;='SL '!R11,D64&gt;'SL '!Q11),"F",AND(D64&gt;'SL '!R11),"G")</f>
        <v>#DIV/0!</v>
      </c>
    </row>
    <row r="65" spans="1:9" x14ac:dyDescent="0.2">
      <c r="A65" s="262"/>
      <c r="B65" s="264"/>
      <c r="C65" t="s">
        <v>89</v>
      </c>
      <c r="D65" s="99">
        <f>I31</f>
        <v>0</v>
      </c>
      <c r="E65" s="202"/>
      <c r="G65" s="264"/>
      <c r="H65" t="s">
        <v>89</v>
      </c>
      <c r="I65" s="56" t="str" cm="1">
        <f t="array" ref="I65">_xlfn.IFS(AND(D65&lt;='SL '!L12),"A+",AND(D65&lt;='SL '!M12,D65&gt;'SL '!L12),"A",AND(D65&lt;='SL '!N12,D65&gt;'SL '!M12),"B",AND(D65&lt;='SL '!O12,D65&gt;'SL '!N12),"C",AND(D65&lt;='SL '!P12,D65&gt;'SL '!O12),"D",AND(D65&lt;='SL '!Q12,D65&gt;'SL '!P12),"E",AND(D65&lt;='SL '!R12,D65&gt;'SL '!Q12),"F",AND(D65&gt;'SL '!R12),"G")</f>
        <v>A+</v>
      </c>
    </row>
    <row r="66" spans="1:9" ht="16" thickBot="1" x14ac:dyDescent="0.25">
      <c r="A66" s="262"/>
      <c r="B66" s="265"/>
      <c r="C66" s="16" t="s">
        <v>57</v>
      </c>
      <c r="D66" s="16" t="e">
        <f>SUM(D64:D65)</f>
        <v>#DIV/0!</v>
      </c>
      <c r="E66" s="267"/>
      <c r="G66" s="265"/>
      <c r="H66" s="16" t="s">
        <v>57</v>
      </c>
      <c r="I66" s="1" t="e" cm="1">
        <f t="array" ref="I66">_xlfn.IFS(AND(D66&lt;='SL '!L13),"A+",AND(D66&lt;='SL '!M13,D66&gt;'SL '!L13),"A",AND(D66&lt;='SL '!N13,D66&gt;'SL '!M13),"B",AND(D66&lt;='SL '!O13,D66&gt;'SL '!N13),"C",AND(D66&lt;='SL '!P13,D66&gt;'SL '!O13),"D",AND(D66&lt;='SL '!Q13,D66&gt;'SL '!P13),"E",AND(D66&lt;='SL '!R13,D66&gt;'SL '!Q13),"F",AND(D66&gt;'SL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63" priority="9" operator="equal">
      <formula>"A+"</formula>
    </cfRule>
    <cfRule type="containsText" dxfId="162" priority="10" operator="containsText" text="A">
      <formula>NOT(ISERROR(SEARCH("A",I57)))</formula>
    </cfRule>
    <cfRule type="containsText" dxfId="161" priority="11" operator="containsText" text="B">
      <formula>NOT(ISERROR(SEARCH("B",I57)))</formula>
    </cfRule>
    <cfRule type="containsText" dxfId="160" priority="12" operator="containsText" text="C">
      <formula>NOT(ISERROR(SEARCH("C",I57)))</formula>
    </cfRule>
    <cfRule type="containsText" dxfId="159" priority="13" operator="containsText" text="D">
      <formula>NOT(ISERROR(SEARCH("D",I57)))</formula>
    </cfRule>
    <cfRule type="containsText" dxfId="158" priority="14" operator="containsText" text="E">
      <formula>NOT(ISERROR(SEARCH("E",I57)))</formula>
    </cfRule>
    <cfRule type="containsText" dxfId="157" priority="15" operator="containsText" text="F">
      <formula>NOT(ISERROR(SEARCH("F",I57)))</formula>
    </cfRule>
    <cfRule type="containsText" dxfId="156" priority="16" operator="containsText" text="G">
      <formula>NOT(ISERROR(SEARCH("G",I57)))</formula>
    </cfRule>
  </conditionalFormatting>
  <conditionalFormatting sqref="K5:K15">
    <cfRule type="expression" dxfId="51" priority="2" stopIfTrue="1">
      <formula>$O$19="No"</formula>
    </cfRule>
  </conditionalFormatting>
  <conditionalFormatting sqref="L5:L15">
    <cfRule type="expression" dxfId="50"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A045EF6D-A110-104D-87CD-902667E673C0}">
      <formula1>AND(Q19="Yes", ISNUMBER(L5))</formula1>
    </dataValidation>
    <dataValidation type="custom" operator="lessThan" allowBlank="1" showErrorMessage="1" errorTitle="Error" error="You can only enter values if you have selected HOME PV. The value must be a number." sqref="K5:K15" xr:uid="{ED48B406-E1B3-9146-A4EC-6EC36F9D1A26}">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CC536B-A448-48D4-9382-8422DBFA0484}">
          <x14:formula1>
            <xm:f>DATA!$J$3:$J$10</xm:f>
          </x14:formula1>
          <xm:sqref>D29:D51</xm:sqref>
        </x14:dataValidation>
        <x14:dataValidation type="list" allowBlank="1" showInputMessage="1" showErrorMessage="1" xr:uid="{2329F507-E4F9-7649-8E22-F595C393662D}">
          <x14:formula1>
            <xm:f>DATA!$B$15:$B$23</xm:f>
          </x14:formula1>
          <xm:sqref>J2</xm:sqref>
        </x14:dataValidation>
        <x14:dataValidation type="list" allowBlank="1" showInputMessage="1" showErrorMessage="1" xr:uid="{37E88B69-4E0D-4E86-A5E7-9475CC3261DA}">
          <x14:formula1>
            <xm:f>DATA!$H$3:$H$23</xm:f>
          </x14:formula1>
          <xm:sqref>C29:C51</xm:sqref>
        </x14:dataValidation>
        <x14:dataValidation type="list" allowBlank="1" showInputMessage="1" showErrorMessage="1" xr:uid="{2D053837-56DE-C64A-A357-2B768F97EFED}">
          <x14:formula1>
            <xm:f>DATA!$B$3:$B$13</xm:f>
          </x14:formula1>
          <xm:sqref>H2</xm:sqref>
        </x14:dataValidation>
        <x14:dataValidation type="list" allowBlank="1" showInputMessage="1" showErrorMessage="1" xr:uid="{359C3839-94EB-1941-BE34-372BEB14117B}">
          <x14:formula1>
            <xm:f>DATA!$L$4:$L$5</xm:f>
          </x14:formula1>
          <xm:sqref>O18:O19 Q19</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F503-9923-4E02-A311-37C501614CF3}">
  <dimension ref="A1:Q66"/>
  <sheetViews>
    <sheetView zoomScale="80" zoomScaleNormal="80" workbookViewId="0">
      <selection activeCell="I5" sqref="I5:I15"/>
    </sheetView>
  </sheetViews>
  <sheetFormatPr baseColWidth="10" defaultColWidth="11.5" defaultRowHeight="15" x14ac:dyDescent="0.2"/>
  <cols>
    <col min="1" max="1" width="6.5" customWidth="1"/>
    <col min="4" max="4" width="17.1640625" customWidth="1"/>
    <col min="5" max="5" width="18.5" customWidth="1"/>
    <col min="6" max="6" width="16.6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118</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IF($O$18="Yes",(E5/$F$2)*DATA!$C$9,(E5/$F$2)*DATA!F$29)+IF(ISBLANK(K5),0,K5/$F$2)*DATA!$C$9-IF(ISBLANK(L5),0,L5/$F$2)*DATA!F$29</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IF($O$18="Yes",(E6/$F$2)*DATA!$C$9,(E6/$F$2)*DATA!F$29)+IF(ISBLANK(K6),0,K6/$F$2)*DATA!$C$9-IF(ISBLANK(L6),0,L6/$F$2)*DATA!F$29</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IF($O$18="Yes",(E7/$F$2)*DATA!$C$9,(E7/$F$2)*DATA!F$29)+IF(ISBLANK(K7),0,K7/$F$2)*DATA!$C$9-IF(ISBLANK(L7),0,L7/$F$2)*DATA!F$29</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IF($O$18="Yes",(E8/$F$2)*DATA!$C$9,(E8/$F$2)*DATA!F$29)+IF(ISBLANK(K8),0,K8/$F$2)*DATA!$C$9-IF(ISBLANK(L8),0,L8/$F$2)*DATA!F$29</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IF($O$18="Yes",(E9/$F$2)*DATA!$C$9,(E9/$F$2)*DATA!F$29)+IF(ISBLANK(K9),0,K9/$F$2)*DATA!$C$9-IF(ISBLANK(L9),0,L9/$F$2)*DATA!F$29</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IF($O$18="Yes",(E10/$F$2)*DATA!$C$9,(E10/$F$2)*DATA!F$29)+IF(ISBLANK(K10),0,K10/$F$2)*DATA!$C$9-IF(ISBLANK(L10),0,L10/$F$2)*DATA!F$29</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IF($O$18="Yes",(E11/$F$2)*DATA!$C$9,(E11/$F$2)*DATA!F$29)+IF(ISBLANK(K11),0,K11/$F$2)*DATA!$C$9-IF(ISBLANK(L11),0,L11/$F$2)*DATA!F$29</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IF($O$18="Yes",(E12/$F$2)*DATA!$C$9,(E12/$F$2)*DATA!F$29)+IF(ISBLANK(K12),0,K12/$F$2)*DATA!$C$9-IF(ISBLANK(L12),0,L12/$F$2)*DATA!F$29</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IF($O$18="Yes",(E13/$F$2)*DATA!$C$9,(E13/$F$2)*DATA!F$29)+IF(ISBLANK(K13),0,K13/$F$2)*DATA!$C$9-IF(ISBLANK(L13),0,L13/$F$2)*DATA!F$29</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IF($O$18="Yes",(E14/$F$2)*DATA!$C$9,(E14/$F$2)*DATA!F$29)+IF(ISBLANK(K14),0,K14/$F$2)*DATA!$C$9-IF(ISBLANK(L14),0,L14/$F$2)*DATA!F$29</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IF($O$18="Yes",(E15/$F$2)*DATA!$C$9,(E15/$F$2)*DATA!F$29)+IF(ISBLANK(K15),0,K15/$F$2)*DATA!$C$9-IF(ISBLANK(L15),0,L15/$F$2)*DATA!F$29</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car",$D29=1),$E29*'ES '!C$7,AND($C29="Fuel car",$D29=2),$E29*'ES '!C$8,AND($C29="Fuel car",$D29=3),$E29*'ES '!C$9,AND($C29="Fuel car",$D29=4),$E29*'ES '!C$10,AND($C29="Fuel car",$D29=5),$E29*'ES '!C$11,AND($C29="Motorcycle",$D29=1),$E29*'ES '!C$13,AND($C29="Motorcycle",$D29=2),$E29*'ES '!C$14,AND($C29="Electric car",$D29=1),$E29*'ES '!C$16,AND($C29="Electric car",$D29=2),$E29*'ES '!C$17,AND($C29="Electric car",$D29=3),$E29*'ES '!C$18,AND($C29="Electric car",$D29=4),$E29*'ES '!C$19,AND($C29="Electric car",$D29=5),$E29*'ES '!C$20,AND($C29="Hybrid car",$D29=1),$E29*'ES '!C$22,AND($C29="Hybrid car",$D29=2),$E29*'ES '!C$23,AND($C29="Hybrid car",$D29=3),$E29*'ES '!C$24,AND($C29="Hybrid car",$D29=4),$E29*'ES '!C$25,AND($C29="Hybrid car",$D29=5),$E29*'ES '!C$26,AND($C29="Electric motorcycle",$D29=1),$E29*'ES '!C$28,AND($C29="Electric motorcycle",$D29=2),$E29*'ES '!C$29,AND($C29="Electric bike",$D29=1),$E29*'ES '!C$31,AND($C29="Electric scooter",$D29=1),$E29*'ES '!C$33,AND($C29="Bus",$D29="Almost empty"),$E29*'ES '!H$23,AND($C29="Bus",$D29="Average"),$E29*'ES '!H$24,AND($C29="Bus",$D29="Nearly full"),$E29*'ES '!H$25,AND($C29="Electric bus",$D29="Almost empty"),$E29*'ES '!H$7,AND($C29="Electric bus",$D29="Average"),$E29*'ES '!H$8,AND($C29="Electric bus",$D29="Nearly full"),$E29*'ES '!H$9,AND($C29="Diesel bus",$D29="Almost empty"),$E29*'ES '!H$19,AND($C29="Diesel bus",$D29="Average"),$E29*'ES '!H$20,AND($C29="Diesel bus",$D29="Nearly full"),$E29*'ES '!H$21,AND($C29="Hybrid-electric bus",$D29="Almost empty"),$E29*'ES '!H$11,AND($C29="Hybrid-electric bus",$D29="Average"),$E29*'ES '!H$12,AND($C29="Hybrid-electric bus",$D29="Nearly full"),$E29*'ES '!H$13,AND($C29="Alternative fuel bus",$D29="Almost empty"),$E29*'ES '!H$15,AND($C29="Alternative fuel bus",$D29="Average"),$E29*'ES '!H$16,AND($C29="Alternative fuel bus",$D29="Nearly full"),$E29*'ES '!H$17,AND($C29="Metro, tram, urban light train",$D29="Almost empty"),$E29*'ES '!C$35,AND($C29="Metro, tram, urban light train",$D29="Average"),$E29*'ES '!C$36,AND($C29="Metro, tram, urban light train",$D29="Nearly full"),$E29*'ES '!C$37,AND($C29="Electric passenger train",$D29="Almost empty"),$E29*'ES '!C$39,AND($C29="Electric passenger train",$D29="Average"),$E29*'ES '!C$40,AND($C29="Electric passenger train",$D29="Nearly full"),$E29*'ES '!C$41,AND($C29="Diesel passenger train",$D29="Almost empty"),$E29*'ES '!C$47,AND($C29="Diesel passenger train",$D29="Average"),$E29*'ES '!C$48,AND($C29="Diesel passenger train",$D29="Nearly full"),$E29*'ES '!C$49,AND($C29="Walking"),$E29*0,AND($C29="Bike"),$E29*0,AND($C29="Plane - domestic flight"),$E29*'ES '!$C53,AND($C29="Plane - international - intra EU"),$E29*'ES '!$C55,AND($C29="Plane - international (extra EU)"),$E29*'ES '!$C57)</f>
        <v>#N/A</v>
      </c>
      <c r="G29" s="104" t="e" cm="1">
        <f t="array" ref="G29">_xlfn.IFS(AND($C29="Fuel car",$D29=1),$E29*'ES '!D$7,AND($C29="Fuel car",$D29=2),$E29*'ES '!D$8,AND($C29="Fuel car",$D29=3),$E29*'ES '!D$9,AND($C29="Fuel car",$D29=4),$E29*'ES '!D$10,AND($C29="Fuel car",$D29=5),$E29*'ES '!D$11,AND($C29="Motorcycle",$D29=1),$E29*'ES '!D$13,AND($C29="Motorcycle",$D29=2),$E29*'ES '!D$14,AND($C29="Electric car",$D29=1),$E29*'ES '!D$16,AND($C29="Electric car",$D29=2),$E29*'ES '!D$17,AND($C29="Electric car",$D29=3),$E29*'ES '!D$18,AND($C29="Electric car",$D29=4),$E29*'ES '!D$19,AND($C29="Electric car",$D29=5),$E29*'ES '!D$20,AND($C29="Hybrid car",$D29=1),$E29*'ES '!D$22,AND($C29="Hybrid car",$D29=2),$E29*'ES '!D$23,AND($C29="Hybrid car",$D29=3),$E29*'ES '!D$24,AND($C29="Hybrid car",$D29=4),$E29*'ES '!D$25,AND($C29="Hybrid car",$D29=5),$E29*'ES '!D$26,AND($C29="Electric motorcycle",$D29=1),$E29*'ES '!D$28,AND($C29="Electric motorcycle",$D29=2),$E29*'ES '!D$29,AND($C29="Electric bike",$D29=1),$E29*'ES '!D$31,AND($C29="Electric scooter",$D29=1),$E29*'ES '!D$33,AND($C29="Bus",$D29="Almost empty"),$E29*'ES '!I$23,AND($C29="Bus",$D29="Average"),$E29*'ES '!I$24,AND($C29="Bus",$D29="Nearly full"),$E29*'ES '!I$25,AND($C29="Electric bus",$D29="Almost empty"),$E29*'ES '!I$7,AND($C29="Electric bus",$D29="Average"),$E29*'ES '!I$8,AND($C29="Electric bus",$D29="Nearly full"),$E29*'ES '!I$9,AND($C29="Diesel bus",$D29="Almost empty"),$E29*'ES '!I$19,AND($C29="Diesel bus",$D29="Average"),$E29*'ES '!I$20,AND($C29="Diesel bus",$D29="Nearly full"),$E29*'ES '!I$21,AND($C29="Hybrid-electric bus",$D29="Almost empty"),$E29*'ES '!I$11,AND($C29="Hybrid-electric bus",$D29="Average"),$E29*'ES '!I$12,AND($C29="Hybrid-electric bus",$D29="Nearly full"),$E29*'ES '!I$13,AND($C29="Alternative fuel bus",$D29="Almost empty"),$E29*'ES '!I$15,AND($C29="Alternative fuel bus",$D29="Average"),$E29*'ES '!I$16,AND($C29="Alternative fuel bus",$D29="Nearly full"),$E29*'ES '!I$17,AND($C29="Metro, tram, urban light train",$D29="Almost empty"),$E29*'ES '!D$35,AND($C29="Metro, tram, urban light train",$D29="Average"),$E29*'ES '!D$36,AND($C29="Metro, tram, urban light train",$D29="Nearly full"),$E29*'ES '!D$37,AND($C29="Electric passenger train",$D29="Almost empty"),$E29*'ES '!D$39,AND($C29="Electric passenger train",$D29="Average"),$E29*'ES '!D$40,AND($C29="Electric passenger train",$D29="Nearly full"),$E29*'ES '!D$41,AND($C29="Diesel passenger train",$D29="Almost empty"),$E29*'ES '!D$47,AND($C29="Diesel passenger train",$D29="Average"),$E29*'ES '!D$48,AND($C29="Diesel passenger train",$D29="Nearly full"),$E29*'ES '!D$49,AND($C29="Walking"),$E29*0,AND($C29="Bike"),$E29*0,AND($C29="Plane - domestic flight"),$E29*'ES '!$C53,AND($C29="Plane - international - intra EU"),$E29*'ES '!$C55,AND($C29="Plane - international (extra EU)"),$E29*'ES '!$C57)</f>
        <v>#N/A</v>
      </c>
      <c r="H29" s="151"/>
      <c r="I29" s="152">
        <f>H29/10*E29</f>
        <v>0</v>
      </c>
      <c r="J29" s="146" t="e" cm="1">
        <f t="array" ref="J29">_xlfn.IFS(C29="Fuel car",C29*DATA!$C$17,C29="Electric car",C29*DATA!$F$29,C29="Hybrid car",I29*(0.5*DATA!$C$17+0.5*DATA!$F$29))</f>
        <v>#N/A</v>
      </c>
      <c r="L29" s="218"/>
      <c r="M29" s="219"/>
      <c r="N29" s="220"/>
    </row>
    <row r="30" spans="1:17" ht="32" customHeight="1" x14ac:dyDescent="0.2">
      <c r="A30" s="222"/>
      <c r="B30" s="30"/>
      <c r="C30" s="15"/>
      <c r="D30" s="15"/>
      <c r="E30" s="125"/>
      <c r="F30" s="128" t="e" cm="1">
        <f t="array" ref="F30">_xlfn.IFS(AND($C30="Fuel car",$D30=1),$E30*'ES '!C$7,AND($C30="Fuel car",$D30=2),$E30*'ES '!C$8,AND($C30="Fuel car",$D30=3),$E30*'ES '!C$9,AND($C30="Fuel car",$D30=4),$E30*'ES '!C$10,AND($C30="Fuel car",$D30=5),$E30*'ES '!C$11,AND($C30="Motorcycle",$D30=1),$E30*'ES '!C$13,AND($C30="Motorcycle",$D30=2),$E30*'ES '!C$14,AND($C30="Electric car",$D30=1),$E30*'ES '!C$16,AND($C30="Electric car",$D30=2),$E30*'ES '!C$17,AND($C30="Electric car",$D30=3),$E30*'ES '!C$18,AND($C30="Electric car",$D30=4),$E30*'ES '!C$19,AND($C30="Electric car",$D30=5),$E30*'ES '!C$20,AND($C30="Hybrid car",$D30=1),$E30*'ES '!C$22,AND($C30="Hybrid car",$D30=2),$E30*'ES '!C$23,AND($C30="Hybrid car",$D30=3),$E30*'ES '!C$24,AND($C30="Hybrid car",$D30=4),$E30*'ES '!C$25,AND($C30="Hybrid car",$D30=5),$E30*'ES '!C$26,AND($C30="Electric motorcycle",$D30=1),$E30*'ES '!C$28,AND($C30="Electric motorcycle",$D30=2),$E30*'ES '!C$29,AND($C30="Electric bike",$D30=1),$E30*'ES '!C$31,AND($C30="Electric scooter",$D30=1),$E30*'ES '!C$33,AND($C30="Bus",$D30="Almost empty"),$E30*'ES '!H$23,AND($C30="Bus",$D30="Average"),$E30*'ES '!H$24,AND($C30="Bus",$D30="Nearly full"),$E30*'ES '!H$25,AND($C30="Electric bus",$D30="Almost empty"),$E30*'ES '!H$7,AND($C30="Electric bus",$D30="Average"),$E30*'ES '!H$8,AND($C30="Electric bus",$D30="Nearly full"),$E30*'ES '!H$9,AND($C30="Diesel bus",$D30="Almost empty"),$E30*'ES '!H$19,AND($C30="Diesel bus",$D30="Average"),$E30*'ES '!H$20,AND($C30="Diesel bus",$D30="Nearly full"),$E30*'ES '!H$21,AND($C30="Hybrid-electric bus",$D30="Almost empty"),$E30*'ES '!H$11,AND($C30="Hybrid-electric bus",$D30="Average"),$E30*'ES '!H$12,AND($C30="Hybrid-electric bus",$D30="Nearly full"),$E30*'ES '!H$13,AND($C30="Alternative fuel bus",$D30="Almost empty"),$E30*'ES '!H$15,AND($C30="Alternative fuel bus",$D30="Average"),$E30*'ES '!H$16,AND($C30="Alternative fuel bus",$D30="Nearly full"),$E30*'ES '!H$17,AND($C30="Metro, tram, urban light train",$D30="Almost empty"),$E30*'ES '!C$35,AND($C30="Metro, tram, urban light train",$D30="Average"),$E30*'ES '!C$36,AND($C30="Metro, tram, urban light train",$D30="Nearly full"),$E30*'ES '!C$37,AND($C30="Electric passenger train",$D30="Almost empty"),$E30*'ES '!C$39,AND($C30="Electric passenger train",$D30="Average"),$E30*'ES '!C$40,AND($C30="Electric passenger train",$D30="Nearly full"),$E30*'ES '!C$41,AND($C30="Diesel passenger train",$D30="Almost empty"),$E30*'ES '!C$47,AND($C30="Diesel passenger train",$D30="Average"),$E30*'ES '!C$48,AND($C30="Diesel passenger train",$D30="Nearly full"),$E30*'ES '!C$49,AND($C30="Walking"),$E30*0,AND($C30="Bike"),$E30*0,AND($C30="Plane - domestic flight"),$E30*'ES '!$C54,AND($C30="Plane - international - intra EU"),$E30*'ES '!$C56,AND($C30="Plane - international (extra EU)"),$E30*'ES '!$C58)</f>
        <v>#N/A</v>
      </c>
      <c r="G30" s="31" t="e" cm="1">
        <f t="array" ref="G30">_xlfn.IFS(AND($C30="Fuel car",$D30=1),$E30*'ES '!D$7,AND($C30="Fuel car",$D30=2),$E30*'ES '!D$8,AND($C30="Fuel car",$D30=3),$E30*'ES '!D$9,AND($C30="Fuel car",$D30=4),$E30*'ES '!D$10,AND($C30="Fuel car",$D30=5),$E30*'ES '!D$11,AND($C30="Motorcycle",$D30=1),$E30*'ES '!D$13,AND($C30="Motorcycle",$D30=2),$E30*'ES '!D$14,AND($C30="Electric car",$D30=1),$E30*'ES '!D$16,AND($C30="Electric car",$D30=2),$E30*'ES '!D$17,AND($C30="Electric car",$D30=3),$E30*'ES '!D$18,AND($C30="Electric car",$D30=4),$E30*'ES '!D$19,AND($C30="Electric car",$D30=5),$E30*'ES '!D$20,AND($C30="Hybrid car",$D30=1),$E30*'ES '!D$22,AND($C30="Hybrid car",$D30=2),$E30*'ES '!D$23,AND($C30="Hybrid car",$D30=3),$E30*'ES '!D$24,AND($C30="Hybrid car",$D30=4),$E30*'ES '!D$25,AND($C30="Hybrid car",$D30=5),$E30*'ES '!D$26,AND($C30="Electric motorcycle",$D30=1),$E30*'ES '!D$28,AND($C30="Electric motorcycle",$D30=2),$E30*'ES '!D$29,AND($C30="Electric bike",$D30=1),$E30*'ES '!D$31,AND($C30="Electric scooter",$D30=1),$E30*'ES '!D$33,AND($C30="Bus",$D30="Almost empty"),$E30*'ES '!I$23,AND($C30="Bus",$D30="Average"),$E30*'ES '!I$24,AND($C30="Bus",$D30="Nearly full"),$E30*'ES '!I$25,AND($C30="Electric bus",$D30="Almost empty"),$E30*'ES '!I$7,AND($C30="Electric bus",$D30="Average"),$E30*'ES '!I$8,AND($C30="Electric bus",$D30="Nearly full"),$E30*'ES '!I$9,AND($C30="Diesel bus",$D30="Almost empty"),$E30*'ES '!I$19,AND($C30="Diesel bus",$D30="Average"),$E30*'ES '!I$20,AND($C30="Diesel bus",$D30="Nearly full"),$E30*'ES '!I$21,AND($C30="Hybrid-electric bus",$D30="Almost empty"),$E30*'ES '!I$11,AND($C30="Hybrid-electric bus",$D30="Average"),$E30*'ES '!I$12,AND($C30="Hybrid-electric bus",$D30="Nearly full"),$E30*'ES '!I$13,AND($C30="Alternative fuel bus",$D30="Almost empty"),$E30*'ES '!I$15,AND($C30="Alternative fuel bus",$D30="Average"),$E30*'ES '!I$16,AND($C30="Alternative fuel bus",$D30="Nearly full"),$E30*'ES '!I$17,AND($C30="Metro, tram, urban light train",$D30="Almost empty"),$E30*'ES '!D$35,AND($C30="Metro, tram, urban light train",$D30="Average"),$E30*'ES '!D$36,AND($C30="Metro, tram, urban light train",$D30="Nearly full"),$E30*'ES '!D$37,AND($C30="Electric passenger train",$D30="Almost empty"),$E30*'ES '!D$39,AND($C30="Electric passenger train",$D30="Average"),$E30*'ES '!D$40,AND($C30="Electric passenger train",$D30="Nearly full"),$E30*'ES '!D$41,AND($C30="Diesel passenger train",$D30="Almost empty"),$E30*'ES '!D$47,AND($C30="Diesel passenger train",$D30="Average"),$E30*'ES '!D$48,AND($C30="Diesel passenger train",$D30="Nearly full"),$E30*'ES '!D$49,AND($C30="Walking"),$E30*0,AND($C30="Bike"),$E30*0,AND($C30="Plane - domestic flight"),$E30*'ES '!$C54,AND($C30="Plane - international - intra EU"),$E30*'ES '!$C56,AND($C30="Plane - international (extra EU)"),$E30*'ES '!$C58)</f>
        <v>#N/A</v>
      </c>
      <c r="H30" s="145"/>
      <c r="I30" s="148">
        <f t="shared" ref="I30:I43" si="6">H30/10*E30</f>
        <v>0</v>
      </c>
      <c r="J30" s="146" t="e" cm="1">
        <f t="array" ref="J30">_xlfn.IFS(C30="Fuel car",C30*DATA!$C$17,C30="Electric car",C30*DATA!$F$29,C30="Hybrid car",I30*(0.5*DATA!$C$17+0.5*DATA!$F$29))</f>
        <v>#N/A</v>
      </c>
      <c r="L30" s="215" t="s">
        <v>76</v>
      </c>
      <c r="M30" s="216"/>
      <c r="N30" s="217"/>
    </row>
    <row r="31" spans="1:17" x14ac:dyDescent="0.2">
      <c r="A31" s="222"/>
      <c r="B31" s="30"/>
      <c r="C31" s="15"/>
      <c r="D31" s="15"/>
      <c r="E31" s="125"/>
      <c r="F31" s="128" t="e" cm="1">
        <f t="array" ref="F31">_xlfn.IFS(AND($C31="Fuel car",$D31=1),$E31*'ES '!C$7,AND($C31="Fuel car",$D31=2),$E31*'ES '!C$8,AND($C31="Fuel car",$D31=3),$E31*'ES '!C$9,AND($C31="Fuel car",$D31=4),$E31*'ES '!C$10,AND($C31="Fuel car",$D31=5),$E31*'ES '!C$11,AND($C31="Motorcycle",$D31=1),$E31*'ES '!C$13,AND($C31="Motorcycle",$D31=2),$E31*'ES '!C$14,AND($C31="Electric car",$D31=1),$E31*'ES '!C$16,AND($C31="Electric car",$D31=2),$E31*'ES '!C$17,AND($C31="Electric car",$D31=3),$E31*'ES '!C$18,AND($C31="Electric car",$D31=4),$E31*'ES '!C$19,AND($C31="Electric car",$D31=5),$E31*'ES '!C$20,AND($C31="Hybrid car",$D31=1),$E31*'ES '!C$22,AND($C31="Hybrid car",$D31=2),$E31*'ES '!C$23,AND($C31="Hybrid car",$D31=3),$E31*'ES '!C$24,AND($C31="Hybrid car",$D31=4),$E31*'ES '!C$25,AND($C31="Hybrid car",$D31=5),$E31*'ES '!C$26,AND($C31="Electric motorcycle",$D31=1),$E31*'ES '!C$28,AND($C31="Electric motorcycle",$D31=2),$E31*'ES '!C$29,AND($C31="Electric bike",$D31=1),$E31*'ES '!C$31,AND($C31="Electric scooter",$D31=1),$E31*'ES '!C$33,AND($C31="Bus",$D31="Almost empty"),$E31*'ES '!H$23,AND($C31="Bus",$D31="Average"),$E31*'ES '!H$24,AND($C31="Bus",$D31="Nearly full"),$E31*'ES '!H$25,AND($C31="Electric bus",$D31="Almost empty"),$E31*'ES '!H$7,AND($C31="Electric bus",$D31="Average"),$E31*'ES '!H$8,AND($C31="Electric bus",$D31="Nearly full"),$E31*'ES '!H$9,AND($C31="Diesel bus",$D31="Almost empty"),$E31*'ES '!H$19,AND($C31="Diesel bus",$D31="Average"),$E31*'ES '!H$20,AND($C31="Diesel bus",$D31="Nearly full"),$E31*'ES '!H$21,AND($C31="Hybrid-electric bus",$D31="Almost empty"),$E31*'ES '!H$11,AND($C31="Hybrid-electric bus",$D31="Average"),$E31*'ES '!H$12,AND($C31="Hybrid-electric bus",$D31="Nearly full"),$E31*'ES '!H$13,AND($C31="Alternative fuel bus",$D31="Almost empty"),$E31*'ES '!H$15,AND($C31="Alternative fuel bus",$D31="Average"),$E31*'ES '!H$16,AND($C31="Alternative fuel bus",$D31="Nearly full"),$E31*'ES '!H$17,AND($C31="Metro, tram, urban light train",$D31="Almost empty"),$E31*'ES '!C$35,AND($C31="Metro, tram, urban light train",$D31="Average"),$E31*'ES '!C$36,AND($C31="Metro, tram, urban light train",$D31="Nearly full"),$E31*'ES '!C$37,AND($C31="Electric passenger train",$D31="Almost empty"),$E31*'ES '!C$39,AND($C31="Electric passenger train",$D31="Average"),$E31*'ES '!C$40,AND($C31="Electric passenger train",$D31="Nearly full"),$E31*'ES '!C$41,AND($C31="Diesel passenger train",$D31="Almost empty"),$E31*'ES '!C$47,AND($C31="Diesel passenger train",$D31="Average"),$E31*'ES '!C$48,AND($C31="Diesel passenger train",$D31="Nearly full"),$E31*'ES '!C$49,AND($C31="Walking"),$E31*0,AND($C31="Bike"),$E31*0,AND($C31="Plane - domestic flight"),$E31*'ES '!$C55,AND($C31="Plane - international - intra EU"),$E31*'ES '!$C57,AND($C31="Plane - international (extra EU)"),$E31*'ES '!$C59)</f>
        <v>#N/A</v>
      </c>
      <c r="G31" s="31" t="e" cm="1">
        <f t="array" ref="G31">_xlfn.IFS(AND($C31="Fuel car",$D31=1),$E31*'ES '!D$7,AND($C31="Fuel car",$D31=2),$E31*'ES '!D$8,AND($C31="Fuel car",$D31=3),$E31*'ES '!D$9,AND($C31="Fuel car",$D31=4),$E31*'ES '!D$10,AND($C31="Fuel car",$D31=5),$E31*'ES '!D$11,AND($C31="Motorcycle",$D31=1),$E31*'ES '!D$13,AND($C31="Motorcycle",$D31=2),$E31*'ES '!D$14,AND($C31="Electric car",$D31=1),$E31*'ES '!D$16,AND($C31="Electric car",$D31=2),$E31*'ES '!D$17,AND($C31="Electric car",$D31=3),$E31*'ES '!D$18,AND($C31="Electric car",$D31=4),$E31*'ES '!D$19,AND($C31="Electric car",$D31=5),$E31*'ES '!D$20,AND($C31="Hybrid car",$D31=1),$E31*'ES '!D$22,AND($C31="Hybrid car",$D31=2),$E31*'ES '!D$23,AND($C31="Hybrid car",$D31=3),$E31*'ES '!D$24,AND($C31="Hybrid car",$D31=4),$E31*'ES '!D$25,AND($C31="Hybrid car",$D31=5),$E31*'ES '!D$26,AND($C31="Electric motorcycle",$D31=1),$E31*'ES '!D$28,AND($C31="Electric motorcycle",$D31=2),$E31*'ES '!D$29,AND($C31="Electric bike",$D31=1),$E31*'ES '!D$31,AND($C31="Electric scooter",$D31=1),$E31*'ES '!D$33,AND($C31="Bus",$D31="Almost empty"),$E31*'ES '!I$23,AND($C31="Bus",$D31="Average"),$E31*'ES '!I$24,AND($C31="Bus",$D31="Nearly full"),$E31*'ES '!I$25,AND($C31="Electric bus",$D31="Almost empty"),$E31*'ES '!I$7,AND($C31="Electric bus",$D31="Average"),$E31*'ES '!I$8,AND($C31="Electric bus",$D31="Nearly full"),$E31*'ES '!I$9,AND($C31="Diesel bus",$D31="Almost empty"),$E31*'ES '!I$19,AND($C31="Diesel bus",$D31="Average"),$E31*'ES '!I$20,AND($C31="Diesel bus",$D31="Nearly full"),$E31*'ES '!I$21,AND($C31="Hybrid-electric bus",$D31="Almost empty"),$E31*'ES '!I$11,AND($C31="Hybrid-electric bus",$D31="Average"),$E31*'ES '!I$12,AND($C31="Hybrid-electric bus",$D31="Nearly full"),$E31*'ES '!I$13,AND($C31="Alternative fuel bus",$D31="Almost empty"),$E31*'ES '!I$15,AND($C31="Alternative fuel bus",$D31="Average"),$E31*'ES '!I$16,AND($C31="Alternative fuel bus",$D31="Nearly full"),$E31*'ES '!I$17,AND($C31="Metro, tram, urban light train",$D31="Almost empty"),$E31*'ES '!D$35,AND($C31="Metro, tram, urban light train",$D31="Average"),$E31*'ES '!D$36,AND($C31="Metro, tram, urban light train",$D31="Nearly full"),$E31*'ES '!D$37,AND($C31="Electric passenger train",$D31="Almost empty"),$E31*'ES '!D$39,AND($C31="Electric passenger train",$D31="Average"),$E31*'ES '!D$40,AND($C31="Electric passenger train",$D31="Nearly full"),$E31*'ES '!D$41,AND($C31="Diesel passenger train",$D31="Almost empty"),$E31*'ES '!D$47,AND($C31="Diesel passenger train",$D31="Average"),$E31*'ES '!D$48,AND($C31="Diesel passenger train",$D31="Nearly full"),$E31*'ES '!D$49,AND($C31="Walking"),$E31*0,AND($C31="Bike"),$E31*0,AND($C31="Plane - domestic flight"),$E31*'ES '!$C55,AND($C31="Plane - international - intra EU"),$E31*'ES '!$C57,AND($C31="Plane - international (extra EU)"),$E31*'ES '!$C59)</f>
        <v>#N/A</v>
      </c>
      <c r="H31" s="145"/>
      <c r="I31" s="148">
        <f t="shared" si="6"/>
        <v>0</v>
      </c>
      <c r="J31" s="146" t="e" cm="1">
        <f t="array" ref="J31">_xlfn.IFS(C31="Fuel car",C31*DATA!$C$17,C31="Electric car",C31*DATA!$F$29,C31="Hybrid car",I31*(0.5*DATA!$C$17+0.5*DATA!$F$29))</f>
        <v>#N/A</v>
      </c>
      <c r="L31" s="223"/>
      <c r="M31" s="224"/>
      <c r="N31" s="225"/>
    </row>
    <row r="32" spans="1:17" ht="16" thickBot="1" x14ac:dyDescent="0.25">
      <c r="A32" s="222"/>
      <c r="B32" s="30"/>
      <c r="C32" s="15"/>
      <c r="D32" s="15"/>
      <c r="E32" s="125"/>
      <c r="F32" s="128" t="e" cm="1">
        <f t="array" ref="F32">_xlfn.IFS(AND($C32="Fuel car",$D32=1),$E32*'ES '!C$7,AND($C32="Fuel car",$D32=2),$E32*'ES '!C$8,AND($C32="Fuel car",$D32=3),$E32*'ES '!C$9,AND($C32="Fuel car",$D32=4),$E32*'ES '!C$10,AND($C32="Fuel car",$D32=5),$E32*'ES '!C$11,AND($C32="Motorcycle",$D32=1),$E32*'ES '!C$13,AND($C32="Motorcycle",$D32=2),$E32*'ES '!C$14,AND($C32="Electric car",$D32=1),$E32*'ES '!C$16,AND($C32="Electric car",$D32=2),$E32*'ES '!C$17,AND($C32="Electric car",$D32=3),$E32*'ES '!C$18,AND($C32="Electric car",$D32=4),$E32*'ES '!C$19,AND($C32="Electric car",$D32=5),$E32*'ES '!C$20,AND($C32="Hybrid car",$D32=1),$E32*'ES '!C$22,AND($C32="Hybrid car",$D32=2),$E32*'ES '!C$23,AND($C32="Hybrid car",$D32=3),$E32*'ES '!C$24,AND($C32="Hybrid car",$D32=4),$E32*'ES '!C$25,AND($C32="Hybrid car",$D32=5),$E32*'ES '!C$26,AND($C32="Electric motorcycle",$D32=1),$E32*'ES '!C$28,AND($C32="Electric motorcycle",$D32=2),$E32*'ES '!C$29,AND($C32="Electric bike",$D32=1),$E32*'ES '!C$31,AND($C32="Electric scooter",$D32=1),$E32*'ES '!C$33,AND($C32="Bus",$D32="Almost empty"),$E32*'ES '!H$23,AND($C32="Bus",$D32="Average"),$E32*'ES '!H$24,AND($C32="Bus",$D32="Nearly full"),$E32*'ES '!H$25,AND($C32="Electric bus",$D32="Almost empty"),$E32*'ES '!H$7,AND($C32="Electric bus",$D32="Average"),$E32*'ES '!H$8,AND($C32="Electric bus",$D32="Nearly full"),$E32*'ES '!H$9,AND($C32="Diesel bus",$D32="Almost empty"),$E32*'ES '!H$19,AND($C32="Diesel bus",$D32="Average"),$E32*'ES '!H$20,AND($C32="Diesel bus",$D32="Nearly full"),$E32*'ES '!H$21,AND($C32="Hybrid-electric bus",$D32="Almost empty"),$E32*'ES '!H$11,AND($C32="Hybrid-electric bus",$D32="Average"),$E32*'ES '!H$12,AND($C32="Hybrid-electric bus",$D32="Nearly full"),$E32*'ES '!H$13,AND($C32="Alternative fuel bus",$D32="Almost empty"),$E32*'ES '!H$15,AND($C32="Alternative fuel bus",$D32="Average"),$E32*'ES '!H$16,AND($C32="Alternative fuel bus",$D32="Nearly full"),$E32*'ES '!H$17,AND($C32="Metro, tram, urban light train",$D32="Almost empty"),$E32*'ES '!C$35,AND($C32="Metro, tram, urban light train",$D32="Average"),$E32*'ES '!C$36,AND($C32="Metro, tram, urban light train",$D32="Nearly full"),$E32*'ES '!C$37,AND($C32="Electric passenger train",$D32="Almost empty"),$E32*'ES '!C$39,AND($C32="Electric passenger train",$D32="Average"),$E32*'ES '!C$40,AND($C32="Electric passenger train",$D32="Nearly full"),$E32*'ES '!C$41,AND($C32="Diesel passenger train",$D32="Almost empty"),$E32*'ES '!C$47,AND($C32="Diesel passenger train",$D32="Average"),$E32*'ES '!C$48,AND($C32="Diesel passenger train",$D32="Nearly full"),$E32*'ES '!C$49,AND($C32="Walking"),$E32*0,AND($C32="Bike"),$E32*0,AND($C32="Plane - domestic flight"),$E32*'ES '!$C56,AND($C32="Plane - international - intra EU"),$E32*'ES '!$C58,AND($C32="Plane - international (extra EU)"),$E32*'ES '!$C60)</f>
        <v>#N/A</v>
      </c>
      <c r="G32" s="31" t="e" cm="1">
        <f t="array" ref="G32">_xlfn.IFS(AND($C32="Fuel car",$D32=1),$E32*'ES '!D$7,AND($C32="Fuel car",$D32=2),$E32*'ES '!D$8,AND($C32="Fuel car",$D32=3),$E32*'ES '!D$9,AND($C32="Fuel car",$D32=4),$E32*'ES '!D$10,AND($C32="Fuel car",$D32=5),$E32*'ES '!D$11,AND($C32="Motorcycle",$D32=1),$E32*'ES '!D$13,AND($C32="Motorcycle",$D32=2),$E32*'ES '!D$14,AND($C32="Electric car",$D32=1),$E32*'ES '!D$16,AND($C32="Electric car",$D32=2),$E32*'ES '!D$17,AND($C32="Electric car",$D32=3),$E32*'ES '!D$18,AND($C32="Electric car",$D32=4),$E32*'ES '!D$19,AND($C32="Electric car",$D32=5),$E32*'ES '!D$20,AND($C32="Hybrid car",$D32=1),$E32*'ES '!D$22,AND($C32="Hybrid car",$D32=2),$E32*'ES '!D$23,AND($C32="Hybrid car",$D32=3),$E32*'ES '!D$24,AND($C32="Hybrid car",$D32=4),$E32*'ES '!D$25,AND($C32="Hybrid car",$D32=5),$E32*'ES '!D$26,AND($C32="Electric motorcycle",$D32=1),$E32*'ES '!D$28,AND($C32="Electric motorcycle",$D32=2),$E32*'ES '!D$29,AND($C32="Electric bike",$D32=1),$E32*'ES '!D$31,AND($C32="Electric scooter",$D32=1),$E32*'ES '!D$33,AND($C32="Bus",$D32="Almost empty"),$E32*'ES '!I$23,AND($C32="Bus",$D32="Average"),$E32*'ES '!I$24,AND($C32="Bus",$D32="Nearly full"),$E32*'ES '!I$25,AND($C32="Electric bus",$D32="Almost empty"),$E32*'ES '!I$7,AND($C32="Electric bus",$D32="Average"),$E32*'ES '!I$8,AND($C32="Electric bus",$D32="Nearly full"),$E32*'ES '!I$9,AND($C32="Diesel bus",$D32="Almost empty"),$E32*'ES '!I$19,AND($C32="Diesel bus",$D32="Average"),$E32*'ES '!I$20,AND($C32="Diesel bus",$D32="Nearly full"),$E32*'ES '!I$21,AND($C32="Hybrid-electric bus",$D32="Almost empty"),$E32*'ES '!I$11,AND($C32="Hybrid-electric bus",$D32="Average"),$E32*'ES '!I$12,AND($C32="Hybrid-electric bus",$D32="Nearly full"),$E32*'ES '!I$13,AND($C32="Alternative fuel bus",$D32="Almost empty"),$E32*'ES '!I$15,AND($C32="Alternative fuel bus",$D32="Average"),$E32*'ES '!I$16,AND($C32="Alternative fuel bus",$D32="Nearly full"),$E32*'ES '!I$17,AND($C32="Metro, tram, urban light train",$D32="Almost empty"),$E32*'ES '!D$35,AND($C32="Metro, tram, urban light train",$D32="Average"),$E32*'ES '!D$36,AND($C32="Metro, tram, urban light train",$D32="Nearly full"),$E32*'ES '!D$37,AND($C32="Electric passenger train",$D32="Almost empty"),$E32*'ES '!D$39,AND($C32="Electric passenger train",$D32="Average"),$E32*'ES '!D$40,AND($C32="Electric passenger train",$D32="Nearly full"),$E32*'ES '!D$41,AND($C32="Diesel passenger train",$D32="Almost empty"),$E32*'ES '!D$47,AND($C32="Diesel passenger train",$D32="Average"),$E32*'ES '!D$48,AND($C32="Diesel passenger train",$D32="Nearly full"),$E32*'ES '!D$49,AND($C32="Walking"),$E32*0,AND($C32="Bike"),$E32*0,AND($C32="Plane - domestic flight"),$E32*'ES '!$C56,AND($C32="Plane - international - intra EU"),$E32*'ES '!$C58,AND($C32="Plane - international (extra EU)"),$E32*'ES '!$C60)</f>
        <v>#N/A</v>
      </c>
      <c r="H32" s="145"/>
      <c r="I32" s="148">
        <f t="shared" si="6"/>
        <v>0</v>
      </c>
      <c r="J32" s="146" t="e" cm="1">
        <f t="array" ref="J32">_xlfn.IFS(C32="Fuel car",C32*DATA!$C$17,C32="Electric car",C32*DATA!$F$29,C32="Hybrid car",I32*(0.5*DATA!$C$17+0.5*DATA!$F$29))</f>
        <v>#N/A</v>
      </c>
      <c r="L32" s="218"/>
      <c r="M32" s="219"/>
      <c r="N32" s="220"/>
    </row>
    <row r="33" spans="1:14" ht="14.5" customHeight="1" x14ac:dyDescent="0.2">
      <c r="A33" s="222"/>
      <c r="B33" s="30"/>
      <c r="C33" s="15"/>
      <c r="D33" s="15"/>
      <c r="E33" s="125"/>
      <c r="F33" s="128" t="e" cm="1">
        <f t="array" ref="F33">_xlfn.IFS(AND($C33="Fuel car",$D33=1),$E33*'ES '!C$7,AND($C33="Fuel car",$D33=2),$E33*'ES '!C$8,AND($C33="Fuel car",$D33=3),$E33*'ES '!C$9,AND($C33="Fuel car",$D33=4),$E33*'ES '!C$10,AND($C33="Fuel car",$D33=5),$E33*'ES '!C$11,AND($C33="Motorcycle",$D33=1),$E33*'ES '!C$13,AND($C33="Motorcycle",$D33=2),$E33*'ES '!C$14,AND($C33="Electric car",$D33=1),$E33*'ES '!C$16,AND($C33="Electric car",$D33=2),$E33*'ES '!C$17,AND($C33="Electric car",$D33=3),$E33*'ES '!C$18,AND($C33="Electric car",$D33=4),$E33*'ES '!C$19,AND($C33="Electric car",$D33=5),$E33*'ES '!C$20,AND($C33="Hybrid car",$D33=1),$E33*'ES '!C$22,AND($C33="Hybrid car",$D33=2),$E33*'ES '!C$23,AND($C33="Hybrid car",$D33=3),$E33*'ES '!C$24,AND($C33="Hybrid car",$D33=4),$E33*'ES '!C$25,AND($C33="Hybrid car",$D33=5),$E33*'ES '!C$26,AND($C33="Electric motorcycle",$D33=1),$E33*'ES '!C$28,AND($C33="Electric motorcycle",$D33=2),$E33*'ES '!C$29,AND($C33="Electric bike",$D33=1),$E33*'ES '!C$31,AND($C33="Electric scooter",$D33=1),$E33*'ES '!C$33,AND($C33="Bus",$D33="Almost empty"),$E33*'ES '!H$23,AND($C33="Bus",$D33="Average"),$E33*'ES '!H$24,AND($C33="Bus",$D33="Nearly full"),$E33*'ES '!H$25,AND($C33="Electric bus",$D33="Almost empty"),$E33*'ES '!H$7,AND($C33="Electric bus",$D33="Average"),$E33*'ES '!H$8,AND($C33="Electric bus",$D33="Nearly full"),$E33*'ES '!H$9,AND($C33="Diesel bus",$D33="Almost empty"),$E33*'ES '!H$19,AND($C33="Diesel bus",$D33="Average"),$E33*'ES '!H$20,AND($C33="Diesel bus",$D33="Nearly full"),$E33*'ES '!H$21,AND($C33="Hybrid-electric bus",$D33="Almost empty"),$E33*'ES '!H$11,AND($C33="Hybrid-electric bus",$D33="Average"),$E33*'ES '!H$12,AND($C33="Hybrid-electric bus",$D33="Nearly full"),$E33*'ES '!H$13,AND($C33="Alternative fuel bus",$D33="Almost empty"),$E33*'ES '!H$15,AND($C33="Alternative fuel bus",$D33="Average"),$E33*'ES '!H$16,AND($C33="Alternative fuel bus",$D33="Nearly full"),$E33*'ES '!H$17,AND($C33="Metro, tram, urban light train",$D33="Almost empty"),$E33*'ES '!C$35,AND($C33="Metro, tram, urban light train",$D33="Average"),$E33*'ES '!C$36,AND($C33="Metro, tram, urban light train",$D33="Nearly full"),$E33*'ES '!C$37,AND($C33="Electric passenger train",$D33="Almost empty"),$E33*'ES '!C$39,AND($C33="Electric passenger train",$D33="Average"),$E33*'ES '!C$40,AND($C33="Electric passenger train",$D33="Nearly full"),$E33*'ES '!C$41,AND($C33="Diesel passenger train",$D33="Almost empty"),$E33*'ES '!C$47,AND($C33="Diesel passenger train",$D33="Average"),$E33*'ES '!C$48,AND($C33="Diesel passenger train",$D33="Nearly full"),$E33*'ES '!C$49,AND($C33="Walking"),$E33*0,AND($C33="Bike"),$E33*0,AND($C33="Plane - domestic flight"),$E33*'ES '!$C57,AND($C33="Plane - international - intra EU"),$E33*'ES '!$C59,AND($C33="Plane - international (extra EU)"),$E33*'ES '!$C61)</f>
        <v>#N/A</v>
      </c>
      <c r="G33" s="31" t="e" cm="1">
        <f t="array" ref="G33">_xlfn.IFS(AND($C33="Fuel car",$D33=1),$E33*'ES '!D$7,AND($C33="Fuel car",$D33=2),$E33*'ES '!D$8,AND($C33="Fuel car",$D33=3),$E33*'ES '!D$9,AND($C33="Fuel car",$D33=4),$E33*'ES '!D$10,AND($C33="Fuel car",$D33=5),$E33*'ES '!D$11,AND($C33="Motorcycle",$D33=1),$E33*'ES '!D$13,AND($C33="Motorcycle",$D33=2),$E33*'ES '!D$14,AND($C33="Electric car",$D33=1),$E33*'ES '!D$16,AND($C33="Electric car",$D33=2),$E33*'ES '!D$17,AND($C33="Electric car",$D33=3),$E33*'ES '!D$18,AND($C33="Electric car",$D33=4),$E33*'ES '!D$19,AND($C33="Electric car",$D33=5),$E33*'ES '!D$20,AND($C33="Hybrid car",$D33=1),$E33*'ES '!D$22,AND($C33="Hybrid car",$D33=2),$E33*'ES '!D$23,AND($C33="Hybrid car",$D33=3),$E33*'ES '!D$24,AND($C33="Hybrid car",$D33=4),$E33*'ES '!D$25,AND($C33="Hybrid car",$D33=5),$E33*'ES '!D$26,AND($C33="Electric motorcycle",$D33=1),$E33*'ES '!D$28,AND($C33="Electric motorcycle",$D33=2),$E33*'ES '!D$29,AND($C33="Electric bike",$D33=1),$E33*'ES '!D$31,AND($C33="Electric scooter",$D33=1),$E33*'ES '!D$33,AND($C33="Bus",$D33="Almost empty"),$E33*'ES '!I$23,AND($C33="Bus",$D33="Average"),$E33*'ES '!I$24,AND($C33="Bus",$D33="Nearly full"),$E33*'ES '!I$25,AND($C33="Electric bus",$D33="Almost empty"),$E33*'ES '!I$7,AND($C33="Electric bus",$D33="Average"),$E33*'ES '!I$8,AND($C33="Electric bus",$D33="Nearly full"),$E33*'ES '!I$9,AND($C33="Diesel bus",$D33="Almost empty"),$E33*'ES '!I$19,AND($C33="Diesel bus",$D33="Average"),$E33*'ES '!I$20,AND($C33="Diesel bus",$D33="Nearly full"),$E33*'ES '!I$21,AND($C33="Hybrid-electric bus",$D33="Almost empty"),$E33*'ES '!I$11,AND($C33="Hybrid-electric bus",$D33="Average"),$E33*'ES '!I$12,AND($C33="Hybrid-electric bus",$D33="Nearly full"),$E33*'ES '!I$13,AND($C33="Alternative fuel bus",$D33="Almost empty"),$E33*'ES '!I$15,AND($C33="Alternative fuel bus",$D33="Average"),$E33*'ES '!I$16,AND($C33="Alternative fuel bus",$D33="Nearly full"),$E33*'ES '!I$17,AND($C33="Metro, tram, urban light train",$D33="Almost empty"),$E33*'ES '!D$35,AND($C33="Metro, tram, urban light train",$D33="Average"),$E33*'ES '!D$36,AND($C33="Metro, tram, urban light train",$D33="Nearly full"),$E33*'ES '!D$37,AND($C33="Electric passenger train",$D33="Almost empty"),$E33*'ES '!D$39,AND($C33="Electric passenger train",$D33="Average"),$E33*'ES '!D$40,AND($C33="Electric passenger train",$D33="Nearly full"),$E33*'ES '!D$41,AND($C33="Diesel passenger train",$D33="Almost empty"),$E33*'ES '!D$47,AND($C33="Diesel passenger train",$D33="Average"),$E33*'ES '!D$48,AND($C33="Diesel passenger train",$D33="Nearly full"),$E33*'ES '!D$49,AND($C33="Walking"),$E33*0,AND($C33="Bike"),$E33*0,AND($C33="Plane - domestic flight"),$E33*'ES '!$C57,AND($C33="Plane - international - intra EU"),$E33*'ES '!$C59,AND($C33="Plane - international (extra EU)"),$E33*'ES '!$C61)</f>
        <v>#N/A</v>
      </c>
      <c r="H33" s="145"/>
      <c r="I33" s="148">
        <f t="shared" si="6"/>
        <v>0</v>
      </c>
      <c r="J33" s="146" t="e" cm="1">
        <f t="array" ref="J33">_xlfn.IFS(C33="Fuel car",C33*DATA!$C$17,C33="Electric car",C33*DATA!$F$29,C33="Hybrid car",I33*(0.5*DATA!$C$17+0.5*DATA!$F$29))</f>
        <v>#N/A</v>
      </c>
      <c r="L33" s="223" t="s">
        <v>78</v>
      </c>
      <c r="M33" s="224"/>
      <c r="N33" s="225"/>
    </row>
    <row r="34" spans="1:14" x14ac:dyDescent="0.2">
      <c r="A34" s="222"/>
      <c r="B34" s="30"/>
      <c r="C34" s="15"/>
      <c r="D34" s="15"/>
      <c r="E34" s="125"/>
      <c r="F34" s="128" t="e" cm="1">
        <f t="array" ref="F34">_xlfn.IFS(AND($C34="Fuel car",$D34=1),$E34*'ES '!C$7,AND($C34="Fuel car",$D34=2),$E34*'ES '!C$8,AND($C34="Fuel car",$D34=3),$E34*'ES '!C$9,AND($C34="Fuel car",$D34=4),$E34*'ES '!C$10,AND($C34="Fuel car",$D34=5),$E34*'ES '!C$11,AND($C34="Motorcycle",$D34=1),$E34*'ES '!C$13,AND($C34="Motorcycle",$D34=2),$E34*'ES '!C$14,AND($C34="Electric car",$D34=1),$E34*'ES '!C$16,AND($C34="Electric car",$D34=2),$E34*'ES '!C$17,AND($C34="Electric car",$D34=3),$E34*'ES '!C$18,AND($C34="Electric car",$D34=4),$E34*'ES '!C$19,AND($C34="Electric car",$D34=5),$E34*'ES '!C$20,AND($C34="Hybrid car",$D34=1),$E34*'ES '!C$22,AND($C34="Hybrid car",$D34=2),$E34*'ES '!C$23,AND($C34="Hybrid car",$D34=3),$E34*'ES '!C$24,AND($C34="Hybrid car",$D34=4),$E34*'ES '!C$25,AND($C34="Hybrid car",$D34=5),$E34*'ES '!C$26,AND($C34="Electric motorcycle",$D34=1),$E34*'ES '!C$28,AND($C34="Electric motorcycle",$D34=2),$E34*'ES '!C$29,AND($C34="Electric bike",$D34=1),$E34*'ES '!C$31,AND($C34="Electric scooter",$D34=1),$E34*'ES '!C$33,AND($C34="Bus",$D34="Almost empty"),$E34*'ES '!H$23,AND($C34="Bus",$D34="Average"),$E34*'ES '!H$24,AND($C34="Bus",$D34="Nearly full"),$E34*'ES '!H$25,AND($C34="Electric bus",$D34="Almost empty"),$E34*'ES '!H$7,AND($C34="Electric bus",$D34="Average"),$E34*'ES '!H$8,AND($C34="Electric bus",$D34="Nearly full"),$E34*'ES '!H$9,AND($C34="Diesel bus",$D34="Almost empty"),$E34*'ES '!H$19,AND($C34="Diesel bus",$D34="Average"),$E34*'ES '!H$20,AND($C34="Diesel bus",$D34="Nearly full"),$E34*'ES '!H$21,AND($C34="Hybrid-electric bus",$D34="Almost empty"),$E34*'ES '!H$11,AND($C34="Hybrid-electric bus",$D34="Average"),$E34*'ES '!H$12,AND($C34="Hybrid-electric bus",$D34="Nearly full"),$E34*'ES '!H$13,AND($C34="Alternative fuel bus",$D34="Almost empty"),$E34*'ES '!H$15,AND($C34="Alternative fuel bus",$D34="Average"),$E34*'ES '!H$16,AND($C34="Alternative fuel bus",$D34="Nearly full"),$E34*'ES '!H$17,AND($C34="Metro, tram, urban light train",$D34="Almost empty"),$E34*'ES '!C$35,AND($C34="Metro, tram, urban light train",$D34="Average"),$E34*'ES '!C$36,AND($C34="Metro, tram, urban light train",$D34="Nearly full"),$E34*'ES '!C$37,AND($C34="Electric passenger train",$D34="Almost empty"),$E34*'ES '!C$39,AND($C34="Electric passenger train",$D34="Average"),$E34*'ES '!C$40,AND($C34="Electric passenger train",$D34="Nearly full"),$E34*'ES '!C$41,AND($C34="Diesel passenger train",$D34="Almost empty"),$E34*'ES '!C$47,AND($C34="Diesel passenger train",$D34="Average"),$E34*'ES '!C$48,AND($C34="Diesel passenger train",$D34="Nearly full"),$E34*'ES '!C$49,AND($C34="Walking"),$E34*0,AND($C34="Bike"),$E34*0,AND($C34="Plane - domestic flight"),$E34*'ES '!$C58,AND($C34="Plane - international - intra EU"),$E34*'ES '!$C60,AND($C34="Plane - international (extra EU)"),$E34*'ES '!$C62)</f>
        <v>#N/A</v>
      </c>
      <c r="G34" s="31" t="e" cm="1">
        <f t="array" ref="G34">_xlfn.IFS(AND($C34="Fuel car",$D34=1),$E34*'ES '!D$7,AND($C34="Fuel car",$D34=2),$E34*'ES '!D$8,AND($C34="Fuel car",$D34=3),$E34*'ES '!D$9,AND($C34="Fuel car",$D34=4),$E34*'ES '!D$10,AND($C34="Fuel car",$D34=5),$E34*'ES '!D$11,AND($C34="Motorcycle",$D34=1),$E34*'ES '!D$13,AND($C34="Motorcycle",$D34=2),$E34*'ES '!D$14,AND($C34="Electric car",$D34=1),$E34*'ES '!D$16,AND($C34="Electric car",$D34=2),$E34*'ES '!D$17,AND($C34="Electric car",$D34=3),$E34*'ES '!D$18,AND($C34="Electric car",$D34=4),$E34*'ES '!D$19,AND($C34="Electric car",$D34=5),$E34*'ES '!D$20,AND($C34="Hybrid car",$D34=1),$E34*'ES '!D$22,AND($C34="Hybrid car",$D34=2),$E34*'ES '!D$23,AND($C34="Hybrid car",$D34=3),$E34*'ES '!D$24,AND($C34="Hybrid car",$D34=4),$E34*'ES '!D$25,AND($C34="Hybrid car",$D34=5),$E34*'ES '!D$26,AND($C34="Electric motorcycle",$D34=1),$E34*'ES '!D$28,AND($C34="Electric motorcycle",$D34=2),$E34*'ES '!D$29,AND($C34="Electric bike",$D34=1),$E34*'ES '!D$31,AND($C34="Electric scooter",$D34=1),$E34*'ES '!D$33,AND($C34="Bus",$D34="Almost empty"),$E34*'ES '!I$23,AND($C34="Bus",$D34="Average"),$E34*'ES '!I$24,AND($C34="Bus",$D34="Nearly full"),$E34*'ES '!I$25,AND($C34="Electric bus",$D34="Almost empty"),$E34*'ES '!I$7,AND($C34="Electric bus",$D34="Average"),$E34*'ES '!I$8,AND($C34="Electric bus",$D34="Nearly full"),$E34*'ES '!I$9,AND($C34="Diesel bus",$D34="Almost empty"),$E34*'ES '!I$19,AND($C34="Diesel bus",$D34="Average"),$E34*'ES '!I$20,AND($C34="Diesel bus",$D34="Nearly full"),$E34*'ES '!I$21,AND($C34="Hybrid-electric bus",$D34="Almost empty"),$E34*'ES '!I$11,AND($C34="Hybrid-electric bus",$D34="Average"),$E34*'ES '!I$12,AND($C34="Hybrid-electric bus",$D34="Nearly full"),$E34*'ES '!I$13,AND($C34="Alternative fuel bus",$D34="Almost empty"),$E34*'ES '!I$15,AND($C34="Alternative fuel bus",$D34="Average"),$E34*'ES '!I$16,AND($C34="Alternative fuel bus",$D34="Nearly full"),$E34*'ES '!I$17,AND($C34="Metro, tram, urban light train",$D34="Almost empty"),$E34*'ES '!D$35,AND($C34="Metro, tram, urban light train",$D34="Average"),$E34*'ES '!D$36,AND($C34="Metro, tram, urban light train",$D34="Nearly full"),$E34*'ES '!D$37,AND($C34="Electric passenger train",$D34="Almost empty"),$E34*'ES '!D$39,AND($C34="Electric passenger train",$D34="Average"),$E34*'ES '!D$40,AND($C34="Electric passenger train",$D34="Nearly full"),$E34*'ES '!D$41,AND($C34="Diesel passenger train",$D34="Almost empty"),$E34*'ES '!D$47,AND($C34="Diesel passenger train",$D34="Average"),$E34*'ES '!D$48,AND($C34="Diesel passenger train",$D34="Nearly full"),$E34*'ES '!D$49,AND($C34="Walking"),$E34*0,AND($C34="Bike"),$E34*0,AND($C34="Plane - domestic flight"),$E34*'ES '!$C58,AND($C34="Plane - international - intra EU"),$E34*'ES '!$C60,AND($C34="Plane - international (extra EU)"),$E34*'ES '!$C62)</f>
        <v>#N/A</v>
      </c>
      <c r="H34" s="145"/>
      <c r="I34" s="148">
        <f t="shared" si="6"/>
        <v>0</v>
      </c>
      <c r="J34" s="146" t="e" cm="1">
        <f t="array" ref="J34">_xlfn.IFS(C34="Fuel car",C34*DATA!$C$17,C34="Electric car",C34*DATA!$F$29,C34="Hybrid car",I34*(0.5*DATA!$C$17+0.5*DATA!$F$29))</f>
        <v>#N/A</v>
      </c>
      <c r="L34" s="223"/>
      <c r="M34" s="224"/>
      <c r="N34" s="225"/>
    </row>
    <row r="35" spans="1:14" ht="14.5" customHeight="1" x14ac:dyDescent="0.2">
      <c r="A35" s="222"/>
      <c r="B35" s="30"/>
      <c r="C35" s="15"/>
      <c r="D35" s="15"/>
      <c r="E35" s="125"/>
      <c r="F35" s="128" t="e" cm="1">
        <f t="array" ref="F35">_xlfn.IFS(AND($C35="Fuel car",$D35=1),$E35*'ES '!C$7,AND($C35="Fuel car",$D35=2),$E35*'ES '!C$8,AND($C35="Fuel car",$D35=3),$E35*'ES '!C$9,AND($C35="Fuel car",$D35=4),$E35*'ES '!C$10,AND($C35="Fuel car",$D35=5),$E35*'ES '!C$11,AND($C35="Motorcycle",$D35=1),$E35*'ES '!C$13,AND($C35="Motorcycle",$D35=2),$E35*'ES '!C$14,AND($C35="Electric car",$D35=1),$E35*'ES '!C$16,AND($C35="Electric car",$D35=2),$E35*'ES '!C$17,AND($C35="Electric car",$D35=3),$E35*'ES '!C$18,AND($C35="Electric car",$D35=4),$E35*'ES '!C$19,AND($C35="Electric car",$D35=5),$E35*'ES '!C$20,AND($C35="Hybrid car",$D35=1),$E35*'ES '!C$22,AND($C35="Hybrid car",$D35=2),$E35*'ES '!C$23,AND($C35="Hybrid car",$D35=3),$E35*'ES '!C$24,AND($C35="Hybrid car",$D35=4),$E35*'ES '!C$25,AND($C35="Hybrid car",$D35=5),$E35*'ES '!C$26,AND($C35="Electric motorcycle",$D35=1),$E35*'ES '!C$28,AND($C35="Electric motorcycle",$D35=2),$E35*'ES '!C$29,AND($C35="Electric bike",$D35=1),$E35*'ES '!C$31,AND($C35="Electric scooter",$D35=1),$E35*'ES '!C$33,AND($C35="Bus",$D35="Almost empty"),$E35*'ES '!H$23,AND($C35="Bus",$D35="Average"),$E35*'ES '!H$24,AND($C35="Bus",$D35="Nearly full"),$E35*'ES '!H$25,AND($C35="Electric bus",$D35="Almost empty"),$E35*'ES '!H$7,AND($C35="Electric bus",$D35="Average"),$E35*'ES '!H$8,AND($C35="Electric bus",$D35="Nearly full"),$E35*'ES '!H$9,AND($C35="Diesel bus",$D35="Almost empty"),$E35*'ES '!H$19,AND($C35="Diesel bus",$D35="Average"),$E35*'ES '!H$20,AND($C35="Diesel bus",$D35="Nearly full"),$E35*'ES '!H$21,AND($C35="Hybrid-electric bus",$D35="Almost empty"),$E35*'ES '!H$11,AND($C35="Hybrid-electric bus",$D35="Average"),$E35*'ES '!H$12,AND($C35="Hybrid-electric bus",$D35="Nearly full"),$E35*'ES '!H$13,AND($C35="Alternative fuel bus",$D35="Almost empty"),$E35*'ES '!H$15,AND($C35="Alternative fuel bus",$D35="Average"),$E35*'ES '!H$16,AND($C35="Alternative fuel bus",$D35="Nearly full"),$E35*'ES '!H$17,AND($C35="Metro, tram, urban light train",$D35="Almost empty"),$E35*'ES '!C$35,AND($C35="Metro, tram, urban light train",$D35="Average"),$E35*'ES '!C$36,AND($C35="Metro, tram, urban light train",$D35="Nearly full"),$E35*'ES '!C$37,AND($C35="Electric passenger train",$D35="Almost empty"),$E35*'ES '!C$39,AND($C35="Electric passenger train",$D35="Average"),$E35*'ES '!C$40,AND($C35="Electric passenger train",$D35="Nearly full"),$E35*'ES '!C$41,AND($C35="Diesel passenger train",$D35="Almost empty"),$E35*'ES '!C$47,AND($C35="Diesel passenger train",$D35="Average"),$E35*'ES '!C$48,AND($C35="Diesel passenger train",$D35="Nearly full"),$E35*'ES '!C$49,AND($C35="Walking"),$E35*0,AND($C35="Bike"),$E35*0,AND($C35="Plane - domestic flight"),$E35*'ES '!$C59,AND($C35="Plane - international - intra EU"),$E35*'ES '!$C61,AND($C35="Plane - international (extra EU)"),$E35*'ES '!$C63)</f>
        <v>#N/A</v>
      </c>
      <c r="G35" s="31" t="e" cm="1">
        <f t="array" ref="G35">_xlfn.IFS(AND($C35="Fuel car",$D35=1),$E35*'ES '!D$7,AND($C35="Fuel car",$D35=2),$E35*'ES '!D$8,AND($C35="Fuel car",$D35=3),$E35*'ES '!D$9,AND($C35="Fuel car",$D35=4),$E35*'ES '!D$10,AND($C35="Fuel car",$D35=5),$E35*'ES '!D$11,AND($C35="Motorcycle",$D35=1),$E35*'ES '!D$13,AND($C35="Motorcycle",$D35=2),$E35*'ES '!D$14,AND($C35="Electric car",$D35=1),$E35*'ES '!D$16,AND($C35="Electric car",$D35=2),$E35*'ES '!D$17,AND($C35="Electric car",$D35=3),$E35*'ES '!D$18,AND($C35="Electric car",$D35=4),$E35*'ES '!D$19,AND($C35="Electric car",$D35=5),$E35*'ES '!D$20,AND($C35="Hybrid car",$D35=1),$E35*'ES '!D$22,AND($C35="Hybrid car",$D35=2),$E35*'ES '!D$23,AND($C35="Hybrid car",$D35=3),$E35*'ES '!D$24,AND($C35="Hybrid car",$D35=4),$E35*'ES '!D$25,AND($C35="Hybrid car",$D35=5),$E35*'ES '!D$26,AND($C35="Electric motorcycle",$D35=1),$E35*'ES '!D$28,AND($C35="Electric motorcycle",$D35=2),$E35*'ES '!D$29,AND($C35="Electric bike",$D35=1),$E35*'ES '!D$31,AND($C35="Electric scooter",$D35=1),$E35*'ES '!D$33,AND($C35="Bus",$D35="Almost empty"),$E35*'ES '!I$23,AND($C35="Bus",$D35="Average"),$E35*'ES '!I$24,AND($C35="Bus",$D35="Nearly full"),$E35*'ES '!I$25,AND($C35="Electric bus",$D35="Almost empty"),$E35*'ES '!I$7,AND($C35="Electric bus",$D35="Average"),$E35*'ES '!I$8,AND($C35="Electric bus",$D35="Nearly full"),$E35*'ES '!I$9,AND($C35="Diesel bus",$D35="Almost empty"),$E35*'ES '!I$19,AND($C35="Diesel bus",$D35="Average"),$E35*'ES '!I$20,AND($C35="Diesel bus",$D35="Nearly full"),$E35*'ES '!I$21,AND($C35="Hybrid-electric bus",$D35="Almost empty"),$E35*'ES '!I$11,AND($C35="Hybrid-electric bus",$D35="Average"),$E35*'ES '!I$12,AND($C35="Hybrid-electric bus",$D35="Nearly full"),$E35*'ES '!I$13,AND($C35="Alternative fuel bus",$D35="Almost empty"),$E35*'ES '!I$15,AND($C35="Alternative fuel bus",$D35="Average"),$E35*'ES '!I$16,AND($C35="Alternative fuel bus",$D35="Nearly full"),$E35*'ES '!I$17,AND($C35="Metro, tram, urban light train",$D35="Almost empty"),$E35*'ES '!D$35,AND($C35="Metro, tram, urban light train",$D35="Average"),$E35*'ES '!D$36,AND($C35="Metro, tram, urban light train",$D35="Nearly full"),$E35*'ES '!D$37,AND($C35="Electric passenger train",$D35="Almost empty"),$E35*'ES '!D$39,AND($C35="Electric passenger train",$D35="Average"),$E35*'ES '!D$40,AND($C35="Electric passenger train",$D35="Nearly full"),$E35*'ES '!D$41,AND($C35="Diesel passenger train",$D35="Almost empty"),$E35*'ES '!D$47,AND($C35="Diesel passenger train",$D35="Average"),$E35*'ES '!D$48,AND($C35="Diesel passenger train",$D35="Nearly full"),$E35*'ES '!D$49,AND($C35="Walking"),$E35*0,AND($C35="Bike"),$E35*0,AND($C35="Plane - domestic flight"),$E35*'ES '!$C59,AND($C35="Plane - international - intra EU"),$E35*'ES '!$C61,AND($C35="Plane - international (extra EU)"),$E35*'ES '!$C63)</f>
        <v>#N/A</v>
      </c>
      <c r="H35" s="145"/>
      <c r="I35" s="148">
        <f t="shared" si="6"/>
        <v>0</v>
      </c>
      <c r="J35" s="146" t="e" cm="1">
        <f t="array" ref="J35">_xlfn.IFS(C35="Fuel car",C35*DATA!$C$17,C35="Electric car",C35*DATA!$F$29,C35="Hybrid car",I35*(0.5*DATA!$C$17+0.5*DATA!$F$29))</f>
        <v>#N/A</v>
      </c>
      <c r="L35" s="223"/>
      <c r="M35" s="224"/>
      <c r="N35" s="225"/>
    </row>
    <row r="36" spans="1:14" ht="16" thickBot="1" x14ac:dyDescent="0.25">
      <c r="A36" s="222"/>
      <c r="B36" s="30"/>
      <c r="C36" s="15"/>
      <c r="D36" s="15"/>
      <c r="E36" s="125"/>
      <c r="F36" s="128" t="e" cm="1">
        <f t="array" ref="F36">_xlfn.IFS(AND($C36="Fuel car",$D36=1),$E36*'ES '!C$7,AND($C36="Fuel car",$D36=2),$E36*'ES '!C$8,AND($C36="Fuel car",$D36=3),$E36*'ES '!C$9,AND($C36="Fuel car",$D36=4),$E36*'ES '!C$10,AND($C36="Fuel car",$D36=5),$E36*'ES '!C$11,AND($C36="Motorcycle",$D36=1),$E36*'ES '!C$13,AND($C36="Motorcycle",$D36=2),$E36*'ES '!C$14,AND($C36="Electric car",$D36=1),$E36*'ES '!C$16,AND($C36="Electric car",$D36=2),$E36*'ES '!C$17,AND($C36="Electric car",$D36=3),$E36*'ES '!C$18,AND($C36="Electric car",$D36=4),$E36*'ES '!C$19,AND($C36="Electric car",$D36=5),$E36*'ES '!C$20,AND($C36="Hybrid car",$D36=1),$E36*'ES '!C$22,AND($C36="Hybrid car",$D36=2),$E36*'ES '!C$23,AND($C36="Hybrid car",$D36=3),$E36*'ES '!C$24,AND($C36="Hybrid car",$D36=4),$E36*'ES '!C$25,AND($C36="Hybrid car",$D36=5),$E36*'ES '!C$26,AND($C36="Electric motorcycle",$D36=1),$E36*'ES '!C$28,AND($C36="Electric motorcycle",$D36=2),$E36*'ES '!C$29,AND($C36="Electric bike",$D36=1),$E36*'ES '!C$31,AND($C36="Electric scooter",$D36=1),$E36*'ES '!C$33,AND($C36="Bus",$D36="Almost empty"),$E36*'ES '!H$23,AND($C36="Bus",$D36="Average"),$E36*'ES '!H$24,AND($C36="Bus",$D36="Nearly full"),$E36*'ES '!H$25,AND($C36="Electric bus",$D36="Almost empty"),$E36*'ES '!H$7,AND($C36="Electric bus",$D36="Average"),$E36*'ES '!H$8,AND($C36="Electric bus",$D36="Nearly full"),$E36*'ES '!H$9,AND($C36="Diesel bus",$D36="Almost empty"),$E36*'ES '!H$19,AND($C36="Diesel bus",$D36="Average"),$E36*'ES '!H$20,AND($C36="Diesel bus",$D36="Nearly full"),$E36*'ES '!H$21,AND($C36="Hybrid-electric bus",$D36="Almost empty"),$E36*'ES '!H$11,AND($C36="Hybrid-electric bus",$D36="Average"),$E36*'ES '!H$12,AND($C36="Hybrid-electric bus",$D36="Nearly full"),$E36*'ES '!H$13,AND($C36="Alternative fuel bus",$D36="Almost empty"),$E36*'ES '!H$15,AND($C36="Alternative fuel bus",$D36="Average"),$E36*'ES '!H$16,AND($C36="Alternative fuel bus",$D36="Nearly full"),$E36*'ES '!H$17,AND($C36="Metro, tram, urban light train",$D36="Almost empty"),$E36*'ES '!C$35,AND($C36="Metro, tram, urban light train",$D36="Average"),$E36*'ES '!C$36,AND($C36="Metro, tram, urban light train",$D36="Nearly full"),$E36*'ES '!C$37,AND($C36="Electric passenger train",$D36="Almost empty"),$E36*'ES '!C$39,AND($C36="Electric passenger train",$D36="Average"),$E36*'ES '!C$40,AND($C36="Electric passenger train",$D36="Nearly full"),$E36*'ES '!C$41,AND($C36="Diesel passenger train",$D36="Almost empty"),$E36*'ES '!C$47,AND($C36="Diesel passenger train",$D36="Average"),$E36*'ES '!C$48,AND($C36="Diesel passenger train",$D36="Nearly full"),$E36*'ES '!C$49,AND($C36="Walking"),$E36*0,AND($C36="Bike"),$E36*0,AND($C36="Plane - domestic flight"),$E36*'ES '!$C60,AND($C36="Plane - international - intra EU"),$E36*'ES '!$C62,AND($C36="Plane - international (extra EU)"),$E36*'ES '!$C64)</f>
        <v>#N/A</v>
      </c>
      <c r="G36" s="31" t="e" cm="1">
        <f t="array" ref="G36">_xlfn.IFS(AND($C36="Fuel car",$D36=1),$E36*'ES '!D$7,AND($C36="Fuel car",$D36=2),$E36*'ES '!D$8,AND($C36="Fuel car",$D36=3),$E36*'ES '!D$9,AND($C36="Fuel car",$D36=4),$E36*'ES '!D$10,AND($C36="Fuel car",$D36=5),$E36*'ES '!D$11,AND($C36="Motorcycle",$D36=1),$E36*'ES '!D$13,AND($C36="Motorcycle",$D36=2),$E36*'ES '!D$14,AND($C36="Electric car",$D36=1),$E36*'ES '!D$16,AND($C36="Electric car",$D36=2),$E36*'ES '!D$17,AND($C36="Electric car",$D36=3),$E36*'ES '!D$18,AND($C36="Electric car",$D36=4),$E36*'ES '!D$19,AND($C36="Electric car",$D36=5),$E36*'ES '!D$20,AND($C36="Hybrid car",$D36=1),$E36*'ES '!D$22,AND($C36="Hybrid car",$D36=2),$E36*'ES '!D$23,AND($C36="Hybrid car",$D36=3),$E36*'ES '!D$24,AND($C36="Hybrid car",$D36=4),$E36*'ES '!D$25,AND($C36="Hybrid car",$D36=5),$E36*'ES '!D$26,AND($C36="Electric motorcycle",$D36=1),$E36*'ES '!D$28,AND($C36="Electric motorcycle",$D36=2),$E36*'ES '!D$29,AND($C36="Electric bike",$D36=1),$E36*'ES '!D$31,AND($C36="Electric scooter",$D36=1),$E36*'ES '!D$33,AND($C36="Bus",$D36="Almost empty"),$E36*'ES '!I$23,AND($C36="Bus",$D36="Average"),$E36*'ES '!I$24,AND($C36="Bus",$D36="Nearly full"),$E36*'ES '!I$25,AND($C36="Electric bus",$D36="Almost empty"),$E36*'ES '!I$7,AND($C36="Electric bus",$D36="Average"),$E36*'ES '!I$8,AND($C36="Electric bus",$D36="Nearly full"),$E36*'ES '!I$9,AND($C36="Diesel bus",$D36="Almost empty"),$E36*'ES '!I$19,AND($C36="Diesel bus",$D36="Average"),$E36*'ES '!I$20,AND($C36="Diesel bus",$D36="Nearly full"),$E36*'ES '!I$21,AND($C36="Hybrid-electric bus",$D36="Almost empty"),$E36*'ES '!I$11,AND($C36="Hybrid-electric bus",$D36="Average"),$E36*'ES '!I$12,AND($C36="Hybrid-electric bus",$D36="Nearly full"),$E36*'ES '!I$13,AND($C36="Alternative fuel bus",$D36="Almost empty"),$E36*'ES '!I$15,AND($C36="Alternative fuel bus",$D36="Average"),$E36*'ES '!I$16,AND($C36="Alternative fuel bus",$D36="Nearly full"),$E36*'ES '!I$17,AND($C36="Metro, tram, urban light train",$D36="Almost empty"),$E36*'ES '!D$35,AND($C36="Metro, tram, urban light train",$D36="Average"),$E36*'ES '!D$36,AND($C36="Metro, tram, urban light train",$D36="Nearly full"),$E36*'ES '!D$37,AND($C36="Electric passenger train",$D36="Almost empty"),$E36*'ES '!D$39,AND($C36="Electric passenger train",$D36="Average"),$E36*'ES '!D$40,AND($C36="Electric passenger train",$D36="Nearly full"),$E36*'ES '!D$41,AND($C36="Diesel passenger train",$D36="Almost empty"),$E36*'ES '!D$47,AND($C36="Diesel passenger train",$D36="Average"),$E36*'ES '!D$48,AND($C36="Diesel passenger train",$D36="Nearly full"),$E36*'ES '!D$49,AND($C36="Walking"),$E36*0,AND($C36="Bike"),$E36*0,AND($C36="Plane - domestic flight"),$E36*'ES '!$C60,AND($C36="Plane - international - intra EU"),$E36*'ES '!$C62,AND($C36="Plane - international (extra EU)"),$E36*'ES '!$C64)</f>
        <v>#N/A</v>
      </c>
      <c r="H36" s="145"/>
      <c r="I36" s="148">
        <f t="shared" si="6"/>
        <v>0</v>
      </c>
      <c r="J36" s="146" t="e" cm="1">
        <f t="array" ref="J36">_xlfn.IFS(C36="Fuel car",C36*DATA!$C$17,C36="Electric car",C36*DATA!$F$29,C36="Hybrid car",I36*(0.5*DATA!$C$17+0.5*DATA!$F$29))</f>
        <v>#N/A</v>
      </c>
      <c r="L36" s="218"/>
      <c r="M36" s="219"/>
      <c r="N36" s="220"/>
    </row>
    <row r="37" spans="1:14" ht="14.5" customHeight="1" x14ac:dyDescent="0.2">
      <c r="A37" s="222"/>
      <c r="B37" s="30"/>
      <c r="C37" s="15"/>
      <c r="D37" s="15"/>
      <c r="E37" s="125"/>
      <c r="F37" s="128" t="e" cm="1">
        <f t="array" ref="F37">_xlfn.IFS(AND($C37="Fuel car",$D37=1),$E37*'ES '!C$7,AND($C37="Fuel car",$D37=2),$E37*'ES '!C$8,AND($C37="Fuel car",$D37=3),$E37*'ES '!C$9,AND($C37="Fuel car",$D37=4),$E37*'ES '!C$10,AND($C37="Fuel car",$D37=5),$E37*'ES '!C$11,AND($C37="Motorcycle",$D37=1),$E37*'ES '!C$13,AND($C37="Motorcycle",$D37=2),$E37*'ES '!C$14,AND($C37="Electric car",$D37=1),$E37*'ES '!C$16,AND($C37="Electric car",$D37=2),$E37*'ES '!C$17,AND($C37="Electric car",$D37=3),$E37*'ES '!C$18,AND($C37="Electric car",$D37=4),$E37*'ES '!C$19,AND($C37="Electric car",$D37=5),$E37*'ES '!C$20,AND($C37="Hybrid car",$D37=1),$E37*'ES '!C$22,AND($C37="Hybrid car",$D37=2),$E37*'ES '!C$23,AND($C37="Hybrid car",$D37=3),$E37*'ES '!C$24,AND($C37="Hybrid car",$D37=4),$E37*'ES '!C$25,AND($C37="Hybrid car",$D37=5),$E37*'ES '!C$26,AND($C37="Electric motorcycle",$D37=1),$E37*'ES '!C$28,AND($C37="Electric motorcycle",$D37=2),$E37*'ES '!C$29,AND($C37="Electric bike",$D37=1),$E37*'ES '!C$31,AND($C37="Electric scooter",$D37=1),$E37*'ES '!C$33,AND($C37="Bus",$D37="Almost empty"),$E37*'ES '!H$23,AND($C37="Bus",$D37="Average"),$E37*'ES '!H$24,AND($C37="Bus",$D37="Nearly full"),$E37*'ES '!H$25,AND($C37="Electric bus",$D37="Almost empty"),$E37*'ES '!H$7,AND($C37="Electric bus",$D37="Average"),$E37*'ES '!H$8,AND($C37="Electric bus",$D37="Nearly full"),$E37*'ES '!H$9,AND($C37="Diesel bus",$D37="Almost empty"),$E37*'ES '!H$19,AND($C37="Diesel bus",$D37="Average"),$E37*'ES '!H$20,AND($C37="Diesel bus",$D37="Nearly full"),$E37*'ES '!H$21,AND($C37="Hybrid-electric bus",$D37="Almost empty"),$E37*'ES '!H$11,AND($C37="Hybrid-electric bus",$D37="Average"),$E37*'ES '!H$12,AND($C37="Hybrid-electric bus",$D37="Nearly full"),$E37*'ES '!H$13,AND($C37="Alternative fuel bus",$D37="Almost empty"),$E37*'ES '!H$15,AND($C37="Alternative fuel bus",$D37="Average"),$E37*'ES '!H$16,AND($C37="Alternative fuel bus",$D37="Nearly full"),$E37*'ES '!H$17,AND($C37="Metro, tram, urban light train",$D37="Almost empty"),$E37*'ES '!C$35,AND($C37="Metro, tram, urban light train",$D37="Average"),$E37*'ES '!C$36,AND($C37="Metro, tram, urban light train",$D37="Nearly full"),$E37*'ES '!C$37,AND($C37="Electric passenger train",$D37="Almost empty"),$E37*'ES '!C$39,AND($C37="Electric passenger train",$D37="Average"),$E37*'ES '!C$40,AND($C37="Electric passenger train",$D37="Nearly full"),$E37*'ES '!C$41,AND($C37="Diesel passenger train",$D37="Almost empty"),$E37*'ES '!C$47,AND($C37="Diesel passenger train",$D37="Average"),$E37*'ES '!C$48,AND($C37="Diesel passenger train",$D37="Nearly full"),$E37*'ES '!C$49,AND($C37="Walking"),$E37*0,AND($C37="Bike"),$E37*0,AND($C37="Plane - domestic flight"),$E37*'ES '!$C61,AND($C37="Plane - international - intra EU"),$E37*'ES '!$C63,AND($C37="Plane - international (extra EU)"),$E37*'ES '!$C65)</f>
        <v>#N/A</v>
      </c>
      <c r="G37" s="31" t="e" cm="1">
        <f t="array" ref="G37">_xlfn.IFS(AND($C37="Fuel car",$D37=1),$E37*'ES '!D$7,AND($C37="Fuel car",$D37=2),$E37*'ES '!D$8,AND($C37="Fuel car",$D37=3),$E37*'ES '!D$9,AND($C37="Fuel car",$D37=4),$E37*'ES '!D$10,AND($C37="Fuel car",$D37=5),$E37*'ES '!D$11,AND($C37="Motorcycle",$D37=1),$E37*'ES '!D$13,AND($C37="Motorcycle",$D37=2),$E37*'ES '!D$14,AND($C37="Electric car",$D37=1),$E37*'ES '!D$16,AND($C37="Electric car",$D37=2),$E37*'ES '!D$17,AND($C37="Electric car",$D37=3),$E37*'ES '!D$18,AND($C37="Electric car",$D37=4),$E37*'ES '!D$19,AND($C37="Electric car",$D37=5),$E37*'ES '!D$20,AND($C37="Hybrid car",$D37=1),$E37*'ES '!D$22,AND($C37="Hybrid car",$D37=2),$E37*'ES '!D$23,AND($C37="Hybrid car",$D37=3),$E37*'ES '!D$24,AND($C37="Hybrid car",$D37=4),$E37*'ES '!D$25,AND($C37="Hybrid car",$D37=5),$E37*'ES '!D$26,AND($C37="Electric motorcycle",$D37=1),$E37*'ES '!D$28,AND($C37="Electric motorcycle",$D37=2),$E37*'ES '!D$29,AND($C37="Electric bike",$D37=1),$E37*'ES '!D$31,AND($C37="Electric scooter",$D37=1),$E37*'ES '!D$33,AND($C37="Bus",$D37="Almost empty"),$E37*'ES '!I$23,AND($C37="Bus",$D37="Average"),$E37*'ES '!I$24,AND($C37="Bus",$D37="Nearly full"),$E37*'ES '!I$25,AND($C37="Electric bus",$D37="Almost empty"),$E37*'ES '!I$7,AND($C37="Electric bus",$D37="Average"),$E37*'ES '!I$8,AND($C37="Electric bus",$D37="Nearly full"),$E37*'ES '!I$9,AND($C37="Diesel bus",$D37="Almost empty"),$E37*'ES '!I$19,AND($C37="Diesel bus",$D37="Average"),$E37*'ES '!I$20,AND($C37="Diesel bus",$D37="Nearly full"),$E37*'ES '!I$21,AND($C37="Hybrid-electric bus",$D37="Almost empty"),$E37*'ES '!I$11,AND($C37="Hybrid-electric bus",$D37="Average"),$E37*'ES '!I$12,AND($C37="Hybrid-electric bus",$D37="Nearly full"),$E37*'ES '!I$13,AND($C37="Alternative fuel bus",$D37="Almost empty"),$E37*'ES '!I$15,AND($C37="Alternative fuel bus",$D37="Average"),$E37*'ES '!I$16,AND($C37="Alternative fuel bus",$D37="Nearly full"),$E37*'ES '!I$17,AND($C37="Metro, tram, urban light train",$D37="Almost empty"),$E37*'ES '!D$35,AND($C37="Metro, tram, urban light train",$D37="Average"),$E37*'ES '!D$36,AND($C37="Metro, tram, urban light train",$D37="Nearly full"),$E37*'ES '!D$37,AND($C37="Electric passenger train",$D37="Almost empty"),$E37*'ES '!D$39,AND($C37="Electric passenger train",$D37="Average"),$E37*'ES '!D$40,AND($C37="Electric passenger train",$D37="Nearly full"),$E37*'ES '!D$41,AND($C37="Diesel passenger train",$D37="Almost empty"),$E37*'ES '!D$47,AND($C37="Diesel passenger train",$D37="Average"),$E37*'ES '!D$48,AND($C37="Diesel passenger train",$D37="Nearly full"),$E37*'ES '!D$49,AND($C37="Walking"),$E37*0,AND($C37="Bike"),$E37*0,AND($C37="Plane - domestic flight"),$E37*'ES '!$C61,AND($C37="Plane - international - intra EU"),$E37*'ES '!$C63,AND($C37="Plane - international (extra EU)"),$E37*'ES '!$C65)</f>
        <v>#N/A</v>
      </c>
      <c r="H37" s="145"/>
      <c r="I37" s="148">
        <f t="shared" si="6"/>
        <v>0</v>
      </c>
      <c r="J37" s="146" t="e" cm="1">
        <f t="array" ref="J37">_xlfn.IFS(C37="Fuel car",C37*DATA!$C$17,C37="Electric car",C37*DATA!$F$29,C37="Hybrid car",I37*(0.5*DATA!$C$17+0.5*DATA!$F$29))</f>
        <v>#N/A</v>
      </c>
      <c r="L37" s="215" t="s">
        <v>79</v>
      </c>
      <c r="M37" s="216"/>
      <c r="N37" s="217"/>
    </row>
    <row r="38" spans="1:14" ht="16" thickBot="1" x14ac:dyDescent="0.25">
      <c r="A38" s="222"/>
      <c r="B38" s="30"/>
      <c r="C38" s="15"/>
      <c r="D38" s="15"/>
      <c r="E38" s="125"/>
      <c r="F38" s="128" t="e" cm="1">
        <f t="array" ref="F38">_xlfn.IFS(AND($C38="Fuel car",$D38=1),$E38*'ES '!C$7,AND($C38="Fuel car",$D38=2),$E38*'ES '!C$8,AND($C38="Fuel car",$D38=3),$E38*'ES '!C$9,AND($C38="Fuel car",$D38=4),$E38*'ES '!C$10,AND($C38="Fuel car",$D38=5),$E38*'ES '!C$11,AND($C38="Motorcycle",$D38=1),$E38*'ES '!C$13,AND($C38="Motorcycle",$D38=2),$E38*'ES '!C$14,AND($C38="Electric car",$D38=1),$E38*'ES '!C$16,AND($C38="Electric car",$D38=2),$E38*'ES '!C$17,AND($C38="Electric car",$D38=3),$E38*'ES '!C$18,AND($C38="Electric car",$D38=4),$E38*'ES '!C$19,AND($C38="Electric car",$D38=5),$E38*'ES '!C$20,AND($C38="Hybrid car",$D38=1),$E38*'ES '!C$22,AND($C38="Hybrid car",$D38=2),$E38*'ES '!C$23,AND($C38="Hybrid car",$D38=3),$E38*'ES '!C$24,AND($C38="Hybrid car",$D38=4),$E38*'ES '!C$25,AND($C38="Hybrid car",$D38=5),$E38*'ES '!C$26,AND($C38="Electric motorcycle",$D38=1),$E38*'ES '!C$28,AND($C38="Electric motorcycle",$D38=2),$E38*'ES '!C$29,AND($C38="Electric bike",$D38=1),$E38*'ES '!C$31,AND($C38="Electric scooter",$D38=1),$E38*'ES '!C$33,AND($C38="Bus",$D38="Almost empty"),$E38*'ES '!H$23,AND($C38="Bus",$D38="Average"),$E38*'ES '!H$24,AND($C38="Bus",$D38="Nearly full"),$E38*'ES '!H$25,AND($C38="Electric bus",$D38="Almost empty"),$E38*'ES '!H$7,AND($C38="Electric bus",$D38="Average"),$E38*'ES '!H$8,AND($C38="Electric bus",$D38="Nearly full"),$E38*'ES '!H$9,AND($C38="Diesel bus",$D38="Almost empty"),$E38*'ES '!H$19,AND($C38="Diesel bus",$D38="Average"),$E38*'ES '!H$20,AND($C38="Diesel bus",$D38="Nearly full"),$E38*'ES '!H$21,AND($C38="Hybrid-electric bus",$D38="Almost empty"),$E38*'ES '!H$11,AND($C38="Hybrid-electric bus",$D38="Average"),$E38*'ES '!H$12,AND($C38="Hybrid-electric bus",$D38="Nearly full"),$E38*'ES '!H$13,AND($C38="Alternative fuel bus",$D38="Almost empty"),$E38*'ES '!H$15,AND($C38="Alternative fuel bus",$D38="Average"),$E38*'ES '!H$16,AND($C38="Alternative fuel bus",$D38="Nearly full"),$E38*'ES '!H$17,AND($C38="Metro, tram, urban light train",$D38="Almost empty"),$E38*'ES '!C$35,AND($C38="Metro, tram, urban light train",$D38="Average"),$E38*'ES '!C$36,AND($C38="Metro, tram, urban light train",$D38="Nearly full"),$E38*'ES '!C$37,AND($C38="Electric passenger train",$D38="Almost empty"),$E38*'ES '!C$39,AND($C38="Electric passenger train",$D38="Average"),$E38*'ES '!C$40,AND($C38="Electric passenger train",$D38="Nearly full"),$E38*'ES '!C$41,AND($C38="Diesel passenger train",$D38="Almost empty"),$E38*'ES '!C$47,AND($C38="Diesel passenger train",$D38="Average"),$E38*'ES '!C$48,AND($C38="Diesel passenger train",$D38="Nearly full"),$E38*'ES '!C$49,AND($C38="Walking"),$E38*0,AND($C38="Bike"),$E38*0,AND($C38="Plane - domestic flight"),$E38*'ES '!$C62,AND($C38="Plane - international - intra EU"),$E38*'ES '!$C64,AND($C38="Plane - international (extra EU)"),$E38*'ES '!$C66)</f>
        <v>#N/A</v>
      </c>
      <c r="G38" s="31" t="e" cm="1">
        <f t="array" ref="G38">_xlfn.IFS(AND($C38="Fuel car",$D38=1),$E38*'ES '!D$7,AND($C38="Fuel car",$D38=2),$E38*'ES '!D$8,AND($C38="Fuel car",$D38=3),$E38*'ES '!D$9,AND($C38="Fuel car",$D38=4),$E38*'ES '!D$10,AND($C38="Fuel car",$D38=5),$E38*'ES '!D$11,AND($C38="Motorcycle",$D38=1),$E38*'ES '!D$13,AND($C38="Motorcycle",$D38=2),$E38*'ES '!D$14,AND($C38="Electric car",$D38=1),$E38*'ES '!D$16,AND($C38="Electric car",$D38=2),$E38*'ES '!D$17,AND($C38="Electric car",$D38=3),$E38*'ES '!D$18,AND($C38="Electric car",$D38=4),$E38*'ES '!D$19,AND($C38="Electric car",$D38=5),$E38*'ES '!D$20,AND($C38="Hybrid car",$D38=1),$E38*'ES '!D$22,AND($C38="Hybrid car",$D38=2),$E38*'ES '!D$23,AND($C38="Hybrid car",$D38=3),$E38*'ES '!D$24,AND($C38="Hybrid car",$D38=4),$E38*'ES '!D$25,AND($C38="Hybrid car",$D38=5),$E38*'ES '!D$26,AND($C38="Electric motorcycle",$D38=1),$E38*'ES '!D$28,AND($C38="Electric motorcycle",$D38=2),$E38*'ES '!D$29,AND($C38="Electric bike",$D38=1),$E38*'ES '!D$31,AND($C38="Electric scooter",$D38=1),$E38*'ES '!D$33,AND($C38="Bus",$D38="Almost empty"),$E38*'ES '!I$23,AND($C38="Bus",$D38="Average"),$E38*'ES '!I$24,AND($C38="Bus",$D38="Nearly full"),$E38*'ES '!I$25,AND($C38="Electric bus",$D38="Almost empty"),$E38*'ES '!I$7,AND($C38="Electric bus",$D38="Average"),$E38*'ES '!I$8,AND($C38="Electric bus",$D38="Nearly full"),$E38*'ES '!I$9,AND($C38="Diesel bus",$D38="Almost empty"),$E38*'ES '!I$19,AND($C38="Diesel bus",$D38="Average"),$E38*'ES '!I$20,AND($C38="Diesel bus",$D38="Nearly full"),$E38*'ES '!I$21,AND($C38="Hybrid-electric bus",$D38="Almost empty"),$E38*'ES '!I$11,AND($C38="Hybrid-electric bus",$D38="Average"),$E38*'ES '!I$12,AND($C38="Hybrid-electric bus",$D38="Nearly full"),$E38*'ES '!I$13,AND($C38="Alternative fuel bus",$D38="Almost empty"),$E38*'ES '!I$15,AND($C38="Alternative fuel bus",$D38="Average"),$E38*'ES '!I$16,AND($C38="Alternative fuel bus",$D38="Nearly full"),$E38*'ES '!I$17,AND($C38="Metro, tram, urban light train",$D38="Almost empty"),$E38*'ES '!D$35,AND($C38="Metro, tram, urban light train",$D38="Average"),$E38*'ES '!D$36,AND($C38="Metro, tram, urban light train",$D38="Nearly full"),$E38*'ES '!D$37,AND($C38="Electric passenger train",$D38="Almost empty"),$E38*'ES '!D$39,AND($C38="Electric passenger train",$D38="Average"),$E38*'ES '!D$40,AND($C38="Electric passenger train",$D38="Nearly full"),$E38*'ES '!D$41,AND($C38="Diesel passenger train",$D38="Almost empty"),$E38*'ES '!D$47,AND($C38="Diesel passenger train",$D38="Average"),$E38*'ES '!D$48,AND($C38="Diesel passenger train",$D38="Nearly full"),$E38*'ES '!D$49,AND($C38="Walking"),$E38*0,AND($C38="Bike"),$E38*0,AND($C38="Plane - domestic flight"),$E38*'ES '!$C62,AND($C38="Plane - international - intra EU"),$E38*'ES '!$C64,AND($C38="Plane - international (extra EU)"),$E38*'ES '!$C66)</f>
        <v>#N/A</v>
      </c>
      <c r="H38" s="145"/>
      <c r="I38" s="148">
        <f t="shared" si="6"/>
        <v>0</v>
      </c>
      <c r="J38" s="146" t="e" cm="1">
        <f t="array" ref="J38">_xlfn.IFS(C38="Fuel car",C38*DATA!$C$17,C38="Electric car",C38*DATA!$F$29,C38="Hybrid car",I38*(0.5*DATA!$C$17+0.5*DATA!$F$29))</f>
        <v>#N/A</v>
      </c>
      <c r="L38" s="218"/>
      <c r="M38" s="219"/>
      <c r="N38" s="220"/>
    </row>
    <row r="39" spans="1:14" ht="14.5" customHeight="1" x14ac:dyDescent="0.2">
      <c r="A39" s="222"/>
      <c r="B39" s="30"/>
      <c r="C39" s="15"/>
      <c r="D39" s="15"/>
      <c r="E39" s="125"/>
      <c r="F39" s="128" t="e" cm="1">
        <f t="array" ref="F39">_xlfn.IFS(AND($C39="Fuel car",$D39=1),$E39*'ES '!C$7,AND($C39="Fuel car",$D39=2),$E39*'ES '!C$8,AND($C39="Fuel car",$D39=3),$E39*'ES '!C$9,AND($C39="Fuel car",$D39=4),$E39*'ES '!C$10,AND($C39="Fuel car",$D39=5),$E39*'ES '!C$11,AND($C39="Motorcycle",$D39=1),$E39*'ES '!C$13,AND($C39="Motorcycle",$D39=2),$E39*'ES '!C$14,AND($C39="Electric car",$D39=1),$E39*'ES '!C$16,AND($C39="Electric car",$D39=2),$E39*'ES '!C$17,AND($C39="Electric car",$D39=3),$E39*'ES '!C$18,AND($C39="Electric car",$D39=4),$E39*'ES '!C$19,AND($C39="Electric car",$D39=5),$E39*'ES '!C$20,AND($C39="Hybrid car",$D39=1),$E39*'ES '!C$22,AND($C39="Hybrid car",$D39=2),$E39*'ES '!C$23,AND($C39="Hybrid car",$D39=3),$E39*'ES '!C$24,AND($C39="Hybrid car",$D39=4),$E39*'ES '!C$25,AND($C39="Hybrid car",$D39=5),$E39*'ES '!C$26,AND($C39="Electric motorcycle",$D39=1),$E39*'ES '!C$28,AND($C39="Electric motorcycle",$D39=2),$E39*'ES '!C$29,AND($C39="Electric bike",$D39=1),$E39*'ES '!C$31,AND($C39="Electric scooter",$D39=1),$E39*'ES '!C$33,AND($C39="Bus",$D39="Almost empty"),$E39*'ES '!H$23,AND($C39="Bus",$D39="Average"),$E39*'ES '!H$24,AND($C39="Bus",$D39="Nearly full"),$E39*'ES '!H$25,AND($C39="Electric bus",$D39="Almost empty"),$E39*'ES '!H$7,AND($C39="Electric bus",$D39="Average"),$E39*'ES '!H$8,AND($C39="Electric bus",$D39="Nearly full"),$E39*'ES '!H$9,AND($C39="Diesel bus",$D39="Almost empty"),$E39*'ES '!H$19,AND($C39="Diesel bus",$D39="Average"),$E39*'ES '!H$20,AND($C39="Diesel bus",$D39="Nearly full"),$E39*'ES '!H$21,AND($C39="Hybrid-electric bus",$D39="Almost empty"),$E39*'ES '!H$11,AND($C39="Hybrid-electric bus",$D39="Average"),$E39*'ES '!H$12,AND($C39="Hybrid-electric bus",$D39="Nearly full"),$E39*'ES '!H$13,AND($C39="Alternative fuel bus",$D39="Almost empty"),$E39*'ES '!H$15,AND($C39="Alternative fuel bus",$D39="Average"),$E39*'ES '!H$16,AND($C39="Alternative fuel bus",$D39="Nearly full"),$E39*'ES '!H$17,AND($C39="Metro, tram, urban light train",$D39="Almost empty"),$E39*'ES '!C$35,AND($C39="Metro, tram, urban light train",$D39="Average"),$E39*'ES '!C$36,AND($C39="Metro, tram, urban light train",$D39="Nearly full"),$E39*'ES '!C$37,AND($C39="Electric passenger train",$D39="Almost empty"),$E39*'ES '!C$39,AND($C39="Electric passenger train",$D39="Average"),$E39*'ES '!C$40,AND($C39="Electric passenger train",$D39="Nearly full"),$E39*'ES '!C$41,AND($C39="Diesel passenger train",$D39="Almost empty"),$E39*'ES '!C$47,AND($C39="Diesel passenger train",$D39="Average"),$E39*'ES '!C$48,AND($C39="Diesel passenger train",$D39="Nearly full"),$E39*'ES '!C$49,AND($C39="Walking"),$E39*0,AND($C39="Bike"),$E39*0,AND($C39="Plane - domestic flight"),$E39*'ES '!$C63,AND($C39="Plane - international - intra EU"),$E39*'ES '!$C65,AND($C39="Plane - international (extra EU)"),$E39*'ES '!$C67)</f>
        <v>#N/A</v>
      </c>
      <c r="G39" s="31" t="e" cm="1">
        <f t="array" ref="G39">_xlfn.IFS(AND($C39="Fuel car",$D39=1),$E39*'ES '!D$7,AND($C39="Fuel car",$D39=2),$E39*'ES '!D$8,AND($C39="Fuel car",$D39=3),$E39*'ES '!D$9,AND($C39="Fuel car",$D39=4),$E39*'ES '!D$10,AND($C39="Fuel car",$D39=5),$E39*'ES '!D$11,AND($C39="Motorcycle",$D39=1),$E39*'ES '!D$13,AND($C39="Motorcycle",$D39=2),$E39*'ES '!D$14,AND($C39="Electric car",$D39=1),$E39*'ES '!D$16,AND($C39="Electric car",$D39=2),$E39*'ES '!D$17,AND($C39="Electric car",$D39=3),$E39*'ES '!D$18,AND($C39="Electric car",$D39=4),$E39*'ES '!D$19,AND($C39="Electric car",$D39=5),$E39*'ES '!D$20,AND($C39="Hybrid car",$D39=1),$E39*'ES '!D$22,AND($C39="Hybrid car",$D39=2),$E39*'ES '!D$23,AND($C39="Hybrid car",$D39=3),$E39*'ES '!D$24,AND($C39="Hybrid car",$D39=4),$E39*'ES '!D$25,AND($C39="Hybrid car",$D39=5),$E39*'ES '!D$26,AND($C39="Electric motorcycle",$D39=1),$E39*'ES '!D$28,AND($C39="Electric motorcycle",$D39=2),$E39*'ES '!D$29,AND($C39="Electric bike",$D39=1),$E39*'ES '!D$31,AND($C39="Electric scooter",$D39=1),$E39*'ES '!D$33,AND($C39="Bus",$D39="Almost empty"),$E39*'ES '!I$23,AND($C39="Bus",$D39="Average"),$E39*'ES '!I$24,AND($C39="Bus",$D39="Nearly full"),$E39*'ES '!I$25,AND($C39="Electric bus",$D39="Almost empty"),$E39*'ES '!I$7,AND($C39="Electric bus",$D39="Average"),$E39*'ES '!I$8,AND($C39="Electric bus",$D39="Nearly full"),$E39*'ES '!I$9,AND($C39="Diesel bus",$D39="Almost empty"),$E39*'ES '!I$19,AND($C39="Diesel bus",$D39="Average"),$E39*'ES '!I$20,AND($C39="Diesel bus",$D39="Nearly full"),$E39*'ES '!I$21,AND($C39="Hybrid-electric bus",$D39="Almost empty"),$E39*'ES '!I$11,AND($C39="Hybrid-electric bus",$D39="Average"),$E39*'ES '!I$12,AND($C39="Hybrid-electric bus",$D39="Nearly full"),$E39*'ES '!I$13,AND($C39="Alternative fuel bus",$D39="Almost empty"),$E39*'ES '!I$15,AND($C39="Alternative fuel bus",$D39="Average"),$E39*'ES '!I$16,AND($C39="Alternative fuel bus",$D39="Nearly full"),$E39*'ES '!I$17,AND($C39="Metro, tram, urban light train",$D39="Almost empty"),$E39*'ES '!D$35,AND($C39="Metro, tram, urban light train",$D39="Average"),$E39*'ES '!D$36,AND($C39="Metro, tram, urban light train",$D39="Nearly full"),$E39*'ES '!D$37,AND($C39="Electric passenger train",$D39="Almost empty"),$E39*'ES '!D$39,AND($C39="Electric passenger train",$D39="Average"),$E39*'ES '!D$40,AND($C39="Electric passenger train",$D39="Nearly full"),$E39*'ES '!D$41,AND($C39="Diesel passenger train",$D39="Almost empty"),$E39*'ES '!D$47,AND($C39="Diesel passenger train",$D39="Average"),$E39*'ES '!D$48,AND($C39="Diesel passenger train",$D39="Nearly full"),$E39*'ES '!D$49,AND($C39="Walking"),$E39*0,AND($C39="Bike"),$E39*0,AND($C39="Plane - domestic flight"),$E39*'ES '!$C63,AND($C39="Plane - international - intra EU"),$E39*'ES '!$C65,AND($C39="Plane - international (extra EU)"),$E39*'ES '!$C67)</f>
        <v>#N/A</v>
      </c>
      <c r="H39" s="145"/>
      <c r="I39" s="148">
        <f t="shared" si="6"/>
        <v>0</v>
      </c>
      <c r="J39" s="146" t="e" cm="1">
        <f t="array" ref="J39">_xlfn.IFS(C39="Fuel car",C39*DATA!$C$17,C39="Electric car",C39*DATA!$F$29,C39="Hybrid car",I39*(0.5*DATA!$C$17+0.5*DATA!$F$29))</f>
        <v>#N/A</v>
      </c>
      <c r="L39" s="226" t="s">
        <v>80</v>
      </c>
      <c r="M39" s="227"/>
      <c r="N39" s="228"/>
    </row>
    <row r="40" spans="1:14" x14ac:dyDescent="0.2">
      <c r="A40" s="222"/>
      <c r="B40" s="30"/>
      <c r="C40" s="15"/>
      <c r="D40" s="15"/>
      <c r="E40" s="125"/>
      <c r="F40" s="128" t="e" cm="1">
        <f t="array" ref="F40">_xlfn.IFS(AND($C40="Fuel car",$D40=1),$E40*'ES '!C$7,AND($C40="Fuel car",$D40=2),$E40*'ES '!C$8,AND($C40="Fuel car",$D40=3),$E40*'ES '!C$9,AND($C40="Fuel car",$D40=4),$E40*'ES '!C$10,AND($C40="Fuel car",$D40=5),$E40*'ES '!C$11,AND($C40="Motorcycle",$D40=1),$E40*'ES '!C$13,AND($C40="Motorcycle",$D40=2),$E40*'ES '!C$14,AND($C40="Electric car",$D40=1),$E40*'ES '!C$16,AND($C40="Electric car",$D40=2),$E40*'ES '!C$17,AND($C40="Electric car",$D40=3),$E40*'ES '!C$18,AND($C40="Electric car",$D40=4),$E40*'ES '!C$19,AND($C40="Electric car",$D40=5),$E40*'ES '!C$20,AND($C40="Hybrid car",$D40=1),$E40*'ES '!C$22,AND($C40="Hybrid car",$D40=2),$E40*'ES '!C$23,AND($C40="Hybrid car",$D40=3),$E40*'ES '!C$24,AND($C40="Hybrid car",$D40=4),$E40*'ES '!C$25,AND($C40="Hybrid car",$D40=5),$E40*'ES '!C$26,AND($C40="Electric motorcycle",$D40=1),$E40*'ES '!C$28,AND($C40="Electric motorcycle",$D40=2),$E40*'ES '!C$29,AND($C40="Electric bike",$D40=1),$E40*'ES '!C$31,AND($C40="Electric scooter",$D40=1),$E40*'ES '!C$33,AND($C40="Bus",$D40="Almost empty"),$E40*'ES '!H$23,AND($C40="Bus",$D40="Average"),$E40*'ES '!H$24,AND($C40="Bus",$D40="Nearly full"),$E40*'ES '!H$25,AND($C40="Electric bus",$D40="Almost empty"),$E40*'ES '!H$7,AND($C40="Electric bus",$D40="Average"),$E40*'ES '!H$8,AND($C40="Electric bus",$D40="Nearly full"),$E40*'ES '!H$9,AND($C40="Diesel bus",$D40="Almost empty"),$E40*'ES '!H$19,AND($C40="Diesel bus",$D40="Average"),$E40*'ES '!H$20,AND($C40="Diesel bus",$D40="Nearly full"),$E40*'ES '!H$21,AND($C40="Hybrid-electric bus",$D40="Almost empty"),$E40*'ES '!H$11,AND($C40="Hybrid-electric bus",$D40="Average"),$E40*'ES '!H$12,AND($C40="Hybrid-electric bus",$D40="Nearly full"),$E40*'ES '!H$13,AND($C40="Alternative fuel bus",$D40="Almost empty"),$E40*'ES '!H$15,AND($C40="Alternative fuel bus",$D40="Average"),$E40*'ES '!H$16,AND($C40="Alternative fuel bus",$D40="Nearly full"),$E40*'ES '!H$17,AND($C40="Metro, tram, urban light train",$D40="Almost empty"),$E40*'ES '!C$35,AND($C40="Metro, tram, urban light train",$D40="Average"),$E40*'ES '!C$36,AND($C40="Metro, tram, urban light train",$D40="Nearly full"),$E40*'ES '!C$37,AND($C40="Electric passenger train",$D40="Almost empty"),$E40*'ES '!C$39,AND($C40="Electric passenger train",$D40="Average"),$E40*'ES '!C$40,AND($C40="Electric passenger train",$D40="Nearly full"),$E40*'ES '!C$41,AND($C40="Diesel passenger train",$D40="Almost empty"),$E40*'ES '!C$47,AND($C40="Diesel passenger train",$D40="Average"),$E40*'ES '!C$48,AND($C40="Diesel passenger train",$D40="Nearly full"),$E40*'ES '!C$49,AND($C40="Walking"),$E40*0,AND($C40="Bike"),$E40*0,AND($C40="Plane - domestic flight"),$E40*'ES '!$C64,AND($C40="Plane - international - intra EU"),$E40*'ES '!$C66,AND($C40="Plane - international (extra EU)"),$E40*'ES '!$C68)</f>
        <v>#N/A</v>
      </c>
      <c r="G40" s="31" t="e" cm="1">
        <f t="array" ref="G40">_xlfn.IFS(AND($C40="Fuel car",$D40=1),$E40*'ES '!D$7,AND($C40="Fuel car",$D40=2),$E40*'ES '!D$8,AND($C40="Fuel car",$D40=3),$E40*'ES '!D$9,AND($C40="Fuel car",$D40=4),$E40*'ES '!D$10,AND($C40="Fuel car",$D40=5),$E40*'ES '!D$11,AND($C40="Motorcycle",$D40=1),$E40*'ES '!D$13,AND($C40="Motorcycle",$D40=2),$E40*'ES '!D$14,AND($C40="Electric car",$D40=1),$E40*'ES '!D$16,AND($C40="Electric car",$D40=2),$E40*'ES '!D$17,AND($C40="Electric car",$D40=3),$E40*'ES '!D$18,AND($C40="Electric car",$D40=4),$E40*'ES '!D$19,AND($C40="Electric car",$D40=5),$E40*'ES '!D$20,AND($C40="Hybrid car",$D40=1),$E40*'ES '!D$22,AND($C40="Hybrid car",$D40=2),$E40*'ES '!D$23,AND($C40="Hybrid car",$D40=3),$E40*'ES '!D$24,AND($C40="Hybrid car",$D40=4),$E40*'ES '!D$25,AND($C40="Hybrid car",$D40=5),$E40*'ES '!D$26,AND($C40="Electric motorcycle",$D40=1),$E40*'ES '!D$28,AND($C40="Electric motorcycle",$D40=2),$E40*'ES '!D$29,AND($C40="Electric bike",$D40=1),$E40*'ES '!D$31,AND($C40="Electric scooter",$D40=1),$E40*'ES '!D$33,AND($C40="Bus",$D40="Almost empty"),$E40*'ES '!I$23,AND($C40="Bus",$D40="Average"),$E40*'ES '!I$24,AND($C40="Bus",$D40="Nearly full"),$E40*'ES '!I$25,AND($C40="Electric bus",$D40="Almost empty"),$E40*'ES '!I$7,AND($C40="Electric bus",$D40="Average"),$E40*'ES '!I$8,AND($C40="Electric bus",$D40="Nearly full"),$E40*'ES '!I$9,AND($C40="Diesel bus",$D40="Almost empty"),$E40*'ES '!I$19,AND($C40="Diesel bus",$D40="Average"),$E40*'ES '!I$20,AND($C40="Diesel bus",$D40="Nearly full"),$E40*'ES '!I$21,AND($C40="Hybrid-electric bus",$D40="Almost empty"),$E40*'ES '!I$11,AND($C40="Hybrid-electric bus",$D40="Average"),$E40*'ES '!I$12,AND($C40="Hybrid-electric bus",$D40="Nearly full"),$E40*'ES '!I$13,AND($C40="Alternative fuel bus",$D40="Almost empty"),$E40*'ES '!I$15,AND($C40="Alternative fuel bus",$D40="Average"),$E40*'ES '!I$16,AND($C40="Alternative fuel bus",$D40="Nearly full"),$E40*'ES '!I$17,AND($C40="Metro, tram, urban light train",$D40="Almost empty"),$E40*'ES '!D$35,AND($C40="Metro, tram, urban light train",$D40="Average"),$E40*'ES '!D$36,AND($C40="Metro, tram, urban light train",$D40="Nearly full"),$E40*'ES '!D$37,AND($C40="Electric passenger train",$D40="Almost empty"),$E40*'ES '!D$39,AND($C40="Electric passenger train",$D40="Average"),$E40*'ES '!D$40,AND($C40="Electric passenger train",$D40="Nearly full"),$E40*'ES '!D$41,AND($C40="Diesel passenger train",$D40="Almost empty"),$E40*'ES '!D$47,AND($C40="Diesel passenger train",$D40="Average"),$E40*'ES '!D$48,AND($C40="Diesel passenger train",$D40="Nearly full"),$E40*'ES '!D$49,AND($C40="Walking"),$E40*0,AND($C40="Bike"),$E40*0,AND($C40="Plane - domestic flight"),$E40*'ES '!$C64,AND($C40="Plane - international - intra EU"),$E40*'ES '!$C66,AND($C40="Plane - international (extra EU)"),$E40*'ES '!$C68)</f>
        <v>#N/A</v>
      </c>
      <c r="H40" s="145"/>
      <c r="I40" s="148">
        <f t="shared" si="6"/>
        <v>0</v>
      </c>
      <c r="J40" s="146" t="e" cm="1">
        <f t="array" ref="J40">_xlfn.IFS(C40="Fuel car",C40*DATA!$C$17,C40="Electric car",C40*DATA!$F$29,C40="Hybrid car",I40*(0.5*DATA!$C$17+0.5*DATA!$F$29))</f>
        <v>#N/A</v>
      </c>
      <c r="L40" s="229"/>
      <c r="M40" s="230"/>
      <c r="N40" s="231"/>
    </row>
    <row r="41" spans="1:14" ht="14.5" customHeight="1" x14ac:dyDescent="0.2">
      <c r="A41" s="222"/>
      <c r="B41" s="30"/>
      <c r="C41" s="15"/>
      <c r="D41" s="15"/>
      <c r="E41" s="125"/>
      <c r="F41" s="128" t="e" cm="1">
        <f t="array" ref="F41">_xlfn.IFS(AND($C41="Fuel car",$D41=1),$E41*'ES '!C$7,AND($C41="Fuel car",$D41=2),$E41*'ES '!C$8,AND($C41="Fuel car",$D41=3),$E41*'ES '!C$9,AND($C41="Fuel car",$D41=4),$E41*'ES '!C$10,AND($C41="Fuel car",$D41=5),$E41*'ES '!C$11,AND($C41="Motorcycle",$D41=1),$E41*'ES '!C$13,AND($C41="Motorcycle",$D41=2),$E41*'ES '!C$14,AND($C41="Electric car",$D41=1),$E41*'ES '!C$16,AND($C41="Electric car",$D41=2),$E41*'ES '!C$17,AND($C41="Electric car",$D41=3),$E41*'ES '!C$18,AND($C41="Electric car",$D41=4),$E41*'ES '!C$19,AND($C41="Electric car",$D41=5),$E41*'ES '!C$20,AND($C41="Hybrid car",$D41=1),$E41*'ES '!C$22,AND($C41="Hybrid car",$D41=2),$E41*'ES '!C$23,AND($C41="Hybrid car",$D41=3),$E41*'ES '!C$24,AND($C41="Hybrid car",$D41=4),$E41*'ES '!C$25,AND($C41="Hybrid car",$D41=5),$E41*'ES '!C$26,AND($C41="Electric motorcycle",$D41=1),$E41*'ES '!C$28,AND($C41="Electric motorcycle",$D41=2),$E41*'ES '!C$29,AND($C41="Electric bike",$D41=1),$E41*'ES '!C$31,AND($C41="Electric scooter",$D41=1),$E41*'ES '!C$33,AND($C41="Bus",$D41="Almost empty"),$E41*'ES '!H$23,AND($C41="Bus",$D41="Average"),$E41*'ES '!H$24,AND($C41="Bus",$D41="Nearly full"),$E41*'ES '!H$25,AND($C41="Electric bus",$D41="Almost empty"),$E41*'ES '!H$7,AND($C41="Electric bus",$D41="Average"),$E41*'ES '!H$8,AND($C41="Electric bus",$D41="Nearly full"),$E41*'ES '!H$9,AND($C41="Diesel bus",$D41="Almost empty"),$E41*'ES '!H$19,AND($C41="Diesel bus",$D41="Average"),$E41*'ES '!H$20,AND($C41="Diesel bus",$D41="Nearly full"),$E41*'ES '!H$21,AND($C41="Hybrid-electric bus",$D41="Almost empty"),$E41*'ES '!H$11,AND($C41="Hybrid-electric bus",$D41="Average"),$E41*'ES '!H$12,AND($C41="Hybrid-electric bus",$D41="Nearly full"),$E41*'ES '!H$13,AND($C41="Alternative fuel bus",$D41="Almost empty"),$E41*'ES '!H$15,AND($C41="Alternative fuel bus",$D41="Average"),$E41*'ES '!H$16,AND($C41="Alternative fuel bus",$D41="Nearly full"),$E41*'ES '!H$17,AND($C41="Metro, tram, urban light train",$D41="Almost empty"),$E41*'ES '!C$35,AND($C41="Metro, tram, urban light train",$D41="Average"),$E41*'ES '!C$36,AND($C41="Metro, tram, urban light train",$D41="Nearly full"),$E41*'ES '!C$37,AND($C41="Electric passenger train",$D41="Almost empty"),$E41*'ES '!C$39,AND($C41="Electric passenger train",$D41="Average"),$E41*'ES '!C$40,AND($C41="Electric passenger train",$D41="Nearly full"),$E41*'ES '!C$41,AND($C41="Diesel passenger train",$D41="Almost empty"),$E41*'ES '!C$47,AND($C41="Diesel passenger train",$D41="Average"),$E41*'ES '!C$48,AND($C41="Diesel passenger train",$D41="Nearly full"),$E41*'ES '!C$49,AND($C41="Walking"),$E41*0,AND($C41="Bike"),$E41*0,AND($C41="Plane - domestic flight"),$E41*'ES '!$C65,AND($C41="Plane - international - intra EU"),$E41*'ES '!$C67,AND($C41="Plane - international (extra EU)"),$E41*'ES '!$C69)</f>
        <v>#N/A</v>
      </c>
      <c r="G41" s="31" t="e" cm="1">
        <f t="array" ref="G41">_xlfn.IFS(AND($C41="Fuel car",$D41=1),$E41*'ES '!D$7,AND($C41="Fuel car",$D41=2),$E41*'ES '!D$8,AND($C41="Fuel car",$D41=3),$E41*'ES '!D$9,AND($C41="Fuel car",$D41=4),$E41*'ES '!D$10,AND($C41="Fuel car",$D41=5),$E41*'ES '!D$11,AND($C41="Motorcycle",$D41=1),$E41*'ES '!D$13,AND($C41="Motorcycle",$D41=2),$E41*'ES '!D$14,AND($C41="Electric car",$D41=1),$E41*'ES '!D$16,AND($C41="Electric car",$D41=2),$E41*'ES '!D$17,AND($C41="Electric car",$D41=3),$E41*'ES '!D$18,AND($C41="Electric car",$D41=4),$E41*'ES '!D$19,AND($C41="Electric car",$D41=5),$E41*'ES '!D$20,AND($C41="Hybrid car",$D41=1),$E41*'ES '!D$22,AND($C41="Hybrid car",$D41=2),$E41*'ES '!D$23,AND($C41="Hybrid car",$D41=3),$E41*'ES '!D$24,AND($C41="Hybrid car",$D41=4),$E41*'ES '!D$25,AND($C41="Hybrid car",$D41=5),$E41*'ES '!D$26,AND($C41="Electric motorcycle",$D41=1),$E41*'ES '!D$28,AND($C41="Electric motorcycle",$D41=2),$E41*'ES '!D$29,AND($C41="Electric bike",$D41=1),$E41*'ES '!D$31,AND($C41="Electric scooter",$D41=1),$E41*'ES '!D$33,AND($C41="Bus",$D41="Almost empty"),$E41*'ES '!I$23,AND($C41="Bus",$D41="Average"),$E41*'ES '!I$24,AND($C41="Bus",$D41="Nearly full"),$E41*'ES '!I$25,AND($C41="Electric bus",$D41="Almost empty"),$E41*'ES '!I$7,AND($C41="Electric bus",$D41="Average"),$E41*'ES '!I$8,AND($C41="Electric bus",$D41="Nearly full"),$E41*'ES '!I$9,AND($C41="Diesel bus",$D41="Almost empty"),$E41*'ES '!I$19,AND($C41="Diesel bus",$D41="Average"),$E41*'ES '!I$20,AND($C41="Diesel bus",$D41="Nearly full"),$E41*'ES '!I$21,AND($C41="Hybrid-electric bus",$D41="Almost empty"),$E41*'ES '!I$11,AND($C41="Hybrid-electric bus",$D41="Average"),$E41*'ES '!I$12,AND($C41="Hybrid-electric bus",$D41="Nearly full"),$E41*'ES '!I$13,AND($C41="Alternative fuel bus",$D41="Almost empty"),$E41*'ES '!I$15,AND($C41="Alternative fuel bus",$D41="Average"),$E41*'ES '!I$16,AND($C41="Alternative fuel bus",$D41="Nearly full"),$E41*'ES '!I$17,AND($C41="Metro, tram, urban light train",$D41="Almost empty"),$E41*'ES '!D$35,AND($C41="Metro, tram, urban light train",$D41="Average"),$E41*'ES '!D$36,AND($C41="Metro, tram, urban light train",$D41="Nearly full"),$E41*'ES '!D$37,AND($C41="Electric passenger train",$D41="Almost empty"),$E41*'ES '!D$39,AND($C41="Electric passenger train",$D41="Average"),$E41*'ES '!D$40,AND($C41="Electric passenger train",$D41="Nearly full"),$E41*'ES '!D$41,AND($C41="Diesel passenger train",$D41="Almost empty"),$E41*'ES '!D$47,AND($C41="Diesel passenger train",$D41="Average"),$E41*'ES '!D$48,AND($C41="Diesel passenger train",$D41="Nearly full"),$E41*'ES '!D$49,AND($C41="Walking"),$E41*0,AND($C41="Bike"),$E41*0,AND($C41="Plane - domestic flight"),$E41*'ES '!$C65,AND($C41="Plane - international - intra EU"),$E41*'ES '!$C67,AND($C41="Plane - international (extra EU)"),$E41*'ES '!$C69)</f>
        <v>#N/A</v>
      </c>
      <c r="H41" s="145"/>
      <c r="I41" s="148">
        <f t="shared" si="6"/>
        <v>0</v>
      </c>
      <c r="J41" s="146" t="e" cm="1">
        <f t="array" ref="J41">_xlfn.IFS(C41="Fuel car",C41*DATA!$C$17,C41="Electric car",C41*DATA!$F$29,C41="Hybrid car",I41*(0.5*DATA!$C$17+0.5*DATA!$F$29))</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car",$D42=1),$E42*'ES '!C$7,AND($C42="Fuel car",$D42=2),$E42*'ES '!C$8,AND($C42="Fuel car",$D42=3),$E42*'ES '!C$9,AND($C42="Fuel car",$D42=4),$E42*'ES '!C$10,AND($C42="Fuel car",$D42=5),$E42*'ES '!C$11,AND($C42="Motorcycle",$D42=1),$E42*'ES '!C$13,AND($C42="Motorcycle",$D42=2),$E42*'ES '!C$14,AND($C42="Electric car",$D42=1),$E42*'ES '!C$16,AND($C42="Electric car",$D42=2),$E42*'ES '!C$17,AND($C42="Electric car",$D42=3),$E42*'ES '!C$18,AND($C42="Electric car",$D42=4),$E42*'ES '!C$19,AND($C42="Electric car",$D42=5),$E42*'ES '!C$20,AND($C42="Hybrid car",$D42=1),$E42*'ES '!C$22,AND($C42="Hybrid car",$D42=2),$E42*'ES '!C$23,AND($C42="Hybrid car",$D42=3),$E42*'ES '!C$24,AND($C42="Hybrid car",$D42=4),$E42*'ES '!C$25,AND($C42="Hybrid car",$D42=5),$E42*'ES '!C$26,AND($C42="Electric motorcycle",$D42=1),$E42*'ES '!C$28,AND($C42="Electric motorcycle",$D42=2),$E42*'ES '!C$29,AND($C42="Electric bike",$D42=1),$E42*'ES '!C$31,AND($C42="Electric scooter",$D42=1),$E42*'ES '!C$33,AND($C42="Bus",$D42="Almost empty"),$E42*'ES '!H$23,AND($C42="Bus",$D42="Average"),$E42*'ES '!H$24,AND($C42="Bus",$D42="Nearly full"),$E42*'ES '!H$25,AND($C42="Electric bus",$D42="Almost empty"),$E42*'ES '!H$7,AND($C42="Electric bus",$D42="Average"),$E42*'ES '!H$8,AND($C42="Electric bus",$D42="Nearly full"),$E42*'ES '!H$9,AND($C42="Diesel bus",$D42="Almost empty"),$E42*'ES '!H$19,AND($C42="Diesel bus",$D42="Average"),$E42*'ES '!H$20,AND($C42="Diesel bus",$D42="Nearly full"),$E42*'ES '!H$21,AND($C42="Hybrid-electric bus",$D42="Almost empty"),$E42*'ES '!H$11,AND($C42="Hybrid-electric bus",$D42="Average"),$E42*'ES '!H$12,AND($C42="Hybrid-electric bus",$D42="Nearly full"),$E42*'ES '!H$13,AND($C42="Alternative fuel bus",$D42="Almost empty"),$E42*'ES '!H$15,AND($C42="Alternative fuel bus",$D42="Average"),$E42*'ES '!H$16,AND($C42="Alternative fuel bus",$D42="Nearly full"),$E42*'ES '!H$17,AND($C42="Metro, tram, urban light train",$D42="Almost empty"),$E42*'ES '!C$35,AND($C42="Metro, tram, urban light train",$D42="Average"),$E42*'ES '!C$36,AND($C42="Metro, tram, urban light train",$D42="Nearly full"),$E42*'ES '!C$37,AND($C42="Electric passenger train",$D42="Almost empty"),$E42*'ES '!C$39,AND($C42="Electric passenger train",$D42="Average"),$E42*'ES '!C$40,AND($C42="Electric passenger train",$D42="Nearly full"),$E42*'ES '!C$41,AND($C42="Diesel passenger train",$D42="Almost empty"),$E42*'ES '!C$47,AND($C42="Diesel passenger train",$D42="Average"),$E42*'ES '!C$48,AND($C42="Diesel passenger train",$D42="Nearly full"),$E42*'ES '!C$49,AND($C42="Walking"),$E42*0,AND($C42="Bike"),$E42*0,AND($C42="Plane - domestic flight"),$E42*'ES '!$C66,AND($C42="Plane - international - intra EU"),$E42*'ES '!$C68,AND($C42="Plane - international (extra EU)"),$E42*'ES '!$C70)</f>
        <v>#N/A</v>
      </c>
      <c r="G42" s="31" t="e" cm="1">
        <f t="array" ref="G42">_xlfn.IFS(AND($C42="Fuel car",$D42=1),$E42*'ES '!D$7,AND($C42="Fuel car",$D42=2),$E42*'ES '!D$8,AND($C42="Fuel car",$D42=3),$E42*'ES '!D$9,AND($C42="Fuel car",$D42=4),$E42*'ES '!D$10,AND($C42="Fuel car",$D42=5),$E42*'ES '!D$11,AND($C42="Motorcycle",$D42=1),$E42*'ES '!D$13,AND($C42="Motorcycle",$D42=2),$E42*'ES '!D$14,AND($C42="Electric car",$D42=1),$E42*'ES '!D$16,AND($C42="Electric car",$D42=2),$E42*'ES '!D$17,AND($C42="Electric car",$D42=3),$E42*'ES '!D$18,AND($C42="Electric car",$D42=4),$E42*'ES '!D$19,AND($C42="Electric car",$D42=5),$E42*'ES '!D$20,AND($C42="Hybrid car",$D42=1),$E42*'ES '!D$22,AND($C42="Hybrid car",$D42=2),$E42*'ES '!D$23,AND($C42="Hybrid car",$D42=3),$E42*'ES '!D$24,AND($C42="Hybrid car",$D42=4),$E42*'ES '!D$25,AND($C42="Hybrid car",$D42=5),$E42*'ES '!D$26,AND($C42="Electric motorcycle",$D42=1),$E42*'ES '!D$28,AND($C42="Electric motorcycle",$D42=2),$E42*'ES '!D$29,AND($C42="Electric bike",$D42=1),$E42*'ES '!D$31,AND($C42="Electric scooter",$D42=1),$E42*'ES '!D$33,AND($C42="Bus",$D42="Almost empty"),$E42*'ES '!I$23,AND($C42="Bus",$D42="Average"),$E42*'ES '!I$24,AND($C42="Bus",$D42="Nearly full"),$E42*'ES '!I$25,AND($C42="Electric bus",$D42="Almost empty"),$E42*'ES '!I$7,AND($C42="Electric bus",$D42="Average"),$E42*'ES '!I$8,AND($C42="Electric bus",$D42="Nearly full"),$E42*'ES '!I$9,AND($C42="Diesel bus",$D42="Almost empty"),$E42*'ES '!I$19,AND($C42="Diesel bus",$D42="Average"),$E42*'ES '!I$20,AND($C42="Diesel bus",$D42="Nearly full"),$E42*'ES '!I$21,AND($C42="Hybrid-electric bus",$D42="Almost empty"),$E42*'ES '!I$11,AND($C42="Hybrid-electric bus",$D42="Average"),$E42*'ES '!I$12,AND($C42="Hybrid-electric bus",$D42="Nearly full"),$E42*'ES '!I$13,AND($C42="Alternative fuel bus",$D42="Almost empty"),$E42*'ES '!I$15,AND($C42="Alternative fuel bus",$D42="Average"),$E42*'ES '!I$16,AND($C42="Alternative fuel bus",$D42="Nearly full"),$E42*'ES '!I$17,AND($C42="Metro, tram, urban light train",$D42="Almost empty"),$E42*'ES '!D$35,AND($C42="Metro, tram, urban light train",$D42="Average"),$E42*'ES '!D$36,AND($C42="Metro, tram, urban light train",$D42="Nearly full"),$E42*'ES '!D$37,AND($C42="Electric passenger train",$D42="Almost empty"),$E42*'ES '!D$39,AND($C42="Electric passenger train",$D42="Average"),$E42*'ES '!D$40,AND($C42="Electric passenger train",$D42="Nearly full"),$E42*'ES '!D$41,AND($C42="Diesel passenger train",$D42="Almost empty"),$E42*'ES '!D$47,AND($C42="Diesel passenger train",$D42="Average"),$E42*'ES '!D$48,AND($C42="Diesel passenger train",$D42="Nearly full"),$E42*'ES '!D$49,AND($C42="Walking"),$E42*0,AND($C42="Bike"),$E42*0,AND($C42="Plane - domestic flight"),$E42*'ES '!$C66,AND($C42="Plane - international - intra EU"),$E42*'ES '!$C68,AND($C42="Plane - international (extra EU)"),$E42*'ES '!$C70)</f>
        <v>#N/A</v>
      </c>
      <c r="H42" s="145"/>
      <c r="I42" s="148">
        <f t="shared" si="6"/>
        <v>0</v>
      </c>
      <c r="J42" s="146" t="e" cm="1">
        <f t="array" ref="J42">_xlfn.IFS(C42="Fuel car",C42*DATA!$C$17,C42="Electric car",C42*DATA!$F$29,C42="Hybrid car",I42*(0.5*DATA!$C$17+0.5*DATA!$F$29))</f>
        <v>#N/A</v>
      </c>
      <c r="L42" s="235"/>
      <c r="M42" s="236"/>
      <c r="N42" s="237"/>
    </row>
    <row r="43" spans="1:14" ht="14.5" customHeight="1" thickBot="1" x14ac:dyDescent="0.25">
      <c r="A43" s="222"/>
      <c r="B43" s="30"/>
      <c r="C43" s="15"/>
      <c r="D43" s="15"/>
      <c r="E43" s="125"/>
      <c r="F43" s="128" t="e" cm="1">
        <f t="array" ref="F43">_xlfn.IFS(AND($C43="Fuel car",$D43=1),$E43*'ES '!C$7,AND($C43="Fuel car",$D43=2),$E43*'ES '!C$8,AND($C43="Fuel car",$D43=3),$E43*'ES '!C$9,AND($C43="Fuel car",$D43=4),$E43*'ES '!C$10,AND($C43="Fuel car",$D43=5),$E43*'ES '!C$11,AND($C43="Motorcycle",$D43=1),$E43*'ES '!C$13,AND($C43="Motorcycle",$D43=2),$E43*'ES '!C$14,AND($C43="Electric car",$D43=1),$E43*'ES '!C$16,AND($C43="Electric car",$D43=2),$E43*'ES '!C$17,AND($C43="Electric car",$D43=3),$E43*'ES '!C$18,AND($C43="Electric car",$D43=4),$E43*'ES '!C$19,AND($C43="Electric car",$D43=5),$E43*'ES '!C$20,AND($C43="Hybrid car",$D43=1),$E43*'ES '!C$22,AND($C43="Hybrid car",$D43=2),$E43*'ES '!C$23,AND($C43="Hybrid car",$D43=3),$E43*'ES '!C$24,AND($C43="Hybrid car",$D43=4),$E43*'ES '!C$25,AND($C43="Hybrid car",$D43=5),$E43*'ES '!C$26,AND($C43="Electric motorcycle",$D43=1),$E43*'ES '!C$28,AND($C43="Electric motorcycle",$D43=2),$E43*'ES '!C$29,AND($C43="Electric bike",$D43=1),$E43*'ES '!C$31,AND($C43="Electric scooter",$D43=1),$E43*'ES '!C$33,AND($C43="Bus",$D43="Almost empty"),$E43*'ES '!H$23,AND($C43="Bus",$D43="Average"),$E43*'ES '!H$24,AND($C43="Bus",$D43="Nearly full"),$E43*'ES '!H$25,AND($C43="Electric bus",$D43="Almost empty"),$E43*'ES '!H$7,AND($C43="Electric bus",$D43="Average"),$E43*'ES '!H$8,AND($C43="Electric bus",$D43="Nearly full"),$E43*'ES '!H$9,AND($C43="Diesel bus",$D43="Almost empty"),$E43*'ES '!H$19,AND($C43="Diesel bus",$D43="Average"),$E43*'ES '!H$20,AND($C43="Diesel bus",$D43="Nearly full"),$E43*'ES '!H$21,AND($C43="Hybrid-electric bus",$D43="Almost empty"),$E43*'ES '!H$11,AND($C43="Hybrid-electric bus",$D43="Average"),$E43*'ES '!H$12,AND($C43="Hybrid-electric bus",$D43="Nearly full"),$E43*'ES '!H$13,AND($C43="Alternative fuel bus",$D43="Almost empty"),$E43*'ES '!H$15,AND($C43="Alternative fuel bus",$D43="Average"),$E43*'ES '!H$16,AND($C43="Alternative fuel bus",$D43="Nearly full"),$E43*'ES '!H$17,AND($C43="Metro, tram, urban light train",$D43="Almost empty"),$E43*'ES '!C$35,AND($C43="Metro, tram, urban light train",$D43="Average"),$E43*'ES '!C$36,AND($C43="Metro, tram, urban light train",$D43="Nearly full"),$E43*'ES '!C$37,AND($C43="Electric passenger train",$D43="Almost empty"),$E43*'ES '!C$39,AND($C43="Electric passenger train",$D43="Average"),$E43*'ES '!C$40,AND($C43="Electric passenger train",$D43="Nearly full"),$E43*'ES '!C$41,AND($C43="Diesel passenger train",$D43="Almost empty"),$E43*'ES '!C$47,AND($C43="Diesel passenger train",$D43="Average"),$E43*'ES '!C$48,AND($C43="Diesel passenger train",$D43="Nearly full"),$E43*'ES '!C$49,AND($C43="Walking"),$E43*0,AND($C43="Bike"),$E43*0,AND($C43="Plane - domestic flight"),$E43*'ES '!$C67,AND($C43="Plane - international - intra EU"),$E43*'ES '!$C69,AND($C43="Plane - international (extra EU)"),$E43*'ES '!$C71)</f>
        <v>#N/A</v>
      </c>
      <c r="G43" s="31" t="e" cm="1">
        <f t="array" ref="G43">_xlfn.IFS(AND($C43="Fuel car",$D43=1),$E43*'ES '!D$7,AND($C43="Fuel car",$D43=2),$E43*'ES '!D$8,AND($C43="Fuel car",$D43=3),$E43*'ES '!D$9,AND($C43="Fuel car",$D43=4),$E43*'ES '!D$10,AND($C43="Fuel car",$D43=5),$E43*'ES '!D$11,AND($C43="Motorcycle",$D43=1),$E43*'ES '!D$13,AND($C43="Motorcycle",$D43=2),$E43*'ES '!D$14,AND($C43="Electric car",$D43=1),$E43*'ES '!D$16,AND($C43="Electric car",$D43=2),$E43*'ES '!D$17,AND($C43="Electric car",$D43=3),$E43*'ES '!D$18,AND($C43="Electric car",$D43=4),$E43*'ES '!D$19,AND($C43="Electric car",$D43=5),$E43*'ES '!D$20,AND($C43="Hybrid car",$D43=1),$E43*'ES '!D$22,AND($C43="Hybrid car",$D43=2),$E43*'ES '!D$23,AND($C43="Hybrid car",$D43=3),$E43*'ES '!D$24,AND($C43="Hybrid car",$D43=4),$E43*'ES '!D$25,AND($C43="Hybrid car",$D43=5),$E43*'ES '!D$26,AND($C43="Electric motorcycle",$D43=1),$E43*'ES '!D$28,AND($C43="Electric motorcycle",$D43=2),$E43*'ES '!D$29,AND($C43="Electric bike",$D43=1),$E43*'ES '!D$31,AND($C43="Electric scooter",$D43=1),$E43*'ES '!D$33,AND($C43="Bus",$D43="Almost empty"),$E43*'ES '!I$23,AND($C43="Bus",$D43="Average"),$E43*'ES '!I$24,AND($C43="Bus",$D43="Nearly full"),$E43*'ES '!I$25,AND($C43="Electric bus",$D43="Almost empty"),$E43*'ES '!I$7,AND($C43="Electric bus",$D43="Average"),$E43*'ES '!I$8,AND($C43="Electric bus",$D43="Nearly full"),$E43*'ES '!I$9,AND($C43="Diesel bus",$D43="Almost empty"),$E43*'ES '!I$19,AND($C43="Diesel bus",$D43="Average"),$E43*'ES '!I$20,AND($C43="Diesel bus",$D43="Nearly full"),$E43*'ES '!I$21,AND($C43="Hybrid-electric bus",$D43="Almost empty"),$E43*'ES '!I$11,AND($C43="Hybrid-electric bus",$D43="Average"),$E43*'ES '!I$12,AND($C43="Hybrid-electric bus",$D43="Nearly full"),$E43*'ES '!I$13,AND($C43="Alternative fuel bus",$D43="Almost empty"),$E43*'ES '!I$15,AND($C43="Alternative fuel bus",$D43="Average"),$E43*'ES '!I$16,AND($C43="Alternative fuel bus",$D43="Nearly full"),$E43*'ES '!I$17,AND($C43="Metro, tram, urban light train",$D43="Almost empty"),$E43*'ES '!D$35,AND($C43="Metro, tram, urban light train",$D43="Average"),$E43*'ES '!D$36,AND($C43="Metro, tram, urban light train",$D43="Nearly full"),$E43*'ES '!D$37,AND($C43="Electric passenger train",$D43="Almost empty"),$E43*'ES '!D$39,AND($C43="Electric passenger train",$D43="Average"),$E43*'ES '!D$40,AND($C43="Electric passenger train",$D43="Nearly full"),$E43*'ES '!D$41,AND($C43="Diesel passenger train",$D43="Almost empty"),$E43*'ES '!D$47,AND($C43="Diesel passenger train",$D43="Average"),$E43*'ES '!D$48,AND($C43="Diesel passenger train",$D43="Nearly full"),$E43*'ES '!D$49,AND($C43="Walking"),$E43*0,AND($C43="Bike"),$E43*0,AND($C43="Plane - domestic flight"),$E43*'ES '!$C67,AND($C43="Plane - international - intra EU"),$E43*'ES '!$C69,AND($C43="Plane - international (extra EU)"),$E43*'ES '!$C71)</f>
        <v>#N/A</v>
      </c>
      <c r="H43" s="109"/>
      <c r="I43" s="154">
        <f t="shared" si="6"/>
        <v>0</v>
      </c>
      <c r="J43" s="147" t="e" cm="1">
        <f t="array" ref="J43">_xlfn.IFS(C43="Fuel car",C43*DATA!$C$17,C43="Electric car",C43*DATA!$F$29,C43="Hybrid car",I43*(0.5*DATA!$C$17+0.5*DATA!$F$29))</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car",$D44=1),$E44*'ES '!C$7,AND($C44="Fuel car",$D44=2),$E44*'ES '!C$8,AND($C44="Fuel car",$D44=3),$E44*'ES '!C$9,AND($C44="Fuel car",$D44=4),$E44*'ES '!C$10,AND($C44="Fuel car",$D44=5),$E44*'ES '!C$11,AND($C44="Motorcycle",$D44=1),$E44*'ES '!C$13,AND($C44="Motorcycle",$D44=2),$E44*'ES '!C$14,AND($C44="Electric car",$D44=1),$E44*'ES '!C$16,AND($C44="Electric car",$D44=2),$E44*'ES '!C$17,AND($C44="Electric car",$D44=3),$E44*'ES '!C$18,AND($C44="Electric car",$D44=4),$E44*'ES '!C$19,AND($C44="Electric car",$D44=5),$E44*'ES '!C$20,AND($C44="Hybrid car",$D44=1),$E44*'ES '!C$22,AND($C44="Hybrid car",$D44=2),$E44*'ES '!C$23,AND($C44="Hybrid car",$D44=3),$E44*'ES '!C$24,AND($C44="Hybrid car",$D44=4),$E44*'ES '!C$25,AND($C44="Hybrid car",$D44=5),$E44*'ES '!C$26,AND($C44="Electric motorcycle",$D44=1),$E44*'ES '!C$28,AND($C44="Electric motorcycle",$D44=2),$E44*'ES '!C$29,AND($C44="Electric bike",$D44=1),$E44*'ES '!C$31,AND($C44="Electric scooter",$D44=1),$E44*'ES '!C$33,AND($C44="Bus",$D44="Almost empty"),$E44*'ES '!H$23,AND($C44="Bus",$D44="Average"),$E44*'ES '!H$24,AND($C44="Bus",$D44="Nearly full"),$E44*'ES '!H$25,AND($C44="Electric bus",$D44="Almost empty"),$E44*'ES '!H$7,AND($C44="Electric bus",$D44="Average"),$E44*'ES '!H$8,AND($C44="Electric bus",$D44="Nearly full"),$E44*'ES '!H$9,AND($C44="Diesel bus",$D44="Almost empty"),$E44*'ES '!H$19,AND($C44="Diesel bus",$D44="Average"),$E44*'ES '!H$20,AND($C44="Diesel bus",$D44="Nearly full"),$E44*'ES '!H$21,AND($C44="Hybrid-electric bus",$D44="Almost empty"),$E44*'ES '!H$11,AND($C44="Hybrid-electric bus",$D44="Average"),$E44*'ES '!H$12,AND($C44="Hybrid-electric bus",$D44="Nearly full"),$E44*'ES '!H$13,AND($C44="Alternative fuel bus",$D44="Almost empty"),$E44*'ES '!H$15,AND($C44="Alternative fuel bus",$D44="Average"),$E44*'ES '!H$16,AND($C44="Alternative fuel bus",$D44="Nearly full"),$E44*'ES '!H$17,AND($C44="Metro, tram, urban light train",$D44="Almost empty"),$E44*'ES '!C$35,AND($C44="Metro, tram, urban light train",$D44="Average"),$E44*'ES '!C$36,AND($C44="Metro, tram, urban light train",$D44="Nearly full"),$E44*'ES '!C$37,AND($C44="Electric passenger train",$D44="Almost empty"),$E44*'ES '!C$39,AND($C44="Electric passenger train",$D44="Average"),$E44*'ES '!C$40,AND($C44="Electric passenger train",$D44="Nearly full"),$E44*'ES '!C$41,AND($C44="Diesel passenger train",$D44="Almost empty"),$E44*'ES '!C$47,AND($C44="Diesel passenger train",$D44="Average"),$E44*'ES '!C$48,AND($C44="Diesel passenger train",$D44="Nearly full"),$E44*'ES '!C$49,AND($C44="Walking"),$E44*0,AND($C44="Bike"),$E44*0,AND($C44="Plane - domestic flight"),$E44*'ES '!$C68,AND($C44="Plane - international - intra EU"),$E44*'ES '!$C70,AND($C44="Plane - international (extra EU)"),$E44*'ES '!$C72)</f>
        <v>#N/A</v>
      </c>
      <c r="G44" s="31" t="e" cm="1">
        <f t="array" ref="G44">_xlfn.IFS(AND($C44="Fuel car",$D44=1),$E44*'ES '!D$7,AND($C44="Fuel car",$D44=2),$E44*'ES '!D$8,AND($C44="Fuel car",$D44=3),$E44*'ES '!D$9,AND($C44="Fuel car",$D44=4),$E44*'ES '!D$10,AND($C44="Fuel car",$D44=5),$E44*'ES '!D$11,AND($C44="Motorcycle",$D44=1),$E44*'ES '!D$13,AND($C44="Motorcycle",$D44=2),$E44*'ES '!D$14,AND($C44="Electric car",$D44=1),$E44*'ES '!D$16,AND($C44="Electric car",$D44=2),$E44*'ES '!D$17,AND($C44="Electric car",$D44=3),$E44*'ES '!D$18,AND($C44="Electric car",$D44=4),$E44*'ES '!D$19,AND($C44="Electric car",$D44=5),$E44*'ES '!D$20,AND($C44="Hybrid car",$D44=1),$E44*'ES '!D$22,AND($C44="Hybrid car",$D44=2),$E44*'ES '!D$23,AND($C44="Hybrid car",$D44=3),$E44*'ES '!D$24,AND($C44="Hybrid car",$D44=4),$E44*'ES '!D$25,AND($C44="Hybrid car",$D44=5),$E44*'ES '!D$26,AND($C44="Electric motorcycle",$D44=1),$E44*'ES '!D$28,AND($C44="Electric motorcycle",$D44=2),$E44*'ES '!D$29,AND($C44="Electric bike",$D44=1),$E44*'ES '!D$31,AND($C44="Electric scooter",$D44=1),$E44*'ES '!D$33,AND($C44="Bus",$D44="Almost empty"),$E44*'ES '!I$23,AND($C44="Bus",$D44="Average"),$E44*'ES '!I$24,AND($C44="Bus",$D44="Nearly full"),$E44*'ES '!I$25,AND($C44="Electric bus",$D44="Almost empty"),$E44*'ES '!I$7,AND($C44="Electric bus",$D44="Average"),$E44*'ES '!I$8,AND($C44="Electric bus",$D44="Nearly full"),$E44*'ES '!I$9,AND($C44="Diesel bus",$D44="Almost empty"),$E44*'ES '!I$19,AND($C44="Diesel bus",$D44="Average"),$E44*'ES '!I$20,AND($C44="Diesel bus",$D44="Nearly full"),$E44*'ES '!I$21,AND($C44="Hybrid-electric bus",$D44="Almost empty"),$E44*'ES '!I$11,AND($C44="Hybrid-electric bus",$D44="Average"),$E44*'ES '!I$12,AND($C44="Hybrid-electric bus",$D44="Nearly full"),$E44*'ES '!I$13,AND($C44="Alternative fuel bus",$D44="Almost empty"),$E44*'ES '!I$15,AND($C44="Alternative fuel bus",$D44="Average"),$E44*'ES '!I$16,AND($C44="Alternative fuel bus",$D44="Nearly full"),$E44*'ES '!I$17,AND($C44="Metro, tram, urban light train",$D44="Almost empty"),$E44*'ES '!D$35,AND($C44="Metro, tram, urban light train",$D44="Average"),$E44*'ES '!D$36,AND($C44="Metro, tram, urban light train",$D44="Nearly full"),$E44*'ES '!D$37,AND($C44="Electric passenger train",$D44="Almost empty"),$E44*'ES '!D$39,AND($C44="Electric passenger train",$D44="Average"),$E44*'ES '!D$40,AND($C44="Electric passenger train",$D44="Nearly full"),$E44*'ES '!D$41,AND($C44="Diesel passenger train",$D44="Almost empty"),$E44*'ES '!D$47,AND($C44="Diesel passenger train",$D44="Average"),$E44*'ES '!D$48,AND($C44="Diesel passenger train",$D44="Nearly full"),$E44*'ES '!D$49,AND($C44="Walking"),$E44*0,AND($C44="Bike"),$E44*0,AND($C44="Plane - domestic flight"),$E44*'ES '!$C68,AND($C44="Plane - international - intra EU"),$E44*'ES '!$C70,AND($C44="Plane - international (extra EU)"),$E44*'ES '!$C72)</f>
        <v>#N/A</v>
      </c>
      <c r="L44" s="218"/>
      <c r="M44" s="219"/>
      <c r="N44" s="220"/>
    </row>
    <row r="45" spans="1:14" ht="14.5" customHeight="1" x14ac:dyDescent="0.2">
      <c r="A45" s="222"/>
      <c r="B45" s="30"/>
      <c r="C45" s="15"/>
      <c r="D45" s="15"/>
      <c r="E45" s="125"/>
      <c r="F45" s="128" t="e" cm="1">
        <f t="array" ref="F45">_xlfn.IFS(AND($C45="Fuel car",$D45=1),$E45*'ES '!C$7,AND($C45="Fuel car",$D45=2),$E45*'ES '!C$8,AND($C45="Fuel car",$D45=3),$E45*'ES '!C$9,AND($C45="Fuel car",$D45=4),$E45*'ES '!C$10,AND($C45="Fuel car",$D45=5),$E45*'ES '!C$11,AND($C45="Motorcycle",$D45=1),$E45*'ES '!C$13,AND($C45="Motorcycle",$D45=2),$E45*'ES '!C$14,AND($C45="Electric car",$D45=1),$E45*'ES '!C$16,AND($C45="Electric car",$D45=2),$E45*'ES '!C$17,AND($C45="Electric car",$D45=3),$E45*'ES '!C$18,AND($C45="Electric car",$D45=4),$E45*'ES '!C$19,AND($C45="Electric car",$D45=5),$E45*'ES '!C$20,AND($C45="Hybrid car",$D45=1),$E45*'ES '!C$22,AND($C45="Hybrid car",$D45=2),$E45*'ES '!C$23,AND($C45="Hybrid car",$D45=3),$E45*'ES '!C$24,AND($C45="Hybrid car",$D45=4),$E45*'ES '!C$25,AND($C45="Hybrid car",$D45=5),$E45*'ES '!C$26,AND($C45="Electric motorcycle",$D45=1),$E45*'ES '!C$28,AND($C45="Electric motorcycle",$D45=2),$E45*'ES '!C$29,AND($C45="Electric bike",$D45=1),$E45*'ES '!C$31,AND($C45="Electric scooter",$D45=1),$E45*'ES '!C$33,AND($C45="Bus",$D45="Almost empty"),$E45*'ES '!H$23,AND($C45="Bus",$D45="Average"),$E45*'ES '!H$24,AND($C45="Bus",$D45="Nearly full"),$E45*'ES '!H$25,AND($C45="Electric bus",$D45="Almost empty"),$E45*'ES '!H$7,AND($C45="Electric bus",$D45="Average"),$E45*'ES '!H$8,AND($C45="Electric bus",$D45="Nearly full"),$E45*'ES '!H$9,AND($C45="Diesel bus",$D45="Almost empty"),$E45*'ES '!H$19,AND($C45="Diesel bus",$D45="Average"),$E45*'ES '!H$20,AND($C45="Diesel bus",$D45="Nearly full"),$E45*'ES '!H$21,AND($C45="Hybrid-electric bus",$D45="Almost empty"),$E45*'ES '!H$11,AND($C45="Hybrid-electric bus",$D45="Average"),$E45*'ES '!H$12,AND($C45="Hybrid-electric bus",$D45="Nearly full"),$E45*'ES '!H$13,AND($C45="Alternative fuel bus",$D45="Almost empty"),$E45*'ES '!H$15,AND($C45="Alternative fuel bus",$D45="Average"),$E45*'ES '!H$16,AND($C45="Alternative fuel bus",$D45="Nearly full"),$E45*'ES '!H$17,AND($C45="Metro, tram, urban light train",$D45="Almost empty"),$E45*'ES '!C$35,AND($C45="Metro, tram, urban light train",$D45="Average"),$E45*'ES '!C$36,AND($C45="Metro, tram, urban light train",$D45="Nearly full"),$E45*'ES '!C$37,AND($C45="Electric passenger train",$D45="Almost empty"),$E45*'ES '!C$39,AND($C45="Electric passenger train",$D45="Average"),$E45*'ES '!C$40,AND($C45="Electric passenger train",$D45="Nearly full"),$E45*'ES '!C$41,AND($C45="Diesel passenger train",$D45="Almost empty"),$E45*'ES '!C$47,AND($C45="Diesel passenger train",$D45="Average"),$E45*'ES '!C$48,AND($C45="Diesel passenger train",$D45="Nearly full"),$E45*'ES '!C$49,AND($C45="Walking"),$E45*0,AND($C45="Bike"),$E45*0,AND($C45="Plane - domestic flight"),$E45*'ES '!$C69,AND($C45="Plane - international - intra EU"),$E45*'ES '!$C71,AND($C45="Plane - international (extra EU)"),$E45*'ES '!$C73)</f>
        <v>#N/A</v>
      </c>
      <c r="G45" s="31" t="e" cm="1">
        <f t="array" ref="G45">_xlfn.IFS(AND($C45="Fuel car",$D45=1),$E45*'ES '!D$7,AND($C45="Fuel car",$D45=2),$E45*'ES '!D$8,AND($C45="Fuel car",$D45=3),$E45*'ES '!D$9,AND($C45="Fuel car",$D45=4),$E45*'ES '!D$10,AND($C45="Fuel car",$D45=5),$E45*'ES '!D$11,AND($C45="Motorcycle",$D45=1),$E45*'ES '!D$13,AND($C45="Motorcycle",$D45=2),$E45*'ES '!D$14,AND($C45="Electric car",$D45=1),$E45*'ES '!D$16,AND($C45="Electric car",$D45=2),$E45*'ES '!D$17,AND($C45="Electric car",$D45=3),$E45*'ES '!D$18,AND($C45="Electric car",$D45=4),$E45*'ES '!D$19,AND($C45="Electric car",$D45=5),$E45*'ES '!D$20,AND($C45="Hybrid car",$D45=1),$E45*'ES '!D$22,AND($C45="Hybrid car",$D45=2),$E45*'ES '!D$23,AND($C45="Hybrid car",$D45=3),$E45*'ES '!D$24,AND($C45="Hybrid car",$D45=4),$E45*'ES '!D$25,AND($C45="Hybrid car",$D45=5),$E45*'ES '!D$26,AND($C45="Electric motorcycle",$D45=1),$E45*'ES '!D$28,AND($C45="Electric motorcycle",$D45=2),$E45*'ES '!D$29,AND($C45="Electric bike",$D45=1),$E45*'ES '!D$31,AND($C45="Electric scooter",$D45=1),$E45*'ES '!D$33,AND($C45="Bus",$D45="Almost empty"),$E45*'ES '!I$23,AND($C45="Bus",$D45="Average"),$E45*'ES '!I$24,AND($C45="Bus",$D45="Nearly full"),$E45*'ES '!I$25,AND($C45="Electric bus",$D45="Almost empty"),$E45*'ES '!I$7,AND($C45="Electric bus",$D45="Average"),$E45*'ES '!I$8,AND($C45="Electric bus",$D45="Nearly full"),$E45*'ES '!I$9,AND($C45="Diesel bus",$D45="Almost empty"),$E45*'ES '!I$19,AND($C45="Diesel bus",$D45="Average"),$E45*'ES '!I$20,AND($C45="Diesel bus",$D45="Nearly full"),$E45*'ES '!I$21,AND($C45="Hybrid-electric bus",$D45="Almost empty"),$E45*'ES '!I$11,AND($C45="Hybrid-electric bus",$D45="Average"),$E45*'ES '!I$12,AND($C45="Hybrid-electric bus",$D45="Nearly full"),$E45*'ES '!I$13,AND($C45="Alternative fuel bus",$D45="Almost empty"),$E45*'ES '!I$15,AND($C45="Alternative fuel bus",$D45="Average"),$E45*'ES '!I$16,AND($C45="Alternative fuel bus",$D45="Nearly full"),$E45*'ES '!I$17,AND($C45="Metro, tram, urban light train",$D45="Almost empty"),$E45*'ES '!D$35,AND($C45="Metro, tram, urban light train",$D45="Average"),$E45*'ES '!D$36,AND($C45="Metro, tram, urban light train",$D45="Nearly full"),$E45*'ES '!D$37,AND($C45="Electric passenger train",$D45="Almost empty"),$E45*'ES '!D$39,AND($C45="Electric passenger train",$D45="Average"),$E45*'ES '!D$40,AND($C45="Electric passenger train",$D45="Nearly full"),$E45*'ES '!D$41,AND($C45="Diesel passenger train",$D45="Almost empty"),$E45*'ES '!D$47,AND($C45="Diesel passenger train",$D45="Average"),$E45*'ES '!D$48,AND($C45="Diesel passenger train",$D45="Nearly full"),$E45*'ES '!D$49,AND($C45="Walking"),$E45*0,AND($C45="Bike"),$E45*0,AND($C45="Plane - domestic flight"),$E45*'ES '!$C69,AND($C45="Plane - international - intra EU"),$E45*'ES '!$C71,AND($C45="Plane - international (extra EU)"),$E45*'ES '!$C73)</f>
        <v>#N/A</v>
      </c>
      <c r="L45" s="198" t="s">
        <v>256</v>
      </c>
      <c r="M45" s="199"/>
      <c r="N45" s="200"/>
    </row>
    <row r="46" spans="1:14" ht="16" thickBot="1" x14ac:dyDescent="0.25">
      <c r="A46" s="222"/>
      <c r="B46" s="30"/>
      <c r="C46" s="15"/>
      <c r="D46" s="15"/>
      <c r="E46" s="125"/>
      <c r="F46" s="128" t="e" cm="1">
        <f t="array" ref="F46">_xlfn.IFS(AND($C46="Fuel car",$D46=1),$E46*'ES '!C$7,AND($C46="Fuel car",$D46=2),$E46*'ES '!C$8,AND($C46="Fuel car",$D46=3),$E46*'ES '!C$9,AND($C46="Fuel car",$D46=4),$E46*'ES '!C$10,AND($C46="Fuel car",$D46=5),$E46*'ES '!C$11,AND($C46="Motorcycle",$D46=1),$E46*'ES '!C$13,AND($C46="Motorcycle",$D46=2),$E46*'ES '!C$14,AND($C46="Electric car",$D46=1),$E46*'ES '!C$16,AND($C46="Electric car",$D46=2),$E46*'ES '!C$17,AND($C46="Electric car",$D46=3),$E46*'ES '!C$18,AND($C46="Electric car",$D46=4),$E46*'ES '!C$19,AND($C46="Electric car",$D46=5),$E46*'ES '!C$20,AND($C46="Hybrid car",$D46=1),$E46*'ES '!C$22,AND($C46="Hybrid car",$D46=2),$E46*'ES '!C$23,AND($C46="Hybrid car",$D46=3),$E46*'ES '!C$24,AND($C46="Hybrid car",$D46=4),$E46*'ES '!C$25,AND($C46="Hybrid car",$D46=5),$E46*'ES '!C$26,AND($C46="Electric motorcycle",$D46=1),$E46*'ES '!C$28,AND($C46="Electric motorcycle",$D46=2),$E46*'ES '!C$29,AND($C46="Electric bike",$D46=1),$E46*'ES '!C$31,AND($C46="Electric scooter",$D46=1),$E46*'ES '!C$33,AND($C46="Bus",$D46="Almost empty"),$E46*'ES '!H$23,AND($C46="Bus",$D46="Average"),$E46*'ES '!H$24,AND($C46="Bus",$D46="Nearly full"),$E46*'ES '!H$25,AND($C46="Electric bus",$D46="Almost empty"),$E46*'ES '!H$7,AND($C46="Electric bus",$D46="Average"),$E46*'ES '!H$8,AND($C46="Electric bus",$D46="Nearly full"),$E46*'ES '!H$9,AND($C46="Diesel bus",$D46="Almost empty"),$E46*'ES '!H$19,AND($C46="Diesel bus",$D46="Average"),$E46*'ES '!H$20,AND($C46="Diesel bus",$D46="Nearly full"),$E46*'ES '!H$21,AND($C46="Hybrid-electric bus",$D46="Almost empty"),$E46*'ES '!H$11,AND($C46="Hybrid-electric bus",$D46="Average"),$E46*'ES '!H$12,AND($C46="Hybrid-electric bus",$D46="Nearly full"),$E46*'ES '!H$13,AND($C46="Alternative fuel bus",$D46="Almost empty"),$E46*'ES '!H$15,AND($C46="Alternative fuel bus",$D46="Average"),$E46*'ES '!H$16,AND($C46="Alternative fuel bus",$D46="Nearly full"),$E46*'ES '!H$17,AND($C46="Metro, tram, urban light train",$D46="Almost empty"),$E46*'ES '!C$35,AND($C46="Metro, tram, urban light train",$D46="Average"),$E46*'ES '!C$36,AND($C46="Metro, tram, urban light train",$D46="Nearly full"),$E46*'ES '!C$37,AND($C46="Electric passenger train",$D46="Almost empty"),$E46*'ES '!C$39,AND($C46="Electric passenger train",$D46="Average"),$E46*'ES '!C$40,AND($C46="Electric passenger train",$D46="Nearly full"),$E46*'ES '!C$41,AND($C46="Diesel passenger train",$D46="Almost empty"),$E46*'ES '!C$47,AND($C46="Diesel passenger train",$D46="Average"),$E46*'ES '!C$48,AND($C46="Diesel passenger train",$D46="Nearly full"),$E46*'ES '!C$49,AND($C46="Walking"),$E46*0,AND($C46="Bike"),$E46*0,AND($C46="Plane - domestic flight"),$E46*'ES '!$C70,AND($C46="Plane - international - intra EU"),$E46*'ES '!$C72,AND($C46="Plane - international (extra EU)"),$E46*'ES '!$C74)</f>
        <v>#N/A</v>
      </c>
      <c r="G46" s="31" t="e" cm="1">
        <f t="array" ref="G46">_xlfn.IFS(AND($C46="Fuel car",$D46=1),$E46*'ES '!D$7,AND($C46="Fuel car",$D46=2),$E46*'ES '!D$8,AND($C46="Fuel car",$D46=3),$E46*'ES '!D$9,AND($C46="Fuel car",$D46=4),$E46*'ES '!D$10,AND($C46="Fuel car",$D46=5),$E46*'ES '!D$11,AND($C46="Motorcycle",$D46=1),$E46*'ES '!D$13,AND($C46="Motorcycle",$D46=2),$E46*'ES '!D$14,AND($C46="Electric car",$D46=1),$E46*'ES '!D$16,AND($C46="Electric car",$D46=2),$E46*'ES '!D$17,AND($C46="Electric car",$D46=3),$E46*'ES '!D$18,AND($C46="Electric car",$D46=4),$E46*'ES '!D$19,AND($C46="Electric car",$D46=5),$E46*'ES '!D$20,AND($C46="Hybrid car",$D46=1),$E46*'ES '!D$22,AND($C46="Hybrid car",$D46=2),$E46*'ES '!D$23,AND($C46="Hybrid car",$D46=3),$E46*'ES '!D$24,AND($C46="Hybrid car",$D46=4),$E46*'ES '!D$25,AND($C46="Hybrid car",$D46=5),$E46*'ES '!D$26,AND($C46="Electric motorcycle",$D46=1),$E46*'ES '!D$28,AND($C46="Electric motorcycle",$D46=2),$E46*'ES '!D$29,AND($C46="Electric bike",$D46=1),$E46*'ES '!D$31,AND($C46="Electric scooter",$D46=1),$E46*'ES '!D$33,AND($C46="Bus",$D46="Almost empty"),$E46*'ES '!I$23,AND($C46="Bus",$D46="Average"),$E46*'ES '!I$24,AND($C46="Bus",$D46="Nearly full"),$E46*'ES '!I$25,AND($C46="Electric bus",$D46="Almost empty"),$E46*'ES '!I$7,AND($C46="Electric bus",$D46="Average"),$E46*'ES '!I$8,AND($C46="Electric bus",$D46="Nearly full"),$E46*'ES '!I$9,AND($C46="Diesel bus",$D46="Almost empty"),$E46*'ES '!I$19,AND($C46="Diesel bus",$D46="Average"),$E46*'ES '!I$20,AND($C46="Diesel bus",$D46="Nearly full"),$E46*'ES '!I$21,AND($C46="Hybrid-electric bus",$D46="Almost empty"),$E46*'ES '!I$11,AND($C46="Hybrid-electric bus",$D46="Average"),$E46*'ES '!I$12,AND($C46="Hybrid-electric bus",$D46="Nearly full"),$E46*'ES '!I$13,AND($C46="Alternative fuel bus",$D46="Almost empty"),$E46*'ES '!I$15,AND($C46="Alternative fuel bus",$D46="Average"),$E46*'ES '!I$16,AND($C46="Alternative fuel bus",$D46="Nearly full"),$E46*'ES '!I$17,AND($C46="Metro, tram, urban light train",$D46="Almost empty"),$E46*'ES '!D$35,AND($C46="Metro, tram, urban light train",$D46="Average"),$E46*'ES '!D$36,AND($C46="Metro, tram, urban light train",$D46="Nearly full"),$E46*'ES '!D$37,AND($C46="Electric passenger train",$D46="Almost empty"),$E46*'ES '!D$39,AND($C46="Electric passenger train",$D46="Average"),$E46*'ES '!D$40,AND($C46="Electric passenger train",$D46="Nearly full"),$E46*'ES '!D$41,AND($C46="Diesel passenger train",$D46="Almost empty"),$E46*'ES '!D$47,AND($C46="Diesel passenger train",$D46="Average"),$E46*'ES '!D$48,AND($C46="Diesel passenger train",$D46="Nearly full"),$E46*'ES '!D$49,AND($C46="Walking"),$E46*0,AND($C46="Bike"),$E46*0,AND($C46="Plane - domestic flight"),$E46*'ES '!$C70,AND($C46="Plane - international - intra EU"),$E46*'ES '!$C72,AND($C46="Plane - international (extra EU)"),$E46*'ES '!$C74)</f>
        <v>#N/A</v>
      </c>
      <c r="L46" s="246"/>
      <c r="M46" s="247"/>
      <c r="N46" s="248"/>
    </row>
    <row r="47" spans="1:14" ht="20" thickBot="1" x14ac:dyDescent="0.25">
      <c r="A47" s="222"/>
      <c r="B47" s="30"/>
      <c r="C47" s="15"/>
      <c r="D47" s="15"/>
      <c r="E47" s="125"/>
      <c r="F47" s="128" t="e" cm="1">
        <f t="array" ref="F47">_xlfn.IFS(AND($C47="Fuel car",$D47=1),$E47*'ES '!C$7,AND($C47="Fuel car",$D47=2),$E47*'ES '!C$8,AND($C47="Fuel car",$D47=3),$E47*'ES '!C$9,AND($C47="Fuel car",$D47=4),$E47*'ES '!C$10,AND($C47="Fuel car",$D47=5),$E47*'ES '!C$11,AND($C47="Motorcycle",$D47=1),$E47*'ES '!C$13,AND($C47="Motorcycle",$D47=2),$E47*'ES '!C$14,AND($C47="Electric car",$D47=1),$E47*'ES '!C$16,AND($C47="Electric car",$D47=2),$E47*'ES '!C$17,AND($C47="Electric car",$D47=3),$E47*'ES '!C$18,AND($C47="Electric car",$D47=4),$E47*'ES '!C$19,AND($C47="Electric car",$D47=5),$E47*'ES '!C$20,AND($C47="Hybrid car",$D47=1),$E47*'ES '!C$22,AND($C47="Hybrid car",$D47=2),$E47*'ES '!C$23,AND($C47="Hybrid car",$D47=3),$E47*'ES '!C$24,AND($C47="Hybrid car",$D47=4),$E47*'ES '!C$25,AND($C47="Hybrid car",$D47=5),$E47*'ES '!C$26,AND($C47="Electric motorcycle",$D47=1),$E47*'ES '!C$28,AND($C47="Electric motorcycle",$D47=2),$E47*'ES '!C$29,AND($C47="Electric bike",$D47=1),$E47*'ES '!C$31,AND($C47="Electric scooter",$D47=1),$E47*'ES '!C$33,AND($C47="Bus",$D47="Almost empty"),$E47*'ES '!H$23,AND($C47="Bus",$D47="Average"),$E47*'ES '!H$24,AND($C47="Bus",$D47="Nearly full"),$E47*'ES '!H$25,AND($C47="Electric bus",$D47="Almost empty"),$E47*'ES '!H$7,AND($C47="Electric bus",$D47="Average"),$E47*'ES '!H$8,AND($C47="Electric bus",$D47="Nearly full"),$E47*'ES '!H$9,AND($C47="Diesel bus",$D47="Almost empty"),$E47*'ES '!H$19,AND($C47="Diesel bus",$D47="Average"),$E47*'ES '!H$20,AND($C47="Diesel bus",$D47="Nearly full"),$E47*'ES '!H$21,AND($C47="Hybrid-electric bus",$D47="Almost empty"),$E47*'ES '!H$11,AND($C47="Hybrid-electric bus",$D47="Average"),$E47*'ES '!H$12,AND($C47="Hybrid-electric bus",$D47="Nearly full"),$E47*'ES '!H$13,AND($C47="Alternative fuel bus",$D47="Almost empty"),$E47*'ES '!H$15,AND($C47="Alternative fuel bus",$D47="Average"),$E47*'ES '!H$16,AND($C47="Alternative fuel bus",$D47="Nearly full"),$E47*'ES '!H$17,AND($C47="Metro, tram, urban light train",$D47="Almost empty"),$E47*'ES '!C$35,AND($C47="Metro, tram, urban light train",$D47="Average"),$E47*'ES '!C$36,AND($C47="Metro, tram, urban light train",$D47="Nearly full"),$E47*'ES '!C$37,AND($C47="Electric passenger train",$D47="Almost empty"),$E47*'ES '!C$39,AND($C47="Electric passenger train",$D47="Average"),$E47*'ES '!C$40,AND($C47="Electric passenger train",$D47="Nearly full"),$E47*'ES '!C$41,AND($C47="Diesel passenger train",$D47="Almost empty"),$E47*'ES '!C$47,AND($C47="Diesel passenger train",$D47="Average"),$E47*'ES '!C$48,AND($C47="Diesel passenger train",$D47="Nearly full"),$E47*'ES '!C$49,AND($C47="Walking"),$E47*0,AND($C47="Bike"),$E47*0,AND($C47="Plane - domestic flight"),$E47*'ES '!$C71,AND($C47="Plane - international - intra EU"),$E47*'ES '!$C73,AND($C47="Plane - international (extra EU)"),$E47*'ES '!$C75)</f>
        <v>#N/A</v>
      </c>
      <c r="G47" s="31" t="e" cm="1">
        <f t="array" ref="G47">_xlfn.IFS(AND($C47="Fuel car",$D47=1),$E47*'ES '!D$7,AND($C47="Fuel car",$D47=2),$E47*'ES '!D$8,AND($C47="Fuel car",$D47=3),$E47*'ES '!D$9,AND($C47="Fuel car",$D47=4),$E47*'ES '!D$10,AND($C47="Fuel car",$D47=5),$E47*'ES '!D$11,AND($C47="Motorcycle",$D47=1),$E47*'ES '!D$13,AND($C47="Motorcycle",$D47=2),$E47*'ES '!D$14,AND($C47="Electric car",$D47=1),$E47*'ES '!D$16,AND($C47="Electric car",$D47=2),$E47*'ES '!D$17,AND($C47="Electric car",$D47=3),$E47*'ES '!D$18,AND($C47="Electric car",$D47=4),$E47*'ES '!D$19,AND($C47="Electric car",$D47=5),$E47*'ES '!D$20,AND($C47="Hybrid car",$D47=1),$E47*'ES '!D$22,AND($C47="Hybrid car",$D47=2),$E47*'ES '!D$23,AND($C47="Hybrid car",$D47=3),$E47*'ES '!D$24,AND($C47="Hybrid car",$D47=4),$E47*'ES '!D$25,AND($C47="Hybrid car",$D47=5),$E47*'ES '!D$26,AND($C47="Electric motorcycle",$D47=1),$E47*'ES '!D$28,AND($C47="Electric motorcycle",$D47=2),$E47*'ES '!D$29,AND($C47="Electric bike",$D47=1),$E47*'ES '!D$31,AND($C47="Electric scooter",$D47=1),$E47*'ES '!D$33,AND($C47="Bus",$D47="Almost empty"),$E47*'ES '!I$23,AND($C47="Bus",$D47="Average"),$E47*'ES '!I$24,AND($C47="Bus",$D47="Nearly full"),$E47*'ES '!I$25,AND($C47="Electric bus",$D47="Almost empty"),$E47*'ES '!I$7,AND($C47="Electric bus",$D47="Average"),$E47*'ES '!I$8,AND($C47="Electric bus",$D47="Nearly full"),$E47*'ES '!I$9,AND($C47="Diesel bus",$D47="Almost empty"),$E47*'ES '!I$19,AND($C47="Diesel bus",$D47="Average"),$E47*'ES '!I$20,AND($C47="Diesel bus",$D47="Nearly full"),$E47*'ES '!I$21,AND($C47="Hybrid-electric bus",$D47="Almost empty"),$E47*'ES '!I$11,AND($C47="Hybrid-electric bus",$D47="Average"),$E47*'ES '!I$12,AND($C47="Hybrid-electric bus",$D47="Nearly full"),$E47*'ES '!I$13,AND($C47="Alternative fuel bus",$D47="Almost empty"),$E47*'ES '!I$15,AND($C47="Alternative fuel bus",$D47="Average"),$E47*'ES '!I$16,AND($C47="Alternative fuel bus",$D47="Nearly full"),$E47*'ES '!I$17,AND($C47="Metro, tram, urban light train",$D47="Almost empty"),$E47*'ES '!D$35,AND($C47="Metro, tram, urban light train",$D47="Average"),$E47*'ES '!D$36,AND($C47="Metro, tram, urban light train",$D47="Nearly full"),$E47*'ES '!D$37,AND($C47="Electric passenger train",$D47="Almost empty"),$E47*'ES '!D$39,AND($C47="Electric passenger train",$D47="Average"),$E47*'ES '!D$40,AND($C47="Electric passenger train",$D47="Nearly full"),$E47*'ES '!D$41,AND($C47="Diesel passenger train",$D47="Almost empty"),$E47*'ES '!D$47,AND($C47="Diesel passenger train",$D47="Average"),$E47*'ES '!D$48,AND($C47="Diesel passenger train",$D47="Nearly full"),$E47*'ES '!D$49,AND($C47="Walking"),$E47*0,AND($C47="Bike"),$E47*0,AND($C47="Plane - domestic flight"),$E47*'ES '!$C71,AND($C47="Plane - international - intra EU"),$E47*'ES '!$C73,AND($C47="Plane - international (extra EU)"),$E47*'ES '!$C75)</f>
        <v>#N/A</v>
      </c>
      <c r="L47" s="238" t="s">
        <v>56</v>
      </c>
      <c r="M47" s="239"/>
      <c r="N47" s="240"/>
    </row>
    <row r="48" spans="1:14" ht="16" thickBot="1" x14ac:dyDescent="0.25">
      <c r="A48" s="222"/>
      <c r="B48" s="30"/>
      <c r="C48" s="15"/>
      <c r="D48" s="15"/>
      <c r="E48" s="125"/>
      <c r="F48" s="128" t="e" cm="1">
        <f t="array" ref="F48">_xlfn.IFS(AND($C48="Fuel car",$D48=1),$E48*'ES '!C$7,AND($C48="Fuel car",$D48=2),$E48*'ES '!C$8,AND($C48="Fuel car",$D48=3),$E48*'ES '!C$9,AND($C48="Fuel car",$D48=4),$E48*'ES '!C$10,AND($C48="Fuel car",$D48=5),$E48*'ES '!C$11,AND($C48="Motorcycle",$D48=1),$E48*'ES '!C$13,AND($C48="Motorcycle",$D48=2),$E48*'ES '!C$14,AND($C48="Electric car",$D48=1),$E48*'ES '!C$16,AND($C48="Electric car",$D48=2),$E48*'ES '!C$17,AND($C48="Electric car",$D48=3),$E48*'ES '!C$18,AND($C48="Electric car",$D48=4),$E48*'ES '!C$19,AND($C48="Electric car",$D48=5),$E48*'ES '!C$20,AND($C48="Hybrid car",$D48=1),$E48*'ES '!C$22,AND($C48="Hybrid car",$D48=2),$E48*'ES '!C$23,AND($C48="Hybrid car",$D48=3),$E48*'ES '!C$24,AND($C48="Hybrid car",$D48=4),$E48*'ES '!C$25,AND($C48="Hybrid car",$D48=5),$E48*'ES '!C$26,AND($C48="Electric motorcycle",$D48=1),$E48*'ES '!C$28,AND($C48="Electric motorcycle",$D48=2),$E48*'ES '!C$29,AND($C48="Electric bike",$D48=1),$E48*'ES '!C$31,AND($C48="Electric scooter",$D48=1),$E48*'ES '!C$33,AND($C48="Bus",$D48="Almost empty"),$E48*'ES '!H$23,AND($C48="Bus",$D48="Average"),$E48*'ES '!H$24,AND($C48="Bus",$D48="Nearly full"),$E48*'ES '!H$25,AND($C48="Electric bus",$D48="Almost empty"),$E48*'ES '!H$7,AND($C48="Electric bus",$D48="Average"),$E48*'ES '!H$8,AND($C48="Electric bus",$D48="Nearly full"),$E48*'ES '!H$9,AND($C48="Diesel bus",$D48="Almost empty"),$E48*'ES '!H$19,AND($C48="Diesel bus",$D48="Average"),$E48*'ES '!H$20,AND($C48="Diesel bus",$D48="Nearly full"),$E48*'ES '!H$21,AND($C48="Hybrid-electric bus",$D48="Almost empty"),$E48*'ES '!H$11,AND($C48="Hybrid-electric bus",$D48="Average"),$E48*'ES '!H$12,AND($C48="Hybrid-electric bus",$D48="Nearly full"),$E48*'ES '!H$13,AND($C48="Alternative fuel bus",$D48="Almost empty"),$E48*'ES '!H$15,AND($C48="Alternative fuel bus",$D48="Average"),$E48*'ES '!H$16,AND($C48="Alternative fuel bus",$D48="Nearly full"),$E48*'ES '!H$17,AND($C48="Metro, tram, urban light train",$D48="Almost empty"),$E48*'ES '!C$35,AND($C48="Metro, tram, urban light train",$D48="Average"),$E48*'ES '!C$36,AND($C48="Metro, tram, urban light train",$D48="Nearly full"),$E48*'ES '!C$37,AND($C48="Electric passenger train",$D48="Almost empty"),$E48*'ES '!C$39,AND($C48="Electric passenger train",$D48="Average"),$E48*'ES '!C$40,AND($C48="Electric passenger train",$D48="Nearly full"),$E48*'ES '!C$41,AND($C48="Diesel passenger train",$D48="Almost empty"),$E48*'ES '!C$47,AND($C48="Diesel passenger train",$D48="Average"),$E48*'ES '!C$48,AND($C48="Diesel passenger train",$D48="Nearly full"),$E48*'ES '!C$49,AND($C48="Walking"),$E48*0,AND($C48="Bike"),$E48*0,AND($C48="Plane - domestic flight"),$E48*'ES '!$C72,AND($C48="Plane - international - intra EU"),$E48*'ES '!$C74,AND($C48="Plane - international (extra EU)"),$E48*'ES '!$C76)</f>
        <v>#N/A</v>
      </c>
      <c r="G48" s="31" t="e" cm="1">
        <f t="array" ref="G48">_xlfn.IFS(AND($C48="Fuel car",$D48=1),$E48*'ES '!D$7,AND($C48="Fuel car",$D48=2),$E48*'ES '!D$8,AND($C48="Fuel car",$D48=3),$E48*'ES '!D$9,AND($C48="Fuel car",$D48=4),$E48*'ES '!D$10,AND($C48="Fuel car",$D48=5),$E48*'ES '!D$11,AND($C48="Motorcycle",$D48=1),$E48*'ES '!D$13,AND($C48="Motorcycle",$D48=2),$E48*'ES '!D$14,AND($C48="Electric car",$D48=1),$E48*'ES '!D$16,AND($C48="Electric car",$D48=2),$E48*'ES '!D$17,AND($C48="Electric car",$D48=3),$E48*'ES '!D$18,AND($C48="Electric car",$D48=4),$E48*'ES '!D$19,AND($C48="Electric car",$D48=5),$E48*'ES '!D$20,AND($C48="Hybrid car",$D48=1),$E48*'ES '!D$22,AND($C48="Hybrid car",$D48=2),$E48*'ES '!D$23,AND($C48="Hybrid car",$D48=3),$E48*'ES '!D$24,AND($C48="Hybrid car",$D48=4),$E48*'ES '!D$25,AND($C48="Hybrid car",$D48=5),$E48*'ES '!D$26,AND($C48="Electric motorcycle",$D48=1),$E48*'ES '!D$28,AND($C48="Electric motorcycle",$D48=2),$E48*'ES '!D$29,AND($C48="Electric bike",$D48=1),$E48*'ES '!D$31,AND($C48="Electric scooter",$D48=1),$E48*'ES '!D$33,AND($C48="Bus",$D48="Almost empty"),$E48*'ES '!I$23,AND($C48="Bus",$D48="Average"),$E48*'ES '!I$24,AND($C48="Bus",$D48="Nearly full"),$E48*'ES '!I$25,AND($C48="Electric bus",$D48="Almost empty"),$E48*'ES '!I$7,AND($C48="Electric bus",$D48="Average"),$E48*'ES '!I$8,AND($C48="Electric bus",$D48="Nearly full"),$E48*'ES '!I$9,AND($C48="Diesel bus",$D48="Almost empty"),$E48*'ES '!I$19,AND($C48="Diesel bus",$D48="Average"),$E48*'ES '!I$20,AND($C48="Diesel bus",$D48="Nearly full"),$E48*'ES '!I$21,AND($C48="Hybrid-electric bus",$D48="Almost empty"),$E48*'ES '!I$11,AND($C48="Hybrid-electric bus",$D48="Average"),$E48*'ES '!I$12,AND($C48="Hybrid-electric bus",$D48="Nearly full"),$E48*'ES '!I$13,AND($C48="Alternative fuel bus",$D48="Almost empty"),$E48*'ES '!I$15,AND($C48="Alternative fuel bus",$D48="Average"),$E48*'ES '!I$16,AND($C48="Alternative fuel bus",$D48="Nearly full"),$E48*'ES '!I$17,AND($C48="Metro, tram, urban light train",$D48="Almost empty"),$E48*'ES '!D$35,AND($C48="Metro, tram, urban light train",$D48="Average"),$E48*'ES '!D$36,AND($C48="Metro, tram, urban light train",$D48="Nearly full"),$E48*'ES '!D$37,AND($C48="Electric passenger train",$D48="Almost empty"),$E48*'ES '!D$39,AND($C48="Electric passenger train",$D48="Average"),$E48*'ES '!D$40,AND($C48="Electric passenger train",$D48="Nearly full"),$E48*'ES '!D$41,AND($C48="Diesel passenger train",$D48="Almost empty"),$E48*'ES '!D$47,AND($C48="Diesel passenger train",$D48="Average"),$E48*'ES '!D$48,AND($C48="Diesel passenger train",$D48="Nearly full"),$E48*'ES '!D$49,AND($C48="Walking"),$E48*0,AND($C48="Bike"),$E48*0,AND($C48="Plane - domestic flight"),$E48*'ES '!$C72,AND($C48="Plane - international - intra EU"),$E48*'ES '!$C74,AND($C48="Plane - international (extra EU)"),$E48*'ES '!$C76)</f>
        <v>#N/A</v>
      </c>
      <c r="H48" s="196" t="s">
        <v>67</v>
      </c>
      <c r="I48" s="197"/>
      <c r="L48" s="249"/>
      <c r="M48" s="250"/>
      <c r="N48" s="251"/>
    </row>
    <row r="49" spans="1:14" x14ac:dyDescent="0.2">
      <c r="A49" s="222"/>
      <c r="B49" s="30"/>
      <c r="C49" s="15"/>
      <c r="D49" s="15"/>
      <c r="E49" s="125"/>
      <c r="F49" s="128" t="e" cm="1">
        <f t="array" ref="F49">_xlfn.IFS(AND($C49="Fuel car",$D49=1),$E49*'ES '!C$7,AND($C49="Fuel car",$D49=2),$E49*'ES '!C$8,AND($C49="Fuel car",$D49=3),$E49*'ES '!C$9,AND($C49="Fuel car",$D49=4),$E49*'ES '!C$10,AND($C49="Fuel car",$D49=5),$E49*'ES '!C$11,AND($C49="Motorcycle",$D49=1),$E49*'ES '!C$13,AND($C49="Motorcycle",$D49=2),$E49*'ES '!C$14,AND($C49="Electric car",$D49=1),$E49*'ES '!C$16,AND($C49="Electric car",$D49=2),$E49*'ES '!C$17,AND($C49="Electric car",$D49=3),$E49*'ES '!C$18,AND($C49="Electric car",$D49=4),$E49*'ES '!C$19,AND($C49="Electric car",$D49=5),$E49*'ES '!C$20,AND($C49="Hybrid car",$D49=1),$E49*'ES '!C$22,AND($C49="Hybrid car",$D49=2),$E49*'ES '!C$23,AND($C49="Hybrid car",$D49=3),$E49*'ES '!C$24,AND($C49="Hybrid car",$D49=4),$E49*'ES '!C$25,AND($C49="Hybrid car",$D49=5),$E49*'ES '!C$26,AND($C49="Electric motorcycle",$D49=1),$E49*'ES '!C$28,AND($C49="Electric motorcycle",$D49=2),$E49*'ES '!C$29,AND($C49="Electric bike",$D49=1),$E49*'ES '!C$31,AND($C49="Electric scooter",$D49=1),$E49*'ES '!C$33,AND($C49="Bus",$D49="Almost empty"),$E49*'ES '!H$23,AND($C49="Bus",$D49="Average"),$E49*'ES '!H$24,AND($C49="Bus",$D49="Nearly full"),$E49*'ES '!H$25,AND($C49="Electric bus",$D49="Almost empty"),$E49*'ES '!H$7,AND($C49="Electric bus",$D49="Average"),$E49*'ES '!H$8,AND($C49="Electric bus",$D49="Nearly full"),$E49*'ES '!H$9,AND($C49="Diesel bus",$D49="Almost empty"),$E49*'ES '!H$19,AND($C49="Diesel bus",$D49="Average"),$E49*'ES '!H$20,AND($C49="Diesel bus",$D49="Nearly full"),$E49*'ES '!H$21,AND($C49="Hybrid-electric bus",$D49="Almost empty"),$E49*'ES '!H$11,AND($C49="Hybrid-electric bus",$D49="Average"),$E49*'ES '!H$12,AND($C49="Hybrid-electric bus",$D49="Nearly full"),$E49*'ES '!H$13,AND($C49="Alternative fuel bus",$D49="Almost empty"),$E49*'ES '!H$15,AND($C49="Alternative fuel bus",$D49="Average"),$E49*'ES '!H$16,AND($C49="Alternative fuel bus",$D49="Nearly full"),$E49*'ES '!H$17,AND($C49="Metro, tram, urban light train",$D49="Almost empty"),$E49*'ES '!C$35,AND($C49="Metro, tram, urban light train",$D49="Average"),$E49*'ES '!C$36,AND($C49="Metro, tram, urban light train",$D49="Nearly full"),$E49*'ES '!C$37,AND($C49="Electric passenger train",$D49="Almost empty"),$E49*'ES '!C$39,AND($C49="Electric passenger train",$D49="Average"),$E49*'ES '!C$40,AND($C49="Electric passenger train",$D49="Nearly full"),$E49*'ES '!C$41,AND($C49="Diesel passenger train",$D49="Almost empty"),$E49*'ES '!C$47,AND($C49="Diesel passenger train",$D49="Average"),$E49*'ES '!C$48,AND($C49="Diesel passenger train",$D49="Nearly full"),$E49*'ES '!C$49,AND($C49="Walking"),$E49*0,AND($C49="Bike"),$E49*0,AND($C49="Plane - domestic flight"),$E49*'ES '!$C73,AND($C49="Plane - international - intra EU"),$E49*'ES '!$C75,AND($C49="Plane - international (extra EU)"),$E49*'ES '!$C77)</f>
        <v>#N/A</v>
      </c>
      <c r="G49" s="31" t="e" cm="1">
        <f t="array" ref="G49">_xlfn.IFS(AND($C49="Fuel car",$D49=1),$E49*'ES '!D$7,AND($C49="Fuel car",$D49=2),$E49*'ES '!D$8,AND($C49="Fuel car",$D49=3),$E49*'ES '!D$9,AND($C49="Fuel car",$D49=4),$E49*'ES '!D$10,AND($C49="Fuel car",$D49=5),$E49*'ES '!D$11,AND($C49="Motorcycle",$D49=1),$E49*'ES '!D$13,AND($C49="Motorcycle",$D49=2),$E49*'ES '!D$14,AND($C49="Electric car",$D49=1),$E49*'ES '!D$16,AND($C49="Electric car",$D49=2),$E49*'ES '!D$17,AND($C49="Electric car",$D49=3),$E49*'ES '!D$18,AND($C49="Electric car",$D49=4),$E49*'ES '!D$19,AND($C49="Electric car",$D49=5),$E49*'ES '!D$20,AND($C49="Hybrid car",$D49=1),$E49*'ES '!D$22,AND($C49="Hybrid car",$D49=2),$E49*'ES '!D$23,AND($C49="Hybrid car",$D49=3),$E49*'ES '!D$24,AND($C49="Hybrid car",$D49=4),$E49*'ES '!D$25,AND($C49="Hybrid car",$D49=5),$E49*'ES '!D$26,AND($C49="Electric motorcycle",$D49=1),$E49*'ES '!D$28,AND($C49="Electric motorcycle",$D49=2),$E49*'ES '!D$29,AND($C49="Electric bike",$D49=1),$E49*'ES '!D$31,AND($C49="Electric scooter",$D49=1),$E49*'ES '!D$33,AND($C49="Bus",$D49="Almost empty"),$E49*'ES '!I$23,AND($C49="Bus",$D49="Average"),$E49*'ES '!I$24,AND($C49="Bus",$D49="Nearly full"),$E49*'ES '!I$25,AND($C49="Electric bus",$D49="Almost empty"),$E49*'ES '!I$7,AND($C49="Electric bus",$D49="Average"),$E49*'ES '!I$8,AND($C49="Electric bus",$D49="Nearly full"),$E49*'ES '!I$9,AND($C49="Diesel bus",$D49="Almost empty"),$E49*'ES '!I$19,AND($C49="Diesel bus",$D49="Average"),$E49*'ES '!I$20,AND($C49="Diesel bus",$D49="Nearly full"),$E49*'ES '!I$21,AND($C49="Hybrid-electric bus",$D49="Almost empty"),$E49*'ES '!I$11,AND($C49="Hybrid-electric bus",$D49="Average"),$E49*'ES '!I$12,AND($C49="Hybrid-electric bus",$D49="Nearly full"),$E49*'ES '!I$13,AND($C49="Alternative fuel bus",$D49="Almost empty"),$E49*'ES '!I$15,AND($C49="Alternative fuel bus",$D49="Average"),$E49*'ES '!I$16,AND($C49="Alternative fuel bus",$D49="Nearly full"),$E49*'ES '!I$17,AND($C49="Metro, tram, urban light train",$D49="Almost empty"),$E49*'ES '!D$35,AND($C49="Metro, tram, urban light train",$D49="Average"),$E49*'ES '!D$36,AND($C49="Metro, tram, urban light train",$D49="Nearly full"),$E49*'ES '!D$37,AND($C49="Electric passenger train",$D49="Almost empty"),$E49*'ES '!D$39,AND($C49="Electric passenger train",$D49="Average"),$E49*'ES '!D$40,AND($C49="Electric passenger train",$D49="Nearly full"),$E49*'ES '!D$41,AND($C49="Diesel passenger train",$D49="Almost empty"),$E49*'ES '!D$47,AND($C49="Diesel passenger train",$D49="Average"),$E49*'ES '!D$48,AND($C49="Diesel passenger train",$D49="Nearly full"),$E49*'ES '!D$49,AND($C49="Walking"),$E49*0,AND($C49="Bike"),$E49*0,AND($C49="Plane - domestic flight"),$E49*'ES '!$C73,AND($C49="Plane - international - intra EU"),$E49*'ES '!$C75,AND($C49="Plane - international (extra EU)"),$E49*'ES '!$C77)</f>
        <v>#N/A</v>
      </c>
      <c r="H49" s="244" t="s">
        <v>74</v>
      </c>
      <c r="I49" s="141"/>
      <c r="L49" s="252"/>
      <c r="M49" s="253"/>
      <c r="N49" s="254"/>
    </row>
    <row r="50" spans="1:14" ht="16" thickBot="1" x14ac:dyDescent="0.25">
      <c r="A50" s="222"/>
      <c r="B50" s="51"/>
      <c r="C50" s="15"/>
      <c r="D50" s="15"/>
      <c r="E50" s="126"/>
      <c r="F50" s="128" t="e" cm="1">
        <f t="array" ref="F50">_xlfn.IFS(AND($C50="Fuel car",$D50=1),$E50*'ES '!C$7,AND($C50="Fuel car",$D50=2),$E50*'ES '!C$8,AND($C50="Fuel car",$D50=3),$E50*'ES '!C$9,AND($C50="Fuel car",$D50=4),$E50*'ES '!C$10,AND($C50="Fuel car",$D50=5),$E50*'ES '!C$11,AND($C50="Motorcycle",$D50=1),$E50*'ES '!C$13,AND($C50="Motorcycle",$D50=2),$E50*'ES '!C$14,AND($C50="Electric car",$D50=1),$E50*'ES '!C$16,AND($C50="Electric car",$D50=2),$E50*'ES '!C$17,AND($C50="Electric car",$D50=3),$E50*'ES '!C$18,AND($C50="Electric car",$D50=4),$E50*'ES '!C$19,AND($C50="Electric car",$D50=5),$E50*'ES '!C$20,AND($C50="Hybrid car",$D50=1),$E50*'ES '!C$22,AND($C50="Hybrid car",$D50=2),$E50*'ES '!C$23,AND($C50="Hybrid car",$D50=3),$E50*'ES '!C$24,AND($C50="Hybrid car",$D50=4),$E50*'ES '!C$25,AND($C50="Hybrid car",$D50=5),$E50*'ES '!C$26,AND($C50="Electric motorcycle",$D50=1),$E50*'ES '!C$28,AND($C50="Electric motorcycle",$D50=2),$E50*'ES '!C$29,AND($C50="Electric bike",$D50=1),$E50*'ES '!C$31,AND($C50="Electric scooter",$D50=1),$E50*'ES '!C$33,AND($C50="Bus",$D50="Almost empty"),$E50*'ES '!H$23,AND($C50="Bus",$D50="Average"),$E50*'ES '!H$24,AND($C50="Bus",$D50="Nearly full"),$E50*'ES '!H$25,AND($C50="Electric bus",$D50="Almost empty"),$E50*'ES '!H$7,AND($C50="Electric bus",$D50="Average"),$E50*'ES '!H$8,AND($C50="Electric bus",$D50="Nearly full"),$E50*'ES '!H$9,AND($C50="Diesel bus",$D50="Almost empty"),$E50*'ES '!H$19,AND($C50="Diesel bus",$D50="Average"),$E50*'ES '!H$20,AND($C50="Diesel bus",$D50="Nearly full"),$E50*'ES '!H$21,AND($C50="Hybrid-electric bus",$D50="Almost empty"),$E50*'ES '!H$11,AND($C50="Hybrid-electric bus",$D50="Average"),$E50*'ES '!H$12,AND($C50="Hybrid-electric bus",$D50="Nearly full"),$E50*'ES '!H$13,AND($C50="Alternative fuel bus",$D50="Almost empty"),$E50*'ES '!H$15,AND($C50="Alternative fuel bus",$D50="Average"),$E50*'ES '!H$16,AND($C50="Alternative fuel bus",$D50="Nearly full"),$E50*'ES '!H$17,AND($C50="Metro, tram, urban light train",$D50="Almost empty"),$E50*'ES '!C$35,AND($C50="Metro, tram, urban light train",$D50="Average"),$E50*'ES '!C$36,AND($C50="Metro, tram, urban light train",$D50="Nearly full"),$E50*'ES '!C$37,AND($C50="Electric passenger train",$D50="Almost empty"),$E50*'ES '!C$39,AND($C50="Electric passenger train",$D50="Average"),$E50*'ES '!C$40,AND($C50="Electric passenger train",$D50="Nearly full"),$E50*'ES '!C$41,AND($C50="Diesel passenger train",$D50="Almost empty"),$E50*'ES '!C$47,AND($C50="Diesel passenger train",$D50="Average"),$E50*'ES '!C$48,AND($C50="Diesel passenger train",$D50="Nearly full"),$E50*'ES '!C$49,AND($C50="Walking"),$E50*0,AND($C50="Bike"),$E50*0,AND($C50="Plane - domestic flight"),$E50*'ES '!$C74,AND($C50="Plane - international - intra EU"),$E50*'ES '!$C76,AND($C50="Plane - international (extra EU)"),$E50*'ES '!$C78)</f>
        <v>#N/A</v>
      </c>
      <c r="G50" s="31" t="e" cm="1">
        <f t="array" ref="G50">_xlfn.IFS(AND($C50="Fuel car",$D50=1),$E50*'ES '!D$7,AND($C50="Fuel car",$D50=2),$E50*'ES '!D$8,AND($C50="Fuel car",$D50=3),$E50*'ES '!D$9,AND($C50="Fuel car",$D50=4),$E50*'ES '!D$10,AND($C50="Fuel car",$D50=5),$E50*'ES '!D$11,AND($C50="Motorcycle",$D50=1),$E50*'ES '!D$13,AND($C50="Motorcycle",$D50=2),$E50*'ES '!D$14,AND($C50="Electric car",$D50=1),$E50*'ES '!D$16,AND($C50="Electric car",$D50=2),$E50*'ES '!D$17,AND($C50="Electric car",$D50=3),$E50*'ES '!D$18,AND($C50="Electric car",$D50=4),$E50*'ES '!D$19,AND($C50="Electric car",$D50=5),$E50*'ES '!D$20,AND($C50="Hybrid car",$D50=1),$E50*'ES '!D$22,AND($C50="Hybrid car",$D50=2),$E50*'ES '!D$23,AND($C50="Hybrid car",$D50=3),$E50*'ES '!D$24,AND($C50="Hybrid car",$D50=4),$E50*'ES '!D$25,AND($C50="Hybrid car",$D50=5),$E50*'ES '!D$26,AND($C50="Electric motorcycle",$D50=1),$E50*'ES '!D$28,AND($C50="Electric motorcycle",$D50=2),$E50*'ES '!D$29,AND($C50="Electric bike",$D50=1),$E50*'ES '!D$31,AND($C50="Electric scooter",$D50=1),$E50*'ES '!D$33,AND($C50="Bus",$D50="Almost empty"),$E50*'ES '!I$23,AND($C50="Bus",$D50="Average"),$E50*'ES '!I$24,AND($C50="Bus",$D50="Nearly full"),$E50*'ES '!I$25,AND($C50="Electric bus",$D50="Almost empty"),$E50*'ES '!I$7,AND($C50="Electric bus",$D50="Average"),$E50*'ES '!I$8,AND($C50="Electric bus",$D50="Nearly full"),$E50*'ES '!I$9,AND($C50="Diesel bus",$D50="Almost empty"),$E50*'ES '!I$19,AND($C50="Diesel bus",$D50="Average"),$E50*'ES '!I$20,AND($C50="Diesel bus",$D50="Nearly full"),$E50*'ES '!I$21,AND($C50="Hybrid-electric bus",$D50="Almost empty"),$E50*'ES '!I$11,AND($C50="Hybrid-electric bus",$D50="Average"),$E50*'ES '!I$12,AND($C50="Hybrid-electric bus",$D50="Nearly full"),$E50*'ES '!I$13,AND($C50="Alternative fuel bus",$D50="Almost empty"),$E50*'ES '!I$15,AND($C50="Alternative fuel bus",$D50="Average"),$E50*'ES '!I$16,AND($C50="Alternative fuel bus",$D50="Nearly full"),$E50*'ES '!I$17,AND($C50="Metro, tram, urban light train",$D50="Almost empty"),$E50*'ES '!D$35,AND($C50="Metro, tram, urban light train",$D50="Average"),$E50*'ES '!D$36,AND($C50="Metro, tram, urban light train",$D50="Nearly full"),$E50*'ES '!D$37,AND($C50="Electric passenger train",$D50="Almost empty"),$E50*'ES '!D$39,AND($C50="Electric passenger train",$D50="Average"),$E50*'ES '!D$40,AND($C50="Electric passenger train",$D50="Nearly full"),$E50*'ES '!D$41,AND($C50="Diesel passenger train",$D50="Almost empty"),$E50*'ES '!D$47,AND($C50="Diesel passenger train",$D50="Average"),$E50*'ES '!D$48,AND($C50="Diesel passenger train",$D50="Nearly full"),$E50*'ES '!D$49,AND($C50="Walking"),$E50*0,AND($C50="Bike"),$E50*0,AND($C50="Plane - domestic flight"),$E50*'ES '!$C74,AND($C50="Plane - international - intra EU"),$E50*'ES '!$C76,AND($C50="Plane - international (extra EU)"),$E50*'ES '!$C78)</f>
        <v>#N/A</v>
      </c>
      <c r="H50" s="245"/>
      <c r="I50" s="142"/>
      <c r="L50" s="252"/>
      <c r="M50" s="253"/>
      <c r="N50" s="254"/>
    </row>
    <row r="51" spans="1:14" ht="33" thickBot="1" x14ac:dyDescent="0.25">
      <c r="A51" s="222"/>
      <c r="B51" s="53"/>
      <c r="C51" s="32"/>
      <c r="D51" s="34"/>
      <c r="E51" s="113"/>
      <c r="F51" s="129" t="e" cm="1">
        <f t="array" ref="F51">_xlfn.IFS(AND($C51="Fuel car",$D51=1),$E51*'ES '!C$7,AND($C51="Fuel car",$D51=2),$E51*'ES '!C$8,AND($C51="Fuel car",$D51=3),$E51*'ES '!C$9,AND($C51="Fuel car",$D51=4),$E51*'ES '!C$10,AND($C51="Fuel car",$D51=5),$E51*'ES '!C$11,AND($C51="Motorcycle",$D51=1),$E51*'ES '!C$13,AND($C51="Motorcycle",$D51=2),$E51*'ES '!C$14,AND($C51="Electric car",$D51=1),$E51*'ES '!C$16,AND($C51="Electric car",$D51=2),$E51*'ES '!C$17,AND($C51="Electric car",$D51=3),$E51*'ES '!C$18,AND($C51="Electric car",$D51=4),$E51*'ES '!C$19,AND($C51="Electric car",$D51=5),$E51*'ES '!C$20,AND($C51="Hybrid car",$D51=1),$E51*'ES '!C$22,AND($C51="Hybrid car",$D51=2),$E51*'ES '!C$23,AND($C51="Hybrid car",$D51=3),$E51*'ES '!C$24,AND($C51="Hybrid car",$D51=4),$E51*'ES '!C$25,AND($C51="Hybrid car",$D51=5),$E51*'ES '!C$26,AND($C51="Electric motorcycle",$D51=1),$E51*'ES '!C$28,AND($C51="Electric motorcycle",$D51=2),$E51*'ES '!C$29,AND($C51="Electric bike",$D51=1),$E51*'ES '!C$31,AND($C51="Electric scooter",$D51=1),$E51*'ES '!C$33,AND($C51="Bus",$D51="Almost empty"),$E51*'ES '!H$23,AND($C51="Bus",$D51="Average"),$E51*'ES '!H$24,AND($C51="Bus",$D51="Nearly full"),$E51*'ES '!H$25,AND($C51="Electric bus",$D51="Almost empty"),$E51*'ES '!H$7,AND($C51="Electric bus",$D51="Average"),$E51*'ES '!H$8,AND($C51="Electric bus",$D51="Nearly full"),$E51*'ES '!H$9,AND($C51="Diesel bus",$D51="Almost empty"),$E51*'ES '!H$19,AND($C51="Diesel bus",$D51="Average"),$E51*'ES '!H$20,AND($C51="Diesel bus",$D51="Nearly full"),$E51*'ES '!H$21,AND($C51="Hybrid-electric bus",$D51="Almost empty"),$E51*'ES '!H$11,AND($C51="Hybrid-electric bus",$D51="Average"),$E51*'ES '!H$12,AND($C51="Hybrid-electric bus",$D51="Nearly full"),$E51*'ES '!H$13,AND($C51="Alternative fuel bus",$D51="Almost empty"),$E51*'ES '!H$15,AND($C51="Alternative fuel bus",$D51="Average"),$E51*'ES '!H$16,AND($C51="Alternative fuel bus",$D51="Nearly full"),$E51*'ES '!H$17,AND($C51="Metro, tram, urban light train",$D51="Almost empty"),$E51*'ES '!C$35,AND($C51="Metro, tram, urban light train",$D51="Average"),$E51*'ES '!C$36,AND($C51="Metro, tram, urban light train",$D51="Nearly full"),$E51*'ES '!C$37,AND($C51="Electric passenger train",$D51="Almost empty"),$E51*'ES '!C$39,AND($C51="Electric passenger train",$D51="Average"),$E51*'ES '!C$40,AND($C51="Electric passenger train",$D51="Nearly full"),$E51*'ES '!C$41,AND($C51="Diesel passenger train",$D51="Almost empty"),$E51*'ES '!C$47,AND($C51="Diesel passenger train",$D51="Average"),$E51*'ES '!C$48,AND($C51="Diesel passenger train",$D51="Nearly full"),$E51*'ES '!C$49,AND($C51="Walking"),$E51*0,AND($C51="Bike"),$E51*0,AND($C51="Plane - domestic flight"),$E51*'ES '!$C75,AND($C51="Plane - international - intra EU"),$E51*'ES '!$C77,AND($C51="Plane - international (extra EU)"),$E51*'ES '!$C79)</f>
        <v>#N/A</v>
      </c>
      <c r="G51" s="35" t="e" cm="1">
        <f t="array" ref="G51">_xlfn.IFS(AND($C51="Fuel car",$D51=1),$E51*'ES '!D$7,AND($C51="Fuel car",$D51=2),$E51*'ES '!D$8,AND($C51="Fuel car",$D51=3),$E51*'ES '!D$9,AND($C51="Fuel car",$D51=4),$E51*'ES '!D$10,AND($C51="Fuel car",$D51=5),$E51*'ES '!D$11,AND($C51="Motorcycle",$D51=1),$E51*'ES '!D$13,AND($C51="Motorcycle",$D51=2),$E51*'ES '!D$14,AND($C51="Electric car",$D51=1),$E51*'ES '!D$16,AND($C51="Electric car",$D51=2),$E51*'ES '!D$17,AND($C51="Electric car",$D51=3),$E51*'ES '!D$18,AND($C51="Electric car",$D51=4),$E51*'ES '!D$19,AND($C51="Electric car",$D51=5),$E51*'ES '!D$20,AND($C51="Hybrid car",$D51=1),$E51*'ES '!D$22,AND($C51="Hybrid car",$D51=2),$E51*'ES '!D$23,AND($C51="Hybrid car",$D51=3),$E51*'ES '!D$24,AND($C51="Hybrid car",$D51=4),$E51*'ES '!D$25,AND($C51="Hybrid car",$D51=5),$E51*'ES '!D$26,AND($C51="Electric motorcycle",$D51=1),$E51*'ES '!D$28,AND($C51="Electric motorcycle",$D51=2),$E51*'ES '!D$29,AND($C51="Electric bike",$D51=1),$E51*'ES '!D$31,AND($C51="Electric scooter",$D51=1),$E51*'ES '!D$33,AND($C51="Bus",$D51="Almost empty"),$E51*'ES '!I$23,AND($C51="Bus",$D51="Average"),$E51*'ES '!I$24,AND($C51="Bus",$D51="Nearly full"),$E51*'ES '!I$25,AND($C51="Electric bus",$D51="Almost empty"),$E51*'ES '!I$7,AND($C51="Electric bus",$D51="Average"),$E51*'ES '!I$8,AND($C51="Electric bus",$D51="Nearly full"),$E51*'ES '!I$9,AND($C51="Diesel bus",$D51="Almost empty"),$E51*'ES '!I$19,AND($C51="Diesel bus",$D51="Average"),$E51*'ES '!I$20,AND($C51="Diesel bus",$D51="Nearly full"),$E51*'ES '!I$21,AND($C51="Hybrid-electric bus",$D51="Almost empty"),$E51*'ES '!I$11,AND($C51="Hybrid-electric bus",$D51="Average"),$E51*'ES '!I$12,AND($C51="Hybrid-electric bus",$D51="Nearly full"),$E51*'ES '!I$13,AND($C51="Alternative fuel bus",$D51="Almost empty"),$E51*'ES '!I$15,AND($C51="Alternative fuel bus",$D51="Average"),$E51*'ES '!I$16,AND($C51="Alternative fuel bus",$D51="Nearly full"),$E51*'ES '!I$17,AND($C51="Metro, tram, urban light train",$D51="Almost empty"),$E51*'ES '!D$35,AND($C51="Metro, tram, urban light train",$D51="Average"),$E51*'ES '!D$36,AND($C51="Metro, tram, urban light train",$D51="Nearly full"),$E51*'ES '!D$37,AND($C51="Electric passenger train",$D51="Almost empty"),$E51*'ES '!D$39,AND($C51="Electric passenger train",$D51="Average"),$E51*'ES '!D$40,AND($C51="Electric passenger train",$D51="Nearly full"),$E51*'ES '!D$41,AND($C51="Diesel passenger train",$D51="Almost empty"),$E51*'ES '!D$47,AND($C51="Diesel passenger train",$D51="Average"),$E51*'ES '!D$48,AND($C51="Diesel passenger train",$D51="Nearly full"),$E51*'ES '!D$49,AND($C51="Walking"),$E51*0,AND($C51="Bike"),$E51*0,AND($C51="Plane - domestic flight"),$E51*'ES '!$C75,AND($C51="Plane - international - intra EU"),$E51*'ES '!$C77,AND($C51="Plane - international (extra EU)"),$E51*'ES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_xlfn.IFS(AND(D57&lt;='ES '!L4),"A+",AND(D57&lt;='ES '!M4,D57&gt;'ES '!L4),"A",AND(D57&lt;='ES '!N4,D57&gt;'ES '!M4),"B",AND(D57&lt;='ES '!O4,D57&gt;'ES '!N4),"C",AND(D57&lt;='ES '!P4,D57&gt;'ES '!O4),"D",AND(D57&lt;='ES '!Q4,D57&gt;'ES '!P4),"E",AND(D57&lt;='ES '!R4,D57&gt;'ES '!Q4),"F",AND(D57&gt;'ES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_xlfn.IFS(D58="#","#",AND(D58&lt;='ES '!L5),"A+",AND(D58&lt;='ES '!M5,D58&gt;'ES '!L5),"A",AND(D58&lt;='ES '!N5,D58&gt;'ES '!M5),"B",AND(D58&lt;='ES '!O5,D58&gt;'ES '!N5),"C",AND(D58&lt;='ES '!P5,D58&gt;'ES '!O5),"D",AND(D58&lt;='ES '!Q5,D58&gt;'ES '!P5),"E",AND(D58&lt;='ES '!R5,D58&gt;'ES '!Q5),"F",AND(D58&gt;'ES '!R5),"G")</f>
        <v>#</v>
      </c>
    </row>
    <row r="59" spans="1:14" ht="32" x14ac:dyDescent="0.2">
      <c r="A59" s="262"/>
      <c r="B59" s="264"/>
      <c r="C59" s="21" t="s">
        <v>88</v>
      </c>
      <c r="D59" s="47" t="e">
        <f>IF(ISNUMBER(D58), D57 + D58, D57)</f>
        <v>#DIV/0!</v>
      </c>
      <c r="E59" s="277"/>
      <c r="G59" s="264"/>
      <c r="H59" t="s">
        <v>88</v>
      </c>
      <c r="I59" s="56" t="e" cm="1">
        <f t="array" ref="I59">_xlfn.IFS(AND(D59&lt;='ES '!L6),"A+",AND(D59&lt;='ES '!M6,D59&gt;'ES '!L6),"A",AND(D59&lt;='ES '!N6,D59&gt;'ES '!M6),"B",AND(D59&lt;='ES '!O6,D59&gt;'ES '!N6),"C",AND(D59&lt;='ES '!P6,D59&gt;'ES '!O6),"D",AND(D59&lt;='ES '!Q6,D59&gt;'ES '!P6),"E",AND(D59&lt;='ES '!R6,D59&gt;'ES '!Q6),"F",AND(D59&gt;'ES '!R6),"G")</f>
        <v>#DIV/0!</v>
      </c>
    </row>
    <row r="60" spans="1:14" ht="16" x14ac:dyDescent="0.2">
      <c r="A60" s="262"/>
      <c r="B60" s="264"/>
      <c r="C60" s="21" t="s">
        <v>89</v>
      </c>
      <c r="D60" s="99">
        <f>I30</f>
        <v>0</v>
      </c>
      <c r="E60" s="277"/>
      <c r="G60" s="264"/>
      <c r="H60" t="s">
        <v>89</v>
      </c>
      <c r="I60" s="56" t="str" cm="1">
        <f t="array" ref="I60">_xlfn.IFS(AND(D60&lt;='ES '!L7),"A+",AND(D60&lt;='ES '!M7,D60&gt;'ES '!L7),"A",AND(D60&lt;='ES '!N7,D60&gt;'ES '!M7),"B",AND(D60&lt;='ES '!O7,D60&gt;'ES '!N7),"C",AND(D60&lt;='ES '!P7,D60&gt;'ES '!O7),"D",AND(D60&lt;='ES '!Q7,D60&gt;'ES '!P7),"E",AND(D60&lt;='ES '!R7,D60&gt;'ES '!Q7),"F",AND(D60&gt;'ES '!R7),"G")</f>
        <v>A+</v>
      </c>
    </row>
    <row r="61" spans="1:14" ht="16" thickBot="1" x14ac:dyDescent="0.25">
      <c r="A61" s="262"/>
      <c r="B61" s="265"/>
      <c r="C61" s="16" t="s">
        <v>57</v>
      </c>
      <c r="D61" s="58" t="e">
        <f>SUM(D59:D60)</f>
        <v>#DIV/0!</v>
      </c>
      <c r="E61" s="261"/>
      <c r="G61" s="265"/>
      <c r="H61" s="16" t="s">
        <v>57</v>
      </c>
      <c r="I61" s="1" t="e" cm="1">
        <f t="array" ref="I61">_xlfn.IFS(AND(D61&lt;='ES '!L8),"A+",AND(D61&lt;='ES '!M8,D61&gt;'ES '!L8),"A",AND(D61&lt;='ES '!N8,D61&gt;'ES '!M8),"B",AND(D61&lt;='ES '!O8,D61&gt;'ES '!N8),"C",AND(D61&lt;='ES '!P8,D61&gt;'ES '!O8),"D",AND(D61&lt;='ES '!Q8,D61&gt;'ES '!P8),"E",AND(D61&lt;='ES '!R8,D61&gt;'ES '!Q8),"F",AND(D61&gt;'ES '!R8),"G")</f>
        <v>#DIV/0!</v>
      </c>
    </row>
    <row r="62" spans="1:14" ht="32" x14ac:dyDescent="0.2">
      <c r="A62" s="262"/>
      <c r="B62" s="263" t="s">
        <v>90</v>
      </c>
      <c r="C62" s="57" t="s">
        <v>85</v>
      </c>
      <c r="D62" s="100" t="e">
        <f>I16</f>
        <v>#DIV/0!</v>
      </c>
      <c r="E62" s="266" t="s">
        <v>91</v>
      </c>
      <c r="G62" s="263" t="s">
        <v>90</v>
      </c>
      <c r="H62" s="46" t="s">
        <v>85</v>
      </c>
      <c r="I62" s="55" t="e" cm="1">
        <f t="array" ref="I62">_xlfn.IFS(AND(D62&lt;='ES '!L9),"A+",AND(D62&lt;='ES '!M9,D62&gt;'ES '!L9),"A",AND(D62&lt;='ES '!N9,D62&gt;'ES '!M9),"B",AND(D62&lt;='ES '!O9,D62&gt;'ES '!N9),"C",AND(D62&lt;='ES '!P9,D62&gt;'ES '!O9),"D",AND(D62&lt;='ES '!Q9,D62&gt;'ES '!P9),"E",AND(D62&lt;='ES '!R9,D62&gt;'ES '!Q9),"F",AND(D62&gt;'ES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_xlfn.IFS(D63="#","#",AND(D63&lt;='ES '!L10),"A+",AND(D63&lt;='ES '!M10,D63&gt;'ES '!L10),"A",AND(D63&lt;='ES '!N10,D63&gt;'ES '!M10),"B",AND(D63&lt;='ES '!O10,D63&gt;'ES '!N10),"C",AND(D63&lt;='ES '!P10,D63&gt;'ES '!O10),"D",AND(D63&lt;='ES '!Q10,D63&gt;'ES '!P10),"E",AND(D63&lt;='ES '!R10,D63&gt;'ES '!Q10),"F",AND(D63&gt;'ES '!R10),"G")</f>
        <v>#</v>
      </c>
    </row>
    <row r="64" spans="1:14" ht="32" x14ac:dyDescent="0.2">
      <c r="A64" s="262"/>
      <c r="B64" s="264"/>
      <c r="C64" s="21" t="s">
        <v>92</v>
      </c>
      <c r="D64" s="47" t="e">
        <f>IF(ISNUMBER(D63), D62 + D63, D62)</f>
        <v>#DIV/0!</v>
      </c>
      <c r="E64" s="202"/>
      <c r="G64" s="264"/>
      <c r="H64" t="s">
        <v>92</v>
      </c>
      <c r="I64" s="56" t="e" cm="1">
        <f t="array" ref="I64">_xlfn.IFS(AND(D64&lt;='ES '!L11),"A+",AND(D64&lt;='ES '!M11,D64&gt;'ES '!L11),"A",AND(D64&lt;='ES '!N11,D64&gt;'ES '!M11),"B",AND(D64&lt;='ES '!O11,D64&gt;'ES '!N11),"C",AND(D64&lt;='ES '!P11,D64&gt;'ES '!O11),"D",AND(D64&lt;='ES '!Q11,D64&gt;'ES '!P11),"E",AND(D64&lt;='ES '!R11,D64&gt;'ES '!Q11),"F",AND(D64&gt;'ES '!R11),"G")</f>
        <v>#DIV/0!</v>
      </c>
    </row>
    <row r="65" spans="1:9" x14ac:dyDescent="0.2">
      <c r="A65" s="262"/>
      <c r="B65" s="264"/>
      <c r="C65" t="s">
        <v>89</v>
      </c>
      <c r="D65" s="99">
        <f>I31</f>
        <v>0</v>
      </c>
      <c r="E65" s="202"/>
      <c r="G65" s="264"/>
      <c r="H65" t="s">
        <v>89</v>
      </c>
      <c r="I65" s="56" t="str" cm="1">
        <f t="array" ref="I65">_xlfn.IFS(AND(D65&lt;='ES '!L12),"A+",AND(D65&lt;='ES '!M12,D65&gt;'ES '!L12),"A",AND(D65&lt;='ES '!N12,D65&gt;'ES '!M12),"B",AND(D65&lt;='ES '!O12,D65&gt;'ES '!N12),"C",AND(D65&lt;='ES '!P12,D65&gt;'ES '!O12),"D",AND(D65&lt;='ES '!Q12,D65&gt;'ES '!P12),"E",AND(D65&lt;='ES '!R12,D65&gt;'ES '!Q12),"F",AND(D65&gt;'ES '!R12),"G")</f>
        <v>A+</v>
      </c>
    </row>
    <row r="66" spans="1:9" ht="16" thickBot="1" x14ac:dyDescent="0.25">
      <c r="A66" s="262"/>
      <c r="B66" s="265"/>
      <c r="C66" s="16" t="s">
        <v>57</v>
      </c>
      <c r="D66" s="16" t="e">
        <f>SUM(D64:D65)</f>
        <v>#DIV/0!</v>
      </c>
      <c r="E66" s="267"/>
      <c r="G66" s="265"/>
      <c r="H66" s="16" t="s">
        <v>57</v>
      </c>
      <c r="I66" s="1" t="e" cm="1">
        <f t="array" ref="I66">_xlfn.IFS(AND(D66&lt;='ES '!L13),"A+",AND(D66&lt;='ES '!M13,D66&gt;'ES '!L13),"A",AND(D66&lt;='ES '!N13,D66&gt;'ES '!M13),"B",AND(D66&lt;='ES '!O13,D66&gt;'ES '!N13),"C",AND(D66&lt;='ES '!P13,D66&gt;'ES '!O13),"D",AND(D66&lt;='ES '!Q13,D66&gt;'ES '!P13),"E",AND(D66&lt;='ES '!R13,D66&gt;'ES '!Q13),"F",AND(D66&gt;'ES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53" priority="9" operator="equal">
      <formula>"A+"</formula>
    </cfRule>
    <cfRule type="containsText" dxfId="152" priority="10" operator="containsText" text="A">
      <formula>NOT(ISERROR(SEARCH("A",I57)))</formula>
    </cfRule>
    <cfRule type="containsText" dxfId="151" priority="11" operator="containsText" text="B">
      <formula>NOT(ISERROR(SEARCH("B",I57)))</formula>
    </cfRule>
    <cfRule type="containsText" dxfId="150" priority="12" operator="containsText" text="C">
      <formula>NOT(ISERROR(SEARCH("C",I57)))</formula>
    </cfRule>
    <cfRule type="containsText" dxfId="149" priority="13" operator="containsText" text="D">
      <formula>NOT(ISERROR(SEARCH("D",I57)))</formula>
    </cfRule>
    <cfRule type="containsText" dxfId="148" priority="14" operator="containsText" text="E">
      <formula>NOT(ISERROR(SEARCH("E",I57)))</formula>
    </cfRule>
    <cfRule type="containsText" dxfId="147" priority="15" operator="containsText" text="F">
      <formula>NOT(ISERROR(SEARCH("F",I57)))</formula>
    </cfRule>
    <cfRule type="containsText" dxfId="146" priority="16" operator="containsText" text="G">
      <formula>NOT(ISERROR(SEARCH("G",I57)))</formula>
    </cfRule>
  </conditionalFormatting>
  <conditionalFormatting sqref="K5:K15">
    <cfRule type="expression" dxfId="53" priority="2" stopIfTrue="1">
      <formula>$O$19="No"</formula>
    </cfRule>
  </conditionalFormatting>
  <conditionalFormatting sqref="L5:L15">
    <cfRule type="expression" dxfId="52"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11800A0B-A659-224D-BAE3-E1E701344406}">
      <formula1>AND(Q19="Yes", ISNUMBER(L5))</formula1>
    </dataValidation>
    <dataValidation type="custom" operator="lessThan" allowBlank="1" showErrorMessage="1" errorTitle="Error" error="You can only enter values if you have selected HOME PV. The value must be a number." sqref="K5:K15" xr:uid="{776EB428-56A1-FA4A-A639-1F9D45496D7B}">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27625EF3-A224-4B1C-B6A6-62B629F37696}">
          <x14:formula1>
            <xm:f>DATA!$J$3:$J$10</xm:f>
          </x14:formula1>
          <xm:sqref>D29:D51</xm:sqref>
        </x14:dataValidation>
        <x14:dataValidation type="list" allowBlank="1" showInputMessage="1" showErrorMessage="1" xr:uid="{F7318F3F-A3F9-864F-AC60-58C82EBACEA1}">
          <x14:formula1>
            <xm:f>DATA!$B$15:$B$23</xm:f>
          </x14:formula1>
          <xm:sqref>J2</xm:sqref>
        </x14:dataValidation>
        <x14:dataValidation type="list" allowBlank="1" showInputMessage="1" showErrorMessage="1" xr:uid="{1BB5C7DF-02EA-4900-A7AD-F3A38A38D7CE}">
          <x14:formula1>
            <xm:f>DATA!$H$3:$H$23</xm:f>
          </x14:formula1>
          <xm:sqref>C29:C51</xm:sqref>
        </x14:dataValidation>
        <x14:dataValidation type="list" allowBlank="1" showInputMessage="1" showErrorMessage="1" xr:uid="{958DB3E2-2663-C547-8C21-190753D0FAD2}">
          <x14:formula1>
            <xm:f>DATA!$B$3:$B$13</xm:f>
          </x14:formula1>
          <xm:sqref>H2</xm:sqref>
        </x14:dataValidation>
        <x14:dataValidation type="list" allowBlank="1" showInputMessage="1" showErrorMessage="1" xr:uid="{44081DF8-0601-164F-9513-89A26A9F263A}">
          <x14:formula1>
            <xm:f>DATA!$L$4:$L$5</xm:f>
          </x14:formula1>
          <xm:sqref>O18:O19 Q19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4018B-83C5-42E6-85D9-E1C86D500531}">
  <dimension ref="A1:Q66"/>
  <sheetViews>
    <sheetView zoomScale="80" zoomScaleNormal="80" workbookViewId="0">
      <selection activeCell="I6" sqref="I5:I15"/>
    </sheetView>
  </sheetViews>
  <sheetFormatPr baseColWidth="10" defaultColWidth="11.5" defaultRowHeight="15" x14ac:dyDescent="0.2"/>
  <cols>
    <col min="1" max="1" width="6.5" customWidth="1"/>
    <col min="4" max="4" width="16.83203125" customWidth="1"/>
    <col min="5" max="5" width="18.5" customWidth="1"/>
    <col min="6" max="6" width="18.332031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119</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f>C5-B5</f>
        <v>0</v>
      </c>
      <c r="E5" s="15"/>
      <c r="F5" s="15"/>
      <c r="G5" s="25" t="e">
        <f>(E5+IF(ISBLANK(K5),0,K5)-IF(ISBLANK(L5),0,L5))/$F$2</f>
        <v>#DIV/0!</v>
      </c>
      <c r="H5" s="25" t="e">
        <f>F5/$F$2</f>
        <v>#DIV/0!</v>
      </c>
      <c r="I5" s="25" t="e">
        <f>IF($O$18="Yes",(E5/$F$2)*DATA!$C$9,(E5/$F$2)*DATA!F30)+IF(ISBLANK(K5),0,K5/$F$2)*DATA!$C$9-IF(ISBLANK(L5),0,L5/$F$2)*DATA!F$30</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f t="shared" ref="D6:D15" si="0">C6-B6</f>
        <v>0</v>
      </c>
      <c r="E6" s="15"/>
      <c r="F6" s="15"/>
      <c r="G6" s="25" t="e">
        <f t="shared" ref="G6:G15" si="1">(E6+IF(ISBLANK(K6),0,K6)-IF(ISBLANK(L6),0,L6))/$F$2</f>
        <v>#DIV/0!</v>
      </c>
      <c r="H6" s="25" t="e">
        <f t="shared" ref="H6:H15" si="2">F6/$F$2</f>
        <v>#DIV/0!</v>
      </c>
      <c r="I6" s="25" t="e">
        <f>IF($O$18="Yes",(E6/$F$2)*DATA!$C$9,(E6/$F$2)*DATA!F31)+IF(ISBLANK(K6),0,K6/$F$2)*DATA!$C$9-IF(ISBLANK(L6),0,L6/$F$2)*IF($O$18="Yes",DATA!$C$9,DATA!F$30)</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f t="shared" si="0"/>
        <v>0</v>
      </c>
      <c r="E7" s="15"/>
      <c r="F7" s="15"/>
      <c r="G7" s="25" t="e">
        <f t="shared" si="1"/>
        <v>#DIV/0!</v>
      </c>
      <c r="H7" s="25" t="e">
        <f t="shared" si="2"/>
        <v>#DIV/0!</v>
      </c>
      <c r="I7" s="25" t="e">
        <f>IF($O$18="Yes",(E7/$F$2)*DATA!$C$9,(E7/$F$2)*DATA!F32)+IF(ISBLANK(K7),0,K7/$F$2)*DATA!$C$9-IF(ISBLANK(L7),0,L7/$F$2)*IF($O$18="Yes",DATA!$C$9,DATA!F$30)</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f t="shared" si="0"/>
        <v>0</v>
      </c>
      <c r="E8" s="15"/>
      <c r="F8" s="15"/>
      <c r="G8" s="25" t="e">
        <f t="shared" si="1"/>
        <v>#DIV/0!</v>
      </c>
      <c r="H8" s="25" t="e">
        <f t="shared" si="2"/>
        <v>#DIV/0!</v>
      </c>
      <c r="I8" s="25" t="e">
        <f>IF($O$18="Yes",(E8/$F$2)*DATA!$C$9,(E8/$F$2)*DATA!F33)+IF(ISBLANK(K8),0,K8/$F$2)*DATA!$C$9-IF(ISBLANK(L8),0,L8/$F$2)*IF($O$18="Yes",DATA!$C$9,DATA!F$30)</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f t="shared" si="0"/>
        <v>0</v>
      </c>
      <c r="E9" s="15"/>
      <c r="F9" s="15"/>
      <c r="G9" s="25" t="e">
        <f t="shared" si="1"/>
        <v>#DIV/0!</v>
      </c>
      <c r="H9" s="25" t="e">
        <f t="shared" si="2"/>
        <v>#DIV/0!</v>
      </c>
      <c r="I9" s="25" t="e">
        <f>IF($O$18="Yes",(E9/$F$2)*DATA!$C$9,(E9/$F$2)*DATA!F34)+IF(ISBLANK(K9),0,K9/$F$2)*DATA!$C$9-IF(ISBLANK(L9),0,L9/$F$2)*IF($O$18="Yes",DATA!$C$9,DATA!F$30)</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20" customHeight="1" x14ac:dyDescent="0.2">
      <c r="A10" s="221"/>
      <c r="B10" s="24"/>
      <c r="C10" s="13"/>
      <c r="D10" s="14">
        <f t="shared" si="0"/>
        <v>0</v>
      </c>
      <c r="E10" s="15"/>
      <c r="F10" s="15"/>
      <c r="G10" s="25" t="e">
        <f t="shared" si="1"/>
        <v>#DIV/0!</v>
      </c>
      <c r="H10" s="25" t="e">
        <f t="shared" si="2"/>
        <v>#DIV/0!</v>
      </c>
      <c r="I10" s="25" t="e">
        <f>IF($O$18="Yes",(E10/$F$2)*DATA!$C$9,(E10/$F$2)*DATA!F35)+IF(ISBLANK(K10),0,K10/$F$2)*DATA!$C$9-IF(ISBLANK(L10),0,L10/$F$2)*IF($O$18="Yes",DATA!$C$9,DATA!F$30)</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f t="shared" si="0"/>
        <v>0</v>
      </c>
      <c r="E11" s="15"/>
      <c r="F11" s="15"/>
      <c r="G11" s="25" t="e">
        <f t="shared" si="1"/>
        <v>#DIV/0!</v>
      </c>
      <c r="H11" s="25" t="e">
        <f t="shared" si="2"/>
        <v>#DIV/0!</v>
      </c>
      <c r="I11" s="25" t="e">
        <f>IF($O$18="Yes",(E11/$F$2)*DATA!$C$9,(E11/$F$2)*DATA!F36)+IF(ISBLANK(K11),0,K11/$F$2)*DATA!$C$9-IF(ISBLANK(L11),0,L11/$F$2)*IF($O$18="Yes",DATA!$C$9,DATA!F$30)</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17" thickBot="1" x14ac:dyDescent="0.25">
      <c r="A12" s="221"/>
      <c r="B12" s="24"/>
      <c r="C12" s="13"/>
      <c r="D12" s="14">
        <f t="shared" si="0"/>
        <v>0</v>
      </c>
      <c r="E12" s="15"/>
      <c r="F12" s="15"/>
      <c r="G12" s="25" t="e">
        <f t="shared" si="1"/>
        <v>#DIV/0!</v>
      </c>
      <c r="H12" s="25" t="e">
        <f t="shared" si="2"/>
        <v>#DIV/0!</v>
      </c>
      <c r="I12" s="25" t="e">
        <f>IF($O$18="Yes",(E12/$F$2)*DATA!$C$9,(E12/$F$2)*DATA!F37)+IF(ISBLANK(K12),0,K12/$F$2)*DATA!$C$9-IF(ISBLANK(L12),0,L12/$F$2)*IF($O$18="Yes",DATA!$C$9,DATA!F$30)</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f t="shared" si="0"/>
        <v>0</v>
      </c>
      <c r="E13" s="15"/>
      <c r="F13" s="15"/>
      <c r="G13" s="25" t="e">
        <f t="shared" si="1"/>
        <v>#DIV/0!</v>
      </c>
      <c r="H13" s="25" t="e">
        <f t="shared" si="2"/>
        <v>#DIV/0!</v>
      </c>
      <c r="I13" s="25" t="e">
        <f>IF($O$18="Yes",(E13/$F$2)*DATA!$C$9,(E13/$F$2)*DATA!F38)+IF(ISBLANK(K13),0,K13/$F$2)*DATA!$C$9-IF(ISBLANK(L13),0,L13/$F$2)*IF($O$18="Yes",DATA!$C$9,DATA!F$30)</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f t="shared" si="0"/>
        <v>0</v>
      </c>
      <c r="E14" s="15"/>
      <c r="F14" s="15"/>
      <c r="G14" s="25" t="e">
        <f t="shared" si="1"/>
        <v>#DIV/0!</v>
      </c>
      <c r="H14" s="25" t="e">
        <f t="shared" si="2"/>
        <v>#DIV/0!</v>
      </c>
      <c r="I14" s="25" t="e">
        <f>IF($O$18="Yes",(E14/$F$2)*DATA!$C$9,(E14/$F$2)*DATA!F39)+IF(ISBLANK(K14),0,K14/$F$2)*DATA!$C$9-IF(ISBLANK(L14),0,L14/$F$2)*IF($O$18="Yes",DATA!$C$9,DATA!F$30)</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f t="shared" si="0"/>
        <v>0</v>
      </c>
      <c r="E15" s="15"/>
      <c r="F15" s="15"/>
      <c r="G15" s="25" t="e">
        <f t="shared" si="1"/>
        <v>#DIV/0!</v>
      </c>
      <c r="H15" s="25" t="e">
        <f t="shared" si="2"/>
        <v>#DIV/0!</v>
      </c>
      <c r="I15" s="25" t="e">
        <f>IF($O$18="Yes",(E15/$F$2)*DATA!$C$9,(E15/$F$2)*DATA!F40)+IF(ISBLANK(K15),0,K15/$F$2)*DATA!$C$9-IF(ISBLANK(L15),0,L15/$F$2)*IF($O$18="Yes",DATA!$C$9,DATA!F$30)</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f>SUM(D5:D11)</f>
        <v>0</v>
      </c>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60</v>
      </c>
      <c r="C19" s="133" t="s">
        <v>61</v>
      </c>
      <c r="D19" s="133" t="s">
        <v>62</v>
      </c>
      <c r="E19" s="133" t="s">
        <v>262</v>
      </c>
      <c r="F19" s="133" t="s">
        <v>265</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 si="3">H21/$F$2</f>
        <v>#N/A</v>
      </c>
      <c r="J21" s="110" t="e" cm="1">
        <f t="array" ref="J21">_xlfn.IFS(B21&gt;0,I21*DATA!$C$3,C21&gt;0,I21*DATA!$C$6,I21&gt;0,D21*DATA!$C$12,E21&gt;0,DATA!$C$13,F21&gt;0,F21*DATA!$C$5)</f>
        <v>#N/A</v>
      </c>
      <c r="K21" s="319"/>
      <c r="L21" s="319"/>
    </row>
    <row r="22" spans="1:17" ht="16" x14ac:dyDescent="0.2">
      <c r="B22" s="108"/>
      <c r="C22" s="106"/>
      <c r="D22" s="106"/>
      <c r="E22" s="106"/>
      <c r="F22" s="106"/>
      <c r="G22" s="112"/>
      <c r="H22" s="62" t="e" cm="1">
        <f t="array" ref="H22">_xlfn.IFS(B22&gt;0,B22*1.015,C22&gt;0,C22*4.8,D22&gt;0,D22*5.3,E22&gt;0,E22*12.44,F22&gt;0,F22*0.066)</f>
        <v>#N/A</v>
      </c>
      <c r="I22" t="e">
        <f t="shared" ref="I21:I23" si="4">H22/$F$2</f>
        <v>#N/A</v>
      </c>
      <c r="J22" s="110" t="e" cm="1">
        <f t="array" ref="J22">_xlfn.IFS(B22&gt;0,I22*DATA!$C$3,C22&gt;0,I22*DATA!$C$6,I22&gt;0,D22*DATA!$C$12,E22&gt;0,DATA!$C$13,F22&gt;0,F22*DATA!$C$5)</f>
        <v>#N/A</v>
      </c>
      <c r="L22" s="22"/>
      <c r="M22" s="22"/>
    </row>
    <row r="23" spans="1:17" ht="16" thickBot="1" x14ac:dyDescent="0.25">
      <c r="B23" s="109"/>
      <c r="C23" s="34"/>
      <c r="D23" s="34"/>
      <c r="E23" s="34"/>
      <c r="F23" s="34"/>
      <c r="G23" s="113"/>
      <c r="H23" s="62" t="e" cm="1">
        <f t="array" ref="H23">_xlfn.IFS(B23&gt;0,B23*1.015,C23&gt;0,C23*4.8,D23&gt;0,D23*5.3,E23&gt;0,E23*12.44,F23&gt;0,F23*0.066)</f>
        <v>#N/A</v>
      </c>
      <c r="I23" t="e">
        <f t="shared" si="4"/>
        <v>#N/A</v>
      </c>
      <c r="J23" s="110" t="e" cm="1">
        <f t="array" ref="J23">_xlfn.IFS(B23&gt;0,I23*DATA!$C$3,C23&gt;0,I23*DATA!$C$6,I23&gt;0,D23*DATA!$C$12,E23&gt;0,DATA!$C$13,F23&gt;0,F23*DATA!$C$5)</f>
        <v>#N/A</v>
      </c>
    </row>
    <row r="24" spans="1:17" ht="16" thickBot="1" x14ac:dyDescent="0.25">
      <c r="H24" s="114" t="s">
        <v>58</v>
      </c>
      <c r="I24" s="115" t="e">
        <f t="shared" ref="I24:J24" si="5">SUM(I20:I23)</f>
        <v>#N/A</v>
      </c>
      <c r="J24" s="116" t="e">
        <f t="shared" si="5"/>
        <v>#N/A</v>
      </c>
    </row>
    <row r="25" spans="1:17" ht="16" thickBot="1" x14ac:dyDescent="0.25"/>
    <row r="26" spans="1:17" ht="32.5" customHeight="1" thickBot="1" x14ac:dyDescent="0.3">
      <c r="A26" s="222" t="s">
        <v>66</v>
      </c>
      <c r="B26" s="206" t="s">
        <v>66</v>
      </c>
      <c r="C26" s="207"/>
      <c r="D26" s="207"/>
      <c r="E26" s="207"/>
      <c r="F26" s="207"/>
      <c r="G26" s="208"/>
      <c r="H26" s="198" t="s">
        <v>286</v>
      </c>
      <c r="I26" s="199"/>
      <c r="J26" s="200"/>
      <c r="L26" s="271" t="s">
        <v>45</v>
      </c>
      <c r="M26" s="272"/>
      <c r="N26" s="273"/>
    </row>
    <row r="27" spans="1:17" ht="14.5" customHeight="1" x14ac:dyDescent="0.2">
      <c r="A27" s="222"/>
      <c r="B27" s="278" t="s">
        <v>68</v>
      </c>
      <c r="C27" s="280" t="s">
        <v>69</v>
      </c>
      <c r="D27" s="258" t="s">
        <v>70</v>
      </c>
      <c r="E27" s="280" t="s">
        <v>71</v>
      </c>
      <c r="F27" s="258" t="s">
        <v>72</v>
      </c>
      <c r="G27" s="260" t="s">
        <v>73</v>
      </c>
      <c r="H27" s="201" t="s">
        <v>283</v>
      </c>
      <c r="I27" s="209" t="s">
        <v>284</v>
      </c>
      <c r="J27" s="202" t="s">
        <v>285</v>
      </c>
      <c r="L27" s="215" t="s">
        <v>252</v>
      </c>
      <c r="M27" s="216"/>
      <c r="N27" s="217"/>
    </row>
    <row r="28" spans="1:17" ht="16" thickBot="1" x14ac:dyDescent="0.25">
      <c r="A28" s="222"/>
      <c r="B28" s="279"/>
      <c r="C28" s="281"/>
      <c r="D28" s="259"/>
      <c r="E28" s="281"/>
      <c r="F28" s="209"/>
      <c r="G28" s="277"/>
      <c r="H28" s="201"/>
      <c r="I28" s="209"/>
      <c r="J28" s="202"/>
      <c r="L28" s="223"/>
      <c r="M28" s="224"/>
      <c r="N28" s="225"/>
    </row>
    <row r="29" spans="1:17" ht="16" thickBot="1" x14ac:dyDescent="0.25">
      <c r="A29" s="222"/>
      <c r="B29" s="102"/>
      <c r="C29" s="15"/>
      <c r="D29" s="29"/>
      <c r="E29" s="124"/>
      <c r="F29" s="127" t="e" cm="1">
        <f t="array" ref="F29">_xlfn.IFS(AND($C29="Fuel car",$D29=1),$E29*'SE '!C$7,AND($C29="Fuel car",$D29=2),$E29*'SE '!C$8,AND($C29="Fuel car",$D29=3),$E29*'SE '!C$9,AND($C29="Fuel car",$D29=4),$E29*'SE '!C$10,AND($C29="Fuel car",$D29=5),$E29*'SE '!C$11,AND($C29="Motorcycle",$D29=1),$E29*'SE '!C$13,AND($C29="Motorcycle",$D29=2),$E29*'SE '!C$14,AND($C29="Electric car",$D29=1),$E29*'SE '!C$16,AND($C29="Electric car",$D29=2),$E29*'SE '!C$17,AND($C29="Electric car",$D29=3),$E29*'SE '!C$18,AND($C29="Electric car",$D29=4),$E29*'SE '!C$19,AND($C29="Electric car",$D29=5),$E29*'SE '!C$20,AND($C29="Hybrid car",$D29=1),$E29*'SE '!C$22,AND($C29="Hybrid car",$D29=2),$E29*'SE '!C$23,AND($C29="Hybrid car",$D29=3),$E29*'SE '!C$24,AND($C29="Hybrid car",$D29=4),$E29*'SE '!C$25,AND($C29="Hybrid car",$D29=5),$E29*'SE '!C$26,AND($C29="Electric motorcycle",$D29=1),$E29*'SE '!C$28,AND($C29="Electric motorcycle",$D29=2),$E29*'SE '!C$29,AND($C29="Electric bike",$D29=1),$E29*'SE '!C$31,AND($C29="Electric scooter",$D29=1),$E29*'SE '!C$33,AND($C29="Bus",$D29="Almost empty"),$E29*'SE '!H$23,AND($C29="Bus",$D29="Average"),$E29*'SE '!H$24,AND($C29="Bus",$D29="Nearly full"),$E29*'SE '!H$25,AND($C29="Electric bus",$D29="Almost empty"),$E29*'SE '!H$7,AND($C29="Electric bus",$D29="Average"),$E29*'SE '!H$8,AND($C29="Electric bus",$D29="Nearly full"),$E29*'SE '!H$9,AND($C29="Diesel bus",$D29="Almost empty"),$E29*'SE '!H$19,AND($C29="Diesel bus",$D29="Average"),$E29*'SE '!H$20,AND($C29="Diesel bus",$D29="Nearly full"),$E29*'SE '!H$21,AND($C29="Hybrid-electric bus",$D29="Almost empty"),$E29*'SE '!H$11,AND($C29="Hybrid-electric bus",$D29="Average"),$E29*'SE '!H$12,AND($C29="Hybrid-electric bus",$D29="Nearly full"),$E29*'SE '!H$13,AND($C29="Alternative fuel bus",$D29="Almost empty"),$E29*'SE '!H$15,AND($C29="Alternative fuel bus",$D29="Average"),$E29*'SE '!H$16,AND($C29="Alternative fuel bus",$D29="Nearly full"),$E29*'SE '!H$17,AND($C29="Metro, tram, urban light train",$D29="Almost empty"),$E29*'SE '!C$35,AND($C29="Metro, tram, urban light train",$D29="Average"),$E29*'SE '!C$36,AND($C29="Metro, tram, urban light train",$D29="Nearly full"),$E29*'SE '!C$37,AND($C29="Electric passenger train",$D29="Almost empty"),$E29*'SE '!C$39,AND($C29="Electric passenger train",$D29="Average"),$E29*'SE '!C$40,AND($C29="Electric passenger train",$D29="Nearly full"),$E29*'SE '!C$41,AND($C29="Diesel passenger train",$D29="Almost empty"),$E29*'SE '!C$47,AND($C29="Diesel passenger train",$D29="Average"),$E29*'SE '!C$48,AND($C29="Diesel passenger train",$D29="Nearly full"),$E29*'SE '!C$49,AND($C29="Walking"),$E29*0,AND($C29="Bike"),$E29*0,AND($C29="Plane - domestic flight"),$E29*'SE '!$C53,AND($C29="Plane - international - intra EU"),$E29*'SE '!$C55,AND($C29="Plane - international (extra EU)"),$E29*'SE '!$C57)</f>
        <v>#N/A</v>
      </c>
      <c r="G29" s="104" t="e" cm="1">
        <f t="array" ref="G29">_xlfn.IFS(AND($C29="Fuel car",$D29=1),$E29*'SE '!D$7,AND($C29="Fuel car",$D29=2),$E29*'SE '!D$8,AND($C29="Fuel car",$D29=3),$E29*'SE '!D$9,AND($C29="Fuel car",$D29=4),$E29*'SE '!D$10,AND($C29="Fuel car",$D29=5),$E29*'SE '!D$11,AND($C29="Motorcycle",$D29=1),$E29*'SE '!D$13,AND($C29="Motorcycle",$D29=2),$E29*'SE '!D$14,AND($C29="Electric car",$D29=1),$E29*'SE '!D$16,AND($C29="Electric car",$D29=2),$E29*'SE '!D$17,AND($C29="Electric car",$D29=3),$E29*'SE '!D$18,AND($C29="Electric car",$D29=4),$E29*'SE '!D$19,AND($C29="Electric car",$D29=5),$E29*'SE '!D$20,AND($C29="Hybrid car",$D29=1),$E29*'SE '!D$22,AND($C29="Hybrid car",$D29=2),$E29*'SE '!D$23,AND($C29="Hybrid car",$D29=3),$E29*'SE '!D$24,AND($C29="Hybrid car",$D29=4),$E29*'SE '!D$25,AND($C29="Hybrid car",$D29=5),$E29*'SE '!D$26,AND($C29="Electric motorcycle",$D29=1),$E29*'SE '!D$28,AND($C29="Electric motorcycle",$D29=2),$E29*'SE '!D$29,AND($C29="Electric bike",$D29=1),$E29*'SE '!D$31,AND($C29="Electric scooter",$D29=1),$E29*'SE '!D$33,AND($C29="Bus",$D29="Almost empty"),$E29*'SE '!I$23,AND($C29="Bus",$D29="Average"),$E29*'SE '!I$24,AND($C29="Bus",$D29="Nearly full"),$E29*'SE '!I$25,AND($C29="Electric bus",$D29="Almost empty"),$E29*'SE '!I$7,AND($C29="Electric bus",$D29="Average"),$E29*'SE '!I$8,AND($C29="Electric bus",$D29="Nearly full"),$E29*'SE '!I$9,AND($C29="Diesel bus",$D29="Almost empty"),$E29*'SE '!I$19,AND($C29="Diesel bus",$D29="Average"),$E29*'SE '!I$20,AND($C29="Diesel bus",$D29="Nearly full"),$E29*'SE '!I$21,AND($C29="Hybrid-electric bus",$D29="Almost empty"),$E29*'SE '!I$11,AND($C29="Hybrid-electric bus",$D29="Average"),$E29*'SE '!I$12,AND($C29="Hybrid-electric bus",$D29="Nearly full"),$E29*'SE '!I$13,AND($C29="Alternative fuel bus",$D29="Almost empty"),$E29*'SE '!I$15,AND($C29="Alternative fuel bus",$D29="Average"),$E29*'SE '!I$16,AND($C29="Alternative fuel bus",$D29="Nearly full"),$E29*'SE '!I$17,AND($C29="Metro, tram, urban light train",$D29="Almost empty"),$E29*'SE '!D$35,AND($C29="Metro, tram, urban light train",$D29="Average"),$E29*'SE '!D$36,AND($C29="Metro, tram, urban light train",$D29="Nearly full"),$E29*'SE '!D$37,AND($C29="Electric passenger train",$D29="Almost empty"),$E29*'SE '!D$39,AND($C29="Electric passenger train",$D29="Average"),$E29*'SE '!D$40,AND($C29="Electric passenger train",$D29="Nearly full"),$E29*'SE '!D$41,AND($C29="Diesel passenger train",$D29="Almost empty"),$E29*'SE '!D$47,AND($C29="Diesel passenger train",$D29="Average"),$E29*'SE '!D$48,AND($C29="Diesel passenger train",$D29="Nearly full"),$E29*'SE '!D$49,AND($C29="Walking"),$E29*0,AND($C29="Bike"),$E29*0,AND($C29="Plane - domestic flight"),$E29*'SE '!$C53,AND($C29="Plane - international - intra EU"),$E29*'SE '!$C55,AND($C29="Plane - international (extra EU)"),$E29*'SE '!$C57)</f>
        <v>#N/A</v>
      </c>
      <c r="H29" s="151"/>
      <c r="I29" s="152">
        <f>H29/10*E29</f>
        <v>0</v>
      </c>
      <c r="J29" s="146" t="e" cm="1">
        <f t="array" ref="J29">_xlfn.IFS(C29="Fuel car",C29*DATA!$C$17,C29="Electric car",C29*DATA!$F$30,C29="Hybrid car",I29*(0.5*DATA!$C$17+0.5*DATA!$F$30))</f>
        <v>#N/A</v>
      </c>
      <c r="L29" s="218"/>
      <c r="M29" s="219"/>
      <c r="N29" s="220"/>
    </row>
    <row r="30" spans="1:17" ht="32" customHeight="1" x14ac:dyDescent="0.2">
      <c r="A30" s="222"/>
      <c r="B30" s="30"/>
      <c r="C30" s="15"/>
      <c r="D30" s="15"/>
      <c r="E30" s="125"/>
      <c r="F30" s="128" t="e" cm="1">
        <f t="array" ref="F30">_xlfn.IFS(AND($C30="Fuel car",$D30=1),$E30*'SE '!C$7,AND($C30="Fuel car",$D30=2),$E30*'SE '!C$8,AND($C30="Fuel car",$D30=3),$E30*'SE '!C$9,AND($C30="Fuel car",$D30=4),$E30*'SE '!C$10,AND($C30="Fuel car",$D30=5),$E30*'SE '!C$11,AND($C30="Motorcycle",$D30=1),$E30*'SE '!C$13,AND($C30="Motorcycle",$D30=2),$E30*'SE '!C$14,AND($C30="Electric car",$D30=1),$E30*'SE '!C$16,AND($C30="Electric car",$D30=2),$E30*'SE '!C$17,AND($C30="Electric car",$D30=3),$E30*'SE '!C$18,AND($C30="Electric car",$D30=4),$E30*'SE '!C$19,AND($C30="Electric car",$D30=5),$E30*'SE '!C$20,AND($C30="Hybrid car",$D30=1),$E30*'SE '!C$22,AND($C30="Hybrid car",$D30=2),$E30*'SE '!C$23,AND($C30="Hybrid car",$D30=3),$E30*'SE '!C$24,AND($C30="Hybrid car",$D30=4),$E30*'SE '!C$25,AND($C30="Hybrid car",$D30=5),$E30*'SE '!C$26,AND($C30="Electric motorcycle",$D30=1),$E30*'SE '!C$28,AND($C30="Electric motorcycle",$D30=2),$E30*'SE '!C$29,AND($C30="Electric bike",$D30=1),$E30*'SE '!C$31,AND($C30="Electric scooter",$D30=1),$E30*'SE '!C$33,AND($C30="Bus",$D30="Almost empty"),$E30*'SE '!H$23,AND($C30="Bus",$D30="Average"),$E30*'SE '!H$24,AND($C30="Bus",$D30="Nearly full"),$E30*'SE '!H$25,AND($C30="Electric bus",$D30="Almost empty"),$E30*'SE '!H$7,AND($C30="Electric bus",$D30="Average"),$E30*'SE '!H$8,AND($C30="Electric bus",$D30="Nearly full"),$E30*'SE '!H$9,AND($C30="Diesel bus",$D30="Almost empty"),$E30*'SE '!H$19,AND($C30="Diesel bus",$D30="Average"),$E30*'SE '!H$20,AND($C30="Diesel bus",$D30="Nearly full"),$E30*'SE '!H$21,AND($C30="Hybrid-electric bus",$D30="Almost empty"),$E30*'SE '!H$11,AND($C30="Hybrid-electric bus",$D30="Average"),$E30*'SE '!H$12,AND($C30="Hybrid-electric bus",$D30="Nearly full"),$E30*'SE '!H$13,AND($C30="Alternative fuel bus",$D30="Almost empty"),$E30*'SE '!H$15,AND($C30="Alternative fuel bus",$D30="Average"),$E30*'SE '!H$16,AND($C30="Alternative fuel bus",$D30="Nearly full"),$E30*'SE '!H$17,AND($C30="Metro, tram, urban light train",$D30="Almost empty"),$E30*'SE '!C$35,AND($C30="Metro, tram, urban light train",$D30="Average"),$E30*'SE '!C$36,AND($C30="Metro, tram, urban light train",$D30="Nearly full"),$E30*'SE '!C$37,AND($C30="Electric passenger train",$D30="Almost empty"),$E30*'SE '!C$39,AND($C30="Electric passenger train",$D30="Average"),$E30*'SE '!C$40,AND($C30="Electric passenger train",$D30="Nearly full"),$E30*'SE '!C$41,AND($C30="Diesel passenger train",$D30="Almost empty"),$E30*'SE '!C$47,AND($C30="Diesel passenger train",$D30="Average"),$E30*'SE '!C$48,AND($C30="Diesel passenger train",$D30="Nearly full"),$E30*'SE '!C$49,AND($C30="Walking"),$E30*0,AND($C30="Bike"),$E30*0,AND($C30="Plane - domestic flight"),$E30*'SE '!$C54,AND($C30="Plane - international - intra EU"),$E30*'SE '!$C56,AND($C30="Plane - international (extra EU)"),$E30*'SE '!$C58)</f>
        <v>#N/A</v>
      </c>
      <c r="G30" s="31" t="e" cm="1">
        <f t="array" ref="G30">_xlfn.IFS(AND($C30="Fuel car",$D30=1),$E30*'SE '!D$7,AND($C30="Fuel car",$D30=2),$E30*'SE '!D$8,AND($C30="Fuel car",$D30=3),$E30*'SE '!D$9,AND($C30="Fuel car",$D30=4),$E30*'SE '!D$10,AND($C30="Fuel car",$D30=5),$E30*'SE '!D$11,AND($C30="Motorcycle",$D30=1),$E30*'SE '!D$13,AND($C30="Motorcycle",$D30=2),$E30*'SE '!D$14,AND($C30="Electric car",$D30=1),$E30*'SE '!D$16,AND($C30="Electric car",$D30=2),$E30*'SE '!D$17,AND($C30="Electric car",$D30=3),$E30*'SE '!D$18,AND($C30="Electric car",$D30=4),$E30*'SE '!D$19,AND($C30="Electric car",$D30=5),$E30*'SE '!D$20,AND($C30="Hybrid car",$D30=1),$E30*'SE '!D$22,AND($C30="Hybrid car",$D30=2),$E30*'SE '!D$23,AND($C30="Hybrid car",$D30=3),$E30*'SE '!D$24,AND($C30="Hybrid car",$D30=4),$E30*'SE '!D$25,AND($C30="Hybrid car",$D30=5),$E30*'SE '!D$26,AND($C30="Electric motorcycle",$D30=1),$E30*'SE '!D$28,AND($C30="Electric motorcycle",$D30=2),$E30*'SE '!D$29,AND($C30="Electric bike",$D30=1),$E30*'SE '!D$31,AND($C30="Electric scooter",$D30=1),$E30*'SE '!D$33,AND($C30="Bus",$D30="Almost empty"),$E30*'SE '!I$23,AND($C30="Bus",$D30="Average"),$E30*'SE '!I$24,AND($C30="Bus",$D30="Nearly full"),$E30*'SE '!I$25,AND($C30="Electric bus",$D30="Almost empty"),$E30*'SE '!I$7,AND($C30="Electric bus",$D30="Average"),$E30*'SE '!I$8,AND($C30="Electric bus",$D30="Nearly full"),$E30*'SE '!I$9,AND($C30="Diesel bus",$D30="Almost empty"),$E30*'SE '!I$19,AND($C30="Diesel bus",$D30="Average"),$E30*'SE '!I$20,AND($C30="Diesel bus",$D30="Nearly full"),$E30*'SE '!I$21,AND($C30="Hybrid-electric bus",$D30="Almost empty"),$E30*'SE '!I$11,AND($C30="Hybrid-electric bus",$D30="Average"),$E30*'SE '!I$12,AND($C30="Hybrid-electric bus",$D30="Nearly full"),$E30*'SE '!I$13,AND($C30="Alternative fuel bus",$D30="Almost empty"),$E30*'SE '!I$15,AND($C30="Alternative fuel bus",$D30="Average"),$E30*'SE '!I$16,AND($C30="Alternative fuel bus",$D30="Nearly full"),$E30*'SE '!I$17,AND($C30="Metro, tram, urban light train",$D30="Almost empty"),$E30*'SE '!D$35,AND($C30="Metro, tram, urban light train",$D30="Average"),$E30*'SE '!D$36,AND($C30="Metro, tram, urban light train",$D30="Nearly full"),$E30*'SE '!D$37,AND($C30="Electric passenger train",$D30="Almost empty"),$E30*'SE '!D$39,AND($C30="Electric passenger train",$D30="Average"),$E30*'SE '!D$40,AND($C30="Electric passenger train",$D30="Nearly full"),$E30*'SE '!D$41,AND($C30="Diesel passenger train",$D30="Almost empty"),$E30*'SE '!D$47,AND($C30="Diesel passenger train",$D30="Average"),$E30*'SE '!D$48,AND($C30="Diesel passenger train",$D30="Nearly full"),$E30*'SE '!D$49,AND($C30="Walking"),$E30*0,AND($C30="Bike"),$E30*0,AND($C30="Plane - domestic flight"),$E30*'SE '!$C54,AND($C30="Plane - international - intra EU"),$E30*'SE '!$C56,AND($C30="Plane - international (extra EU)"),$E30*'SE '!$C58)</f>
        <v>#N/A</v>
      </c>
      <c r="H30" s="145"/>
      <c r="I30" s="148">
        <f t="shared" ref="I30:I43" si="6">H30/10*E30</f>
        <v>0</v>
      </c>
      <c r="J30" s="146" t="e" cm="1">
        <f t="array" ref="J30">_xlfn.IFS(C30="Fuel car",C30*DATA!$C$17,C30="Electric car",C30*DATA!$F$30,C30="Hybrid car",I30*(0.5*DATA!$C$17+0.5*DATA!$F$30))</f>
        <v>#N/A</v>
      </c>
      <c r="L30" s="215" t="s">
        <v>76</v>
      </c>
      <c r="M30" s="216"/>
      <c r="N30" s="217"/>
    </row>
    <row r="31" spans="1:17" x14ac:dyDescent="0.2">
      <c r="A31" s="222"/>
      <c r="B31" s="30"/>
      <c r="C31" s="15"/>
      <c r="D31" s="15"/>
      <c r="E31" s="125"/>
      <c r="F31" s="128" t="e" cm="1">
        <f t="array" ref="F31">_xlfn.IFS(AND($C31="Fuel car",$D31=1),$E31*'SE '!C$7,AND($C31="Fuel car",$D31=2),$E31*'SE '!C$8,AND($C31="Fuel car",$D31=3),$E31*'SE '!C$9,AND($C31="Fuel car",$D31=4),$E31*'SE '!C$10,AND($C31="Fuel car",$D31=5),$E31*'SE '!C$11,AND($C31="Motorcycle",$D31=1),$E31*'SE '!C$13,AND($C31="Motorcycle",$D31=2),$E31*'SE '!C$14,AND($C31="Electric car",$D31=1),$E31*'SE '!C$16,AND($C31="Electric car",$D31=2),$E31*'SE '!C$17,AND($C31="Electric car",$D31=3),$E31*'SE '!C$18,AND($C31="Electric car",$D31=4),$E31*'SE '!C$19,AND($C31="Electric car",$D31=5),$E31*'SE '!C$20,AND($C31="Hybrid car",$D31=1),$E31*'SE '!C$22,AND($C31="Hybrid car",$D31=2),$E31*'SE '!C$23,AND($C31="Hybrid car",$D31=3),$E31*'SE '!C$24,AND($C31="Hybrid car",$D31=4),$E31*'SE '!C$25,AND($C31="Hybrid car",$D31=5),$E31*'SE '!C$26,AND($C31="Electric motorcycle",$D31=1),$E31*'SE '!C$28,AND($C31="Electric motorcycle",$D31=2),$E31*'SE '!C$29,AND($C31="Electric bike",$D31=1),$E31*'SE '!C$31,AND($C31="Electric scooter",$D31=1),$E31*'SE '!C$33,AND($C31="Bus",$D31="Almost empty"),$E31*'SE '!H$23,AND($C31="Bus",$D31="Average"),$E31*'SE '!H$24,AND($C31="Bus",$D31="Nearly full"),$E31*'SE '!H$25,AND($C31="Electric bus",$D31="Almost empty"),$E31*'SE '!H$7,AND($C31="Electric bus",$D31="Average"),$E31*'SE '!H$8,AND($C31="Electric bus",$D31="Nearly full"),$E31*'SE '!H$9,AND($C31="Diesel bus",$D31="Almost empty"),$E31*'SE '!H$19,AND($C31="Diesel bus",$D31="Average"),$E31*'SE '!H$20,AND($C31="Diesel bus",$D31="Nearly full"),$E31*'SE '!H$21,AND($C31="Hybrid-electric bus",$D31="Almost empty"),$E31*'SE '!H$11,AND($C31="Hybrid-electric bus",$D31="Average"),$E31*'SE '!H$12,AND($C31="Hybrid-electric bus",$D31="Nearly full"),$E31*'SE '!H$13,AND($C31="Alternative fuel bus",$D31="Almost empty"),$E31*'SE '!H$15,AND($C31="Alternative fuel bus",$D31="Average"),$E31*'SE '!H$16,AND($C31="Alternative fuel bus",$D31="Nearly full"),$E31*'SE '!H$17,AND($C31="Metro, tram, urban light train",$D31="Almost empty"),$E31*'SE '!C$35,AND($C31="Metro, tram, urban light train",$D31="Average"),$E31*'SE '!C$36,AND($C31="Metro, tram, urban light train",$D31="Nearly full"),$E31*'SE '!C$37,AND($C31="Electric passenger train",$D31="Almost empty"),$E31*'SE '!C$39,AND($C31="Electric passenger train",$D31="Average"),$E31*'SE '!C$40,AND($C31="Electric passenger train",$D31="Nearly full"),$E31*'SE '!C$41,AND($C31="Diesel passenger train",$D31="Almost empty"),$E31*'SE '!C$47,AND($C31="Diesel passenger train",$D31="Average"),$E31*'SE '!C$48,AND($C31="Diesel passenger train",$D31="Nearly full"),$E31*'SE '!C$49,AND($C31="Walking"),$E31*0,AND($C31="Bike"),$E31*0,AND($C31="Plane - domestic flight"),$E31*'SE '!$C55,AND($C31="Plane - international - intra EU"),$E31*'SE '!$C57,AND($C31="Plane - international (extra EU)"),$E31*'SE '!$C59)</f>
        <v>#N/A</v>
      </c>
      <c r="G31" s="31" t="e" cm="1">
        <f t="array" ref="G31">_xlfn.IFS(AND($C31="Fuel car",$D31=1),$E31*'SE '!D$7,AND($C31="Fuel car",$D31=2),$E31*'SE '!D$8,AND($C31="Fuel car",$D31=3),$E31*'SE '!D$9,AND($C31="Fuel car",$D31=4),$E31*'SE '!D$10,AND($C31="Fuel car",$D31=5),$E31*'SE '!D$11,AND($C31="Motorcycle",$D31=1),$E31*'SE '!D$13,AND($C31="Motorcycle",$D31=2),$E31*'SE '!D$14,AND($C31="Electric car",$D31=1),$E31*'SE '!D$16,AND($C31="Electric car",$D31=2),$E31*'SE '!D$17,AND($C31="Electric car",$D31=3),$E31*'SE '!D$18,AND($C31="Electric car",$D31=4),$E31*'SE '!D$19,AND($C31="Electric car",$D31=5),$E31*'SE '!D$20,AND($C31="Hybrid car",$D31=1),$E31*'SE '!D$22,AND($C31="Hybrid car",$D31=2),$E31*'SE '!D$23,AND($C31="Hybrid car",$D31=3),$E31*'SE '!D$24,AND($C31="Hybrid car",$D31=4),$E31*'SE '!D$25,AND($C31="Hybrid car",$D31=5),$E31*'SE '!D$26,AND($C31="Electric motorcycle",$D31=1),$E31*'SE '!D$28,AND($C31="Electric motorcycle",$D31=2),$E31*'SE '!D$29,AND($C31="Electric bike",$D31=1),$E31*'SE '!D$31,AND($C31="Electric scooter",$D31=1),$E31*'SE '!D$33,AND($C31="Bus",$D31="Almost empty"),$E31*'SE '!I$23,AND($C31="Bus",$D31="Average"),$E31*'SE '!I$24,AND($C31="Bus",$D31="Nearly full"),$E31*'SE '!I$25,AND($C31="Electric bus",$D31="Almost empty"),$E31*'SE '!I$7,AND($C31="Electric bus",$D31="Average"),$E31*'SE '!I$8,AND($C31="Electric bus",$D31="Nearly full"),$E31*'SE '!I$9,AND($C31="Diesel bus",$D31="Almost empty"),$E31*'SE '!I$19,AND($C31="Diesel bus",$D31="Average"),$E31*'SE '!I$20,AND($C31="Diesel bus",$D31="Nearly full"),$E31*'SE '!I$21,AND($C31="Hybrid-electric bus",$D31="Almost empty"),$E31*'SE '!I$11,AND($C31="Hybrid-electric bus",$D31="Average"),$E31*'SE '!I$12,AND($C31="Hybrid-electric bus",$D31="Nearly full"),$E31*'SE '!I$13,AND($C31="Alternative fuel bus",$D31="Almost empty"),$E31*'SE '!I$15,AND($C31="Alternative fuel bus",$D31="Average"),$E31*'SE '!I$16,AND($C31="Alternative fuel bus",$D31="Nearly full"),$E31*'SE '!I$17,AND($C31="Metro, tram, urban light train",$D31="Almost empty"),$E31*'SE '!D$35,AND($C31="Metro, tram, urban light train",$D31="Average"),$E31*'SE '!D$36,AND($C31="Metro, tram, urban light train",$D31="Nearly full"),$E31*'SE '!D$37,AND($C31="Electric passenger train",$D31="Almost empty"),$E31*'SE '!D$39,AND($C31="Electric passenger train",$D31="Average"),$E31*'SE '!D$40,AND($C31="Electric passenger train",$D31="Nearly full"),$E31*'SE '!D$41,AND($C31="Diesel passenger train",$D31="Almost empty"),$E31*'SE '!D$47,AND($C31="Diesel passenger train",$D31="Average"),$E31*'SE '!D$48,AND($C31="Diesel passenger train",$D31="Nearly full"),$E31*'SE '!D$49,AND($C31="Walking"),$E31*0,AND($C31="Bike"),$E31*0,AND($C31="Plane - domestic flight"),$E31*'SE '!$C55,AND($C31="Plane - international - intra EU"),$E31*'SE '!$C57,AND($C31="Plane - international (extra EU)"),$E31*'SE '!$C59)</f>
        <v>#N/A</v>
      </c>
      <c r="H31" s="145"/>
      <c r="I31" s="148">
        <f t="shared" si="6"/>
        <v>0</v>
      </c>
      <c r="J31" s="146" t="e" cm="1">
        <f t="array" ref="J31">_xlfn.IFS(C31="Fuel car",C31*DATA!$C$17,C31="Electric car",C31*DATA!$F$30,C31="Hybrid car",I31*(0.5*DATA!$C$17+0.5*DATA!$F$30))</f>
        <v>#N/A</v>
      </c>
      <c r="L31" s="223"/>
      <c r="M31" s="224"/>
      <c r="N31" s="225"/>
    </row>
    <row r="32" spans="1:17" ht="16" thickBot="1" x14ac:dyDescent="0.25">
      <c r="A32" s="222"/>
      <c r="B32" s="30"/>
      <c r="C32" s="15"/>
      <c r="D32" s="15"/>
      <c r="E32" s="125"/>
      <c r="F32" s="128" t="e" cm="1">
        <f t="array" ref="F32">_xlfn.IFS(AND($C32="Fuel car",$D32=1),$E32*'SE '!C$7,AND($C32="Fuel car",$D32=2),$E32*'SE '!C$8,AND($C32="Fuel car",$D32=3),$E32*'SE '!C$9,AND($C32="Fuel car",$D32=4),$E32*'SE '!C$10,AND($C32="Fuel car",$D32=5),$E32*'SE '!C$11,AND($C32="Motorcycle",$D32=1),$E32*'SE '!C$13,AND($C32="Motorcycle",$D32=2),$E32*'SE '!C$14,AND($C32="Electric car",$D32=1),$E32*'SE '!C$16,AND($C32="Electric car",$D32=2),$E32*'SE '!C$17,AND($C32="Electric car",$D32=3),$E32*'SE '!C$18,AND($C32="Electric car",$D32=4),$E32*'SE '!C$19,AND($C32="Electric car",$D32=5),$E32*'SE '!C$20,AND($C32="Hybrid car",$D32=1),$E32*'SE '!C$22,AND($C32="Hybrid car",$D32=2),$E32*'SE '!C$23,AND($C32="Hybrid car",$D32=3),$E32*'SE '!C$24,AND($C32="Hybrid car",$D32=4),$E32*'SE '!C$25,AND($C32="Hybrid car",$D32=5),$E32*'SE '!C$26,AND($C32="Electric motorcycle",$D32=1),$E32*'SE '!C$28,AND($C32="Electric motorcycle",$D32=2),$E32*'SE '!C$29,AND($C32="Electric bike",$D32=1),$E32*'SE '!C$31,AND($C32="Electric scooter",$D32=1),$E32*'SE '!C$33,AND($C32="Bus",$D32="Almost empty"),$E32*'SE '!H$23,AND($C32="Bus",$D32="Average"),$E32*'SE '!H$24,AND($C32="Bus",$D32="Nearly full"),$E32*'SE '!H$25,AND($C32="Electric bus",$D32="Almost empty"),$E32*'SE '!H$7,AND($C32="Electric bus",$D32="Average"),$E32*'SE '!H$8,AND($C32="Electric bus",$D32="Nearly full"),$E32*'SE '!H$9,AND($C32="Diesel bus",$D32="Almost empty"),$E32*'SE '!H$19,AND($C32="Diesel bus",$D32="Average"),$E32*'SE '!H$20,AND($C32="Diesel bus",$D32="Nearly full"),$E32*'SE '!H$21,AND($C32="Hybrid-electric bus",$D32="Almost empty"),$E32*'SE '!H$11,AND($C32="Hybrid-electric bus",$D32="Average"),$E32*'SE '!H$12,AND($C32="Hybrid-electric bus",$D32="Nearly full"),$E32*'SE '!H$13,AND($C32="Alternative fuel bus",$D32="Almost empty"),$E32*'SE '!H$15,AND($C32="Alternative fuel bus",$D32="Average"),$E32*'SE '!H$16,AND($C32="Alternative fuel bus",$D32="Nearly full"),$E32*'SE '!H$17,AND($C32="Metro, tram, urban light train",$D32="Almost empty"),$E32*'SE '!C$35,AND($C32="Metro, tram, urban light train",$D32="Average"),$E32*'SE '!C$36,AND($C32="Metro, tram, urban light train",$D32="Nearly full"),$E32*'SE '!C$37,AND($C32="Electric passenger train",$D32="Almost empty"),$E32*'SE '!C$39,AND($C32="Electric passenger train",$D32="Average"),$E32*'SE '!C$40,AND($C32="Electric passenger train",$D32="Nearly full"),$E32*'SE '!C$41,AND($C32="Diesel passenger train",$D32="Almost empty"),$E32*'SE '!C$47,AND($C32="Diesel passenger train",$D32="Average"),$E32*'SE '!C$48,AND($C32="Diesel passenger train",$D32="Nearly full"),$E32*'SE '!C$49,AND($C32="Walking"),$E32*0,AND($C32="Bike"),$E32*0,AND($C32="Plane - domestic flight"),$E32*'SE '!$C56,AND($C32="Plane - international - intra EU"),$E32*'SE '!$C58,AND($C32="Plane - international (extra EU)"),$E32*'SE '!$C60)</f>
        <v>#N/A</v>
      </c>
      <c r="G32" s="31" t="e" cm="1">
        <f t="array" ref="G32">_xlfn.IFS(AND($C32="Fuel car",$D32=1),$E32*'SE '!D$7,AND($C32="Fuel car",$D32=2),$E32*'SE '!D$8,AND($C32="Fuel car",$D32=3),$E32*'SE '!D$9,AND($C32="Fuel car",$D32=4),$E32*'SE '!D$10,AND($C32="Fuel car",$D32=5),$E32*'SE '!D$11,AND($C32="Motorcycle",$D32=1),$E32*'SE '!D$13,AND($C32="Motorcycle",$D32=2),$E32*'SE '!D$14,AND($C32="Electric car",$D32=1),$E32*'SE '!D$16,AND($C32="Electric car",$D32=2),$E32*'SE '!D$17,AND($C32="Electric car",$D32=3),$E32*'SE '!D$18,AND($C32="Electric car",$D32=4),$E32*'SE '!D$19,AND($C32="Electric car",$D32=5),$E32*'SE '!D$20,AND($C32="Hybrid car",$D32=1),$E32*'SE '!D$22,AND($C32="Hybrid car",$D32=2),$E32*'SE '!D$23,AND($C32="Hybrid car",$D32=3),$E32*'SE '!D$24,AND($C32="Hybrid car",$D32=4),$E32*'SE '!D$25,AND($C32="Hybrid car",$D32=5),$E32*'SE '!D$26,AND($C32="Electric motorcycle",$D32=1),$E32*'SE '!D$28,AND($C32="Electric motorcycle",$D32=2),$E32*'SE '!D$29,AND($C32="Electric bike",$D32=1),$E32*'SE '!D$31,AND($C32="Electric scooter",$D32=1),$E32*'SE '!D$33,AND($C32="Bus",$D32="Almost empty"),$E32*'SE '!I$23,AND($C32="Bus",$D32="Average"),$E32*'SE '!I$24,AND($C32="Bus",$D32="Nearly full"),$E32*'SE '!I$25,AND($C32="Electric bus",$D32="Almost empty"),$E32*'SE '!I$7,AND($C32="Electric bus",$D32="Average"),$E32*'SE '!I$8,AND($C32="Electric bus",$D32="Nearly full"),$E32*'SE '!I$9,AND($C32="Diesel bus",$D32="Almost empty"),$E32*'SE '!I$19,AND($C32="Diesel bus",$D32="Average"),$E32*'SE '!I$20,AND($C32="Diesel bus",$D32="Nearly full"),$E32*'SE '!I$21,AND($C32="Hybrid-electric bus",$D32="Almost empty"),$E32*'SE '!I$11,AND($C32="Hybrid-electric bus",$D32="Average"),$E32*'SE '!I$12,AND($C32="Hybrid-electric bus",$D32="Nearly full"),$E32*'SE '!I$13,AND($C32="Alternative fuel bus",$D32="Almost empty"),$E32*'SE '!I$15,AND($C32="Alternative fuel bus",$D32="Average"),$E32*'SE '!I$16,AND($C32="Alternative fuel bus",$D32="Nearly full"),$E32*'SE '!I$17,AND($C32="Metro, tram, urban light train",$D32="Almost empty"),$E32*'SE '!D$35,AND($C32="Metro, tram, urban light train",$D32="Average"),$E32*'SE '!D$36,AND($C32="Metro, tram, urban light train",$D32="Nearly full"),$E32*'SE '!D$37,AND($C32="Electric passenger train",$D32="Almost empty"),$E32*'SE '!D$39,AND($C32="Electric passenger train",$D32="Average"),$E32*'SE '!D$40,AND($C32="Electric passenger train",$D32="Nearly full"),$E32*'SE '!D$41,AND($C32="Diesel passenger train",$D32="Almost empty"),$E32*'SE '!D$47,AND($C32="Diesel passenger train",$D32="Average"),$E32*'SE '!D$48,AND($C32="Diesel passenger train",$D32="Nearly full"),$E32*'SE '!D$49,AND($C32="Walking"),$E32*0,AND($C32="Bike"),$E32*0,AND($C32="Plane - domestic flight"),$E32*'SE '!$C56,AND($C32="Plane - international - intra EU"),$E32*'SE '!$C58,AND($C32="Plane - international (extra EU)"),$E32*'SE '!$C60)</f>
        <v>#N/A</v>
      </c>
      <c r="H32" s="145"/>
      <c r="I32" s="148">
        <f t="shared" si="6"/>
        <v>0</v>
      </c>
      <c r="J32" s="146" t="e" cm="1">
        <f t="array" ref="J32">_xlfn.IFS(C32="Fuel car",C32*DATA!$C$17,C32="Electric car",C32*DATA!$F$30,C32="Hybrid car",I32*(0.5*DATA!$C$17+0.5*DATA!$F$30))</f>
        <v>#N/A</v>
      </c>
      <c r="L32" s="218"/>
      <c r="M32" s="219"/>
      <c r="N32" s="220"/>
    </row>
    <row r="33" spans="1:14" ht="14.5" customHeight="1" x14ac:dyDescent="0.2">
      <c r="A33" s="222"/>
      <c r="B33" s="30"/>
      <c r="C33" s="15"/>
      <c r="D33" s="15"/>
      <c r="E33" s="125"/>
      <c r="F33" s="128" t="e" cm="1">
        <f t="array" ref="F33">_xlfn.IFS(AND($C33="Fuel car",$D33=1),$E33*'SE '!C$7,AND($C33="Fuel car",$D33=2),$E33*'SE '!C$8,AND($C33="Fuel car",$D33=3),$E33*'SE '!C$9,AND($C33="Fuel car",$D33=4),$E33*'SE '!C$10,AND($C33="Fuel car",$D33=5),$E33*'SE '!C$11,AND($C33="Motorcycle",$D33=1),$E33*'SE '!C$13,AND($C33="Motorcycle",$D33=2),$E33*'SE '!C$14,AND($C33="Electric car",$D33=1),$E33*'SE '!C$16,AND($C33="Electric car",$D33=2),$E33*'SE '!C$17,AND($C33="Electric car",$D33=3),$E33*'SE '!C$18,AND($C33="Electric car",$D33=4),$E33*'SE '!C$19,AND($C33="Electric car",$D33=5),$E33*'SE '!C$20,AND($C33="Hybrid car",$D33=1),$E33*'SE '!C$22,AND($C33="Hybrid car",$D33=2),$E33*'SE '!C$23,AND($C33="Hybrid car",$D33=3),$E33*'SE '!C$24,AND($C33="Hybrid car",$D33=4),$E33*'SE '!C$25,AND($C33="Hybrid car",$D33=5),$E33*'SE '!C$26,AND($C33="Electric motorcycle",$D33=1),$E33*'SE '!C$28,AND($C33="Electric motorcycle",$D33=2),$E33*'SE '!C$29,AND($C33="Electric bike",$D33=1),$E33*'SE '!C$31,AND($C33="Electric scooter",$D33=1),$E33*'SE '!C$33,AND($C33="Bus",$D33="Almost empty"),$E33*'SE '!H$23,AND($C33="Bus",$D33="Average"),$E33*'SE '!H$24,AND($C33="Bus",$D33="Nearly full"),$E33*'SE '!H$25,AND($C33="Electric bus",$D33="Almost empty"),$E33*'SE '!H$7,AND($C33="Electric bus",$D33="Average"),$E33*'SE '!H$8,AND($C33="Electric bus",$D33="Nearly full"),$E33*'SE '!H$9,AND($C33="Diesel bus",$D33="Almost empty"),$E33*'SE '!H$19,AND($C33="Diesel bus",$D33="Average"),$E33*'SE '!H$20,AND($C33="Diesel bus",$D33="Nearly full"),$E33*'SE '!H$21,AND($C33="Hybrid-electric bus",$D33="Almost empty"),$E33*'SE '!H$11,AND($C33="Hybrid-electric bus",$D33="Average"),$E33*'SE '!H$12,AND($C33="Hybrid-electric bus",$D33="Nearly full"),$E33*'SE '!H$13,AND($C33="Alternative fuel bus",$D33="Almost empty"),$E33*'SE '!H$15,AND($C33="Alternative fuel bus",$D33="Average"),$E33*'SE '!H$16,AND($C33="Alternative fuel bus",$D33="Nearly full"),$E33*'SE '!H$17,AND($C33="Metro, tram, urban light train",$D33="Almost empty"),$E33*'SE '!C$35,AND($C33="Metro, tram, urban light train",$D33="Average"),$E33*'SE '!C$36,AND($C33="Metro, tram, urban light train",$D33="Nearly full"),$E33*'SE '!C$37,AND($C33="Electric passenger train",$D33="Almost empty"),$E33*'SE '!C$39,AND($C33="Electric passenger train",$D33="Average"),$E33*'SE '!C$40,AND($C33="Electric passenger train",$D33="Nearly full"),$E33*'SE '!C$41,AND($C33="Diesel passenger train",$D33="Almost empty"),$E33*'SE '!C$47,AND($C33="Diesel passenger train",$D33="Average"),$E33*'SE '!C$48,AND($C33="Diesel passenger train",$D33="Nearly full"),$E33*'SE '!C$49,AND($C33="Walking"),$E33*0,AND($C33="Bike"),$E33*0,AND($C33="Plane - domestic flight"),$E33*'SE '!$C57,AND($C33="Plane - international - intra EU"),$E33*'SE '!$C59,AND($C33="Plane - international (extra EU)"),$E33*'SE '!$C61)</f>
        <v>#N/A</v>
      </c>
      <c r="G33" s="31" t="e" cm="1">
        <f t="array" ref="G33">_xlfn.IFS(AND($C33="Fuel car",$D33=1),$E33*'SE '!D$7,AND($C33="Fuel car",$D33=2),$E33*'SE '!D$8,AND($C33="Fuel car",$D33=3),$E33*'SE '!D$9,AND($C33="Fuel car",$D33=4),$E33*'SE '!D$10,AND($C33="Fuel car",$D33=5),$E33*'SE '!D$11,AND($C33="Motorcycle",$D33=1),$E33*'SE '!D$13,AND($C33="Motorcycle",$D33=2),$E33*'SE '!D$14,AND($C33="Electric car",$D33=1),$E33*'SE '!D$16,AND($C33="Electric car",$D33=2),$E33*'SE '!D$17,AND($C33="Electric car",$D33=3),$E33*'SE '!D$18,AND($C33="Electric car",$D33=4),$E33*'SE '!D$19,AND($C33="Electric car",$D33=5),$E33*'SE '!D$20,AND($C33="Hybrid car",$D33=1),$E33*'SE '!D$22,AND($C33="Hybrid car",$D33=2),$E33*'SE '!D$23,AND($C33="Hybrid car",$D33=3),$E33*'SE '!D$24,AND($C33="Hybrid car",$D33=4),$E33*'SE '!D$25,AND($C33="Hybrid car",$D33=5),$E33*'SE '!D$26,AND($C33="Electric motorcycle",$D33=1),$E33*'SE '!D$28,AND($C33="Electric motorcycle",$D33=2),$E33*'SE '!D$29,AND($C33="Electric bike",$D33=1),$E33*'SE '!D$31,AND($C33="Electric scooter",$D33=1),$E33*'SE '!D$33,AND($C33="Bus",$D33="Almost empty"),$E33*'SE '!I$23,AND($C33="Bus",$D33="Average"),$E33*'SE '!I$24,AND($C33="Bus",$D33="Nearly full"),$E33*'SE '!I$25,AND($C33="Electric bus",$D33="Almost empty"),$E33*'SE '!I$7,AND($C33="Electric bus",$D33="Average"),$E33*'SE '!I$8,AND($C33="Electric bus",$D33="Nearly full"),$E33*'SE '!I$9,AND($C33="Diesel bus",$D33="Almost empty"),$E33*'SE '!I$19,AND($C33="Diesel bus",$D33="Average"),$E33*'SE '!I$20,AND($C33="Diesel bus",$D33="Nearly full"),$E33*'SE '!I$21,AND($C33="Hybrid-electric bus",$D33="Almost empty"),$E33*'SE '!I$11,AND($C33="Hybrid-electric bus",$D33="Average"),$E33*'SE '!I$12,AND($C33="Hybrid-electric bus",$D33="Nearly full"),$E33*'SE '!I$13,AND($C33="Alternative fuel bus",$D33="Almost empty"),$E33*'SE '!I$15,AND($C33="Alternative fuel bus",$D33="Average"),$E33*'SE '!I$16,AND($C33="Alternative fuel bus",$D33="Nearly full"),$E33*'SE '!I$17,AND($C33="Metro, tram, urban light train",$D33="Almost empty"),$E33*'SE '!D$35,AND($C33="Metro, tram, urban light train",$D33="Average"),$E33*'SE '!D$36,AND($C33="Metro, tram, urban light train",$D33="Nearly full"),$E33*'SE '!D$37,AND($C33="Electric passenger train",$D33="Almost empty"),$E33*'SE '!D$39,AND($C33="Electric passenger train",$D33="Average"),$E33*'SE '!D$40,AND($C33="Electric passenger train",$D33="Nearly full"),$E33*'SE '!D$41,AND($C33="Diesel passenger train",$D33="Almost empty"),$E33*'SE '!D$47,AND($C33="Diesel passenger train",$D33="Average"),$E33*'SE '!D$48,AND($C33="Diesel passenger train",$D33="Nearly full"),$E33*'SE '!D$49,AND($C33="Walking"),$E33*0,AND($C33="Bike"),$E33*0,AND($C33="Plane - domestic flight"),$E33*'SE '!$C57,AND($C33="Plane - international - intra EU"),$E33*'SE '!$C59,AND($C33="Plane - international (extra EU)"),$E33*'SE '!$C61)</f>
        <v>#N/A</v>
      </c>
      <c r="H33" s="145"/>
      <c r="I33" s="148">
        <f t="shared" si="6"/>
        <v>0</v>
      </c>
      <c r="J33" s="146" t="e" cm="1">
        <f t="array" ref="J33">_xlfn.IFS(C33="Fuel car",C33*DATA!$C$17,C33="Electric car",C33*DATA!$F$30,C33="Hybrid car",I33*(0.5*DATA!$C$17+0.5*DATA!$F$30))</f>
        <v>#N/A</v>
      </c>
      <c r="L33" s="223" t="s">
        <v>78</v>
      </c>
      <c r="M33" s="224"/>
      <c r="N33" s="225"/>
    </row>
    <row r="34" spans="1:14" x14ac:dyDescent="0.2">
      <c r="A34" s="222"/>
      <c r="B34" s="30"/>
      <c r="C34" s="15"/>
      <c r="D34" s="15"/>
      <c r="E34" s="125"/>
      <c r="F34" s="128" t="e" cm="1">
        <f t="array" ref="F34">_xlfn.IFS(AND($C34="Fuel car",$D34=1),$E34*'SE '!C$7,AND($C34="Fuel car",$D34=2),$E34*'SE '!C$8,AND($C34="Fuel car",$D34=3),$E34*'SE '!C$9,AND($C34="Fuel car",$D34=4),$E34*'SE '!C$10,AND($C34="Fuel car",$D34=5),$E34*'SE '!C$11,AND($C34="Motorcycle",$D34=1),$E34*'SE '!C$13,AND($C34="Motorcycle",$D34=2),$E34*'SE '!C$14,AND($C34="Electric car",$D34=1),$E34*'SE '!C$16,AND($C34="Electric car",$D34=2),$E34*'SE '!C$17,AND($C34="Electric car",$D34=3),$E34*'SE '!C$18,AND($C34="Electric car",$D34=4),$E34*'SE '!C$19,AND($C34="Electric car",$D34=5),$E34*'SE '!C$20,AND($C34="Hybrid car",$D34=1),$E34*'SE '!C$22,AND($C34="Hybrid car",$D34=2),$E34*'SE '!C$23,AND($C34="Hybrid car",$D34=3),$E34*'SE '!C$24,AND($C34="Hybrid car",$D34=4),$E34*'SE '!C$25,AND($C34="Hybrid car",$D34=5),$E34*'SE '!C$26,AND($C34="Electric motorcycle",$D34=1),$E34*'SE '!C$28,AND($C34="Electric motorcycle",$D34=2),$E34*'SE '!C$29,AND($C34="Electric bike",$D34=1),$E34*'SE '!C$31,AND($C34="Electric scooter",$D34=1),$E34*'SE '!C$33,AND($C34="Bus",$D34="Almost empty"),$E34*'SE '!H$23,AND($C34="Bus",$D34="Average"),$E34*'SE '!H$24,AND($C34="Bus",$D34="Nearly full"),$E34*'SE '!H$25,AND($C34="Electric bus",$D34="Almost empty"),$E34*'SE '!H$7,AND($C34="Electric bus",$D34="Average"),$E34*'SE '!H$8,AND($C34="Electric bus",$D34="Nearly full"),$E34*'SE '!H$9,AND($C34="Diesel bus",$D34="Almost empty"),$E34*'SE '!H$19,AND($C34="Diesel bus",$D34="Average"),$E34*'SE '!H$20,AND($C34="Diesel bus",$D34="Nearly full"),$E34*'SE '!H$21,AND($C34="Hybrid-electric bus",$D34="Almost empty"),$E34*'SE '!H$11,AND($C34="Hybrid-electric bus",$D34="Average"),$E34*'SE '!H$12,AND($C34="Hybrid-electric bus",$D34="Nearly full"),$E34*'SE '!H$13,AND($C34="Alternative fuel bus",$D34="Almost empty"),$E34*'SE '!H$15,AND($C34="Alternative fuel bus",$D34="Average"),$E34*'SE '!H$16,AND($C34="Alternative fuel bus",$D34="Nearly full"),$E34*'SE '!H$17,AND($C34="Metro, tram, urban light train",$D34="Almost empty"),$E34*'SE '!C$35,AND($C34="Metro, tram, urban light train",$D34="Average"),$E34*'SE '!C$36,AND($C34="Metro, tram, urban light train",$D34="Nearly full"),$E34*'SE '!C$37,AND($C34="Electric passenger train",$D34="Almost empty"),$E34*'SE '!C$39,AND($C34="Electric passenger train",$D34="Average"),$E34*'SE '!C$40,AND($C34="Electric passenger train",$D34="Nearly full"),$E34*'SE '!C$41,AND($C34="Diesel passenger train",$D34="Almost empty"),$E34*'SE '!C$47,AND($C34="Diesel passenger train",$D34="Average"),$E34*'SE '!C$48,AND($C34="Diesel passenger train",$D34="Nearly full"),$E34*'SE '!C$49,AND($C34="Walking"),$E34*0,AND($C34="Bike"),$E34*0,AND($C34="Plane - domestic flight"),$E34*'SE '!$C58,AND($C34="Plane - international - intra EU"),$E34*'SE '!$C60,AND($C34="Plane - international (extra EU)"),$E34*'SE '!$C62)</f>
        <v>#N/A</v>
      </c>
      <c r="G34" s="31" t="e" cm="1">
        <f t="array" ref="G34">_xlfn.IFS(AND($C34="Fuel car",$D34=1),$E34*'SE '!D$7,AND($C34="Fuel car",$D34=2),$E34*'SE '!D$8,AND($C34="Fuel car",$D34=3),$E34*'SE '!D$9,AND($C34="Fuel car",$D34=4),$E34*'SE '!D$10,AND($C34="Fuel car",$D34=5),$E34*'SE '!D$11,AND($C34="Motorcycle",$D34=1),$E34*'SE '!D$13,AND($C34="Motorcycle",$D34=2),$E34*'SE '!D$14,AND($C34="Electric car",$D34=1),$E34*'SE '!D$16,AND($C34="Electric car",$D34=2),$E34*'SE '!D$17,AND($C34="Electric car",$D34=3),$E34*'SE '!D$18,AND($C34="Electric car",$D34=4),$E34*'SE '!D$19,AND($C34="Electric car",$D34=5),$E34*'SE '!D$20,AND($C34="Hybrid car",$D34=1),$E34*'SE '!D$22,AND($C34="Hybrid car",$D34=2),$E34*'SE '!D$23,AND($C34="Hybrid car",$D34=3),$E34*'SE '!D$24,AND($C34="Hybrid car",$D34=4),$E34*'SE '!D$25,AND($C34="Hybrid car",$D34=5),$E34*'SE '!D$26,AND($C34="Electric motorcycle",$D34=1),$E34*'SE '!D$28,AND($C34="Electric motorcycle",$D34=2),$E34*'SE '!D$29,AND($C34="Electric bike",$D34=1),$E34*'SE '!D$31,AND($C34="Electric scooter",$D34=1),$E34*'SE '!D$33,AND($C34="Bus",$D34="Almost empty"),$E34*'SE '!I$23,AND($C34="Bus",$D34="Average"),$E34*'SE '!I$24,AND($C34="Bus",$D34="Nearly full"),$E34*'SE '!I$25,AND($C34="Electric bus",$D34="Almost empty"),$E34*'SE '!I$7,AND($C34="Electric bus",$D34="Average"),$E34*'SE '!I$8,AND($C34="Electric bus",$D34="Nearly full"),$E34*'SE '!I$9,AND($C34="Diesel bus",$D34="Almost empty"),$E34*'SE '!I$19,AND($C34="Diesel bus",$D34="Average"),$E34*'SE '!I$20,AND($C34="Diesel bus",$D34="Nearly full"),$E34*'SE '!I$21,AND($C34="Hybrid-electric bus",$D34="Almost empty"),$E34*'SE '!I$11,AND($C34="Hybrid-electric bus",$D34="Average"),$E34*'SE '!I$12,AND($C34="Hybrid-electric bus",$D34="Nearly full"),$E34*'SE '!I$13,AND($C34="Alternative fuel bus",$D34="Almost empty"),$E34*'SE '!I$15,AND($C34="Alternative fuel bus",$D34="Average"),$E34*'SE '!I$16,AND($C34="Alternative fuel bus",$D34="Nearly full"),$E34*'SE '!I$17,AND($C34="Metro, tram, urban light train",$D34="Almost empty"),$E34*'SE '!D$35,AND($C34="Metro, tram, urban light train",$D34="Average"),$E34*'SE '!D$36,AND($C34="Metro, tram, urban light train",$D34="Nearly full"),$E34*'SE '!D$37,AND($C34="Electric passenger train",$D34="Almost empty"),$E34*'SE '!D$39,AND($C34="Electric passenger train",$D34="Average"),$E34*'SE '!D$40,AND($C34="Electric passenger train",$D34="Nearly full"),$E34*'SE '!D$41,AND($C34="Diesel passenger train",$D34="Almost empty"),$E34*'SE '!D$47,AND($C34="Diesel passenger train",$D34="Average"),$E34*'SE '!D$48,AND($C34="Diesel passenger train",$D34="Nearly full"),$E34*'SE '!D$49,AND($C34="Walking"),$E34*0,AND($C34="Bike"),$E34*0,AND($C34="Plane - domestic flight"),$E34*'SE '!$C58,AND($C34="Plane - international - intra EU"),$E34*'SE '!$C60,AND($C34="Plane - international (extra EU)"),$E34*'SE '!$C62)</f>
        <v>#N/A</v>
      </c>
      <c r="H34" s="145"/>
      <c r="I34" s="148">
        <f t="shared" si="6"/>
        <v>0</v>
      </c>
      <c r="J34" s="146" t="e" cm="1">
        <f t="array" ref="J34">_xlfn.IFS(C34="Fuel car",C34*DATA!$C$17,C34="Electric car",C34*DATA!$F$30,C34="Hybrid car",I34*(0.5*DATA!$C$17+0.5*DATA!$F$30))</f>
        <v>#N/A</v>
      </c>
      <c r="L34" s="223"/>
      <c r="M34" s="224"/>
      <c r="N34" s="225"/>
    </row>
    <row r="35" spans="1:14" ht="14.5" customHeight="1" x14ac:dyDescent="0.2">
      <c r="A35" s="222"/>
      <c r="B35" s="30"/>
      <c r="C35" s="15"/>
      <c r="D35" s="15"/>
      <c r="E35" s="125"/>
      <c r="F35" s="128" t="e" cm="1">
        <f t="array" ref="F35">_xlfn.IFS(AND($C35="Fuel car",$D35=1),$E35*'SE '!C$7,AND($C35="Fuel car",$D35=2),$E35*'SE '!C$8,AND($C35="Fuel car",$D35=3),$E35*'SE '!C$9,AND($C35="Fuel car",$D35=4),$E35*'SE '!C$10,AND($C35="Fuel car",$D35=5),$E35*'SE '!C$11,AND($C35="Motorcycle",$D35=1),$E35*'SE '!C$13,AND($C35="Motorcycle",$D35=2),$E35*'SE '!C$14,AND($C35="Electric car",$D35=1),$E35*'SE '!C$16,AND($C35="Electric car",$D35=2),$E35*'SE '!C$17,AND($C35="Electric car",$D35=3),$E35*'SE '!C$18,AND($C35="Electric car",$D35=4),$E35*'SE '!C$19,AND($C35="Electric car",$D35=5),$E35*'SE '!C$20,AND($C35="Hybrid car",$D35=1),$E35*'SE '!C$22,AND($C35="Hybrid car",$D35=2),$E35*'SE '!C$23,AND($C35="Hybrid car",$D35=3),$E35*'SE '!C$24,AND($C35="Hybrid car",$D35=4),$E35*'SE '!C$25,AND($C35="Hybrid car",$D35=5),$E35*'SE '!C$26,AND($C35="Electric motorcycle",$D35=1),$E35*'SE '!C$28,AND($C35="Electric motorcycle",$D35=2),$E35*'SE '!C$29,AND($C35="Electric bike",$D35=1),$E35*'SE '!C$31,AND($C35="Electric scooter",$D35=1),$E35*'SE '!C$33,AND($C35="Bus",$D35="Almost empty"),$E35*'SE '!H$23,AND($C35="Bus",$D35="Average"),$E35*'SE '!H$24,AND($C35="Bus",$D35="Nearly full"),$E35*'SE '!H$25,AND($C35="Electric bus",$D35="Almost empty"),$E35*'SE '!H$7,AND($C35="Electric bus",$D35="Average"),$E35*'SE '!H$8,AND($C35="Electric bus",$D35="Nearly full"),$E35*'SE '!H$9,AND($C35="Diesel bus",$D35="Almost empty"),$E35*'SE '!H$19,AND($C35="Diesel bus",$D35="Average"),$E35*'SE '!H$20,AND($C35="Diesel bus",$D35="Nearly full"),$E35*'SE '!H$21,AND($C35="Hybrid-electric bus",$D35="Almost empty"),$E35*'SE '!H$11,AND($C35="Hybrid-electric bus",$D35="Average"),$E35*'SE '!H$12,AND($C35="Hybrid-electric bus",$D35="Nearly full"),$E35*'SE '!H$13,AND($C35="Alternative fuel bus",$D35="Almost empty"),$E35*'SE '!H$15,AND($C35="Alternative fuel bus",$D35="Average"),$E35*'SE '!H$16,AND($C35="Alternative fuel bus",$D35="Nearly full"),$E35*'SE '!H$17,AND($C35="Metro, tram, urban light train",$D35="Almost empty"),$E35*'SE '!C$35,AND($C35="Metro, tram, urban light train",$D35="Average"),$E35*'SE '!C$36,AND($C35="Metro, tram, urban light train",$D35="Nearly full"),$E35*'SE '!C$37,AND($C35="Electric passenger train",$D35="Almost empty"),$E35*'SE '!C$39,AND($C35="Electric passenger train",$D35="Average"),$E35*'SE '!C$40,AND($C35="Electric passenger train",$D35="Nearly full"),$E35*'SE '!C$41,AND($C35="Diesel passenger train",$D35="Almost empty"),$E35*'SE '!C$47,AND($C35="Diesel passenger train",$D35="Average"),$E35*'SE '!C$48,AND($C35="Diesel passenger train",$D35="Nearly full"),$E35*'SE '!C$49,AND($C35="Walking"),$E35*0,AND($C35="Bike"),$E35*0,AND($C35="Plane - domestic flight"),$E35*'SE '!$C59,AND($C35="Plane - international - intra EU"),$E35*'SE '!$C61,AND($C35="Plane - international (extra EU)"),$E35*'SE '!$C63)</f>
        <v>#N/A</v>
      </c>
      <c r="G35" s="31" t="e" cm="1">
        <f t="array" ref="G35">_xlfn.IFS(AND($C35="Fuel car",$D35=1),$E35*'SE '!D$7,AND($C35="Fuel car",$D35=2),$E35*'SE '!D$8,AND($C35="Fuel car",$D35=3),$E35*'SE '!D$9,AND($C35="Fuel car",$D35=4),$E35*'SE '!D$10,AND($C35="Fuel car",$D35=5),$E35*'SE '!D$11,AND($C35="Motorcycle",$D35=1),$E35*'SE '!D$13,AND($C35="Motorcycle",$D35=2),$E35*'SE '!D$14,AND($C35="Electric car",$D35=1),$E35*'SE '!D$16,AND($C35="Electric car",$D35=2),$E35*'SE '!D$17,AND($C35="Electric car",$D35=3),$E35*'SE '!D$18,AND($C35="Electric car",$D35=4),$E35*'SE '!D$19,AND($C35="Electric car",$D35=5),$E35*'SE '!D$20,AND($C35="Hybrid car",$D35=1),$E35*'SE '!D$22,AND($C35="Hybrid car",$D35=2),$E35*'SE '!D$23,AND($C35="Hybrid car",$D35=3),$E35*'SE '!D$24,AND($C35="Hybrid car",$D35=4),$E35*'SE '!D$25,AND($C35="Hybrid car",$D35=5),$E35*'SE '!D$26,AND($C35="Electric motorcycle",$D35=1),$E35*'SE '!D$28,AND($C35="Electric motorcycle",$D35=2),$E35*'SE '!D$29,AND($C35="Electric bike",$D35=1),$E35*'SE '!D$31,AND($C35="Electric scooter",$D35=1),$E35*'SE '!D$33,AND($C35="Bus",$D35="Almost empty"),$E35*'SE '!I$23,AND($C35="Bus",$D35="Average"),$E35*'SE '!I$24,AND($C35="Bus",$D35="Nearly full"),$E35*'SE '!I$25,AND($C35="Electric bus",$D35="Almost empty"),$E35*'SE '!I$7,AND($C35="Electric bus",$D35="Average"),$E35*'SE '!I$8,AND($C35="Electric bus",$D35="Nearly full"),$E35*'SE '!I$9,AND($C35="Diesel bus",$D35="Almost empty"),$E35*'SE '!I$19,AND($C35="Diesel bus",$D35="Average"),$E35*'SE '!I$20,AND($C35="Diesel bus",$D35="Nearly full"),$E35*'SE '!I$21,AND($C35="Hybrid-electric bus",$D35="Almost empty"),$E35*'SE '!I$11,AND($C35="Hybrid-electric bus",$D35="Average"),$E35*'SE '!I$12,AND($C35="Hybrid-electric bus",$D35="Nearly full"),$E35*'SE '!I$13,AND($C35="Alternative fuel bus",$D35="Almost empty"),$E35*'SE '!I$15,AND($C35="Alternative fuel bus",$D35="Average"),$E35*'SE '!I$16,AND($C35="Alternative fuel bus",$D35="Nearly full"),$E35*'SE '!I$17,AND($C35="Metro, tram, urban light train",$D35="Almost empty"),$E35*'SE '!D$35,AND($C35="Metro, tram, urban light train",$D35="Average"),$E35*'SE '!D$36,AND($C35="Metro, tram, urban light train",$D35="Nearly full"),$E35*'SE '!D$37,AND($C35="Electric passenger train",$D35="Almost empty"),$E35*'SE '!D$39,AND($C35="Electric passenger train",$D35="Average"),$E35*'SE '!D$40,AND($C35="Electric passenger train",$D35="Nearly full"),$E35*'SE '!D$41,AND($C35="Diesel passenger train",$D35="Almost empty"),$E35*'SE '!D$47,AND($C35="Diesel passenger train",$D35="Average"),$E35*'SE '!D$48,AND($C35="Diesel passenger train",$D35="Nearly full"),$E35*'SE '!D$49,AND($C35="Walking"),$E35*0,AND($C35="Bike"),$E35*0,AND($C35="Plane - domestic flight"),$E35*'SE '!$C59,AND($C35="Plane - international - intra EU"),$E35*'SE '!$C61,AND($C35="Plane - international (extra EU)"),$E35*'SE '!$C63)</f>
        <v>#N/A</v>
      </c>
      <c r="H35" s="145"/>
      <c r="I35" s="148">
        <f t="shared" si="6"/>
        <v>0</v>
      </c>
      <c r="J35" s="146" t="e" cm="1">
        <f t="array" ref="J35">_xlfn.IFS(C35="Fuel car",C35*DATA!$C$17,C35="Electric car",C35*DATA!$F$30,C35="Hybrid car",I35*(0.5*DATA!$C$17+0.5*DATA!$F$30))</f>
        <v>#N/A</v>
      </c>
      <c r="L35" s="223"/>
      <c r="M35" s="224"/>
      <c r="N35" s="225"/>
    </row>
    <row r="36" spans="1:14" ht="16" thickBot="1" x14ac:dyDescent="0.25">
      <c r="A36" s="222"/>
      <c r="B36" s="30"/>
      <c r="C36" s="15"/>
      <c r="D36" s="15"/>
      <c r="E36" s="125"/>
      <c r="F36" s="128" t="e" cm="1">
        <f t="array" ref="F36">_xlfn.IFS(AND($C36="Fuel car",$D36=1),$E36*'SE '!C$7,AND($C36="Fuel car",$D36=2),$E36*'SE '!C$8,AND($C36="Fuel car",$D36=3),$E36*'SE '!C$9,AND($C36="Fuel car",$D36=4),$E36*'SE '!C$10,AND($C36="Fuel car",$D36=5),$E36*'SE '!C$11,AND($C36="Motorcycle",$D36=1),$E36*'SE '!C$13,AND($C36="Motorcycle",$D36=2),$E36*'SE '!C$14,AND($C36="Electric car",$D36=1),$E36*'SE '!C$16,AND($C36="Electric car",$D36=2),$E36*'SE '!C$17,AND($C36="Electric car",$D36=3),$E36*'SE '!C$18,AND($C36="Electric car",$D36=4),$E36*'SE '!C$19,AND($C36="Electric car",$D36=5),$E36*'SE '!C$20,AND($C36="Hybrid car",$D36=1),$E36*'SE '!C$22,AND($C36="Hybrid car",$D36=2),$E36*'SE '!C$23,AND($C36="Hybrid car",$D36=3),$E36*'SE '!C$24,AND($C36="Hybrid car",$D36=4),$E36*'SE '!C$25,AND($C36="Hybrid car",$D36=5),$E36*'SE '!C$26,AND($C36="Electric motorcycle",$D36=1),$E36*'SE '!C$28,AND($C36="Electric motorcycle",$D36=2),$E36*'SE '!C$29,AND($C36="Electric bike",$D36=1),$E36*'SE '!C$31,AND($C36="Electric scooter",$D36=1),$E36*'SE '!C$33,AND($C36="Bus",$D36="Almost empty"),$E36*'SE '!H$23,AND($C36="Bus",$D36="Average"),$E36*'SE '!H$24,AND($C36="Bus",$D36="Nearly full"),$E36*'SE '!H$25,AND($C36="Electric bus",$D36="Almost empty"),$E36*'SE '!H$7,AND($C36="Electric bus",$D36="Average"),$E36*'SE '!H$8,AND($C36="Electric bus",$D36="Nearly full"),$E36*'SE '!H$9,AND($C36="Diesel bus",$D36="Almost empty"),$E36*'SE '!H$19,AND($C36="Diesel bus",$D36="Average"),$E36*'SE '!H$20,AND($C36="Diesel bus",$D36="Nearly full"),$E36*'SE '!H$21,AND($C36="Hybrid-electric bus",$D36="Almost empty"),$E36*'SE '!H$11,AND($C36="Hybrid-electric bus",$D36="Average"),$E36*'SE '!H$12,AND($C36="Hybrid-electric bus",$D36="Nearly full"),$E36*'SE '!H$13,AND($C36="Alternative fuel bus",$D36="Almost empty"),$E36*'SE '!H$15,AND($C36="Alternative fuel bus",$D36="Average"),$E36*'SE '!H$16,AND($C36="Alternative fuel bus",$D36="Nearly full"),$E36*'SE '!H$17,AND($C36="Metro, tram, urban light train",$D36="Almost empty"),$E36*'SE '!C$35,AND($C36="Metro, tram, urban light train",$D36="Average"),$E36*'SE '!C$36,AND($C36="Metro, tram, urban light train",$D36="Nearly full"),$E36*'SE '!C$37,AND($C36="Electric passenger train",$D36="Almost empty"),$E36*'SE '!C$39,AND($C36="Electric passenger train",$D36="Average"),$E36*'SE '!C$40,AND($C36="Electric passenger train",$D36="Nearly full"),$E36*'SE '!C$41,AND($C36="Diesel passenger train",$D36="Almost empty"),$E36*'SE '!C$47,AND($C36="Diesel passenger train",$D36="Average"),$E36*'SE '!C$48,AND($C36="Diesel passenger train",$D36="Nearly full"),$E36*'SE '!C$49,AND($C36="Walking"),$E36*0,AND($C36="Bike"),$E36*0,AND($C36="Plane - domestic flight"),$E36*'SE '!$C60,AND($C36="Plane - international - intra EU"),$E36*'SE '!$C62,AND($C36="Plane - international (extra EU)"),$E36*'SE '!$C64)</f>
        <v>#N/A</v>
      </c>
      <c r="G36" s="31" t="e" cm="1">
        <f t="array" ref="G36">_xlfn.IFS(AND($C36="Fuel car",$D36=1),$E36*'SE '!D$7,AND($C36="Fuel car",$D36=2),$E36*'SE '!D$8,AND($C36="Fuel car",$D36=3),$E36*'SE '!D$9,AND($C36="Fuel car",$D36=4),$E36*'SE '!D$10,AND($C36="Fuel car",$D36=5),$E36*'SE '!D$11,AND($C36="Motorcycle",$D36=1),$E36*'SE '!D$13,AND($C36="Motorcycle",$D36=2),$E36*'SE '!D$14,AND($C36="Electric car",$D36=1),$E36*'SE '!D$16,AND($C36="Electric car",$D36=2),$E36*'SE '!D$17,AND($C36="Electric car",$D36=3),$E36*'SE '!D$18,AND($C36="Electric car",$D36=4),$E36*'SE '!D$19,AND($C36="Electric car",$D36=5),$E36*'SE '!D$20,AND($C36="Hybrid car",$D36=1),$E36*'SE '!D$22,AND($C36="Hybrid car",$D36=2),$E36*'SE '!D$23,AND($C36="Hybrid car",$D36=3),$E36*'SE '!D$24,AND($C36="Hybrid car",$D36=4),$E36*'SE '!D$25,AND($C36="Hybrid car",$D36=5),$E36*'SE '!D$26,AND($C36="Electric motorcycle",$D36=1),$E36*'SE '!D$28,AND($C36="Electric motorcycle",$D36=2),$E36*'SE '!D$29,AND($C36="Electric bike",$D36=1),$E36*'SE '!D$31,AND($C36="Electric scooter",$D36=1),$E36*'SE '!D$33,AND($C36="Bus",$D36="Almost empty"),$E36*'SE '!I$23,AND($C36="Bus",$D36="Average"),$E36*'SE '!I$24,AND($C36="Bus",$D36="Nearly full"),$E36*'SE '!I$25,AND($C36="Electric bus",$D36="Almost empty"),$E36*'SE '!I$7,AND($C36="Electric bus",$D36="Average"),$E36*'SE '!I$8,AND($C36="Electric bus",$D36="Nearly full"),$E36*'SE '!I$9,AND($C36="Diesel bus",$D36="Almost empty"),$E36*'SE '!I$19,AND($C36="Diesel bus",$D36="Average"),$E36*'SE '!I$20,AND($C36="Diesel bus",$D36="Nearly full"),$E36*'SE '!I$21,AND($C36="Hybrid-electric bus",$D36="Almost empty"),$E36*'SE '!I$11,AND($C36="Hybrid-electric bus",$D36="Average"),$E36*'SE '!I$12,AND($C36="Hybrid-electric bus",$D36="Nearly full"),$E36*'SE '!I$13,AND($C36="Alternative fuel bus",$D36="Almost empty"),$E36*'SE '!I$15,AND($C36="Alternative fuel bus",$D36="Average"),$E36*'SE '!I$16,AND($C36="Alternative fuel bus",$D36="Nearly full"),$E36*'SE '!I$17,AND($C36="Metro, tram, urban light train",$D36="Almost empty"),$E36*'SE '!D$35,AND($C36="Metro, tram, urban light train",$D36="Average"),$E36*'SE '!D$36,AND($C36="Metro, tram, urban light train",$D36="Nearly full"),$E36*'SE '!D$37,AND($C36="Electric passenger train",$D36="Almost empty"),$E36*'SE '!D$39,AND($C36="Electric passenger train",$D36="Average"),$E36*'SE '!D$40,AND($C36="Electric passenger train",$D36="Nearly full"),$E36*'SE '!D$41,AND($C36="Diesel passenger train",$D36="Almost empty"),$E36*'SE '!D$47,AND($C36="Diesel passenger train",$D36="Average"),$E36*'SE '!D$48,AND($C36="Diesel passenger train",$D36="Nearly full"),$E36*'SE '!D$49,AND($C36="Walking"),$E36*0,AND($C36="Bike"),$E36*0,AND($C36="Plane - domestic flight"),$E36*'SE '!$C60,AND($C36="Plane - international - intra EU"),$E36*'SE '!$C62,AND($C36="Plane - international (extra EU)"),$E36*'SE '!$C64)</f>
        <v>#N/A</v>
      </c>
      <c r="H36" s="145"/>
      <c r="I36" s="148">
        <f t="shared" si="6"/>
        <v>0</v>
      </c>
      <c r="J36" s="146" t="e" cm="1">
        <f t="array" ref="J36">_xlfn.IFS(C36="Fuel car",C36*DATA!$C$17,C36="Electric car",C36*DATA!$F$30,C36="Hybrid car",I36*(0.5*DATA!$C$17+0.5*DATA!$F$30))</f>
        <v>#N/A</v>
      </c>
      <c r="L36" s="218"/>
      <c r="M36" s="219"/>
      <c r="N36" s="220"/>
    </row>
    <row r="37" spans="1:14" ht="14.5" customHeight="1" x14ac:dyDescent="0.2">
      <c r="A37" s="222"/>
      <c r="B37" s="30"/>
      <c r="C37" s="15"/>
      <c r="D37" s="15"/>
      <c r="E37" s="125"/>
      <c r="F37" s="128" t="e" cm="1">
        <f t="array" ref="F37">_xlfn.IFS(AND($C37="Fuel car",$D37=1),$E37*'SE '!C$7,AND($C37="Fuel car",$D37=2),$E37*'SE '!C$8,AND($C37="Fuel car",$D37=3),$E37*'SE '!C$9,AND($C37="Fuel car",$D37=4),$E37*'SE '!C$10,AND($C37="Fuel car",$D37=5),$E37*'SE '!C$11,AND($C37="Motorcycle",$D37=1),$E37*'SE '!C$13,AND($C37="Motorcycle",$D37=2),$E37*'SE '!C$14,AND($C37="Electric car",$D37=1),$E37*'SE '!C$16,AND($C37="Electric car",$D37=2),$E37*'SE '!C$17,AND($C37="Electric car",$D37=3),$E37*'SE '!C$18,AND($C37="Electric car",$D37=4),$E37*'SE '!C$19,AND($C37="Electric car",$D37=5),$E37*'SE '!C$20,AND($C37="Hybrid car",$D37=1),$E37*'SE '!C$22,AND($C37="Hybrid car",$D37=2),$E37*'SE '!C$23,AND($C37="Hybrid car",$D37=3),$E37*'SE '!C$24,AND($C37="Hybrid car",$D37=4),$E37*'SE '!C$25,AND($C37="Hybrid car",$D37=5),$E37*'SE '!C$26,AND($C37="Electric motorcycle",$D37=1),$E37*'SE '!C$28,AND($C37="Electric motorcycle",$D37=2),$E37*'SE '!C$29,AND($C37="Electric bike",$D37=1),$E37*'SE '!C$31,AND($C37="Electric scooter",$D37=1),$E37*'SE '!C$33,AND($C37="Bus",$D37="Almost empty"),$E37*'SE '!H$23,AND($C37="Bus",$D37="Average"),$E37*'SE '!H$24,AND($C37="Bus",$D37="Nearly full"),$E37*'SE '!H$25,AND($C37="Electric bus",$D37="Almost empty"),$E37*'SE '!H$7,AND($C37="Electric bus",$D37="Average"),$E37*'SE '!H$8,AND($C37="Electric bus",$D37="Nearly full"),$E37*'SE '!H$9,AND($C37="Diesel bus",$D37="Almost empty"),$E37*'SE '!H$19,AND($C37="Diesel bus",$D37="Average"),$E37*'SE '!H$20,AND($C37="Diesel bus",$D37="Nearly full"),$E37*'SE '!H$21,AND($C37="Hybrid-electric bus",$D37="Almost empty"),$E37*'SE '!H$11,AND($C37="Hybrid-electric bus",$D37="Average"),$E37*'SE '!H$12,AND($C37="Hybrid-electric bus",$D37="Nearly full"),$E37*'SE '!H$13,AND($C37="Alternative fuel bus",$D37="Almost empty"),$E37*'SE '!H$15,AND($C37="Alternative fuel bus",$D37="Average"),$E37*'SE '!H$16,AND($C37="Alternative fuel bus",$D37="Nearly full"),$E37*'SE '!H$17,AND($C37="Metro, tram, urban light train",$D37="Almost empty"),$E37*'SE '!C$35,AND($C37="Metro, tram, urban light train",$D37="Average"),$E37*'SE '!C$36,AND($C37="Metro, tram, urban light train",$D37="Nearly full"),$E37*'SE '!C$37,AND($C37="Electric passenger train",$D37="Almost empty"),$E37*'SE '!C$39,AND($C37="Electric passenger train",$D37="Average"),$E37*'SE '!C$40,AND($C37="Electric passenger train",$D37="Nearly full"),$E37*'SE '!C$41,AND($C37="Diesel passenger train",$D37="Almost empty"),$E37*'SE '!C$47,AND($C37="Diesel passenger train",$D37="Average"),$E37*'SE '!C$48,AND($C37="Diesel passenger train",$D37="Nearly full"),$E37*'SE '!C$49,AND($C37="Walking"),$E37*0,AND($C37="Bike"),$E37*0,AND($C37="Plane - domestic flight"),$E37*'SE '!$C61,AND($C37="Plane - international - intra EU"),$E37*'SE '!$C63,AND($C37="Plane - international (extra EU)"),$E37*'SE '!$C65)</f>
        <v>#N/A</v>
      </c>
      <c r="G37" s="31" t="e" cm="1">
        <f t="array" ref="G37">_xlfn.IFS(AND($C37="Fuel car",$D37=1),$E37*'SE '!D$7,AND($C37="Fuel car",$D37=2),$E37*'SE '!D$8,AND($C37="Fuel car",$D37=3),$E37*'SE '!D$9,AND($C37="Fuel car",$D37=4),$E37*'SE '!D$10,AND($C37="Fuel car",$D37=5),$E37*'SE '!D$11,AND($C37="Motorcycle",$D37=1),$E37*'SE '!D$13,AND($C37="Motorcycle",$D37=2),$E37*'SE '!D$14,AND($C37="Electric car",$D37=1),$E37*'SE '!D$16,AND($C37="Electric car",$D37=2),$E37*'SE '!D$17,AND($C37="Electric car",$D37=3),$E37*'SE '!D$18,AND($C37="Electric car",$D37=4),$E37*'SE '!D$19,AND($C37="Electric car",$D37=5),$E37*'SE '!D$20,AND($C37="Hybrid car",$D37=1),$E37*'SE '!D$22,AND($C37="Hybrid car",$D37=2),$E37*'SE '!D$23,AND($C37="Hybrid car",$D37=3),$E37*'SE '!D$24,AND($C37="Hybrid car",$D37=4),$E37*'SE '!D$25,AND($C37="Hybrid car",$D37=5),$E37*'SE '!D$26,AND($C37="Electric motorcycle",$D37=1),$E37*'SE '!D$28,AND($C37="Electric motorcycle",$D37=2),$E37*'SE '!D$29,AND($C37="Electric bike",$D37=1),$E37*'SE '!D$31,AND($C37="Electric scooter",$D37=1),$E37*'SE '!D$33,AND($C37="Bus",$D37="Almost empty"),$E37*'SE '!I$23,AND($C37="Bus",$D37="Average"),$E37*'SE '!I$24,AND($C37="Bus",$D37="Nearly full"),$E37*'SE '!I$25,AND($C37="Electric bus",$D37="Almost empty"),$E37*'SE '!I$7,AND($C37="Electric bus",$D37="Average"),$E37*'SE '!I$8,AND($C37="Electric bus",$D37="Nearly full"),$E37*'SE '!I$9,AND($C37="Diesel bus",$D37="Almost empty"),$E37*'SE '!I$19,AND($C37="Diesel bus",$D37="Average"),$E37*'SE '!I$20,AND($C37="Diesel bus",$D37="Nearly full"),$E37*'SE '!I$21,AND($C37="Hybrid-electric bus",$D37="Almost empty"),$E37*'SE '!I$11,AND($C37="Hybrid-electric bus",$D37="Average"),$E37*'SE '!I$12,AND($C37="Hybrid-electric bus",$D37="Nearly full"),$E37*'SE '!I$13,AND($C37="Alternative fuel bus",$D37="Almost empty"),$E37*'SE '!I$15,AND($C37="Alternative fuel bus",$D37="Average"),$E37*'SE '!I$16,AND($C37="Alternative fuel bus",$D37="Nearly full"),$E37*'SE '!I$17,AND($C37="Metro, tram, urban light train",$D37="Almost empty"),$E37*'SE '!D$35,AND($C37="Metro, tram, urban light train",$D37="Average"),$E37*'SE '!D$36,AND($C37="Metro, tram, urban light train",$D37="Nearly full"),$E37*'SE '!D$37,AND($C37="Electric passenger train",$D37="Almost empty"),$E37*'SE '!D$39,AND($C37="Electric passenger train",$D37="Average"),$E37*'SE '!D$40,AND($C37="Electric passenger train",$D37="Nearly full"),$E37*'SE '!D$41,AND($C37="Diesel passenger train",$D37="Almost empty"),$E37*'SE '!D$47,AND($C37="Diesel passenger train",$D37="Average"),$E37*'SE '!D$48,AND($C37="Diesel passenger train",$D37="Nearly full"),$E37*'SE '!D$49,AND($C37="Walking"),$E37*0,AND($C37="Bike"),$E37*0,AND($C37="Plane - domestic flight"),$E37*'SE '!$C61,AND($C37="Plane - international - intra EU"),$E37*'SE '!$C63,AND($C37="Plane - international (extra EU)"),$E37*'SE '!$C65)</f>
        <v>#N/A</v>
      </c>
      <c r="H37" s="145"/>
      <c r="I37" s="148">
        <f t="shared" si="6"/>
        <v>0</v>
      </c>
      <c r="J37" s="146" t="e" cm="1">
        <f t="array" ref="J37">_xlfn.IFS(C37="Fuel car",C37*DATA!$C$17,C37="Electric car",C37*DATA!$F$30,C37="Hybrid car",I37*(0.5*DATA!$C$17+0.5*DATA!$F$30))</f>
        <v>#N/A</v>
      </c>
      <c r="L37" s="215" t="s">
        <v>79</v>
      </c>
      <c r="M37" s="216"/>
      <c r="N37" s="217"/>
    </row>
    <row r="38" spans="1:14" ht="16" thickBot="1" x14ac:dyDescent="0.25">
      <c r="A38" s="222"/>
      <c r="B38" s="30"/>
      <c r="C38" s="15"/>
      <c r="D38" s="15"/>
      <c r="E38" s="125"/>
      <c r="F38" s="128" t="e" cm="1">
        <f t="array" ref="F38">_xlfn.IFS(AND($C38="Fuel car",$D38=1),$E38*'SE '!C$7,AND($C38="Fuel car",$D38=2),$E38*'SE '!C$8,AND($C38="Fuel car",$D38=3),$E38*'SE '!C$9,AND($C38="Fuel car",$D38=4),$E38*'SE '!C$10,AND($C38="Fuel car",$D38=5),$E38*'SE '!C$11,AND($C38="Motorcycle",$D38=1),$E38*'SE '!C$13,AND($C38="Motorcycle",$D38=2),$E38*'SE '!C$14,AND($C38="Electric car",$D38=1),$E38*'SE '!C$16,AND($C38="Electric car",$D38=2),$E38*'SE '!C$17,AND($C38="Electric car",$D38=3),$E38*'SE '!C$18,AND($C38="Electric car",$D38=4),$E38*'SE '!C$19,AND($C38="Electric car",$D38=5),$E38*'SE '!C$20,AND($C38="Hybrid car",$D38=1),$E38*'SE '!C$22,AND($C38="Hybrid car",$D38=2),$E38*'SE '!C$23,AND($C38="Hybrid car",$D38=3),$E38*'SE '!C$24,AND($C38="Hybrid car",$D38=4),$E38*'SE '!C$25,AND($C38="Hybrid car",$D38=5),$E38*'SE '!C$26,AND($C38="Electric motorcycle",$D38=1),$E38*'SE '!C$28,AND($C38="Electric motorcycle",$D38=2),$E38*'SE '!C$29,AND($C38="Electric bike",$D38=1),$E38*'SE '!C$31,AND($C38="Electric scooter",$D38=1),$E38*'SE '!C$33,AND($C38="Bus",$D38="Almost empty"),$E38*'SE '!H$23,AND($C38="Bus",$D38="Average"),$E38*'SE '!H$24,AND($C38="Bus",$D38="Nearly full"),$E38*'SE '!H$25,AND($C38="Electric bus",$D38="Almost empty"),$E38*'SE '!H$7,AND($C38="Electric bus",$D38="Average"),$E38*'SE '!H$8,AND($C38="Electric bus",$D38="Nearly full"),$E38*'SE '!H$9,AND($C38="Diesel bus",$D38="Almost empty"),$E38*'SE '!H$19,AND($C38="Diesel bus",$D38="Average"),$E38*'SE '!H$20,AND($C38="Diesel bus",$D38="Nearly full"),$E38*'SE '!H$21,AND($C38="Hybrid-electric bus",$D38="Almost empty"),$E38*'SE '!H$11,AND($C38="Hybrid-electric bus",$D38="Average"),$E38*'SE '!H$12,AND($C38="Hybrid-electric bus",$D38="Nearly full"),$E38*'SE '!H$13,AND($C38="Alternative fuel bus",$D38="Almost empty"),$E38*'SE '!H$15,AND($C38="Alternative fuel bus",$D38="Average"),$E38*'SE '!H$16,AND($C38="Alternative fuel bus",$D38="Nearly full"),$E38*'SE '!H$17,AND($C38="Metro, tram, urban light train",$D38="Almost empty"),$E38*'SE '!C$35,AND($C38="Metro, tram, urban light train",$D38="Average"),$E38*'SE '!C$36,AND($C38="Metro, tram, urban light train",$D38="Nearly full"),$E38*'SE '!C$37,AND($C38="Electric passenger train",$D38="Almost empty"),$E38*'SE '!C$39,AND($C38="Electric passenger train",$D38="Average"),$E38*'SE '!C$40,AND($C38="Electric passenger train",$D38="Nearly full"),$E38*'SE '!C$41,AND($C38="Diesel passenger train",$D38="Almost empty"),$E38*'SE '!C$47,AND($C38="Diesel passenger train",$D38="Average"),$E38*'SE '!C$48,AND($C38="Diesel passenger train",$D38="Nearly full"),$E38*'SE '!C$49,AND($C38="Walking"),$E38*0,AND($C38="Bike"),$E38*0,AND($C38="Plane - domestic flight"),$E38*'SE '!$C62,AND($C38="Plane - international - intra EU"),$E38*'SE '!$C64,AND($C38="Plane - international (extra EU)"),$E38*'SE '!$C66)</f>
        <v>#N/A</v>
      </c>
      <c r="G38" s="31" t="e" cm="1">
        <f t="array" ref="G38">_xlfn.IFS(AND($C38="Fuel car",$D38=1),$E38*'SE '!D$7,AND($C38="Fuel car",$D38=2),$E38*'SE '!D$8,AND($C38="Fuel car",$D38=3),$E38*'SE '!D$9,AND($C38="Fuel car",$D38=4),$E38*'SE '!D$10,AND($C38="Fuel car",$D38=5),$E38*'SE '!D$11,AND($C38="Motorcycle",$D38=1),$E38*'SE '!D$13,AND($C38="Motorcycle",$D38=2),$E38*'SE '!D$14,AND($C38="Electric car",$D38=1),$E38*'SE '!D$16,AND($C38="Electric car",$D38=2),$E38*'SE '!D$17,AND($C38="Electric car",$D38=3),$E38*'SE '!D$18,AND($C38="Electric car",$D38=4),$E38*'SE '!D$19,AND($C38="Electric car",$D38=5),$E38*'SE '!D$20,AND($C38="Hybrid car",$D38=1),$E38*'SE '!D$22,AND($C38="Hybrid car",$D38=2),$E38*'SE '!D$23,AND($C38="Hybrid car",$D38=3),$E38*'SE '!D$24,AND($C38="Hybrid car",$D38=4),$E38*'SE '!D$25,AND($C38="Hybrid car",$D38=5),$E38*'SE '!D$26,AND($C38="Electric motorcycle",$D38=1),$E38*'SE '!D$28,AND($C38="Electric motorcycle",$D38=2),$E38*'SE '!D$29,AND($C38="Electric bike",$D38=1),$E38*'SE '!D$31,AND($C38="Electric scooter",$D38=1),$E38*'SE '!D$33,AND($C38="Bus",$D38="Almost empty"),$E38*'SE '!I$23,AND($C38="Bus",$D38="Average"),$E38*'SE '!I$24,AND($C38="Bus",$D38="Nearly full"),$E38*'SE '!I$25,AND($C38="Electric bus",$D38="Almost empty"),$E38*'SE '!I$7,AND($C38="Electric bus",$D38="Average"),$E38*'SE '!I$8,AND($C38="Electric bus",$D38="Nearly full"),$E38*'SE '!I$9,AND($C38="Diesel bus",$D38="Almost empty"),$E38*'SE '!I$19,AND($C38="Diesel bus",$D38="Average"),$E38*'SE '!I$20,AND($C38="Diesel bus",$D38="Nearly full"),$E38*'SE '!I$21,AND($C38="Hybrid-electric bus",$D38="Almost empty"),$E38*'SE '!I$11,AND($C38="Hybrid-electric bus",$D38="Average"),$E38*'SE '!I$12,AND($C38="Hybrid-electric bus",$D38="Nearly full"),$E38*'SE '!I$13,AND($C38="Alternative fuel bus",$D38="Almost empty"),$E38*'SE '!I$15,AND($C38="Alternative fuel bus",$D38="Average"),$E38*'SE '!I$16,AND($C38="Alternative fuel bus",$D38="Nearly full"),$E38*'SE '!I$17,AND($C38="Metro, tram, urban light train",$D38="Almost empty"),$E38*'SE '!D$35,AND($C38="Metro, tram, urban light train",$D38="Average"),$E38*'SE '!D$36,AND($C38="Metro, tram, urban light train",$D38="Nearly full"),$E38*'SE '!D$37,AND($C38="Electric passenger train",$D38="Almost empty"),$E38*'SE '!D$39,AND($C38="Electric passenger train",$D38="Average"),$E38*'SE '!D$40,AND($C38="Electric passenger train",$D38="Nearly full"),$E38*'SE '!D$41,AND($C38="Diesel passenger train",$D38="Almost empty"),$E38*'SE '!D$47,AND($C38="Diesel passenger train",$D38="Average"),$E38*'SE '!D$48,AND($C38="Diesel passenger train",$D38="Nearly full"),$E38*'SE '!D$49,AND($C38="Walking"),$E38*0,AND($C38="Bike"),$E38*0,AND($C38="Plane - domestic flight"),$E38*'SE '!$C62,AND($C38="Plane - international - intra EU"),$E38*'SE '!$C64,AND($C38="Plane - international (extra EU)"),$E38*'SE '!$C66)</f>
        <v>#N/A</v>
      </c>
      <c r="H38" s="145"/>
      <c r="I38" s="148">
        <f t="shared" si="6"/>
        <v>0</v>
      </c>
      <c r="J38" s="146" t="e" cm="1">
        <f t="array" ref="J38">_xlfn.IFS(C38="Fuel car",C38*DATA!$C$17,C38="Electric car",C38*DATA!$F$30,C38="Hybrid car",I38*(0.5*DATA!$C$17+0.5*DATA!$F$30))</f>
        <v>#N/A</v>
      </c>
      <c r="L38" s="218"/>
      <c r="M38" s="219"/>
      <c r="N38" s="220"/>
    </row>
    <row r="39" spans="1:14" ht="14.5" customHeight="1" x14ac:dyDescent="0.2">
      <c r="A39" s="222"/>
      <c r="B39" s="30"/>
      <c r="C39" s="15"/>
      <c r="D39" s="15"/>
      <c r="E39" s="125"/>
      <c r="F39" s="128" t="e" cm="1">
        <f t="array" ref="F39">_xlfn.IFS(AND($C39="Fuel car",$D39=1),$E39*'SE '!C$7,AND($C39="Fuel car",$D39=2),$E39*'SE '!C$8,AND($C39="Fuel car",$D39=3),$E39*'SE '!C$9,AND($C39="Fuel car",$D39=4),$E39*'SE '!C$10,AND($C39="Fuel car",$D39=5),$E39*'SE '!C$11,AND($C39="Motorcycle",$D39=1),$E39*'SE '!C$13,AND($C39="Motorcycle",$D39=2),$E39*'SE '!C$14,AND($C39="Electric car",$D39=1),$E39*'SE '!C$16,AND($C39="Electric car",$D39=2),$E39*'SE '!C$17,AND($C39="Electric car",$D39=3),$E39*'SE '!C$18,AND($C39="Electric car",$D39=4),$E39*'SE '!C$19,AND($C39="Electric car",$D39=5),$E39*'SE '!C$20,AND($C39="Hybrid car",$D39=1),$E39*'SE '!C$22,AND($C39="Hybrid car",$D39=2),$E39*'SE '!C$23,AND($C39="Hybrid car",$D39=3),$E39*'SE '!C$24,AND($C39="Hybrid car",$D39=4),$E39*'SE '!C$25,AND($C39="Hybrid car",$D39=5),$E39*'SE '!C$26,AND($C39="Electric motorcycle",$D39=1),$E39*'SE '!C$28,AND($C39="Electric motorcycle",$D39=2),$E39*'SE '!C$29,AND($C39="Electric bike",$D39=1),$E39*'SE '!C$31,AND($C39="Electric scooter",$D39=1),$E39*'SE '!C$33,AND($C39="Bus",$D39="Almost empty"),$E39*'SE '!H$23,AND($C39="Bus",$D39="Average"),$E39*'SE '!H$24,AND($C39="Bus",$D39="Nearly full"),$E39*'SE '!H$25,AND($C39="Electric bus",$D39="Almost empty"),$E39*'SE '!H$7,AND($C39="Electric bus",$D39="Average"),$E39*'SE '!H$8,AND($C39="Electric bus",$D39="Nearly full"),$E39*'SE '!H$9,AND($C39="Diesel bus",$D39="Almost empty"),$E39*'SE '!H$19,AND($C39="Diesel bus",$D39="Average"),$E39*'SE '!H$20,AND($C39="Diesel bus",$D39="Nearly full"),$E39*'SE '!H$21,AND($C39="Hybrid-electric bus",$D39="Almost empty"),$E39*'SE '!H$11,AND($C39="Hybrid-electric bus",$D39="Average"),$E39*'SE '!H$12,AND($C39="Hybrid-electric bus",$D39="Nearly full"),$E39*'SE '!H$13,AND($C39="Alternative fuel bus",$D39="Almost empty"),$E39*'SE '!H$15,AND($C39="Alternative fuel bus",$D39="Average"),$E39*'SE '!H$16,AND($C39="Alternative fuel bus",$D39="Nearly full"),$E39*'SE '!H$17,AND($C39="Metro, tram, urban light train",$D39="Almost empty"),$E39*'SE '!C$35,AND($C39="Metro, tram, urban light train",$D39="Average"),$E39*'SE '!C$36,AND($C39="Metro, tram, urban light train",$D39="Nearly full"),$E39*'SE '!C$37,AND($C39="Electric passenger train",$D39="Almost empty"),$E39*'SE '!C$39,AND($C39="Electric passenger train",$D39="Average"),$E39*'SE '!C$40,AND($C39="Electric passenger train",$D39="Nearly full"),$E39*'SE '!C$41,AND($C39="Diesel passenger train",$D39="Almost empty"),$E39*'SE '!C$47,AND($C39="Diesel passenger train",$D39="Average"),$E39*'SE '!C$48,AND($C39="Diesel passenger train",$D39="Nearly full"),$E39*'SE '!C$49,AND($C39="Walking"),$E39*0,AND($C39="Bike"),$E39*0,AND($C39="Plane - domestic flight"),$E39*'SE '!$C63,AND($C39="Plane - international - intra EU"),$E39*'SE '!$C65,AND($C39="Plane - international (extra EU)"),$E39*'SE '!$C67)</f>
        <v>#N/A</v>
      </c>
      <c r="G39" s="31" t="e" cm="1">
        <f t="array" ref="G39">_xlfn.IFS(AND($C39="Fuel car",$D39=1),$E39*'SE '!D$7,AND($C39="Fuel car",$D39=2),$E39*'SE '!D$8,AND($C39="Fuel car",$D39=3),$E39*'SE '!D$9,AND($C39="Fuel car",$D39=4),$E39*'SE '!D$10,AND($C39="Fuel car",$D39=5),$E39*'SE '!D$11,AND($C39="Motorcycle",$D39=1),$E39*'SE '!D$13,AND($C39="Motorcycle",$D39=2),$E39*'SE '!D$14,AND($C39="Electric car",$D39=1),$E39*'SE '!D$16,AND($C39="Electric car",$D39=2),$E39*'SE '!D$17,AND($C39="Electric car",$D39=3),$E39*'SE '!D$18,AND($C39="Electric car",$D39=4),$E39*'SE '!D$19,AND($C39="Electric car",$D39=5),$E39*'SE '!D$20,AND($C39="Hybrid car",$D39=1),$E39*'SE '!D$22,AND($C39="Hybrid car",$D39=2),$E39*'SE '!D$23,AND($C39="Hybrid car",$D39=3),$E39*'SE '!D$24,AND($C39="Hybrid car",$D39=4),$E39*'SE '!D$25,AND($C39="Hybrid car",$D39=5),$E39*'SE '!D$26,AND($C39="Electric motorcycle",$D39=1),$E39*'SE '!D$28,AND($C39="Electric motorcycle",$D39=2),$E39*'SE '!D$29,AND($C39="Electric bike",$D39=1),$E39*'SE '!D$31,AND($C39="Electric scooter",$D39=1),$E39*'SE '!D$33,AND($C39="Bus",$D39="Almost empty"),$E39*'SE '!I$23,AND($C39="Bus",$D39="Average"),$E39*'SE '!I$24,AND($C39="Bus",$D39="Nearly full"),$E39*'SE '!I$25,AND($C39="Electric bus",$D39="Almost empty"),$E39*'SE '!I$7,AND($C39="Electric bus",$D39="Average"),$E39*'SE '!I$8,AND($C39="Electric bus",$D39="Nearly full"),$E39*'SE '!I$9,AND($C39="Diesel bus",$D39="Almost empty"),$E39*'SE '!I$19,AND($C39="Diesel bus",$D39="Average"),$E39*'SE '!I$20,AND($C39="Diesel bus",$D39="Nearly full"),$E39*'SE '!I$21,AND($C39="Hybrid-electric bus",$D39="Almost empty"),$E39*'SE '!I$11,AND($C39="Hybrid-electric bus",$D39="Average"),$E39*'SE '!I$12,AND($C39="Hybrid-electric bus",$D39="Nearly full"),$E39*'SE '!I$13,AND($C39="Alternative fuel bus",$D39="Almost empty"),$E39*'SE '!I$15,AND($C39="Alternative fuel bus",$D39="Average"),$E39*'SE '!I$16,AND($C39="Alternative fuel bus",$D39="Nearly full"),$E39*'SE '!I$17,AND($C39="Metro, tram, urban light train",$D39="Almost empty"),$E39*'SE '!D$35,AND($C39="Metro, tram, urban light train",$D39="Average"),$E39*'SE '!D$36,AND($C39="Metro, tram, urban light train",$D39="Nearly full"),$E39*'SE '!D$37,AND($C39="Electric passenger train",$D39="Almost empty"),$E39*'SE '!D$39,AND($C39="Electric passenger train",$D39="Average"),$E39*'SE '!D$40,AND($C39="Electric passenger train",$D39="Nearly full"),$E39*'SE '!D$41,AND($C39="Diesel passenger train",$D39="Almost empty"),$E39*'SE '!D$47,AND($C39="Diesel passenger train",$D39="Average"),$E39*'SE '!D$48,AND($C39="Diesel passenger train",$D39="Nearly full"),$E39*'SE '!D$49,AND($C39="Walking"),$E39*0,AND($C39="Bike"),$E39*0,AND($C39="Plane - domestic flight"),$E39*'SE '!$C63,AND($C39="Plane - international - intra EU"),$E39*'SE '!$C65,AND($C39="Plane - international (extra EU)"),$E39*'SE '!$C67)</f>
        <v>#N/A</v>
      </c>
      <c r="H39" s="145"/>
      <c r="I39" s="148">
        <f t="shared" si="6"/>
        <v>0</v>
      </c>
      <c r="J39" s="146" t="e" cm="1">
        <f t="array" ref="J39">_xlfn.IFS(C39="Fuel car",C39*DATA!$C$17,C39="Electric car",C39*DATA!$F$30,C39="Hybrid car",I39*(0.5*DATA!$C$17+0.5*DATA!$F$30))</f>
        <v>#N/A</v>
      </c>
      <c r="L39" s="226" t="s">
        <v>80</v>
      </c>
      <c r="M39" s="227"/>
      <c r="N39" s="228"/>
    </row>
    <row r="40" spans="1:14" x14ac:dyDescent="0.2">
      <c r="A40" s="222"/>
      <c r="B40" s="30"/>
      <c r="C40" s="15"/>
      <c r="D40" s="15"/>
      <c r="E40" s="125"/>
      <c r="F40" s="128" t="e" cm="1">
        <f t="array" ref="F40">_xlfn.IFS(AND($C40="Fuel car",$D40=1),$E40*'SE '!C$7,AND($C40="Fuel car",$D40=2),$E40*'SE '!C$8,AND($C40="Fuel car",$D40=3),$E40*'SE '!C$9,AND($C40="Fuel car",$D40=4),$E40*'SE '!C$10,AND($C40="Fuel car",$D40=5),$E40*'SE '!C$11,AND($C40="Motorcycle",$D40=1),$E40*'SE '!C$13,AND($C40="Motorcycle",$D40=2),$E40*'SE '!C$14,AND($C40="Electric car",$D40=1),$E40*'SE '!C$16,AND($C40="Electric car",$D40=2),$E40*'SE '!C$17,AND($C40="Electric car",$D40=3),$E40*'SE '!C$18,AND($C40="Electric car",$D40=4),$E40*'SE '!C$19,AND($C40="Electric car",$D40=5),$E40*'SE '!C$20,AND($C40="Hybrid car",$D40=1),$E40*'SE '!C$22,AND($C40="Hybrid car",$D40=2),$E40*'SE '!C$23,AND($C40="Hybrid car",$D40=3),$E40*'SE '!C$24,AND($C40="Hybrid car",$D40=4),$E40*'SE '!C$25,AND($C40="Hybrid car",$D40=5),$E40*'SE '!C$26,AND($C40="Electric motorcycle",$D40=1),$E40*'SE '!C$28,AND($C40="Electric motorcycle",$D40=2),$E40*'SE '!C$29,AND($C40="Electric bike",$D40=1),$E40*'SE '!C$31,AND($C40="Electric scooter",$D40=1),$E40*'SE '!C$33,AND($C40="Bus",$D40="Almost empty"),$E40*'SE '!H$23,AND($C40="Bus",$D40="Average"),$E40*'SE '!H$24,AND($C40="Bus",$D40="Nearly full"),$E40*'SE '!H$25,AND($C40="Electric bus",$D40="Almost empty"),$E40*'SE '!H$7,AND($C40="Electric bus",$D40="Average"),$E40*'SE '!H$8,AND($C40="Electric bus",$D40="Nearly full"),$E40*'SE '!H$9,AND($C40="Diesel bus",$D40="Almost empty"),$E40*'SE '!H$19,AND($C40="Diesel bus",$D40="Average"),$E40*'SE '!H$20,AND($C40="Diesel bus",$D40="Nearly full"),$E40*'SE '!H$21,AND($C40="Hybrid-electric bus",$D40="Almost empty"),$E40*'SE '!H$11,AND($C40="Hybrid-electric bus",$D40="Average"),$E40*'SE '!H$12,AND($C40="Hybrid-electric bus",$D40="Nearly full"),$E40*'SE '!H$13,AND($C40="Alternative fuel bus",$D40="Almost empty"),$E40*'SE '!H$15,AND($C40="Alternative fuel bus",$D40="Average"),$E40*'SE '!H$16,AND($C40="Alternative fuel bus",$D40="Nearly full"),$E40*'SE '!H$17,AND($C40="Metro, tram, urban light train",$D40="Almost empty"),$E40*'SE '!C$35,AND($C40="Metro, tram, urban light train",$D40="Average"),$E40*'SE '!C$36,AND($C40="Metro, tram, urban light train",$D40="Nearly full"),$E40*'SE '!C$37,AND($C40="Electric passenger train",$D40="Almost empty"),$E40*'SE '!C$39,AND($C40="Electric passenger train",$D40="Average"),$E40*'SE '!C$40,AND($C40="Electric passenger train",$D40="Nearly full"),$E40*'SE '!C$41,AND($C40="Diesel passenger train",$D40="Almost empty"),$E40*'SE '!C$47,AND($C40="Diesel passenger train",$D40="Average"),$E40*'SE '!C$48,AND($C40="Diesel passenger train",$D40="Nearly full"),$E40*'SE '!C$49,AND($C40="Walking"),$E40*0,AND($C40="Bike"),$E40*0,AND($C40="Plane - domestic flight"),$E40*'SE '!$C64,AND($C40="Plane - international - intra EU"),$E40*'SE '!$C66,AND($C40="Plane - international (extra EU)"),$E40*'SE '!$C68)</f>
        <v>#N/A</v>
      </c>
      <c r="G40" s="31" t="e" cm="1">
        <f t="array" ref="G40">_xlfn.IFS(AND($C40="Fuel car",$D40=1),$E40*'SE '!D$7,AND($C40="Fuel car",$D40=2),$E40*'SE '!D$8,AND($C40="Fuel car",$D40=3),$E40*'SE '!D$9,AND($C40="Fuel car",$D40=4),$E40*'SE '!D$10,AND($C40="Fuel car",$D40=5),$E40*'SE '!D$11,AND($C40="Motorcycle",$D40=1),$E40*'SE '!D$13,AND($C40="Motorcycle",$D40=2),$E40*'SE '!D$14,AND($C40="Electric car",$D40=1),$E40*'SE '!D$16,AND($C40="Electric car",$D40=2),$E40*'SE '!D$17,AND($C40="Electric car",$D40=3),$E40*'SE '!D$18,AND($C40="Electric car",$D40=4),$E40*'SE '!D$19,AND($C40="Electric car",$D40=5),$E40*'SE '!D$20,AND($C40="Hybrid car",$D40=1),$E40*'SE '!D$22,AND($C40="Hybrid car",$D40=2),$E40*'SE '!D$23,AND($C40="Hybrid car",$D40=3),$E40*'SE '!D$24,AND($C40="Hybrid car",$D40=4),$E40*'SE '!D$25,AND($C40="Hybrid car",$D40=5),$E40*'SE '!D$26,AND($C40="Electric motorcycle",$D40=1),$E40*'SE '!D$28,AND($C40="Electric motorcycle",$D40=2),$E40*'SE '!D$29,AND($C40="Electric bike",$D40=1),$E40*'SE '!D$31,AND($C40="Electric scooter",$D40=1),$E40*'SE '!D$33,AND($C40="Bus",$D40="Almost empty"),$E40*'SE '!I$23,AND($C40="Bus",$D40="Average"),$E40*'SE '!I$24,AND($C40="Bus",$D40="Nearly full"),$E40*'SE '!I$25,AND($C40="Electric bus",$D40="Almost empty"),$E40*'SE '!I$7,AND($C40="Electric bus",$D40="Average"),$E40*'SE '!I$8,AND($C40="Electric bus",$D40="Nearly full"),$E40*'SE '!I$9,AND($C40="Diesel bus",$D40="Almost empty"),$E40*'SE '!I$19,AND($C40="Diesel bus",$D40="Average"),$E40*'SE '!I$20,AND($C40="Diesel bus",$D40="Nearly full"),$E40*'SE '!I$21,AND($C40="Hybrid-electric bus",$D40="Almost empty"),$E40*'SE '!I$11,AND($C40="Hybrid-electric bus",$D40="Average"),$E40*'SE '!I$12,AND($C40="Hybrid-electric bus",$D40="Nearly full"),$E40*'SE '!I$13,AND($C40="Alternative fuel bus",$D40="Almost empty"),$E40*'SE '!I$15,AND($C40="Alternative fuel bus",$D40="Average"),$E40*'SE '!I$16,AND($C40="Alternative fuel bus",$D40="Nearly full"),$E40*'SE '!I$17,AND($C40="Metro, tram, urban light train",$D40="Almost empty"),$E40*'SE '!D$35,AND($C40="Metro, tram, urban light train",$D40="Average"),$E40*'SE '!D$36,AND($C40="Metro, tram, urban light train",$D40="Nearly full"),$E40*'SE '!D$37,AND($C40="Electric passenger train",$D40="Almost empty"),$E40*'SE '!D$39,AND($C40="Electric passenger train",$D40="Average"),$E40*'SE '!D$40,AND($C40="Electric passenger train",$D40="Nearly full"),$E40*'SE '!D$41,AND($C40="Diesel passenger train",$D40="Almost empty"),$E40*'SE '!D$47,AND($C40="Diesel passenger train",$D40="Average"),$E40*'SE '!D$48,AND($C40="Diesel passenger train",$D40="Nearly full"),$E40*'SE '!D$49,AND($C40="Walking"),$E40*0,AND($C40="Bike"),$E40*0,AND($C40="Plane - domestic flight"),$E40*'SE '!$C64,AND($C40="Plane - international - intra EU"),$E40*'SE '!$C66,AND($C40="Plane - international (extra EU)"),$E40*'SE '!$C68)</f>
        <v>#N/A</v>
      </c>
      <c r="H40" s="145"/>
      <c r="I40" s="148">
        <f t="shared" si="6"/>
        <v>0</v>
      </c>
      <c r="J40" s="146" t="e" cm="1">
        <f t="array" ref="J40">_xlfn.IFS(C40="Fuel car",C40*DATA!$C$17,C40="Electric car",C40*DATA!$F$30,C40="Hybrid car",I40*(0.5*DATA!$C$17+0.5*DATA!$F$30))</f>
        <v>#N/A</v>
      </c>
      <c r="L40" s="229"/>
      <c r="M40" s="230"/>
      <c r="N40" s="231"/>
    </row>
    <row r="41" spans="1:14" ht="14.5" customHeight="1" x14ac:dyDescent="0.2">
      <c r="A41" s="222"/>
      <c r="B41" s="30"/>
      <c r="C41" s="15"/>
      <c r="D41" s="15"/>
      <c r="E41" s="125"/>
      <c r="F41" s="128" t="e" cm="1">
        <f t="array" ref="F41">_xlfn.IFS(AND($C41="Fuel car",$D41=1),$E41*'SE '!C$7,AND($C41="Fuel car",$D41=2),$E41*'SE '!C$8,AND($C41="Fuel car",$D41=3),$E41*'SE '!C$9,AND($C41="Fuel car",$D41=4),$E41*'SE '!C$10,AND($C41="Fuel car",$D41=5),$E41*'SE '!C$11,AND($C41="Motorcycle",$D41=1),$E41*'SE '!C$13,AND($C41="Motorcycle",$D41=2),$E41*'SE '!C$14,AND($C41="Electric car",$D41=1),$E41*'SE '!C$16,AND($C41="Electric car",$D41=2),$E41*'SE '!C$17,AND($C41="Electric car",$D41=3),$E41*'SE '!C$18,AND($C41="Electric car",$D41=4),$E41*'SE '!C$19,AND($C41="Electric car",$D41=5),$E41*'SE '!C$20,AND($C41="Hybrid car",$D41=1),$E41*'SE '!C$22,AND($C41="Hybrid car",$D41=2),$E41*'SE '!C$23,AND($C41="Hybrid car",$D41=3),$E41*'SE '!C$24,AND($C41="Hybrid car",$D41=4),$E41*'SE '!C$25,AND($C41="Hybrid car",$D41=5),$E41*'SE '!C$26,AND($C41="Electric motorcycle",$D41=1),$E41*'SE '!C$28,AND($C41="Electric motorcycle",$D41=2),$E41*'SE '!C$29,AND($C41="Electric bike",$D41=1),$E41*'SE '!C$31,AND($C41="Electric scooter",$D41=1),$E41*'SE '!C$33,AND($C41="Bus",$D41="Almost empty"),$E41*'SE '!H$23,AND($C41="Bus",$D41="Average"),$E41*'SE '!H$24,AND($C41="Bus",$D41="Nearly full"),$E41*'SE '!H$25,AND($C41="Electric bus",$D41="Almost empty"),$E41*'SE '!H$7,AND($C41="Electric bus",$D41="Average"),$E41*'SE '!H$8,AND($C41="Electric bus",$D41="Nearly full"),$E41*'SE '!H$9,AND($C41="Diesel bus",$D41="Almost empty"),$E41*'SE '!H$19,AND($C41="Diesel bus",$D41="Average"),$E41*'SE '!H$20,AND($C41="Diesel bus",$D41="Nearly full"),$E41*'SE '!H$21,AND($C41="Hybrid-electric bus",$D41="Almost empty"),$E41*'SE '!H$11,AND($C41="Hybrid-electric bus",$D41="Average"),$E41*'SE '!H$12,AND($C41="Hybrid-electric bus",$D41="Nearly full"),$E41*'SE '!H$13,AND($C41="Alternative fuel bus",$D41="Almost empty"),$E41*'SE '!H$15,AND($C41="Alternative fuel bus",$D41="Average"),$E41*'SE '!H$16,AND($C41="Alternative fuel bus",$D41="Nearly full"),$E41*'SE '!H$17,AND($C41="Metro, tram, urban light train",$D41="Almost empty"),$E41*'SE '!C$35,AND($C41="Metro, tram, urban light train",$D41="Average"),$E41*'SE '!C$36,AND($C41="Metro, tram, urban light train",$D41="Nearly full"),$E41*'SE '!C$37,AND($C41="Electric passenger train",$D41="Almost empty"),$E41*'SE '!C$39,AND($C41="Electric passenger train",$D41="Average"),$E41*'SE '!C$40,AND($C41="Electric passenger train",$D41="Nearly full"),$E41*'SE '!C$41,AND($C41="Diesel passenger train",$D41="Almost empty"),$E41*'SE '!C$47,AND($C41="Diesel passenger train",$D41="Average"),$E41*'SE '!C$48,AND($C41="Diesel passenger train",$D41="Nearly full"),$E41*'SE '!C$49,AND($C41="Walking"),$E41*0,AND($C41="Bike"),$E41*0,AND($C41="Plane - domestic flight"),$E41*'SE '!$C65,AND($C41="Plane - international - intra EU"),$E41*'SE '!$C67,AND($C41="Plane - international (extra EU)"),$E41*'SE '!$C69)</f>
        <v>#N/A</v>
      </c>
      <c r="G41" s="31" t="e" cm="1">
        <f t="array" ref="G41">_xlfn.IFS(AND($C41="Fuel car",$D41=1),$E41*'SE '!D$7,AND($C41="Fuel car",$D41=2),$E41*'SE '!D$8,AND($C41="Fuel car",$D41=3),$E41*'SE '!D$9,AND($C41="Fuel car",$D41=4),$E41*'SE '!D$10,AND($C41="Fuel car",$D41=5),$E41*'SE '!D$11,AND($C41="Motorcycle",$D41=1),$E41*'SE '!D$13,AND($C41="Motorcycle",$D41=2),$E41*'SE '!D$14,AND($C41="Electric car",$D41=1),$E41*'SE '!D$16,AND($C41="Electric car",$D41=2),$E41*'SE '!D$17,AND($C41="Electric car",$D41=3),$E41*'SE '!D$18,AND($C41="Electric car",$D41=4),$E41*'SE '!D$19,AND($C41="Electric car",$D41=5),$E41*'SE '!D$20,AND($C41="Hybrid car",$D41=1),$E41*'SE '!D$22,AND($C41="Hybrid car",$D41=2),$E41*'SE '!D$23,AND($C41="Hybrid car",$D41=3),$E41*'SE '!D$24,AND($C41="Hybrid car",$D41=4),$E41*'SE '!D$25,AND($C41="Hybrid car",$D41=5),$E41*'SE '!D$26,AND($C41="Electric motorcycle",$D41=1),$E41*'SE '!D$28,AND($C41="Electric motorcycle",$D41=2),$E41*'SE '!D$29,AND($C41="Electric bike",$D41=1),$E41*'SE '!D$31,AND($C41="Electric scooter",$D41=1),$E41*'SE '!D$33,AND($C41="Bus",$D41="Almost empty"),$E41*'SE '!I$23,AND($C41="Bus",$D41="Average"),$E41*'SE '!I$24,AND($C41="Bus",$D41="Nearly full"),$E41*'SE '!I$25,AND($C41="Electric bus",$D41="Almost empty"),$E41*'SE '!I$7,AND($C41="Electric bus",$D41="Average"),$E41*'SE '!I$8,AND($C41="Electric bus",$D41="Nearly full"),$E41*'SE '!I$9,AND($C41="Diesel bus",$D41="Almost empty"),$E41*'SE '!I$19,AND($C41="Diesel bus",$D41="Average"),$E41*'SE '!I$20,AND($C41="Diesel bus",$D41="Nearly full"),$E41*'SE '!I$21,AND($C41="Hybrid-electric bus",$D41="Almost empty"),$E41*'SE '!I$11,AND($C41="Hybrid-electric bus",$D41="Average"),$E41*'SE '!I$12,AND($C41="Hybrid-electric bus",$D41="Nearly full"),$E41*'SE '!I$13,AND($C41="Alternative fuel bus",$D41="Almost empty"),$E41*'SE '!I$15,AND($C41="Alternative fuel bus",$D41="Average"),$E41*'SE '!I$16,AND($C41="Alternative fuel bus",$D41="Nearly full"),$E41*'SE '!I$17,AND($C41="Metro, tram, urban light train",$D41="Almost empty"),$E41*'SE '!D$35,AND($C41="Metro, tram, urban light train",$D41="Average"),$E41*'SE '!D$36,AND($C41="Metro, tram, urban light train",$D41="Nearly full"),$E41*'SE '!D$37,AND($C41="Electric passenger train",$D41="Almost empty"),$E41*'SE '!D$39,AND($C41="Electric passenger train",$D41="Average"),$E41*'SE '!D$40,AND($C41="Electric passenger train",$D41="Nearly full"),$E41*'SE '!D$41,AND($C41="Diesel passenger train",$D41="Almost empty"),$E41*'SE '!D$47,AND($C41="Diesel passenger train",$D41="Average"),$E41*'SE '!D$48,AND($C41="Diesel passenger train",$D41="Nearly full"),$E41*'SE '!D$49,AND($C41="Walking"),$E41*0,AND($C41="Bike"),$E41*0,AND($C41="Plane - domestic flight"),$E41*'SE '!$C65,AND($C41="Plane - international - intra EU"),$E41*'SE '!$C67,AND($C41="Plane - international (extra EU)"),$E41*'SE '!$C69)</f>
        <v>#N/A</v>
      </c>
      <c r="H41" s="145"/>
      <c r="I41" s="148">
        <f t="shared" si="6"/>
        <v>0</v>
      </c>
      <c r="J41" s="146" t="e" cm="1">
        <f t="array" ref="J41">_xlfn.IFS(C41="Fuel car",C41*DATA!$C$17,C41="Electric car",C41*DATA!$F$30,C41="Hybrid car",I41*(0.5*DATA!$C$17+0.5*DATA!$F$30))</f>
        <v>#N/A</v>
      </c>
      <c r="L41" s="232" t="str">
        <f>"-if the vehicle is private (car, motorcycle…) fill the cell with the number of passengers in the vehicle during the travel"</f>
        <v>-if the vehicle is private (car, motorcycle…) fill the cell with the number of passengers in the vehicle during the travel</v>
      </c>
      <c r="M41" s="233"/>
      <c r="N41" s="234"/>
    </row>
    <row r="42" spans="1:14" x14ac:dyDescent="0.2">
      <c r="A42" s="222"/>
      <c r="B42" s="30"/>
      <c r="C42" s="15"/>
      <c r="D42" s="15"/>
      <c r="E42" s="125"/>
      <c r="F42" s="128" t="e" cm="1">
        <f t="array" ref="F42">_xlfn.IFS(AND($C42="Fuel car",$D42=1),$E42*'SE '!C$7,AND($C42="Fuel car",$D42=2),$E42*'SE '!C$8,AND($C42="Fuel car",$D42=3),$E42*'SE '!C$9,AND($C42="Fuel car",$D42=4),$E42*'SE '!C$10,AND($C42="Fuel car",$D42=5),$E42*'SE '!C$11,AND($C42="Motorcycle",$D42=1),$E42*'SE '!C$13,AND($C42="Motorcycle",$D42=2),$E42*'SE '!C$14,AND($C42="Electric car",$D42=1),$E42*'SE '!C$16,AND($C42="Electric car",$D42=2),$E42*'SE '!C$17,AND($C42="Electric car",$D42=3),$E42*'SE '!C$18,AND($C42="Electric car",$D42=4),$E42*'SE '!C$19,AND($C42="Electric car",$D42=5),$E42*'SE '!C$20,AND($C42="Hybrid car",$D42=1),$E42*'SE '!C$22,AND($C42="Hybrid car",$D42=2),$E42*'SE '!C$23,AND($C42="Hybrid car",$D42=3),$E42*'SE '!C$24,AND($C42="Hybrid car",$D42=4),$E42*'SE '!C$25,AND($C42="Hybrid car",$D42=5),$E42*'SE '!C$26,AND($C42="Electric motorcycle",$D42=1),$E42*'SE '!C$28,AND($C42="Electric motorcycle",$D42=2),$E42*'SE '!C$29,AND($C42="Electric bike",$D42=1),$E42*'SE '!C$31,AND($C42="Electric scooter",$D42=1),$E42*'SE '!C$33,AND($C42="Bus",$D42="Almost empty"),$E42*'SE '!H$23,AND($C42="Bus",$D42="Average"),$E42*'SE '!H$24,AND($C42="Bus",$D42="Nearly full"),$E42*'SE '!H$25,AND($C42="Electric bus",$D42="Almost empty"),$E42*'SE '!H$7,AND($C42="Electric bus",$D42="Average"),$E42*'SE '!H$8,AND($C42="Electric bus",$D42="Nearly full"),$E42*'SE '!H$9,AND($C42="Diesel bus",$D42="Almost empty"),$E42*'SE '!H$19,AND($C42="Diesel bus",$D42="Average"),$E42*'SE '!H$20,AND($C42="Diesel bus",$D42="Nearly full"),$E42*'SE '!H$21,AND($C42="Hybrid-electric bus",$D42="Almost empty"),$E42*'SE '!H$11,AND($C42="Hybrid-electric bus",$D42="Average"),$E42*'SE '!H$12,AND($C42="Hybrid-electric bus",$D42="Nearly full"),$E42*'SE '!H$13,AND($C42="Alternative fuel bus",$D42="Almost empty"),$E42*'SE '!H$15,AND($C42="Alternative fuel bus",$D42="Average"),$E42*'SE '!H$16,AND($C42="Alternative fuel bus",$D42="Nearly full"),$E42*'SE '!H$17,AND($C42="Metro, tram, urban light train",$D42="Almost empty"),$E42*'SE '!C$35,AND($C42="Metro, tram, urban light train",$D42="Average"),$E42*'SE '!C$36,AND($C42="Metro, tram, urban light train",$D42="Nearly full"),$E42*'SE '!C$37,AND($C42="Electric passenger train",$D42="Almost empty"),$E42*'SE '!C$39,AND($C42="Electric passenger train",$D42="Average"),$E42*'SE '!C$40,AND($C42="Electric passenger train",$D42="Nearly full"),$E42*'SE '!C$41,AND($C42="Diesel passenger train",$D42="Almost empty"),$E42*'SE '!C$47,AND($C42="Diesel passenger train",$D42="Average"),$E42*'SE '!C$48,AND($C42="Diesel passenger train",$D42="Nearly full"),$E42*'SE '!C$49,AND($C42="Walking"),$E42*0,AND($C42="Bike"),$E42*0,AND($C42="Plane - domestic flight"),$E42*'SE '!$C66,AND($C42="Plane - international - intra EU"),$E42*'SE '!$C68,AND($C42="Plane - international (extra EU)"),$E42*'SE '!$C70)</f>
        <v>#N/A</v>
      </c>
      <c r="G42" s="31" t="e" cm="1">
        <f t="array" ref="G42">_xlfn.IFS(AND($C42="Fuel car",$D42=1),$E42*'SE '!D$7,AND($C42="Fuel car",$D42=2),$E42*'SE '!D$8,AND($C42="Fuel car",$D42=3),$E42*'SE '!D$9,AND($C42="Fuel car",$D42=4),$E42*'SE '!D$10,AND($C42="Fuel car",$D42=5),$E42*'SE '!D$11,AND($C42="Motorcycle",$D42=1),$E42*'SE '!D$13,AND($C42="Motorcycle",$D42=2),$E42*'SE '!D$14,AND($C42="Electric car",$D42=1),$E42*'SE '!D$16,AND($C42="Electric car",$D42=2),$E42*'SE '!D$17,AND($C42="Electric car",$D42=3),$E42*'SE '!D$18,AND($C42="Electric car",$D42=4),$E42*'SE '!D$19,AND($C42="Electric car",$D42=5),$E42*'SE '!D$20,AND($C42="Hybrid car",$D42=1),$E42*'SE '!D$22,AND($C42="Hybrid car",$D42=2),$E42*'SE '!D$23,AND($C42="Hybrid car",$D42=3),$E42*'SE '!D$24,AND($C42="Hybrid car",$D42=4),$E42*'SE '!D$25,AND($C42="Hybrid car",$D42=5),$E42*'SE '!D$26,AND($C42="Electric motorcycle",$D42=1),$E42*'SE '!D$28,AND($C42="Electric motorcycle",$D42=2),$E42*'SE '!D$29,AND($C42="Electric bike",$D42=1),$E42*'SE '!D$31,AND($C42="Electric scooter",$D42=1),$E42*'SE '!D$33,AND($C42="Bus",$D42="Almost empty"),$E42*'SE '!I$23,AND($C42="Bus",$D42="Average"),$E42*'SE '!I$24,AND($C42="Bus",$D42="Nearly full"),$E42*'SE '!I$25,AND($C42="Electric bus",$D42="Almost empty"),$E42*'SE '!I$7,AND($C42="Electric bus",$D42="Average"),$E42*'SE '!I$8,AND($C42="Electric bus",$D42="Nearly full"),$E42*'SE '!I$9,AND($C42="Diesel bus",$D42="Almost empty"),$E42*'SE '!I$19,AND($C42="Diesel bus",$D42="Average"),$E42*'SE '!I$20,AND($C42="Diesel bus",$D42="Nearly full"),$E42*'SE '!I$21,AND($C42="Hybrid-electric bus",$D42="Almost empty"),$E42*'SE '!I$11,AND($C42="Hybrid-electric bus",$D42="Average"),$E42*'SE '!I$12,AND($C42="Hybrid-electric bus",$D42="Nearly full"),$E42*'SE '!I$13,AND($C42="Alternative fuel bus",$D42="Almost empty"),$E42*'SE '!I$15,AND($C42="Alternative fuel bus",$D42="Average"),$E42*'SE '!I$16,AND($C42="Alternative fuel bus",$D42="Nearly full"),$E42*'SE '!I$17,AND($C42="Metro, tram, urban light train",$D42="Almost empty"),$E42*'SE '!D$35,AND($C42="Metro, tram, urban light train",$D42="Average"),$E42*'SE '!D$36,AND($C42="Metro, tram, urban light train",$D42="Nearly full"),$E42*'SE '!D$37,AND($C42="Electric passenger train",$D42="Almost empty"),$E42*'SE '!D$39,AND($C42="Electric passenger train",$D42="Average"),$E42*'SE '!D$40,AND($C42="Electric passenger train",$D42="Nearly full"),$E42*'SE '!D$41,AND($C42="Diesel passenger train",$D42="Almost empty"),$E42*'SE '!D$47,AND($C42="Diesel passenger train",$D42="Average"),$E42*'SE '!D$48,AND($C42="Diesel passenger train",$D42="Nearly full"),$E42*'SE '!D$49,AND($C42="Walking"),$E42*0,AND($C42="Bike"),$E42*0,AND($C42="Plane - domestic flight"),$E42*'SE '!$C66,AND($C42="Plane - international - intra EU"),$E42*'SE '!$C68,AND($C42="Plane - international (extra EU)"),$E42*'SE '!$C70)</f>
        <v>#N/A</v>
      </c>
      <c r="H42" s="145"/>
      <c r="I42" s="148">
        <f t="shared" si="6"/>
        <v>0</v>
      </c>
      <c r="J42" s="146" t="e" cm="1">
        <f t="array" ref="J42">_xlfn.IFS(C42="Fuel car",C42*DATA!$C$17,C42="Electric car",C42*DATA!$F$30,C42="Hybrid car",I42*(0.5*DATA!$C$17+0.5*DATA!$F$30))</f>
        <v>#N/A</v>
      </c>
      <c r="L42" s="235"/>
      <c r="M42" s="236"/>
      <c r="N42" s="237"/>
    </row>
    <row r="43" spans="1:14" ht="14.5" customHeight="1" thickBot="1" x14ac:dyDescent="0.25">
      <c r="A43" s="222"/>
      <c r="B43" s="30"/>
      <c r="C43" s="15"/>
      <c r="D43" s="15"/>
      <c r="E43" s="125"/>
      <c r="F43" s="128" t="e" cm="1">
        <f t="array" ref="F43">_xlfn.IFS(AND($C43="Fuel car",$D43=1),$E43*'SE '!C$7,AND($C43="Fuel car",$D43=2),$E43*'SE '!C$8,AND($C43="Fuel car",$D43=3),$E43*'SE '!C$9,AND($C43="Fuel car",$D43=4),$E43*'SE '!C$10,AND($C43="Fuel car",$D43=5),$E43*'SE '!C$11,AND($C43="Motorcycle",$D43=1),$E43*'SE '!C$13,AND($C43="Motorcycle",$D43=2),$E43*'SE '!C$14,AND($C43="Electric car",$D43=1),$E43*'SE '!C$16,AND($C43="Electric car",$D43=2),$E43*'SE '!C$17,AND($C43="Electric car",$D43=3),$E43*'SE '!C$18,AND($C43="Electric car",$D43=4),$E43*'SE '!C$19,AND($C43="Electric car",$D43=5),$E43*'SE '!C$20,AND($C43="Hybrid car",$D43=1),$E43*'SE '!C$22,AND($C43="Hybrid car",$D43=2),$E43*'SE '!C$23,AND($C43="Hybrid car",$D43=3),$E43*'SE '!C$24,AND($C43="Hybrid car",$D43=4),$E43*'SE '!C$25,AND($C43="Hybrid car",$D43=5),$E43*'SE '!C$26,AND($C43="Electric motorcycle",$D43=1),$E43*'SE '!C$28,AND($C43="Electric motorcycle",$D43=2),$E43*'SE '!C$29,AND($C43="Electric bike",$D43=1),$E43*'SE '!C$31,AND($C43="Electric scooter",$D43=1),$E43*'SE '!C$33,AND($C43="Bus",$D43="Almost empty"),$E43*'SE '!H$23,AND($C43="Bus",$D43="Average"),$E43*'SE '!H$24,AND($C43="Bus",$D43="Nearly full"),$E43*'SE '!H$25,AND($C43="Electric bus",$D43="Almost empty"),$E43*'SE '!H$7,AND($C43="Electric bus",$D43="Average"),$E43*'SE '!H$8,AND($C43="Electric bus",$D43="Nearly full"),$E43*'SE '!H$9,AND($C43="Diesel bus",$D43="Almost empty"),$E43*'SE '!H$19,AND($C43="Diesel bus",$D43="Average"),$E43*'SE '!H$20,AND($C43="Diesel bus",$D43="Nearly full"),$E43*'SE '!H$21,AND($C43="Hybrid-electric bus",$D43="Almost empty"),$E43*'SE '!H$11,AND($C43="Hybrid-electric bus",$D43="Average"),$E43*'SE '!H$12,AND($C43="Hybrid-electric bus",$D43="Nearly full"),$E43*'SE '!H$13,AND($C43="Alternative fuel bus",$D43="Almost empty"),$E43*'SE '!H$15,AND($C43="Alternative fuel bus",$D43="Average"),$E43*'SE '!H$16,AND($C43="Alternative fuel bus",$D43="Nearly full"),$E43*'SE '!H$17,AND($C43="Metro, tram, urban light train",$D43="Almost empty"),$E43*'SE '!C$35,AND($C43="Metro, tram, urban light train",$D43="Average"),$E43*'SE '!C$36,AND($C43="Metro, tram, urban light train",$D43="Nearly full"),$E43*'SE '!C$37,AND($C43="Electric passenger train",$D43="Almost empty"),$E43*'SE '!C$39,AND($C43="Electric passenger train",$D43="Average"),$E43*'SE '!C$40,AND($C43="Electric passenger train",$D43="Nearly full"),$E43*'SE '!C$41,AND($C43="Diesel passenger train",$D43="Almost empty"),$E43*'SE '!C$47,AND($C43="Diesel passenger train",$D43="Average"),$E43*'SE '!C$48,AND($C43="Diesel passenger train",$D43="Nearly full"),$E43*'SE '!C$49,AND($C43="Walking"),$E43*0,AND($C43="Bike"),$E43*0,AND($C43="Plane - domestic flight"),$E43*'SE '!$C67,AND($C43="Plane - international - intra EU"),$E43*'SE '!$C69,AND($C43="Plane - international (extra EU)"),$E43*'SE '!$C71)</f>
        <v>#N/A</v>
      </c>
      <c r="G43" s="31" t="e" cm="1">
        <f t="array" ref="G43">_xlfn.IFS(AND($C43="Fuel car",$D43=1),$E43*'SE '!D$7,AND($C43="Fuel car",$D43=2),$E43*'SE '!D$8,AND($C43="Fuel car",$D43=3),$E43*'SE '!D$9,AND($C43="Fuel car",$D43=4),$E43*'SE '!D$10,AND($C43="Fuel car",$D43=5),$E43*'SE '!D$11,AND($C43="Motorcycle",$D43=1),$E43*'SE '!D$13,AND($C43="Motorcycle",$D43=2),$E43*'SE '!D$14,AND($C43="Electric car",$D43=1),$E43*'SE '!D$16,AND($C43="Electric car",$D43=2),$E43*'SE '!D$17,AND($C43="Electric car",$D43=3),$E43*'SE '!D$18,AND($C43="Electric car",$D43=4),$E43*'SE '!D$19,AND($C43="Electric car",$D43=5),$E43*'SE '!D$20,AND($C43="Hybrid car",$D43=1),$E43*'SE '!D$22,AND($C43="Hybrid car",$D43=2),$E43*'SE '!D$23,AND($C43="Hybrid car",$D43=3),$E43*'SE '!D$24,AND($C43="Hybrid car",$D43=4),$E43*'SE '!D$25,AND($C43="Hybrid car",$D43=5),$E43*'SE '!D$26,AND($C43="Electric motorcycle",$D43=1),$E43*'SE '!D$28,AND($C43="Electric motorcycle",$D43=2),$E43*'SE '!D$29,AND($C43="Electric bike",$D43=1),$E43*'SE '!D$31,AND($C43="Electric scooter",$D43=1),$E43*'SE '!D$33,AND($C43="Bus",$D43="Almost empty"),$E43*'SE '!I$23,AND($C43="Bus",$D43="Average"),$E43*'SE '!I$24,AND($C43="Bus",$D43="Nearly full"),$E43*'SE '!I$25,AND($C43="Electric bus",$D43="Almost empty"),$E43*'SE '!I$7,AND($C43="Electric bus",$D43="Average"),$E43*'SE '!I$8,AND($C43="Electric bus",$D43="Nearly full"),$E43*'SE '!I$9,AND($C43="Diesel bus",$D43="Almost empty"),$E43*'SE '!I$19,AND($C43="Diesel bus",$D43="Average"),$E43*'SE '!I$20,AND($C43="Diesel bus",$D43="Nearly full"),$E43*'SE '!I$21,AND($C43="Hybrid-electric bus",$D43="Almost empty"),$E43*'SE '!I$11,AND($C43="Hybrid-electric bus",$D43="Average"),$E43*'SE '!I$12,AND($C43="Hybrid-electric bus",$D43="Nearly full"),$E43*'SE '!I$13,AND($C43="Alternative fuel bus",$D43="Almost empty"),$E43*'SE '!I$15,AND($C43="Alternative fuel bus",$D43="Average"),$E43*'SE '!I$16,AND($C43="Alternative fuel bus",$D43="Nearly full"),$E43*'SE '!I$17,AND($C43="Metro, tram, urban light train",$D43="Almost empty"),$E43*'SE '!D$35,AND($C43="Metro, tram, urban light train",$D43="Average"),$E43*'SE '!D$36,AND($C43="Metro, tram, urban light train",$D43="Nearly full"),$E43*'SE '!D$37,AND($C43="Electric passenger train",$D43="Almost empty"),$E43*'SE '!D$39,AND($C43="Electric passenger train",$D43="Average"),$E43*'SE '!D$40,AND($C43="Electric passenger train",$D43="Nearly full"),$E43*'SE '!D$41,AND($C43="Diesel passenger train",$D43="Almost empty"),$E43*'SE '!D$47,AND($C43="Diesel passenger train",$D43="Average"),$E43*'SE '!D$48,AND($C43="Diesel passenger train",$D43="Nearly full"),$E43*'SE '!D$49,AND($C43="Walking"),$E43*0,AND($C43="Bike"),$E43*0,AND($C43="Plane - domestic flight"),$E43*'SE '!$C67,AND($C43="Plane - international - intra EU"),$E43*'SE '!$C69,AND($C43="Plane - international (extra EU)"),$E43*'SE '!$C71)</f>
        <v>#N/A</v>
      </c>
      <c r="H43" s="109"/>
      <c r="I43" s="154">
        <f t="shared" si="6"/>
        <v>0</v>
      </c>
      <c r="J43" s="147" t="e" cm="1">
        <f t="array" ref="J43">_xlfn.IFS(C43="Fuel car",C43*DATA!$C$17,C43="Electric car",C43*DATA!$F$30,C43="Hybrid car",I43*(0.5*DATA!$C$17+0.5*DATA!$F$30))</f>
        <v>#N/A</v>
      </c>
      <c r="L43" s="223" t="str">
        <f>"-if it is a public vehicle (bus, metro…) choose between the options (almost empty, average, nearly full)"</f>
        <v>-if it is a public vehicle (bus, metro…) choose between the options (almost empty, average, nearly full)</v>
      </c>
      <c r="M43" s="224"/>
      <c r="N43" s="225"/>
    </row>
    <row r="44" spans="1:14" ht="16" thickBot="1" x14ac:dyDescent="0.25">
      <c r="A44" s="222"/>
      <c r="B44" s="30"/>
      <c r="C44" s="15"/>
      <c r="D44" s="15"/>
      <c r="E44" s="125"/>
      <c r="F44" s="128" t="e" cm="1">
        <f t="array" ref="F44">_xlfn.IFS(AND($C44="Fuel car",$D44=1),$E44*'SE '!C$7,AND($C44="Fuel car",$D44=2),$E44*'SE '!C$8,AND($C44="Fuel car",$D44=3),$E44*'SE '!C$9,AND($C44="Fuel car",$D44=4),$E44*'SE '!C$10,AND($C44="Fuel car",$D44=5),$E44*'SE '!C$11,AND($C44="Motorcycle",$D44=1),$E44*'SE '!C$13,AND($C44="Motorcycle",$D44=2),$E44*'SE '!C$14,AND($C44="Electric car",$D44=1),$E44*'SE '!C$16,AND($C44="Electric car",$D44=2),$E44*'SE '!C$17,AND($C44="Electric car",$D44=3),$E44*'SE '!C$18,AND($C44="Electric car",$D44=4),$E44*'SE '!C$19,AND($C44="Electric car",$D44=5),$E44*'SE '!C$20,AND($C44="Hybrid car",$D44=1),$E44*'SE '!C$22,AND($C44="Hybrid car",$D44=2),$E44*'SE '!C$23,AND($C44="Hybrid car",$D44=3),$E44*'SE '!C$24,AND($C44="Hybrid car",$D44=4),$E44*'SE '!C$25,AND($C44="Hybrid car",$D44=5),$E44*'SE '!C$26,AND($C44="Electric motorcycle",$D44=1),$E44*'SE '!C$28,AND($C44="Electric motorcycle",$D44=2),$E44*'SE '!C$29,AND($C44="Electric bike",$D44=1),$E44*'SE '!C$31,AND($C44="Electric scooter",$D44=1),$E44*'SE '!C$33,AND($C44="Bus",$D44="Almost empty"),$E44*'SE '!H$23,AND($C44="Bus",$D44="Average"),$E44*'SE '!H$24,AND($C44="Bus",$D44="Nearly full"),$E44*'SE '!H$25,AND($C44="Electric bus",$D44="Almost empty"),$E44*'SE '!H$7,AND($C44="Electric bus",$D44="Average"),$E44*'SE '!H$8,AND($C44="Electric bus",$D44="Nearly full"),$E44*'SE '!H$9,AND($C44="Diesel bus",$D44="Almost empty"),$E44*'SE '!H$19,AND($C44="Diesel bus",$D44="Average"),$E44*'SE '!H$20,AND($C44="Diesel bus",$D44="Nearly full"),$E44*'SE '!H$21,AND($C44="Hybrid-electric bus",$D44="Almost empty"),$E44*'SE '!H$11,AND($C44="Hybrid-electric bus",$D44="Average"),$E44*'SE '!H$12,AND($C44="Hybrid-electric bus",$D44="Nearly full"),$E44*'SE '!H$13,AND($C44="Alternative fuel bus",$D44="Almost empty"),$E44*'SE '!H$15,AND($C44="Alternative fuel bus",$D44="Average"),$E44*'SE '!H$16,AND($C44="Alternative fuel bus",$D44="Nearly full"),$E44*'SE '!H$17,AND($C44="Metro, tram, urban light train",$D44="Almost empty"),$E44*'SE '!C$35,AND($C44="Metro, tram, urban light train",$D44="Average"),$E44*'SE '!C$36,AND($C44="Metro, tram, urban light train",$D44="Nearly full"),$E44*'SE '!C$37,AND($C44="Electric passenger train",$D44="Almost empty"),$E44*'SE '!C$39,AND($C44="Electric passenger train",$D44="Average"),$E44*'SE '!C$40,AND($C44="Electric passenger train",$D44="Nearly full"),$E44*'SE '!C$41,AND($C44="Diesel passenger train",$D44="Almost empty"),$E44*'SE '!C$47,AND($C44="Diesel passenger train",$D44="Average"),$E44*'SE '!C$48,AND($C44="Diesel passenger train",$D44="Nearly full"),$E44*'SE '!C$49,AND($C44="Walking"),$E44*0,AND($C44="Bike"),$E44*0,AND($C44="Plane - domestic flight"),$E44*'SE '!$C68,AND($C44="Plane - international - intra EU"),$E44*'SE '!$C70,AND($C44="Plane - international (extra EU)"),$E44*'SE '!$C72)</f>
        <v>#N/A</v>
      </c>
      <c r="G44" s="31" t="e" cm="1">
        <f t="array" ref="G44">_xlfn.IFS(AND($C44="Fuel car",$D44=1),$E44*'SE '!D$7,AND($C44="Fuel car",$D44=2),$E44*'SE '!D$8,AND($C44="Fuel car",$D44=3),$E44*'SE '!D$9,AND($C44="Fuel car",$D44=4),$E44*'SE '!D$10,AND($C44="Fuel car",$D44=5),$E44*'SE '!D$11,AND($C44="Motorcycle",$D44=1),$E44*'SE '!D$13,AND($C44="Motorcycle",$D44=2),$E44*'SE '!D$14,AND($C44="Electric car",$D44=1),$E44*'SE '!D$16,AND($C44="Electric car",$D44=2),$E44*'SE '!D$17,AND($C44="Electric car",$D44=3),$E44*'SE '!D$18,AND($C44="Electric car",$D44=4),$E44*'SE '!D$19,AND($C44="Electric car",$D44=5),$E44*'SE '!D$20,AND($C44="Hybrid car",$D44=1),$E44*'SE '!D$22,AND($C44="Hybrid car",$D44=2),$E44*'SE '!D$23,AND($C44="Hybrid car",$D44=3),$E44*'SE '!D$24,AND($C44="Hybrid car",$D44=4),$E44*'SE '!D$25,AND($C44="Hybrid car",$D44=5),$E44*'SE '!D$26,AND($C44="Electric motorcycle",$D44=1),$E44*'SE '!D$28,AND($C44="Electric motorcycle",$D44=2),$E44*'SE '!D$29,AND($C44="Electric bike",$D44=1),$E44*'SE '!D$31,AND($C44="Electric scooter",$D44=1),$E44*'SE '!D$33,AND($C44="Bus",$D44="Almost empty"),$E44*'SE '!I$23,AND($C44="Bus",$D44="Average"),$E44*'SE '!I$24,AND($C44="Bus",$D44="Nearly full"),$E44*'SE '!I$25,AND($C44="Electric bus",$D44="Almost empty"),$E44*'SE '!I$7,AND($C44="Electric bus",$D44="Average"),$E44*'SE '!I$8,AND($C44="Electric bus",$D44="Nearly full"),$E44*'SE '!I$9,AND($C44="Diesel bus",$D44="Almost empty"),$E44*'SE '!I$19,AND($C44="Diesel bus",$D44="Average"),$E44*'SE '!I$20,AND($C44="Diesel bus",$D44="Nearly full"),$E44*'SE '!I$21,AND($C44="Hybrid-electric bus",$D44="Almost empty"),$E44*'SE '!I$11,AND($C44="Hybrid-electric bus",$D44="Average"),$E44*'SE '!I$12,AND($C44="Hybrid-electric bus",$D44="Nearly full"),$E44*'SE '!I$13,AND($C44="Alternative fuel bus",$D44="Almost empty"),$E44*'SE '!I$15,AND($C44="Alternative fuel bus",$D44="Average"),$E44*'SE '!I$16,AND($C44="Alternative fuel bus",$D44="Nearly full"),$E44*'SE '!I$17,AND($C44="Metro, tram, urban light train",$D44="Almost empty"),$E44*'SE '!D$35,AND($C44="Metro, tram, urban light train",$D44="Average"),$E44*'SE '!D$36,AND($C44="Metro, tram, urban light train",$D44="Nearly full"),$E44*'SE '!D$37,AND($C44="Electric passenger train",$D44="Almost empty"),$E44*'SE '!D$39,AND($C44="Electric passenger train",$D44="Average"),$E44*'SE '!D$40,AND($C44="Electric passenger train",$D44="Nearly full"),$E44*'SE '!D$41,AND($C44="Diesel passenger train",$D44="Almost empty"),$E44*'SE '!D$47,AND($C44="Diesel passenger train",$D44="Average"),$E44*'SE '!D$48,AND($C44="Diesel passenger train",$D44="Nearly full"),$E44*'SE '!D$49,AND($C44="Walking"),$E44*0,AND($C44="Bike"),$E44*0,AND($C44="Plane - domestic flight"),$E44*'SE '!$C68,AND($C44="Plane - international - intra EU"),$E44*'SE '!$C70,AND($C44="Plane - international (extra EU)"),$E44*'SE '!$C72)</f>
        <v>#N/A</v>
      </c>
      <c r="L44" s="218"/>
      <c r="M44" s="219"/>
      <c r="N44" s="220"/>
    </row>
    <row r="45" spans="1:14" ht="14.5" customHeight="1" x14ac:dyDescent="0.2">
      <c r="A45" s="222"/>
      <c r="B45" s="30"/>
      <c r="C45" s="15"/>
      <c r="D45" s="15"/>
      <c r="E45" s="125"/>
      <c r="F45" s="128" t="e" cm="1">
        <f t="array" ref="F45">_xlfn.IFS(AND($C45="Fuel car",$D45=1),$E45*'SE '!C$7,AND($C45="Fuel car",$D45=2),$E45*'SE '!C$8,AND($C45="Fuel car",$D45=3),$E45*'SE '!C$9,AND($C45="Fuel car",$D45=4),$E45*'SE '!C$10,AND($C45="Fuel car",$D45=5),$E45*'SE '!C$11,AND($C45="Motorcycle",$D45=1),$E45*'SE '!C$13,AND($C45="Motorcycle",$D45=2),$E45*'SE '!C$14,AND($C45="Electric car",$D45=1),$E45*'SE '!C$16,AND($C45="Electric car",$D45=2),$E45*'SE '!C$17,AND($C45="Electric car",$D45=3),$E45*'SE '!C$18,AND($C45="Electric car",$D45=4),$E45*'SE '!C$19,AND($C45="Electric car",$D45=5),$E45*'SE '!C$20,AND($C45="Hybrid car",$D45=1),$E45*'SE '!C$22,AND($C45="Hybrid car",$D45=2),$E45*'SE '!C$23,AND($C45="Hybrid car",$D45=3),$E45*'SE '!C$24,AND($C45="Hybrid car",$D45=4),$E45*'SE '!C$25,AND($C45="Hybrid car",$D45=5),$E45*'SE '!C$26,AND($C45="Electric motorcycle",$D45=1),$E45*'SE '!C$28,AND($C45="Electric motorcycle",$D45=2),$E45*'SE '!C$29,AND($C45="Electric bike",$D45=1),$E45*'SE '!C$31,AND($C45="Electric scooter",$D45=1),$E45*'SE '!C$33,AND($C45="Bus",$D45="Almost empty"),$E45*'SE '!H$23,AND($C45="Bus",$D45="Average"),$E45*'SE '!H$24,AND($C45="Bus",$D45="Nearly full"),$E45*'SE '!H$25,AND($C45="Electric bus",$D45="Almost empty"),$E45*'SE '!H$7,AND($C45="Electric bus",$D45="Average"),$E45*'SE '!H$8,AND($C45="Electric bus",$D45="Nearly full"),$E45*'SE '!H$9,AND($C45="Diesel bus",$D45="Almost empty"),$E45*'SE '!H$19,AND($C45="Diesel bus",$D45="Average"),$E45*'SE '!H$20,AND($C45="Diesel bus",$D45="Nearly full"),$E45*'SE '!H$21,AND($C45="Hybrid-electric bus",$D45="Almost empty"),$E45*'SE '!H$11,AND($C45="Hybrid-electric bus",$D45="Average"),$E45*'SE '!H$12,AND($C45="Hybrid-electric bus",$D45="Nearly full"),$E45*'SE '!H$13,AND($C45="Alternative fuel bus",$D45="Almost empty"),$E45*'SE '!H$15,AND($C45="Alternative fuel bus",$D45="Average"),$E45*'SE '!H$16,AND($C45="Alternative fuel bus",$D45="Nearly full"),$E45*'SE '!H$17,AND($C45="Metro, tram, urban light train",$D45="Almost empty"),$E45*'SE '!C$35,AND($C45="Metro, tram, urban light train",$D45="Average"),$E45*'SE '!C$36,AND($C45="Metro, tram, urban light train",$D45="Nearly full"),$E45*'SE '!C$37,AND($C45="Electric passenger train",$D45="Almost empty"),$E45*'SE '!C$39,AND($C45="Electric passenger train",$D45="Average"),$E45*'SE '!C$40,AND($C45="Electric passenger train",$D45="Nearly full"),$E45*'SE '!C$41,AND($C45="Diesel passenger train",$D45="Almost empty"),$E45*'SE '!C$47,AND($C45="Diesel passenger train",$D45="Average"),$E45*'SE '!C$48,AND($C45="Diesel passenger train",$D45="Nearly full"),$E45*'SE '!C$49,AND($C45="Walking"),$E45*0,AND($C45="Bike"),$E45*0,AND($C45="Plane - domestic flight"),$E45*'SE '!$C69,AND($C45="Plane - international - intra EU"),$E45*'SE '!$C71,AND($C45="Plane - international (extra EU)"),$E45*'SE '!$C73)</f>
        <v>#N/A</v>
      </c>
      <c r="G45" s="31" t="e" cm="1">
        <f t="array" ref="G45">_xlfn.IFS(AND($C45="Fuel car",$D45=1),$E45*'SE '!D$7,AND($C45="Fuel car",$D45=2),$E45*'SE '!D$8,AND($C45="Fuel car",$D45=3),$E45*'SE '!D$9,AND($C45="Fuel car",$D45=4),$E45*'SE '!D$10,AND($C45="Fuel car",$D45=5),$E45*'SE '!D$11,AND($C45="Motorcycle",$D45=1),$E45*'SE '!D$13,AND($C45="Motorcycle",$D45=2),$E45*'SE '!D$14,AND($C45="Electric car",$D45=1),$E45*'SE '!D$16,AND($C45="Electric car",$D45=2),$E45*'SE '!D$17,AND($C45="Electric car",$D45=3),$E45*'SE '!D$18,AND($C45="Electric car",$D45=4),$E45*'SE '!D$19,AND($C45="Electric car",$D45=5),$E45*'SE '!D$20,AND($C45="Hybrid car",$D45=1),$E45*'SE '!D$22,AND($C45="Hybrid car",$D45=2),$E45*'SE '!D$23,AND($C45="Hybrid car",$D45=3),$E45*'SE '!D$24,AND($C45="Hybrid car",$D45=4),$E45*'SE '!D$25,AND($C45="Hybrid car",$D45=5),$E45*'SE '!D$26,AND($C45="Electric motorcycle",$D45=1),$E45*'SE '!D$28,AND($C45="Electric motorcycle",$D45=2),$E45*'SE '!D$29,AND($C45="Electric bike",$D45=1),$E45*'SE '!D$31,AND($C45="Electric scooter",$D45=1),$E45*'SE '!D$33,AND($C45="Bus",$D45="Almost empty"),$E45*'SE '!I$23,AND($C45="Bus",$D45="Average"),$E45*'SE '!I$24,AND($C45="Bus",$D45="Nearly full"),$E45*'SE '!I$25,AND($C45="Electric bus",$D45="Almost empty"),$E45*'SE '!I$7,AND($C45="Electric bus",$D45="Average"),$E45*'SE '!I$8,AND($C45="Electric bus",$D45="Nearly full"),$E45*'SE '!I$9,AND($C45="Diesel bus",$D45="Almost empty"),$E45*'SE '!I$19,AND($C45="Diesel bus",$D45="Average"),$E45*'SE '!I$20,AND($C45="Diesel bus",$D45="Nearly full"),$E45*'SE '!I$21,AND($C45="Hybrid-electric bus",$D45="Almost empty"),$E45*'SE '!I$11,AND($C45="Hybrid-electric bus",$D45="Average"),$E45*'SE '!I$12,AND($C45="Hybrid-electric bus",$D45="Nearly full"),$E45*'SE '!I$13,AND($C45="Alternative fuel bus",$D45="Almost empty"),$E45*'SE '!I$15,AND($C45="Alternative fuel bus",$D45="Average"),$E45*'SE '!I$16,AND($C45="Alternative fuel bus",$D45="Nearly full"),$E45*'SE '!I$17,AND($C45="Metro, tram, urban light train",$D45="Almost empty"),$E45*'SE '!D$35,AND($C45="Metro, tram, urban light train",$D45="Average"),$E45*'SE '!D$36,AND($C45="Metro, tram, urban light train",$D45="Nearly full"),$E45*'SE '!D$37,AND($C45="Electric passenger train",$D45="Almost empty"),$E45*'SE '!D$39,AND($C45="Electric passenger train",$D45="Average"),$E45*'SE '!D$40,AND($C45="Electric passenger train",$D45="Nearly full"),$E45*'SE '!D$41,AND($C45="Diesel passenger train",$D45="Almost empty"),$E45*'SE '!D$47,AND($C45="Diesel passenger train",$D45="Average"),$E45*'SE '!D$48,AND($C45="Diesel passenger train",$D45="Nearly full"),$E45*'SE '!D$49,AND($C45="Walking"),$E45*0,AND($C45="Bike"),$E45*0,AND($C45="Plane - domestic flight"),$E45*'SE '!$C69,AND($C45="Plane - international - intra EU"),$E45*'SE '!$C71,AND($C45="Plane - international (extra EU)"),$E45*'SE '!$C73)</f>
        <v>#N/A</v>
      </c>
      <c r="L45" s="198" t="s">
        <v>256</v>
      </c>
      <c r="M45" s="199"/>
      <c r="N45" s="200"/>
    </row>
    <row r="46" spans="1:14" ht="16" thickBot="1" x14ac:dyDescent="0.25">
      <c r="A46" s="222"/>
      <c r="B46" s="30"/>
      <c r="C46" s="15"/>
      <c r="D46" s="15"/>
      <c r="E46" s="125"/>
      <c r="F46" s="128" t="e" cm="1">
        <f t="array" ref="F46">_xlfn.IFS(AND($C46="Fuel car",$D46=1),$E46*'SE '!C$7,AND($C46="Fuel car",$D46=2),$E46*'SE '!C$8,AND($C46="Fuel car",$D46=3),$E46*'SE '!C$9,AND($C46="Fuel car",$D46=4),$E46*'SE '!C$10,AND($C46="Fuel car",$D46=5),$E46*'SE '!C$11,AND($C46="Motorcycle",$D46=1),$E46*'SE '!C$13,AND($C46="Motorcycle",$D46=2),$E46*'SE '!C$14,AND($C46="Electric car",$D46=1),$E46*'SE '!C$16,AND($C46="Electric car",$D46=2),$E46*'SE '!C$17,AND($C46="Electric car",$D46=3),$E46*'SE '!C$18,AND($C46="Electric car",$D46=4),$E46*'SE '!C$19,AND($C46="Electric car",$D46=5),$E46*'SE '!C$20,AND($C46="Hybrid car",$D46=1),$E46*'SE '!C$22,AND($C46="Hybrid car",$D46=2),$E46*'SE '!C$23,AND($C46="Hybrid car",$D46=3),$E46*'SE '!C$24,AND($C46="Hybrid car",$D46=4),$E46*'SE '!C$25,AND($C46="Hybrid car",$D46=5),$E46*'SE '!C$26,AND($C46="Electric motorcycle",$D46=1),$E46*'SE '!C$28,AND($C46="Electric motorcycle",$D46=2),$E46*'SE '!C$29,AND($C46="Electric bike",$D46=1),$E46*'SE '!C$31,AND($C46="Electric scooter",$D46=1),$E46*'SE '!C$33,AND($C46="Bus",$D46="Almost empty"),$E46*'SE '!H$23,AND($C46="Bus",$D46="Average"),$E46*'SE '!H$24,AND($C46="Bus",$D46="Nearly full"),$E46*'SE '!H$25,AND($C46="Electric bus",$D46="Almost empty"),$E46*'SE '!H$7,AND($C46="Electric bus",$D46="Average"),$E46*'SE '!H$8,AND($C46="Electric bus",$D46="Nearly full"),$E46*'SE '!H$9,AND($C46="Diesel bus",$D46="Almost empty"),$E46*'SE '!H$19,AND($C46="Diesel bus",$D46="Average"),$E46*'SE '!H$20,AND($C46="Diesel bus",$D46="Nearly full"),$E46*'SE '!H$21,AND($C46="Hybrid-electric bus",$D46="Almost empty"),$E46*'SE '!H$11,AND($C46="Hybrid-electric bus",$D46="Average"),$E46*'SE '!H$12,AND($C46="Hybrid-electric bus",$D46="Nearly full"),$E46*'SE '!H$13,AND($C46="Alternative fuel bus",$D46="Almost empty"),$E46*'SE '!H$15,AND($C46="Alternative fuel bus",$D46="Average"),$E46*'SE '!H$16,AND($C46="Alternative fuel bus",$D46="Nearly full"),$E46*'SE '!H$17,AND($C46="Metro, tram, urban light train",$D46="Almost empty"),$E46*'SE '!C$35,AND($C46="Metro, tram, urban light train",$D46="Average"),$E46*'SE '!C$36,AND($C46="Metro, tram, urban light train",$D46="Nearly full"),$E46*'SE '!C$37,AND($C46="Electric passenger train",$D46="Almost empty"),$E46*'SE '!C$39,AND($C46="Electric passenger train",$D46="Average"),$E46*'SE '!C$40,AND($C46="Electric passenger train",$D46="Nearly full"),$E46*'SE '!C$41,AND($C46="Diesel passenger train",$D46="Almost empty"),$E46*'SE '!C$47,AND($C46="Diesel passenger train",$D46="Average"),$E46*'SE '!C$48,AND($C46="Diesel passenger train",$D46="Nearly full"),$E46*'SE '!C$49,AND($C46="Walking"),$E46*0,AND($C46="Bike"),$E46*0,AND($C46="Plane - domestic flight"),$E46*'SE '!$C70,AND($C46="Plane - international - intra EU"),$E46*'SE '!$C72,AND($C46="Plane - international (extra EU)"),$E46*'SE '!$C74)</f>
        <v>#N/A</v>
      </c>
      <c r="G46" s="31" t="e" cm="1">
        <f t="array" ref="G46">_xlfn.IFS(AND($C46="Fuel car",$D46=1),$E46*'SE '!D$7,AND($C46="Fuel car",$D46=2),$E46*'SE '!D$8,AND($C46="Fuel car",$D46=3),$E46*'SE '!D$9,AND($C46="Fuel car",$D46=4),$E46*'SE '!D$10,AND($C46="Fuel car",$D46=5),$E46*'SE '!D$11,AND($C46="Motorcycle",$D46=1),$E46*'SE '!D$13,AND($C46="Motorcycle",$D46=2),$E46*'SE '!D$14,AND($C46="Electric car",$D46=1),$E46*'SE '!D$16,AND($C46="Electric car",$D46=2),$E46*'SE '!D$17,AND($C46="Electric car",$D46=3),$E46*'SE '!D$18,AND($C46="Electric car",$D46=4),$E46*'SE '!D$19,AND($C46="Electric car",$D46=5),$E46*'SE '!D$20,AND($C46="Hybrid car",$D46=1),$E46*'SE '!D$22,AND($C46="Hybrid car",$D46=2),$E46*'SE '!D$23,AND($C46="Hybrid car",$D46=3),$E46*'SE '!D$24,AND($C46="Hybrid car",$D46=4),$E46*'SE '!D$25,AND($C46="Hybrid car",$D46=5),$E46*'SE '!D$26,AND($C46="Electric motorcycle",$D46=1),$E46*'SE '!D$28,AND($C46="Electric motorcycle",$D46=2),$E46*'SE '!D$29,AND($C46="Electric bike",$D46=1),$E46*'SE '!D$31,AND($C46="Electric scooter",$D46=1),$E46*'SE '!D$33,AND($C46="Bus",$D46="Almost empty"),$E46*'SE '!I$23,AND($C46="Bus",$D46="Average"),$E46*'SE '!I$24,AND($C46="Bus",$D46="Nearly full"),$E46*'SE '!I$25,AND($C46="Electric bus",$D46="Almost empty"),$E46*'SE '!I$7,AND($C46="Electric bus",$D46="Average"),$E46*'SE '!I$8,AND($C46="Electric bus",$D46="Nearly full"),$E46*'SE '!I$9,AND($C46="Diesel bus",$D46="Almost empty"),$E46*'SE '!I$19,AND($C46="Diesel bus",$D46="Average"),$E46*'SE '!I$20,AND($C46="Diesel bus",$D46="Nearly full"),$E46*'SE '!I$21,AND($C46="Hybrid-electric bus",$D46="Almost empty"),$E46*'SE '!I$11,AND($C46="Hybrid-electric bus",$D46="Average"),$E46*'SE '!I$12,AND($C46="Hybrid-electric bus",$D46="Nearly full"),$E46*'SE '!I$13,AND($C46="Alternative fuel bus",$D46="Almost empty"),$E46*'SE '!I$15,AND($C46="Alternative fuel bus",$D46="Average"),$E46*'SE '!I$16,AND($C46="Alternative fuel bus",$D46="Nearly full"),$E46*'SE '!I$17,AND($C46="Metro, tram, urban light train",$D46="Almost empty"),$E46*'SE '!D$35,AND($C46="Metro, tram, urban light train",$D46="Average"),$E46*'SE '!D$36,AND($C46="Metro, tram, urban light train",$D46="Nearly full"),$E46*'SE '!D$37,AND($C46="Electric passenger train",$D46="Almost empty"),$E46*'SE '!D$39,AND($C46="Electric passenger train",$D46="Average"),$E46*'SE '!D$40,AND($C46="Electric passenger train",$D46="Nearly full"),$E46*'SE '!D$41,AND($C46="Diesel passenger train",$D46="Almost empty"),$E46*'SE '!D$47,AND($C46="Diesel passenger train",$D46="Average"),$E46*'SE '!D$48,AND($C46="Diesel passenger train",$D46="Nearly full"),$E46*'SE '!D$49,AND($C46="Walking"),$E46*0,AND($C46="Bike"),$E46*0,AND($C46="Plane - domestic flight"),$E46*'SE '!$C70,AND($C46="Plane - international - intra EU"),$E46*'SE '!$C72,AND($C46="Plane - international (extra EU)"),$E46*'SE '!$C74)</f>
        <v>#N/A</v>
      </c>
      <c r="L46" s="246"/>
      <c r="M46" s="247"/>
      <c r="N46" s="248"/>
    </row>
    <row r="47" spans="1:14" ht="20" thickBot="1" x14ac:dyDescent="0.25">
      <c r="A47" s="222"/>
      <c r="B47" s="30"/>
      <c r="C47" s="15"/>
      <c r="D47" s="15"/>
      <c r="E47" s="125"/>
      <c r="F47" s="128" t="e" cm="1">
        <f t="array" ref="F47">_xlfn.IFS(AND($C47="Fuel car",$D47=1),$E47*'SE '!C$7,AND($C47="Fuel car",$D47=2),$E47*'SE '!C$8,AND($C47="Fuel car",$D47=3),$E47*'SE '!C$9,AND($C47="Fuel car",$D47=4),$E47*'SE '!C$10,AND($C47="Fuel car",$D47=5),$E47*'SE '!C$11,AND($C47="Motorcycle",$D47=1),$E47*'SE '!C$13,AND($C47="Motorcycle",$D47=2),$E47*'SE '!C$14,AND($C47="Electric car",$D47=1),$E47*'SE '!C$16,AND($C47="Electric car",$D47=2),$E47*'SE '!C$17,AND($C47="Electric car",$D47=3),$E47*'SE '!C$18,AND($C47="Electric car",$D47=4),$E47*'SE '!C$19,AND($C47="Electric car",$D47=5),$E47*'SE '!C$20,AND($C47="Hybrid car",$D47=1),$E47*'SE '!C$22,AND($C47="Hybrid car",$D47=2),$E47*'SE '!C$23,AND($C47="Hybrid car",$D47=3),$E47*'SE '!C$24,AND($C47="Hybrid car",$D47=4),$E47*'SE '!C$25,AND($C47="Hybrid car",$D47=5),$E47*'SE '!C$26,AND($C47="Electric motorcycle",$D47=1),$E47*'SE '!C$28,AND($C47="Electric motorcycle",$D47=2),$E47*'SE '!C$29,AND($C47="Electric bike",$D47=1),$E47*'SE '!C$31,AND($C47="Electric scooter",$D47=1),$E47*'SE '!C$33,AND($C47="Bus",$D47="Almost empty"),$E47*'SE '!H$23,AND($C47="Bus",$D47="Average"),$E47*'SE '!H$24,AND($C47="Bus",$D47="Nearly full"),$E47*'SE '!H$25,AND($C47="Electric bus",$D47="Almost empty"),$E47*'SE '!H$7,AND($C47="Electric bus",$D47="Average"),$E47*'SE '!H$8,AND($C47="Electric bus",$D47="Nearly full"),$E47*'SE '!H$9,AND($C47="Diesel bus",$D47="Almost empty"),$E47*'SE '!H$19,AND($C47="Diesel bus",$D47="Average"),$E47*'SE '!H$20,AND($C47="Diesel bus",$D47="Nearly full"),$E47*'SE '!H$21,AND($C47="Hybrid-electric bus",$D47="Almost empty"),$E47*'SE '!H$11,AND($C47="Hybrid-electric bus",$D47="Average"),$E47*'SE '!H$12,AND($C47="Hybrid-electric bus",$D47="Nearly full"),$E47*'SE '!H$13,AND($C47="Alternative fuel bus",$D47="Almost empty"),$E47*'SE '!H$15,AND($C47="Alternative fuel bus",$D47="Average"),$E47*'SE '!H$16,AND($C47="Alternative fuel bus",$D47="Nearly full"),$E47*'SE '!H$17,AND($C47="Metro, tram, urban light train",$D47="Almost empty"),$E47*'SE '!C$35,AND($C47="Metro, tram, urban light train",$D47="Average"),$E47*'SE '!C$36,AND($C47="Metro, tram, urban light train",$D47="Nearly full"),$E47*'SE '!C$37,AND($C47="Electric passenger train",$D47="Almost empty"),$E47*'SE '!C$39,AND($C47="Electric passenger train",$D47="Average"),$E47*'SE '!C$40,AND($C47="Electric passenger train",$D47="Nearly full"),$E47*'SE '!C$41,AND($C47="Diesel passenger train",$D47="Almost empty"),$E47*'SE '!C$47,AND($C47="Diesel passenger train",$D47="Average"),$E47*'SE '!C$48,AND($C47="Diesel passenger train",$D47="Nearly full"),$E47*'SE '!C$49,AND($C47="Walking"),$E47*0,AND($C47="Bike"),$E47*0,AND($C47="Plane - domestic flight"),$E47*'SE '!$C71,AND($C47="Plane - international - intra EU"),$E47*'SE '!$C73,AND($C47="Plane - international (extra EU)"),$E47*'SE '!$C75)</f>
        <v>#N/A</v>
      </c>
      <c r="G47" s="31" t="e" cm="1">
        <f t="array" ref="G47">_xlfn.IFS(AND($C47="Fuel car",$D47=1),$E47*'SE '!D$7,AND($C47="Fuel car",$D47=2),$E47*'SE '!D$8,AND($C47="Fuel car",$D47=3),$E47*'SE '!D$9,AND($C47="Fuel car",$D47=4),$E47*'SE '!D$10,AND($C47="Fuel car",$D47=5),$E47*'SE '!D$11,AND($C47="Motorcycle",$D47=1),$E47*'SE '!D$13,AND($C47="Motorcycle",$D47=2),$E47*'SE '!D$14,AND($C47="Electric car",$D47=1),$E47*'SE '!D$16,AND($C47="Electric car",$D47=2),$E47*'SE '!D$17,AND($C47="Electric car",$D47=3),$E47*'SE '!D$18,AND($C47="Electric car",$D47=4),$E47*'SE '!D$19,AND($C47="Electric car",$D47=5),$E47*'SE '!D$20,AND($C47="Hybrid car",$D47=1),$E47*'SE '!D$22,AND($C47="Hybrid car",$D47=2),$E47*'SE '!D$23,AND($C47="Hybrid car",$D47=3),$E47*'SE '!D$24,AND($C47="Hybrid car",$D47=4),$E47*'SE '!D$25,AND($C47="Hybrid car",$D47=5),$E47*'SE '!D$26,AND($C47="Electric motorcycle",$D47=1),$E47*'SE '!D$28,AND($C47="Electric motorcycle",$D47=2),$E47*'SE '!D$29,AND($C47="Electric bike",$D47=1),$E47*'SE '!D$31,AND($C47="Electric scooter",$D47=1),$E47*'SE '!D$33,AND($C47="Bus",$D47="Almost empty"),$E47*'SE '!I$23,AND($C47="Bus",$D47="Average"),$E47*'SE '!I$24,AND($C47="Bus",$D47="Nearly full"),$E47*'SE '!I$25,AND($C47="Electric bus",$D47="Almost empty"),$E47*'SE '!I$7,AND($C47="Electric bus",$D47="Average"),$E47*'SE '!I$8,AND($C47="Electric bus",$D47="Nearly full"),$E47*'SE '!I$9,AND($C47="Diesel bus",$D47="Almost empty"),$E47*'SE '!I$19,AND($C47="Diesel bus",$D47="Average"),$E47*'SE '!I$20,AND($C47="Diesel bus",$D47="Nearly full"),$E47*'SE '!I$21,AND($C47="Hybrid-electric bus",$D47="Almost empty"),$E47*'SE '!I$11,AND($C47="Hybrid-electric bus",$D47="Average"),$E47*'SE '!I$12,AND($C47="Hybrid-electric bus",$D47="Nearly full"),$E47*'SE '!I$13,AND($C47="Alternative fuel bus",$D47="Almost empty"),$E47*'SE '!I$15,AND($C47="Alternative fuel bus",$D47="Average"),$E47*'SE '!I$16,AND($C47="Alternative fuel bus",$D47="Nearly full"),$E47*'SE '!I$17,AND($C47="Metro, tram, urban light train",$D47="Almost empty"),$E47*'SE '!D$35,AND($C47="Metro, tram, urban light train",$D47="Average"),$E47*'SE '!D$36,AND($C47="Metro, tram, urban light train",$D47="Nearly full"),$E47*'SE '!D$37,AND($C47="Electric passenger train",$D47="Almost empty"),$E47*'SE '!D$39,AND($C47="Electric passenger train",$D47="Average"),$E47*'SE '!D$40,AND($C47="Electric passenger train",$D47="Nearly full"),$E47*'SE '!D$41,AND($C47="Diesel passenger train",$D47="Almost empty"),$E47*'SE '!D$47,AND($C47="Diesel passenger train",$D47="Average"),$E47*'SE '!D$48,AND($C47="Diesel passenger train",$D47="Nearly full"),$E47*'SE '!D$49,AND($C47="Walking"),$E47*0,AND($C47="Bike"),$E47*0,AND($C47="Plane - domestic flight"),$E47*'SE '!$C71,AND($C47="Plane - international - intra EU"),$E47*'SE '!$C73,AND($C47="Plane - international (extra EU)"),$E47*'SE '!$C75)</f>
        <v>#N/A</v>
      </c>
      <c r="L47" s="238" t="s">
        <v>56</v>
      </c>
      <c r="M47" s="239"/>
      <c r="N47" s="240"/>
    </row>
    <row r="48" spans="1:14" ht="16" thickBot="1" x14ac:dyDescent="0.25">
      <c r="A48" s="222"/>
      <c r="B48" s="30"/>
      <c r="C48" s="15"/>
      <c r="D48" s="15"/>
      <c r="E48" s="125"/>
      <c r="F48" s="128" t="e" cm="1">
        <f t="array" ref="F48">_xlfn.IFS(AND($C48="Fuel car",$D48=1),$E48*'SE '!C$7,AND($C48="Fuel car",$D48=2),$E48*'SE '!C$8,AND($C48="Fuel car",$D48=3),$E48*'SE '!C$9,AND($C48="Fuel car",$D48=4),$E48*'SE '!C$10,AND($C48="Fuel car",$D48=5),$E48*'SE '!C$11,AND($C48="Motorcycle",$D48=1),$E48*'SE '!C$13,AND($C48="Motorcycle",$D48=2),$E48*'SE '!C$14,AND($C48="Electric car",$D48=1),$E48*'SE '!C$16,AND($C48="Electric car",$D48=2),$E48*'SE '!C$17,AND($C48="Electric car",$D48=3),$E48*'SE '!C$18,AND($C48="Electric car",$D48=4),$E48*'SE '!C$19,AND($C48="Electric car",$D48=5),$E48*'SE '!C$20,AND($C48="Hybrid car",$D48=1),$E48*'SE '!C$22,AND($C48="Hybrid car",$D48=2),$E48*'SE '!C$23,AND($C48="Hybrid car",$D48=3),$E48*'SE '!C$24,AND($C48="Hybrid car",$D48=4),$E48*'SE '!C$25,AND($C48="Hybrid car",$D48=5),$E48*'SE '!C$26,AND($C48="Electric motorcycle",$D48=1),$E48*'SE '!C$28,AND($C48="Electric motorcycle",$D48=2),$E48*'SE '!C$29,AND($C48="Electric bike",$D48=1),$E48*'SE '!C$31,AND($C48="Electric scooter",$D48=1),$E48*'SE '!C$33,AND($C48="Bus",$D48="Almost empty"),$E48*'SE '!H$23,AND($C48="Bus",$D48="Average"),$E48*'SE '!H$24,AND($C48="Bus",$D48="Nearly full"),$E48*'SE '!H$25,AND($C48="Electric bus",$D48="Almost empty"),$E48*'SE '!H$7,AND($C48="Electric bus",$D48="Average"),$E48*'SE '!H$8,AND($C48="Electric bus",$D48="Nearly full"),$E48*'SE '!H$9,AND($C48="Diesel bus",$D48="Almost empty"),$E48*'SE '!H$19,AND($C48="Diesel bus",$D48="Average"),$E48*'SE '!H$20,AND($C48="Diesel bus",$D48="Nearly full"),$E48*'SE '!H$21,AND($C48="Hybrid-electric bus",$D48="Almost empty"),$E48*'SE '!H$11,AND($C48="Hybrid-electric bus",$D48="Average"),$E48*'SE '!H$12,AND($C48="Hybrid-electric bus",$D48="Nearly full"),$E48*'SE '!H$13,AND($C48="Alternative fuel bus",$D48="Almost empty"),$E48*'SE '!H$15,AND($C48="Alternative fuel bus",$D48="Average"),$E48*'SE '!H$16,AND($C48="Alternative fuel bus",$D48="Nearly full"),$E48*'SE '!H$17,AND($C48="Metro, tram, urban light train",$D48="Almost empty"),$E48*'SE '!C$35,AND($C48="Metro, tram, urban light train",$D48="Average"),$E48*'SE '!C$36,AND($C48="Metro, tram, urban light train",$D48="Nearly full"),$E48*'SE '!C$37,AND($C48="Electric passenger train",$D48="Almost empty"),$E48*'SE '!C$39,AND($C48="Electric passenger train",$D48="Average"),$E48*'SE '!C$40,AND($C48="Electric passenger train",$D48="Nearly full"),$E48*'SE '!C$41,AND($C48="Diesel passenger train",$D48="Almost empty"),$E48*'SE '!C$47,AND($C48="Diesel passenger train",$D48="Average"),$E48*'SE '!C$48,AND($C48="Diesel passenger train",$D48="Nearly full"),$E48*'SE '!C$49,AND($C48="Walking"),$E48*0,AND($C48="Bike"),$E48*0,AND($C48="Plane - domestic flight"),$E48*'SE '!$C72,AND($C48="Plane - international - intra EU"),$E48*'SE '!$C74,AND($C48="Plane - international (extra EU)"),$E48*'SE '!$C76)</f>
        <v>#N/A</v>
      </c>
      <c r="G48" s="31" t="e" cm="1">
        <f t="array" ref="G48">_xlfn.IFS(AND($C48="Fuel car",$D48=1),$E48*'SE '!D$7,AND($C48="Fuel car",$D48=2),$E48*'SE '!D$8,AND($C48="Fuel car",$D48=3),$E48*'SE '!D$9,AND($C48="Fuel car",$D48=4),$E48*'SE '!D$10,AND($C48="Fuel car",$D48=5),$E48*'SE '!D$11,AND($C48="Motorcycle",$D48=1),$E48*'SE '!D$13,AND($C48="Motorcycle",$D48=2),$E48*'SE '!D$14,AND($C48="Electric car",$D48=1),$E48*'SE '!D$16,AND($C48="Electric car",$D48=2),$E48*'SE '!D$17,AND($C48="Electric car",$D48=3),$E48*'SE '!D$18,AND($C48="Electric car",$D48=4),$E48*'SE '!D$19,AND($C48="Electric car",$D48=5),$E48*'SE '!D$20,AND($C48="Hybrid car",$D48=1),$E48*'SE '!D$22,AND($C48="Hybrid car",$D48=2),$E48*'SE '!D$23,AND($C48="Hybrid car",$D48=3),$E48*'SE '!D$24,AND($C48="Hybrid car",$D48=4),$E48*'SE '!D$25,AND($C48="Hybrid car",$D48=5),$E48*'SE '!D$26,AND($C48="Electric motorcycle",$D48=1),$E48*'SE '!D$28,AND($C48="Electric motorcycle",$D48=2),$E48*'SE '!D$29,AND($C48="Electric bike",$D48=1),$E48*'SE '!D$31,AND($C48="Electric scooter",$D48=1),$E48*'SE '!D$33,AND($C48="Bus",$D48="Almost empty"),$E48*'SE '!I$23,AND($C48="Bus",$D48="Average"),$E48*'SE '!I$24,AND($C48="Bus",$D48="Nearly full"),$E48*'SE '!I$25,AND($C48="Electric bus",$D48="Almost empty"),$E48*'SE '!I$7,AND($C48="Electric bus",$D48="Average"),$E48*'SE '!I$8,AND($C48="Electric bus",$D48="Nearly full"),$E48*'SE '!I$9,AND($C48="Diesel bus",$D48="Almost empty"),$E48*'SE '!I$19,AND($C48="Diesel bus",$D48="Average"),$E48*'SE '!I$20,AND($C48="Diesel bus",$D48="Nearly full"),$E48*'SE '!I$21,AND($C48="Hybrid-electric bus",$D48="Almost empty"),$E48*'SE '!I$11,AND($C48="Hybrid-electric bus",$D48="Average"),$E48*'SE '!I$12,AND($C48="Hybrid-electric bus",$D48="Nearly full"),$E48*'SE '!I$13,AND($C48="Alternative fuel bus",$D48="Almost empty"),$E48*'SE '!I$15,AND($C48="Alternative fuel bus",$D48="Average"),$E48*'SE '!I$16,AND($C48="Alternative fuel bus",$D48="Nearly full"),$E48*'SE '!I$17,AND($C48="Metro, tram, urban light train",$D48="Almost empty"),$E48*'SE '!D$35,AND($C48="Metro, tram, urban light train",$D48="Average"),$E48*'SE '!D$36,AND($C48="Metro, tram, urban light train",$D48="Nearly full"),$E48*'SE '!D$37,AND($C48="Electric passenger train",$D48="Almost empty"),$E48*'SE '!D$39,AND($C48="Electric passenger train",$D48="Average"),$E48*'SE '!D$40,AND($C48="Electric passenger train",$D48="Nearly full"),$E48*'SE '!D$41,AND($C48="Diesel passenger train",$D48="Almost empty"),$E48*'SE '!D$47,AND($C48="Diesel passenger train",$D48="Average"),$E48*'SE '!D$48,AND($C48="Diesel passenger train",$D48="Nearly full"),$E48*'SE '!D$49,AND($C48="Walking"),$E48*0,AND($C48="Bike"),$E48*0,AND($C48="Plane - domestic flight"),$E48*'SE '!$C72,AND($C48="Plane - international - intra EU"),$E48*'SE '!$C74,AND($C48="Plane - international (extra EU)"),$E48*'SE '!$C76)</f>
        <v>#N/A</v>
      </c>
      <c r="H48" s="196" t="s">
        <v>67</v>
      </c>
      <c r="I48" s="197"/>
      <c r="L48" s="249"/>
      <c r="M48" s="250"/>
      <c r="N48" s="251"/>
    </row>
    <row r="49" spans="1:14" x14ac:dyDescent="0.2">
      <c r="A49" s="222"/>
      <c r="B49" s="30"/>
      <c r="C49" s="15"/>
      <c r="D49" s="15"/>
      <c r="E49" s="125"/>
      <c r="F49" s="128" t="e" cm="1">
        <f t="array" ref="F49">_xlfn.IFS(AND($C49="Fuel car",$D49=1),$E49*'SE '!C$7,AND($C49="Fuel car",$D49=2),$E49*'SE '!C$8,AND($C49="Fuel car",$D49=3),$E49*'SE '!C$9,AND($C49="Fuel car",$D49=4),$E49*'SE '!C$10,AND($C49="Fuel car",$D49=5),$E49*'SE '!C$11,AND($C49="Motorcycle",$D49=1),$E49*'SE '!C$13,AND($C49="Motorcycle",$D49=2),$E49*'SE '!C$14,AND($C49="Electric car",$D49=1),$E49*'SE '!C$16,AND($C49="Electric car",$D49=2),$E49*'SE '!C$17,AND($C49="Electric car",$D49=3),$E49*'SE '!C$18,AND($C49="Electric car",$D49=4),$E49*'SE '!C$19,AND($C49="Electric car",$D49=5),$E49*'SE '!C$20,AND($C49="Hybrid car",$D49=1),$E49*'SE '!C$22,AND($C49="Hybrid car",$D49=2),$E49*'SE '!C$23,AND($C49="Hybrid car",$D49=3),$E49*'SE '!C$24,AND($C49="Hybrid car",$D49=4),$E49*'SE '!C$25,AND($C49="Hybrid car",$D49=5),$E49*'SE '!C$26,AND($C49="Electric motorcycle",$D49=1),$E49*'SE '!C$28,AND($C49="Electric motorcycle",$D49=2),$E49*'SE '!C$29,AND($C49="Electric bike",$D49=1),$E49*'SE '!C$31,AND($C49="Electric scooter",$D49=1),$E49*'SE '!C$33,AND($C49="Bus",$D49="Almost empty"),$E49*'SE '!H$23,AND($C49="Bus",$D49="Average"),$E49*'SE '!H$24,AND($C49="Bus",$D49="Nearly full"),$E49*'SE '!H$25,AND($C49="Electric bus",$D49="Almost empty"),$E49*'SE '!H$7,AND($C49="Electric bus",$D49="Average"),$E49*'SE '!H$8,AND($C49="Electric bus",$D49="Nearly full"),$E49*'SE '!H$9,AND($C49="Diesel bus",$D49="Almost empty"),$E49*'SE '!H$19,AND($C49="Diesel bus",$D49="Average"),$E49*'SE '!H$20,AND($C49="Diesel bus",$D49="Nearly full"),$E49*'SE '!H$21,AND($C49="Hybrid-electric bus",$D49="Almost empty"),$E49*'SE '!H$11,AND($C49="Hybrid-electric bus",$D49="Average"),$E49*'SE '!H$12,AND($C49="Hybrid-electric bus",$D49="Nearly full"),$E49*'SE '!H$13,AND($C49="Alternative fuel bus",$D49="Almost empty"),$E49*'SE '!H$15,AND($C49="Alternative fuel bus",$D49="Average"),$E49*'SE '!H$16,AND($C49="Alternative fuel bus",$D49="Nearly full"),$E49*'SE '!H$17,AND($C49="Metro, tram, urban light train",$D49="Almost empty"),$E49*'SE '!C$35,AND($C49="Metro, tram, urban light train",$D49="Average"),$E49*'SE '!C$36,AND($C49="Metro, tram, urban light train",$D49="Nearly full"),$E49*'SE '!C$37,AND($C49="Electric passenger train",$D49="Almost empty"),$E49*'SE '!C$39,AND($C49="Electric passenger train",$D49="Average"),$E49*'SE '!C$40,AND($C49="Electric passenger train",$D49="Nearly full"),$E49*'SE '!C$41,AND($C49="Diesel passenger train",$D49="Almost empty"),$E49*'SE '!C$47,AND($C49="Diesel passenger train",$D49="Average"),$E49*'SE '!C$48,AND($C49="Diesel passenger train",$D49="Nearly full"),$E49*'SE '!C$49,AND($C49="Walking"),$E49*0,AND($C49="Bike"),$E49*0,AND($C49="Plane - domestic flight"),$E49*'SE '!$C73,AND($C49="Plane - international - intra EU"),$E49*'SE '!$C75,AND($C49="Plane - international (extra EU)"),$E49*'SE '!$C77)</f>
        <v>#N/A</v>
      </c>
      <c r="G49" s="31" t="e" cm="1">
        <f t="array" ref="G49">_xlfn.IFS(AND($C49="Fuel car",$D49=1),$E49*'SE '!D$7,AND($C49="Fuel car",$D49=2),$E49*'SE '!D$8,AND($C49="Fuel car",$D49=3),$E49*'SE '!D$9,AND($C49="Fuel car",$D49=4),$E49*'SE '!D$10,AND($C49="Fuel car",$D49=5),$E49*'SE '!D$11,AND($C49="Motorcycle",$D49=1),$E49*'SE '!D$13,AND($C49="Motorcycle",$D49=2),$E49*'SE '!D$14,AND($C49="Electric car",$D49=1),$E49*'SE '!D$16,AND($C49="Electric car",$D49=2),$E49*'SE '!D$17,AND($C49="Electric car",$D49=3),$E49*'SE '!D$18,AND($C49="Electric car",$D49=4),$E49*'SE '!D$19,AND($C49="Electric car",$D49=5),$E49*'SE '!D$20,AND($C49="Hybrid car",$D49=1),$E49*'SE '!D$22,AND($C49="Hybrid car",$D49=2),$E49*'SE '!D$23,AND($C49="Hybrid car",$D49=3),$E49*'SE '!D$24,AND($C49="Hybrid car",$D49=4),$E49*'SE '!D$25,AND($C49="Hybrid car",$D49=5),$E49*'SE '!D$26,AND($C49="Electric motorcycle",$D49=1),$E49*'SE '!D$28,AND($C49="Electric motorcycle",$D49=2),$E49*'SE '!D$29,AND($C49="Electric bike",$D49=1),$E49*'SE '!D$31,AND($C49="Electric scooter",$D49=1),$E49*'SE '!D$33,AND($C49="Bus",$D49="Almost empty"),$E49*'SE '!I$23,AND($C49="Bus",$D49="Average"),$E49*'SE '!I$24,AND($C49="Bus",$D49="Nearly full"),$E49*'SE '!I$25,AND($C49="Electric bus",$D49="Almost empty"),$E49*'SE '!I$7,AND($C49="Electric bus",$D49="Average"),$E49*'SE '!I$8,AND($C49="Electric bus",$D49="Nearly full"),$E49*'SE '!I$9,AND($C49="Diesel bus",$D49="Almost empty"),$E49*'SE '!I$19,AND($C49="Diesel bus",$D49="Average"),$E49*'SE '!I$20,AND($C49="Diesel bus",$D49="Nearly full"),$E49*'SE '!I$21,AND($C49="Hybrid-electric bus",$D49="Almost empty"),$E49*'SE '!I$11,AND($C49="Hybrid-electric bus",$D49="Average"),$E49*'SE '!I$12,AND($C49="Hybrid-electric bus",$D49="Nearly full"),$E49*'SE '!I$13,AND($C49="Alternative fuel bus",$D49="Almost empty"),$E49*'SE '!I$15,AND($C49="Alternative fuel bus",$D49="Average"),$E49*'SE '!I$16,AND($C49="Alternative fuel bus",$D49="Nearly full"),$E49*'SE '!I$17,AND($C49="Metro, tram, urban light train",$D49="Almost empty"),$E49*'SE '!D$35,AND($C49="Metro, tram, urban light train",$D49="Average"),$E49*'SE '!D$36,AND($C49="Metro, tram, urban light train",$D49="Nearly full"),$E49*'SE '!D$37,AND($C49="Electric passenger train",$D49="Almost empty"),$E49*'SE '!D$39,AND($C49="Electric passenger train",$D49="Average"),$E49*'SE '!D$40,AND($C49="Electric passenger train",$D49="Nearly full"),$E49*'SE '!D$41,AND($C49="Diesel passenger train",$D49="Almost empty"),$E49*'SE '!D$47,AND($C49="Diesel passenger train",$D49="Average"),$E49*'SE '!D$48,AND($C49="Diesel passenger train",$D49="Nearly full"),$E49*'SE '!D$49,AND($C49="Walking"),$E49*0,AND($C49="Bike"),$E49*0,AND($C49="Plane - domestic flight"),$E49*'SE '!$C73,AND($C49="Plane - international - intra EU"),$E49*'SE '!$C75,AND($C49="Plane - international (extra EU)"),$E49*'SE '!$C77)</f>
        <v>#N/A</v>
      </c>
      <c r="H49" s="244" t="s">
        <v>74</v>
      </c>
      <c r="I49" s="141"/>
      <c r="L49" s="252"/>
      <c r="M49" s="253"/>
      <c r="N49" s="254"/>
    </row>
    <row r="50" spans="1:14" ht="16" thickBot="1" x14ac:dyDescent="0.25">
      <c r="A50" s="222"/>
      <c r="B50" s="51"/>
      <c r="C50" s="15"/>
      <c r="D50" s="15"/>
      <c r="E50" s="126"/>
      <c r="F50" s="128" t="e" cm="1">
        <f t="array" ref="F50">_xlfn.IFS(AND($C50="Fuel car",$D50=1),$E50*'SE '!C$7,AND($C50="Fuel car",$D50=2),$E50*'SE '!C$8,AND($C50="Fuel car",$D50=3),$E50*'SE '!C$9,AND($C50="Fuel car",$D50=4),$E50*'SE '!C$10,AND($C50="Fuel car",$D50=5),$E50*'SE '!C$11,AND($C50="Motorcycle",$D50=1),$E50*'SE '!C$13,AND($C50="Motorcycle",$D50=2),$E50*'SE '!C$14,AND($C50="Electric car",$D50=1),$E50*'SE '!C$16,AND($C50="Electric car",$D50=2),$E50*'SE '!C$17,AND($C50="Electric car",$D50=3),$E50*'SE '!C$18,AND($C50="Electric car",$D50=4),$E50*'SE '!C$19,AND($C50="Electric car",$D50=5),$E50*'SE '!C$20,AND($C50="Hybrid car",$D50=1),$E50*'SE '!C$22,AND($C50="Hybrid car",$D50=2),$E50*'SE '!C$23,AND($C50="Hybrid car",$D50=3),$E50*'SE '!C$24,AND($C50="Hybrid car",$D50=4),$E50*'SE '!C$25,AND($C50="Hybrid car",$D50=5),$E50*'SE '!C$26,AND($C50="Electric motorcycle",$D50=1),$E50*'SE '!C$28,AND($C50="Electric motorcycle",$D50=2),$E50*'SE '!C$29,AND($C50="Electric bike",$D50=1),$E50*'SE '!C$31,AND($C50="Electric scooter",$D50=1),$E50*'SE '!C$33,AND($C50="Bus",$D50="Almost empty"),$E50*'SE '!H$23,AND($C50="Bus",$D50="Average"),$E50*'SE '!H$24,AND($C50="Bus",$D50="Nearly full"),$E50*'SE '!H$25,AND($C50="Electric bus",$D50="Almost empty"),$E50*'SE '!H$7,AND($C50="Electric bus",$D50="Average"),$E50*'SE '!H$8,AND($C50="Electric bus",$D50="Nearly full"),$E50*'SE '!H$9,AND($C50="Diesel bus",$D50="Almost empty"),$E50*'SE '!H$19,AND($C50="Diesel bus",$D50="Average"),$E50*'SE '!H$20,AND($C50="Diesel bus",$D50="Nearly full"),$E50*'SE '!H$21,AND($C50="Hybrid-electric bus",$D50="Almost empty"),$E50*'SE '!H$11,AND($C50="Hybrid-electric bus",$D50="Average"),$E50*'SE '!H$12,AND($C50="Hybrid-electric bus",$D50="Nearly full"),$E50*'SE '!H$13,AND($C50="Alternative fuel bus",$D50="Almost empty"),$E50*'SE '!H$15,AND($C50="Alternative fuel bus",$D50="Average"),$E50*'SE '!H$16,AND($C50="Alternative fuel bus",$D50="Nearly full"),$E50*'SE '!H$17,AND($C50="Metro, tram, urban light train",$D50="Almost empty"),$E50*'SE '!C$35,AND($C50="Metro, tram, urban light train",$D50="Average"),$E50*'SE '!C$36,AND($C50="Metro, tram, urban light train",$D50="Nearly full"),$E50*'SE '!C$37,AND($C50="Electric passenger train",$D50="Almost empty"),$E50*'SE '!C$39,AND($C50="Electric passenger train",$D50="Average"),$E50*'SE '!C$40,AND($C50="Electric passenger train",$D50="Nearly full"),$E50*'SE '!C$41,AND($C50="Diesel passenger train",$D50="Almost empty"),$E50*'SE '!C$47,AND($C50="Diesel passenger train",$D50="Average"),$E50*'SE '!C$48,AND($C50="Diesel passenger train",$D50="Nearly full"),$E50*'SE '!C$49,AND($C50="Walking"),$E50*0,AND($C50="Bike"),$E50*0,AND($C50="Plane - domestic flight"),$E50*'SE '!$C74,AND($C50="Plane - international - intra EU"),$E50*'SE '!$C76,AND($C50="Plane - international (extra EU)"),$E50*'SE '!$C78)</f>
        <v>#N/A</v>
      </c>
      <c r="G50" s="31" t="e" cm="1">
        <f t="array" ref="G50">_xlfn.IFS(AND($C50="Fuel car",$D50=1),$E50*'SE '!D$7,AND($C50="Fuel car",$D50=2),$E50*'SE '!D$8,AND($C50="Fuel car",$D50=3),$E50*'SE '!D$9,AND($C50="Fuel car",$D50=4),$E50*'SE '!D$10,AND($C50="Fuel car",$D50=5),$E50*'SE '!D$11,AND($C50="Motorcycle",$D50=1),$E50*'SE '!D$13,AND($C50="Motorcycle",$D50=2),$E50*'SE '!D$14,AND($C50="Electric car",$D50=1),$E50*'SE '!D$16,AND($C50="Electric car",$D50=2),$E50*'SE '!D$17,AND($C50="Electric car",$D50=3),$E50*'SE '!D$18,AND($C50="Electric car",$D50=4),$E50*'SE '!D$19,AND($C50="Electric car",$D50=5),$E50*'SE '!D$20,AND($C50="Hybrid car",$D50=1),$E50*'SE '!D$22,AND($C50="Hybrid car",$D50=2),$E50*'SE '!D$23,AND($C50="Hybrid car",$D50=3),$E50*'SE '!D$24,AND($C50="Hybrid car",$D50=4),$E50*'SE '!D$25,AND($C50="Hybrid car",$D50=5),$E50*'SE '!D$26,AND($C50="Electric motorcycle",$D50=1),$E50*'SE '!D$28,AND($C50="Electric motorcycle",$D50=2),$E50*'SE '!D$29,AND($C50="Electric bike",$D50=1),$E50*'SE '!D$31,AND($C50="Electric scooter",$D50=1),$E50*'SE '!D$33,AND($C50="Bus",$D50="Almost empty"),$E50*'SE '!I$23,AND($C50="Bus",$D50="Average"),$E50*'SE '!I$24,AND($C50="Bus",$D50="Nearly full"),$E50*'SE '!I$25,AND($C50="Electric bus",$D50="Almost empty"),$E50*'SE '!I$7,AND($C50="Electric bus",$D50="Average"),$E50*'SE '!I$8,AND($C50="Electric bus",$D50="Nearly full"),$E50*'SE '!I$9,AND($C50="Diesel bus",$D50="Almost empty"),$E50*'SE '!I$19,AND($C50="Diesel bus",$D50="Average"),$E50*'SE '!I$20,AND($C50="Diesel bus",$D50="Nearly full"),$E50*'SE '!I$21,AND($C50="Hybrid-electric bus",$D50="Almost empty"),$E50*'SE '!I$11,AND($C50="Hybrid-electric bus",$D50="Average"),$E50*'SE '!I$12,AND($C50="Hybrid-electric bus",$D50="Nearly full"),$E50*'SE '!I$13,AND($C50="Alternative fuel bus",$D50="Almost empty"),$E50*'SE '!I$15,AND($C50="Alternative fuel bus",$D50="Average"),$E50*'SE '!I$16,AND($C50="Alternative fuel bus",$D50="Nearly full"),$E50*'SE '!I$17,AND($C50="Metro, tram, urban light train",$D50="Almost empty"),$E50*'SE '!D$35,AND($C50="Metro, tram, urban light train",$D50="Average"),$E50*'SE '!D$36,AND($C50="Metro, tram, urban light train",$D50="Nearly full"),$E50*'SE '!D$37,AND($C50="Electric passenger train",$D50="Almost empty"),$E50*'SE '!D$39,AND($C50="Electric passenger train",$D50="Average"),$E50*'SE '!D$40,AND($C50="Electric passenger train",$D50="Nearly full"),$E50*'SE '!D$41,AND($C50="Diesel passenger train",$D50="Almost empty"),$E50*'SE '!D$47,AND($C50="Diesel passenger train",$D50="Average"),$E50*'SE '!D$48,AND($C50="Diesel passenger train",$D50="Nearly full"),$E50*'SE '!D$49,AND($C50="Walking"),$E50*0,AND($C50="Bike"),$E50*0,AND($C50="Plane - domestic flight"),$E50*'SE '!$C74,AND($C50="Plane - international - intra EU"),$E50*'SE '!$C76,AND($C50="Plane - international (extra EU)"),$E50*'SE '!$C78)</f>
        <v>#N/A</v>
      </c>
      <c r="H50" s="245"/>
      <c r="I50" s="142"/>
      <c r="L50" s="252"/>
      <c r="M50" s="253"/>
      <c r="N50" s="254"/>
    </row>
    <row r="51" spans="1:14" ht="33" thickBot="1" x14ac:dyDescent="0.25">
      <c r="A51" s="222"/>
      <c r="B51" s="53"/>
      <c r="C51" s="32"/>
      <c r="D51" s="34"/>
      <c r="E51" s="113"/>
      <c r="F51" s="129" t="e" cm="1">
        <f t="array" ref="F51">_xlfn.IFS(AND($C51="Fuel car",$D51=1),$E51*'SE '!C$7,AND($C51="Fuel car",$D51=2),$E51*'SE '!C$8,AND($C51="Fuel car",$D51=3),$E51*'SE '!C$9,AND($C51="Fuel car",$D51=4),$E51*'SE '!C$10,AND($C51="Fuel car",$D51=5),$E51*'SE '!C$11,AND($C51="Motorcycle",$D51=1),$E51*'SE '!C$13,AND($C51="Motorcycle",$D51=2),$E51*'SE '!C$14,AND($C51="Electric car",$D51=1),$E51*'SE '!C$16,AND($C51="Electric car",$D51=2),$E51*'SE '!C$17,AND($C51="Electric car",$D51=3),$E51*'SE '!C$18,AND($C51="Electric car",$D51=4),$E51*'SE '!C$19,AND($C51="Electric car",$D51=5),$E51*'SE '!C$20,AND($C51="Hybrid car",$D51=1),$E51*'SE '!C$22,AND($C51="Hybrid car",$D51=2),$E51*'SE '!C$23,AND($C51="Hybrid car",$D51=3),$E51*'SE '!C$24,AND($C51="Hybrid car",$D51=4),$E51*'SE '!C$25,AND($C51="Hybrid car",$D51=5),$E51*'SE '!C$26,AND($C51="Electric motorcycle",$D51=1),$E51*'SE '!C$28,AND($C51="Electric motorcycle",$D51=2),$E51*'SE '!C$29,AND($C51="Electric bike",$D51=1),$E51*'SE '!C$31,AND($C51="Electric scooter",$D51=1),$E51*'SE '!C$33,AND($C51="Bus",$D51="Almost empty"),$E51*'SE '!H$23,AND($C51="Bus",$D51="Average"),$E51*'SE '!H$24,AND($C51="Bus",$D51="Nearly full"),$E51*'SE '!H$25,AND($C51="Electric bus",$D51="Almost empty"),$E51*'SE '!H$7,AND($C51="Electric bus",$D51="Average"),$E51*'SE '!H$8,AND($C51="Electric bus",$D51="Nearly full"),$E51*'SE '!H$9,AND($C51="Diesel bus",$D51="Almost empty"),$E51*'SE '!H$19,AND($C51="Diesel bus",$D51="Average"),$E51*'SE '!H$20,AND($C51="Diesel bus",$D51="Nearly full"),$E51*'SE '!H$21,AND($C51="Hybrid-electric bus",$D51="Almost empty"),$E51*'SE '!H$11,AND($C51="Hybrid-electric bus",$D51="Average"),$E51*'SE '!H$12,AND($C51="Hybrid-electric bus",$D51="Nearly full"),$E51*'SE '!H$13,AND($C51="Alternative fuel bus",$D51="Almost empty"),$E51*'SE '!H$15,AND($C51="Alternative fuel bus",$D51="Average"),$E51*'SE '!H$16,AND($C51="Alternative fuel bus",$D51="Nearly full"),$E51*'SE '!H$17,AND($C51="Metro, tram, urban light train",$D51="Almost empty"),$E51*'SE '!C$35,AND($C51="Metro, tram, urban light train",$D51="Average"),$E51*'SE '!C$36,AND($C51="Metro, tram, urban light train",$D51="Nearly full"),$E51*'SE '!C$37,AND($C51="Electric passenger train",$D51="Almost empty"),$E51*'SE '!C$39,AND($C51="Electric passenger train",$D51="Average"),$E51*'SE '!C$40,AND($C51="Electric passenger train",$D51="Nearly full"),$E51*'SE '!C$41,AND($C51="Diesel passenger train",$D51="Almost empty"),$E51*'SE '!C$47,AND($C51="Diesel passenger train",$D51="Average"),$E51*'SE '!C$48,AND($C51="Diesel passenger train",$D51="Nearly full"),$E51*'SE '!C$49,AND($C51="Walking"),$E51*0,AND($C51="Bike"),$E51*0,AND($C51="Plane - domestic flight"),$E51*'SE '!$C75,AND($C51="Plane - international - intra EU"),$E51*'SE '!$C77,AND($C51="Plane - international (extra EU)"),$E51*'SE '!$C79)</f>
        <v>#N/A</v>
      </c>
      <c r="G51" s="35" t="e" cm="1">
        <f t="array" ref="G51">_xlfn.IFS(AND($C51="Fuel car",$D51=1),$E51*'SE '!D$7,AND($C51="Fuel car",$D51=2),$E51*'SE '!D$8,AND($C51="Fuel car",$D51=3),$E51*'SE '!D$9,AND($C51="Fuel car",$D51=4),$E51*'SE '!D$10,AND($C51="Fuel car",$D51=5),$E51*'SE '!D$11,AND($C51="Motorcycle",$D51=1),$E51*'SE '!D$13,AND($C51="Motorcycle",$D51=2),$E51*'SE '!D$14,AND($C51="Electric car",$D51=1),$E51*'SE '!D$16,AND($C51="Electric car",$D51=2),$E51*'SE '!D$17,AND($C51="Electric car",$D51=3),$E51*'SE '!D$18,AND($C51="Electric car",$D51=4),$E51*'SE '!D$19,AND($C51="Electric car",$D51=5),$E51*'SE '!D$20,AND($C51="Hybrid car",$D51=1),$E51*'SE '!D$22,AND($C51="Hybrid car",$D51=2),$E51*'SE '!D$23,AND($C51="Hybrid car",$D51=3),$E51*'SE '!D$24,AND($C51="Hybrid car",$D51=4),$E51*'SE '!D$25,AND($C51="Hybrid car",$D51=5),$E51*'SE '!D$26,AND($C51="Electric motorcycle",$D51=1),$E51*'SE '!D$28,AND($C51="Electric motorcycle",$D51=2),$E51*'SE '!D$29,AND($C51="Electric bike",$D51=1),$E51*'SE '!D$31,AND($C51="Electric scooter",$D51=1),$E51*'SE '!D$33,AND($C51="Bus",$D51="Almost empty"),$E51*'SE '!I$23,AND($C51="Bus",$D51="Average"),$E51*'SE '!I$24,AND($C51="Bus",$D51="Nearly full"),$E51*'SE '!I$25,AND($C51="Electric bus",$D51="Almost empty"),$E51*'SE '!I$7,AND($C51="Electric bus",$D51="Average"),$E51*'SE '!I$8,AND($C51="Electric bus",$D51="Nearly full"),$E51*'SE '!I$9,AND($C51="Diesel bus",$D51="Almost empty"),$E51*'SE '!I$19,AND($C51="Diesel bus",$D51="Average"),$E51*'SE '!I$20,AND($C51="Diesel bus",$D51="Nearly full"),$E51*'SE '!I$21,AND($C51="Hybrid-electric bus",$D51="Almost empty"),$E51*'SE '!I$11,AND($C51="Hybrid-electric bus",$D51="Average"),$E51*'SE '!I$12,AND($C51="Hybrid-electric bus",$D51="Nearly full"),$E51*'SE '!I$13,AND($C51="Alternative fuel bus",$D51="Almost empty"),$E51*'SE '!I$15,AND($C51="Alternative fuel bus",$D51="Average"),$E51*'SE '!I$16,AND($C51="Alternative fuel bus",$D51="Nearly full"),$E51*'SE '!I$17,AND($C51="Metro, tram, urban light train",$D51="Almost empty"),$E51*'SE '!D$35,AND($C51="Metro, tram, urban light train",$D51="Average"),$E51*'SE '!D$36,AND($C51="Metro, tram, urban light train",$D51="Nearly full"),$E51*'SE '!D$37,AND($C51="Electric passenger train",$D51="Almost empty"),$E51*'SE '!D$39,AND($C51="Electric passenger train",$D51="Average"),$E51*'SE '!D$40,AND($C51="Electric passenger train",$D51="Nearly full"),$E51*'SE '!D$41,AND($C51="Diesel passenger train",$D51="Almost empty"),$E51*'SE '!D$47,AND($C51="Diesel passenger train",$D51="Average"),$E51*'SE '!D$48,AND($C51="Diesel passenger train",$D51="Nearly full"),$E51*'SE '!D$49,AND($C51="Walking"),$E51*0,AND($C51="Bike"),$E51*0,AND($C51="Plane - domestic flight"),$E51*'SE '!$C75,AND($C51="Plane - international - intra EU"),$E51*'SE '!$C77,AND($C51="Plane - international (extra EU)"),$E51*'SE '!$C79)</f>
        <v>#N/A</v>
      </c>
      <c r="H51" s="144" t="s">
        <v>75</v>
      </c>
      <c r="I51" s="49" t="e">
        <f>F52/I49</f>
        <v>#DIV/0!</v>
      </c>
      <c r="L51" s="252"/>
      <c r="M51" s="253"/>
      <c r="N51" s="254"/>
    </row>
    <row r="52" spans="1:14" ht="17" thickBot="1" x14ac:dyDescent="0.25">
      <c r="A52" s="222"/>
      <c r="B52" s="241" t="s">
        <v>57</v>
      </c>
      <c r="C52" s="242"/>
      <c r="D52" s="242"/>
      <c r="E52" s="243"/>
      <c r="F52" s="130">
        <f>SUMIF(F29:F51,"&gt;=0")</f>
        <v>0</v>
      </c>
      <c r="G52" s="131">
        <f>SUMIF(G29:G51,"&gt;=0")</f>
        <v>0</v>
      </c>
      <c r="H52" s="143" t="s">
        <v>77</v>
      </c>
      <c r="I52" s="48" t="e">
        <f>G52/I49</f>
        <v>#DIV/0!</v>
      </c>
      <c r="L52" s="255"/>
      <c r="M52" s="256"/>
      <c r="N52" s="257"/>
    </row>
    <row r="55" spans="1:14" ht="16" thickBot="1" x14ac:dyDescent="0.25"/>
    <row r="56" spans="1:14" ht="17" thickBot="1" x14ac:dyDescent="0.25">
      <c r="A56" s="221" t="s">
        <v>81</v>
      </c>
      <c r="B56" s="183" t="s">
        <v>82</v>
      </c>
      <c r="C56" s="184"/>
      <c r="D56" s="184"/>
      <c r="E56" s="185"/>
      <c r="G56" s="183" t="s">
        <v>83</v>
      </c>
      <c r="H56" s="184"/>
      <c r="I56" s="185"/>
    </row>
    <row r="57" spans="1:14" ht="32" x14ac:dyDescent="0.2">
      <c r="A57" s="262"/>
      <c r="B57" s="263" t="s">
        <v>84</v>
      </c>
      <c r="C57" s="57" t="s">
        <v>85</v>
      </c>
      <c r="D57" s="100" t="e">
        <f>G16</f>
        <v>#DIV/0!</v>
      </c>
      <c r="E57" s="260" t="s">
        <v>86</v>
      </c>
      <c r="G57" s="263" t="s">
        <v>84</v>
      </c>
      <c r="H57" s="46" t="s">
        <v>85</v>
      </c>
      <c r="I57" s="55" t="e" cm="1">
        <f t="array" ref="I57">_xlfn.IFS(AND(D57&lt;='SE '!L4),"A+",AND(D57&lt;='SE '!M4,D57&gt;'SE '!L4),"A",AND(D57&lt;='SE '!N4,D57&gt;'SE '!M4),"B",AND(D57&lt;='SE '!O4,D57&gt;'SE '!N4),"C",AND(D57&lt;='SE '!P4,D57&gt;'SE '!O4),"D",AND(D57&lt;='SE '!Q4,D57&gt;'SE '!P4),"E",AND(D57&lt;='SE '!R4,D57&gt;'SE '!Q4),"F",AND(D57&gt;'SE '!R4),"G")</f>
        <v>#DIV/0!</v>
      </c>
    </row>
    <row r="58" spans="1:14" ht="32" x14ac:dyDescent="0.2">
      <c r="A58" s="262"/>
      <c r="B58" s="264"/>
      <c r="C58" s="21" t="s">
        <v>87</v>
      </c>
      <c r="D58" s="99" t="str">
        <f>IF(AND(ISNUMBER(H16),ISNUMBER(G24)),H16+G24,IF(ISNUMBER(H16),H16,IF(ISNUMBER(G24),G24,"#")))</f>
        <v>#</v>
      </c>
      <c r="E58" s="277"/>
      <c r="G58" s="264"/>
      <c r="H58" t="s">
        <v>87</v>
      </c>
      <c r="I58" s="56" t="str" cm="1">
        <f t="array" ref="I58">_xlfn.IFS(D58="#","#",AND(D58&lt;='SE '!L5),"A+",AND(D58&lt;='SE '!M5,D58&gt;'SE '!L5),"A",AND(D58&lt;='SE '!N5,D58&gt;'SE '!M5),"B",AND(D58&lt;='SE '!O5,D58&gt;'SE '!N5),"C",AND(D58&lt;='SE '!P5,D58&gt;'SE '!O5),"D",AND(D58&lt;='SE '!Q5,D58&gt;'SE '!P5),"E",AND(D58&lt;='SE '!R5,D58&gt;'SE '!Q5),"F",AND(D58&gt;'SE '!R5),"G")</f>
        <v>#</v>
      </c>
    </row>
    <row r="59" spans="1:14" ht="32" x14ac:dyDescent="0.2">
      <c r="A59" s="262"/>
      <c r="B59" s="264"/>
      <c r="C59" s="21" t="s">
        <v>88</v>
      </c>
      <c r="D59" s="47" t="e">
        <f>IF(ISNUMBER(D58), D57 + D58, D57)</f>
        <v>#DIV/0!</v>
      </c>
      <c r="E59" s="277"/>
      <c r="G59" s="264"/>
      <c r="H59" t="s">
        <v>88</v>
      </c>
      <c r="I59" s="56" t="e" cm="1">
        <f t="array" ref="I59">_xlfn.IFS(AND(D59&lt;='SE '!L6),"A+",AND(D59&lt;='SE '!M6,D59&gt;'SE '!L6),"A",AND(D59&lt;='SE '!N6,D59&gt;'SE '!M6),"B",AND(D59&lt;='SE '!O6,D59&gt;'SE '!N6),"C",AND(D59&lt;='SE '!P6,D59&gt;'SE '!O6),"D",AND(D59&lt;='SE '!Q6,D59&gt;'SE '!P6),"E",AND(D59&lt;='SE '!R6,D59&gt;'SE '!Q6),"F",AND(D59&gt;'SE '!R6),"G")</f>
        <v>#DIV/0!</v>
      </c>
    </row>
    <row r="60" spans="1:14" ht="16" x14ac:dyDescent="0.2">
      <c r="A60" s="262"/>
      <c r="B60" s="264"/>
      <c r="C60" s="21" t="s">
        <v>89</v>
      </c>
      <c r="D60" s="99">
        <f>I30</f>
        <v>0</v>
      </c>
      <c r="E60" s="277"/>
      <c r="G60" s="264"/>
      <c r="H60" t="s">
        <v>89</v>
      </c>
      <c r="I60" s="56" t="str" cm="1">
        <f t="array" ref="I60">_xlfn.IFS(AND(D60&lt;='SE '!L7),"A+",AND(D60&lt;='SE '!M7,D60&gt;'SE '!L7),"A",AND(D60&lt;='SE '!N7,D60&gt;'SE '!M7),"B",AND(D60&lt;='SE '!O7,D60&gt;'SE '!N7),"C",AND(D60&lt;='SE '!P7,D60&gt;'SE '!O7),"D",AND(D60&lt;='SE '!Q7,D60&gt;'SE '!P7),"E",AND(D60&lt;='SE '!R7,D60&gt;'SE '!Q7),"F",AND(D60&gt;'SE '!R7),"G")</f>
        <v>A+</v>
      </c>
    </row>
    <row r="61" spans="1:14" ht="16" thickBot="1" x14ac:dyDescent="0.25">
      <c r="A61" s="262"/>
      <c r="B61" s="265"/>
      <c r="C61" s="16" t="s">
        <v>57</v>
      </c>
      <c r="D61" s="58" t="e">
        <f>SUM(D59:D60)</f>
        <v>#DIV/0!</v>
      </c>
      <c r="E61" s="261"/>
      <c r="G61" s="265"/>
      <c r="H61" s="16" t="s">
        <v>57</v>
      </c>
      <c r="I61" s="1" t="e" cm="1">
        <f t="array" ref="I61">_xlfn.IFS(AND(D61&lt;='SE '!L8),"A+",AND(D61&lt;='SE '!M8,D61&gt;'SE '!L8),"A",AND(D61&lt;='SE '!N8,D61&gt;'SE '!M8),"B",AND(D61&lt;='SE '!O8,D61&gt;'SE '!N8),"C",AND(D61&lt;='SE '!P8,D61&gt;'SE '!O8),"D",AND(D61&lt;='SE '!Q8,D61&gt;'SE '!P8),"E",AND(D61&lt;='SE '!R8,D61&gt;'SE '!Q8),"F",AND(D61&gt;'SE '!R8),"G")</f>
        <v>#DIV/0!</v>
      </c>
    </row>
    <row r="62" spans="1:14" ht="32" x14ac:dyDescent="0.2">
      <c r="A62" s="262"/>
      <c r="B62" s="263" t="s">
        <v>90</v>
      </c>
      <c r="C62" s="57" t="s">
        <v>85</v>
      </c>
      <c r="D62" s="100" t="e">
        <f>I16</f>
        <v>#DIV/0!</v>
      </c>
      <c r="E62" s="266" t="s">
        <v>91</v>
      </c>
      <c r="G62" s="263" t="s">
        <v>90</v>
      </c>
      <c r="H62" s="46" t="s">
        <v>85</v>
      </c>
      <c r="I62" s="55" t="e" cm="1">
        <f t="array" ref="I62">_xlfn.IFS(AND(D62&lt;='SE '!L9),"A+",AND(D62&lt;='SE '!M9,D62&gt;'SE '!L9),"A",AND(D62&lt;='SE '!N9,D62&gt;'SE '!M9),"B",AND(D62&lt;='SE '!O9,D62&gt;'SE '!N9),"C",AND(D62&lt;='SE '!P9,D62&gt;'SE '!O9),"D",AND(D62&lt;='SE '!Q9,D62&gt;'SE '!P9),"E",AND(D62&lt;='SE '!R9,D62&gt;'SE '!Q9),"F",AND(D62&gt;'SE '!R9),"G")</f>
        <v>#DIV/0!</v>
      </c>
    </row>
    <row r="63" spans="1:14" ht="32" x14ac:dyDescent="0.2">
      <c r="A63" s="262"/>
      <c r="B63" s="264"/>
      <c r="C63" s="21" t="s">
        <v>87</v>
      </c>
      <c r="D63" s="99" t="str">
        <f>IF(AND(ISNUMBER(J16),ISNUMBER(H24)),J16+H24,IF(ISNUMBER(J16),J16,IF(ISNUMBER(H24),H24,"#")))</f>
        <v>#</v>
      </c>
      <c r="E63" s="202"/>
      <c r="G63" s="264"/>
      <c r="H63" t="s">
        <v>87</v>
      </c>
      <c r="I63" s="56" t="str" cm="1">
        <f t="array" ref="I63">_xlfn.IFS(D63="#","#",AND(D63&lt;='SE '!L10),"A+",AND(D63&lt;='SE '!M10,D63&gt;'SE '!L10),"A",AND(D63&lt;='SE '!N10,D63&gt;'SE '!M10),"B",AND(D63&lt;='SE '!O10,D63&gt;'SE '!N10),"C",AND(D63&lt;='SE '!P10,D63&gt;'SE '!O10),"D",AND(D63&lt;='SE '!Q10,D63&gt;'SE '!P10),"E",AND(D63&lt;='SE '!R10,D63&gt;'SE '!Q10),"F",AND(D63&gt;'SE '!R10),"G")</f>
        <v>#</v>
      </c>
    </row>
    <row r="64" spans="1:14" ht="32" x14ac:dyDescent="0.2">
      <c r="A64" s="262"/>
      <c r="B64" s="264"/>
      <c r="C64" s="21" t="s">
        <v>92</v>
      </c>
      <c r="D64" s="47" t="e">
        <f>IF(ISNUMBER(D63), D62 + D63, D62)</f>
        <v>#DIV/0!</v>
      </c>
      <c r="E64" s="202"/>
      <c r="G64" s="264"/>
      <c r="H64" t="s">
        <v>92</v>
      </c>
      <c r="I64" s="56" t="e" cm="1">
        <f t="array" ref="I64">_xlfn.IFS(AND(D64&lt;='SE '!L11),"A+",AND(D64&lt;='SE '!M11,D64&gt;'SE '!L11),"A",AND(D64&lt;='SE '!N11,D64&gt;'SE '!M11),"B",AND(D64&lt;='SE '!O11,D64&gt;'SE '!N11),"C",AND(D64&lt;='SE '!P11,D64&gt;'SE '!O11),"D",AND(D64&lt;='SE '!Q11,D64&gt;'SE '!P11),"E",AND(D64&lt;='SE '!R11,D64&gt;'SE '!Q11),"F",AND(D64&gt;'SE '!R11),"G")</f>
        <v>#DIV/0!</v>
      </c>
    </row>
    <row r="65" spans="1:9" x14ac:dyDescent="0.2">
      <c r="A65" s="262"/>
      <c r="B65" s="264"/>
      <c r="C65" t="s">
        <v>89</v>
      </c>
      <c r="D65" s="99">
        <f>I31</f>
        <v>0</v>
      </c>
      <c r="E65" s="202"/>
      <c r="G65" s="264"/>
      <c r="H65" t="s">
        <v>89</v>
      </c>
      <c r="I65" s="56" t="str" cm="1">
        <f t="array" ref="I65">_xlfn.IFS(AND(D65&lt;='SE '!L12),"A+",AND(D65&lt;='SE '!M12,D65&gt;'SE '!L12),"A",AND(D65&lt;='SE '!N12,D65&gt;'SE '!M12),"B",AND(D65&lt;='SE '!O12,D65&gt;'SE '!N12),"C",AND(D65&lt;='SE '!P12,D65&gt;'SE '!O12),"D",AND(D65&lt;='SE '!Q12,D65&gt;'SE '!P12),"E",AND(D65&lt;='SE '!R12,D65&gt;'SE '!Q12),"F",AND(D65&gt;'SE '!R12),"G")</f>
        <v>A+</v>
      </c>
    </row>
    <row r="66" spans="1:9" ht="16" thickBot="1" x14ac:dyDescent="0.25">
      <c r="A66" s="262"/>
      <c r="B66" s="265"/>
      <c r="C66" s="16" t="s">
        <v>57</v>
      </c>
      <c r="D66" s="16" t="e">
        <f>SUM(D64:D65)</f>
        <v>#DIV/0!</v>
      </c>
      <c r="E66" s="267"/>
      <c r="G66" s="265"/>
      <c r="H66" s="16" t="s">
        <v>57</v>
      </c>
      <c r="I66" s="1" t="e" cm="1">
        <f t="array" ref="I66">_xlfn.IFS(AND(D66&lt;='SE '!L13),"A+",AND(D66&lt;='SE '!M13,D66&gt;'SE '!L13),"A",AND(D66&lt;='SE '!N13,D66&gt;'SE '!M13),"B",AND(D66&lt;='SE '!O13,D66&gt;'SE '!N13),"C",AND(D66&lt;='SE '!P13,D66&gt;'SE '!O13),"D",AND(D66&lt;='SE '!Q13,D66&gt;'SE '!P13),"E",AND(D66&lt;='SE '!R13,D66&gt;'SE '!Q13),"F",AND(D66&gt;'SE '!R13),"G")</f>
        <v>#DIV/0!</v>
      </c>
    </row>
  </sheetData>
  <mergeCells count="56">
    <mergeCell ref="N9:P9"/>
    <mergeCell ref="N10:P12"/>
    <mergeCell ref="N13:P13"/>
    <mergeCell ref="N14:P16"/>
    <mergeCell ref="N2:P2"/>
    <mergeCell ref="K3:K4"/>
    <mergeCell ref="L3:L4"/>
    <mergeCell ref="N3:P4"/>
    <mergeCell ref="N5:P8"/>
    <mergeCell ref="A2:A16"/>
    <mergeCell ref="B2:D2"/>
    <mergeCell ref="B3:C3"/>
    <mergeCell ref="D3:D4"/>
    <mergeCell ref="E3:E4"/>
    <mergeCell ref="F3:F4"/>
    <mergeCell ref="G3:G4"/>
    <mergeCell ref="H3:H4"/>
    <mergeCell ref="I3:I4"/>
    <mergeCell ref="J3:J4"/>
    <mergeCell ref="L30:N32"/>
    <mergeCell ref="B16:C16"/>
    <mergeCell ref="B18:F18"/>
    <mergeCell ref="H26:J26"/>
    <mergeCell ref="J27:J28"/>
    <mergeCell ref="L47:N47"/>
    <mergeCell ref="L48:N52"/>
    <mergeCell ref="A26:A52"/>
    <mergeCell ref="B26:G26"/>
    <mergeCell ref="L26:N26"/>
    <mergeCell ref="B27:B28"/>
    <mergeCell ref="C27:C28"/>
    <mergeCell ref="D27:D28"/>
    <mergeCell ref="E27:E28"/>
    <mergeCell ref="F27:F28"/>
    <mergeCell ref="G27:G28"/>
    <mergeCell ref="B52:E52"/>
    <mergeCell ref="H27:H28"/>
    <mergeCell ref="L33:N36"/>
    <mergeCell ref="I27:I28"/>
    <mergeCell ref="L27:N29"/>
    <mergeCell ref="L37:N38"/>
    <mergeCell ref="L39:N40"/>
    <mergeCell ref="L41:N42"/>
    <mergeCell ref="L43:N44"/>
    <mergeCell ref="A56:A66"/>
    <mergeCell ref="B56:E56"/>
    <mergeCell ref="G56:I56"/>
    <mergeCell ref="B57:B61"/>
    <mergeCell ref="E57:E61"/>
    <mergeCell ref="G57:G61"/>
    <mergeCell ref="B62:B66"/>
    <mergeCell ref="E62:E66"/>
    <mergeCell ref="G62:G66"/>
    <mergeCell ref="H48:I48"/>
    <mergeCell ref="H49:H50"/>
    <mergeCell ref="L45:N46"/>
  </mergeCells>
  <conditionalFormatting sqref="I57:I66">
    <cfRule type="cellIs" dxfId="143" priority="9" operator="equal">
      <formula>"A+"</formula>
    </cfRule>
    <cfRule type="containsText" dxfId="142" priority="10" operator="containsText" text="A">
      <formula>NOT(ISERROR(SEARCH("A",I57)))</formula>
    </cfRule>
    <cfRule type="containsText" dxfId="141" priority="11" operator="containsText" text="B">
      <formula>NOT(ISERROR(SEARCH("B",I57)))</formula>
    </cfRule>
    <cfRule type="containsText" dxfId="140" priority="12" operator="containsText" text="C">
      <formula>NOT(ISERROR(SEARCH("C",I57)))</formula>
    </cfRule>
    <cfRule type="containsText" dxfId="139" priority="13" operator="containsText" text="D">
      <formula>NOT(ISERROR(SEARCH("D",I57)))</formula>
    </cfRule>
    <cfRule type="containsText" dxfId="138" priority="14" operator="containsText" text="E">
      <formula>NOT(ISERROR(SEARCH("E",I57)))</formula>
    </cfRule>
    <cfRule type="containsText" dxfId="137" priority="15" operator="containsText" text="F">
      <formula>NOT(ISERROR(SEARCH("F",I57)))</formula>
    </cfRule>
    <cfRule type="containsText" dxfId="136" priority="16" operator="containsText" text="G">
      <formula>NOT(ISERROR(SEARCH("G",I57)))</formula>
    </cfRule>
  </conditionalFormatting>
  <conditionalFormatting sqref="K5:K15">
    <cfRule type="expression" dxfId="55" priority="2" stopIfTrue="1">
      <formula>$O$19="No"</formula>
    </cfRule>
  </conditionalFormatting>
  <conditionalFormatting sqref="L5:L15">
    <cfRule type="expression" dxfId="54" priority="1" stopIfTrue="1">
      <formula>$Q$19="No"</formula>
    </cfRule>
  </conditionalFormatting>
  <dataValidations count="2">
    <dataValidation type="custom" allowBlank="1" showInputMessage="1" showErrorMessage="1" errorTitle="Error" error="You can only enter values if you have selected Connected To Grid. The value must be a number." sqref="L5:L15" xr:uid="{94DDF7C4-865E-7B46-B6D4-CEF7CFB6EFC6}">
      <formula1>AND(Q19="Yes", ISNUMBER(L5))</formula1>
    </dataValidation>
    <dataValidation type="custom" operator="lessThan" allowBlank="1" showErrorMessage="1" errorTitle="Error" error="You can only enter values if you have selected HOME PV. The value must be a number." sqref="K5:K15" xr:uid="{2DA0D076-B5A6-5248-A9CB-8B09A2E47239}">
      <formula1>AND(O19="Yes", ISNUMBER(K5))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A37EB38-2791-4806-8E06-592651395B0B}">
          <x14:formula1>
            <xm:f>DATA!$J$3:$J$10</xm:f>
          </x14:formula1>
          <xm:sqref>D29:D51</xm:sqref>
        </x14:dataValidation>
        <x14:dataValidation type="list" allowBlank="1" showInputMessage="1" showErrorMessage="1" xr:uid="{95196612-0314-2048-A816-4F7AD98B5784}">
          <x14:formula1>
            <xm:f>DATA!$B$15:$B$23</xm:f>
          </x14:formula1>
          <xm:sqref>J2</xm:sqref>
        </x14:dataValidation>
        <x14:dataValidation type="list" allowBlank="1" showInputMessage="1" showErrorMessage="1" xr:uid="{20CB4934-5563-483C-8D44-0DB213264128}">
          <x14:formula1>
            <xm:f>DATA!$H$3:$H$23</xm:f>
          </x14:formula1>
          <xm:sqref>C29:C51</xm:sqref>
        </x14:dataValidation>
        <x14:dataValidation type="list" allowBlank="1" showInputMessage="1" showErrorMessage="1" xr:uid="{3530B9C3-2295-5241-B42A-352A0B0F9C47}">
          <x14:formula1>
            <xm:f>DATA!$B$3:$B$13</xm:f>
          </x14:formula1>
          <xm:sqref>H2</xm:sqref>
        </x14:dataValidation>
        <x14:dataValidation type="list" allowBlank="1" showInputMessage="1" showErrorMessage="1" xr:uid="{DD70A2EB-8DBC-C14A-AA6A-08E880CEA0F6}">
          <x14:formula1>
            <xm:f>DATA!$L$4:$L$5</xm:f>
          </x14:formula1>
          <xm:sqref>O18:O19 Q19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991D-BBCA-4C5C-93E6-F0DCF2826912}">
  <dimension ref="A1:Q66"/>
  <sheetViews>
    <sheetView zoomScale="80" zoomScaleNormal="80" workbookViewId="0">
      <selection activeCell="F2" sqref="F2"/>
    </sheetView>
  </sheetViews>
  <sheetFormatPr baseColWidth="10" defaultColWidth="11.5" defaultRowHeight="15" x14ac:dyDescent="0.2"/>
  <cols>
    <col min="1" max="1" width="6.5" customWidth="1"/>
    <col min="4" max="4" width="17.5" customWidth="1"/>
    <col min="5" max="5" width="18.33203125" customWidth="1"/>
    <col min="6" max="6" width="16.1640625" customWidth="1"/>
    <col min="7" max="7" width="17.5" customWidth="1"/>
    <col min="8" max="8" width="22.6640625" customWidth="1"/>
    <col min="9" max="9" width="20" customWidth="1"/>
    <col min="10" max="12" width="19.6640625" customWidth="1"/>
    <col min="13" max="13" width="6.5" customWidth="1"/>
    <col min="14" max="14" width="25.83203125" customWidth="1"/>
    <col min="15" max="15" width="17.6640625" customWidth="1"/>
    <col min="16" max="16" width="19.83203125" customWidth="1"/>
  </cols>
  <sheetData>
    <row r="1" spans="1:16" ht="16" thickBot="1" x14ac:dyDescent="0.25"/>
    <row r="2" spans="1:16" ht="58.25" customHeight="1" thickBot="1" x14ac:dyDescent="0.25">
      <c r="A2" s="221" t="s">
        <v>40</v>
      </c>
      <c r="B2" s="203" t="s">
        <v>120</v>
      </c>
      <c r="C2" s="204"/>
      <c r="D2" s="205"/>
      <c r="E2" s="12" t="s">
        <v>42</v>
      </c>
      <c r="F2" s="26"/>
      <c r="G2" s="11" t="s">
        <v>43</v>
      </c>
      <c r="H2" s="27"/>
      <c r="I2" s="23" t="s">
        <v>44</v>
      </c>
      <c r="J2" s="27"/>
      <c r="K2" s="23"/>
      <c r="L2" s="119"/>
      <c r="N2" s="206" t="s">
        <v>45</v>
      </c>
      <c r="O2" s="207"/>
      <c r="P2" s="208"/>
    </row>
    <row r="3" spans="1:16" ht="14.5" customHeight="1" x14ac:dyDescent="0.2">
      <c r="A3" s="221"/>
      <c r="B3" s="201" t="s">
        <v>46</v>
      </c>
      <c r="C3" s="209"/>
      <c r="D3" s="213" t="s">
        <v>47</v>
      </c>
      <c r="E3" s="213" t="s">
        <v>48</v>
      </c>
      <c r="F3" s="213" t="s">
        <v>49</v>
      </c>
      <c r="G3" s="213" t="s">
        <v>50</v>
      </c>
      <c r="H3" s="213" t="s">
        <v>51</v>
      </c>
      <c r="I3" s="213" t="s">
        <v>52</v>
      </c>
      <c r="J3" s="210" t="s">
        <v>53</v>
      </c>
      <c r="K3" s="213" t="s">
        <v>293</v>
      </c>
      <c r="L3" s="244" t="s">
        <v>292</v>
      </c>
      <c r="N3" s="215" t="s">
        <v>267</v>
      </c>
      <c r="O3" s="216"/>
      <c r="P3" s="217"/>
    </row>
    <row r="4" spans="1:16" ht="39" customHeight="1" thickBot="1" x14ac:dyDescent="0.25">
      <c r="A4" s="221"/>
      <c r="B4" s="6" t="s">
        <v>54</v>
      </c>
      <c r="C4" s="7" t="s">
        <v>55</v>
      </c>
      <c r="D4" s="214"/>
      <c r="E4" s="213"/>
      <c r="F4" s="213"/>
      <c r="G4" s="213"/>
      <c r="H4" s="213"/>
      <c r="I4" s="213"/>
      <c r="J4" s="210"/>
      <c r="K4" s="213"/>
      <c r="L4" s="210"/>
      <c r="N4" s="218"/>
      <c r="O4" s="219"/>
      <c r="P4" s="220"/>
    </row>
    <row r="5" spans="1:16" ht="14.5" customHeight="1" x14ac:dyDescent="0.2">
      <c r="A5" s="221"/>
      <c r="B5" s="24"/>
      <c r="C5" s="13"/>
      <c r="D5" s="14"/>
      <c r="E5" s="15"/>
      <c r="F5" s="15"/>
      <c r="G5" s="25" t="e">
        <f>(E5+IF(ISBLANK(K5),0,K5)-IF(ISBLANK(L5),0,L5))/$F$2</f>
        <v>#DIV/0!</v>
      </c>
      <c r="H5" s="25" t="e">
        <f>F5/$F$2</f>
        <v>#DIV/0!</v>
      </c>
      <c r="I5" s="25" t="e">
        <f>IF($O$18="Yes",(E5/$F$2)*DATA!$C$9,(E5/$F$2)*DATA!F31)+IF(ISBLANK(K5),0,K5/$F$2)*DATA!$C$9-IF(ISBLANK(L5),0,L5/$F$2)*DATA!F$31</f>
        <v>#DIV/0!</v>
      </c>
      <c r="J5" s="318" t="e" cm="1">
        <f t="array" ref="J5">_xlfn.IFS($H$2="Heating oil",H5*DATA!C$3,$H$2="Natural gas",H5*DATA!C$4,$H$2="Liquified Petro Gas",H5*DATA!C$5,$H$2="Biomass",H5*DATA!C$6,$H$2="Locally-produced biomass",H5*DATA!C$7,$H$2="Geothermal",H5*DATA!C$8,$H$2="Solar thermal",H5*DATA!C$9,$H$2="Wood burning stoves",H5*DATA!C$12,AND($H$2="District heating",$J$2="Coal"),H5*DATA!C$15,AND($H$2="District heating",$J$2="Natural gas"),H5*DATA!C$16,AND($H$2="District heating",$J$2="Oil"),H5*DATA!C$17,AND($H$2="District heating",$J$2="Electricity"),H5*DATA!C$18,AND($H$2="District heating",$J$2="Solar thermal energy"),H5*DATA!C$19,AND($H$2="District heating",$J$2="Gothermal energy"),H5*DATA!C$20,AND($H$2="District heating",$J$2="Biomass"),H5*DATA!C$21,AND($H$2="District heating",$J$2="Waste treatment"),H5*DATA!C$22,AND($H$2="District heating",$J$2="Default"),H5*DATA!C$23)</f>
        <v>#N/A</v>
      </c>
      <c r="K5" s="324"/>
      <c r="L5" s="325"/>
      <c r="N5" s="215" t="s">
        <v>257</v>
      </c>
      <c r="O5" s="216"/>
      <c r="P5" s="217"/>
    </row>
    <row r="6" spans="1:16" ht="16" x14ac:dyDescent="0.2">
      <c r="A6" s="221"/>
      <c r="B6" s="24"/>
      <c r="C6" s="13"/>
      <c r="D6" s="14"/>
      <c r="E6" s="15"/>
      <c r="F6" s="15"/>
      <c r="G6" s="25" t="e">
        <f t="shared" ref="G6:G15" si="0">(E6+IF(ISBLANK(K6),0,K6)-IF(ISBLANK(L6),0,L6))/$F$2</f>
        <v>#DIV/0!</v>
      </c>
      <c r="H6" s="25" t="e">
        <f t="shared" ref="G6:H15" si="1">F6/$F$2</f>
        <v>#DIV/0!</v>
      </c>
      <c r="I6" s="25" t="e">
        <f>IF($O$18="Yes",(E6/$F$2)*DATA!$C$9,(E6/$F$2)*DATA!F32)+IF(ISBLANK(K6),0,K6/$F$2)*DATA!$C$9-IF(ISBLANK(L6),0,L6/$F$2)*DATA!F$31</f>
        <v>#DIV/0!</v>
      </c>
      <c r="J6" s="318" t="e" cm="1">
        <f t="array" ref="J6">_xlfn.IFS($H$2="Heating oil",H6*DATA!C$3,$H$2="Natural gas",H6*DATA!C$4,$H$2="Liquified Petro Gas",H6*DATA!C$5,$H$2="Biomass",H6*DATA!C$6,$H$2="Locally-produced biomass",H6*DATA!C$7,$H$2="Geothermal",H6*DATA!C$8,$H$2="Solar thermal",H6*DATA!C$9,$H$2="Wood burning stoves",H6*DATA!C$12,AND($H$2="District heating",$J$2="Coal"),H6*DATA!C$15,AND($H$2="District heating",$J$2="Natural gas"),H6*DATA!C$16,AND($H$2="District heating",$J$2="Oil"),H6*DATA!C$17,AND($H$2="District heating",$J$2="Electricity"),H6*DATA!C$18,AND($H$2="District heating",$J$2="Solar thermal energy"),H6*DATA!C$19,AND($H$2="District heating",$J$2="Gothermal energy"),H6*DATA!C$20,AND($H$2="District heating",$J$2="Biomass"),H6*DATA!C$21,AND($H$2="District heating",$J$2="Waste treatment"),H6*DATA!C$22,AND($H$2="District heating",$J$2="Default"),H6*DATA!C$23)</f>
        <v>#N/A</v>
      </c>
      <c r="K6" s="324"/>
      <c r="L6" s="325"/>
      <c r="N6" s="223"/>
      <c r="O6" s="326"/>
      <c r="P6" s="225"/>
    </row>
    <row r="7" spans="1:16" ht="16" x14ac:dyDescent="0.2">
      <c r="A7" s="221"/>
      <c r="B7" s="24"/>
      <c r="C7" s="13"/>
      <c r="D7" s="14"/>
      <c r="E7" s="15"/>
      <c r="F7" s="15"/>
      <c r="G7" s="25" t="e">
        <f t="shared" si="0"/>
        <v>#DIV/0!</v>
      </c>
      <c r="H7" s="25" t="e">
        <f t="shared" si="1"/>
        <v>#DIV/0!</v>
      </c>
      <c r="I7" s="25" t="e">
        <f>IF($O$18="Yes",(E7/$F$2)*DATA!$C$9,(E7/$F$2)*DATA!F33)+IF(ISBLANK(K7),0,K7/$F$2)*DATA!$C$9-IF(ISBLANK(L7),0,L7/$F$2)*DATA!F$31</f>
        <v>#DIV/0!</v>
      </c>
      <c r="J7" s="318" t="e" cm="1">
        <f t="array" ref="J7">_xlfn.IFS($H$2="Heating oil",H7*DATA!C$3,$H$2="Natural gas",H7*DATA!C$4,$H$2="Liquified Petro Gas",H7*DATA!C$5,$H$2="Biomass",H7*DATA!C$6,$H$2="Locally-produced biomass",H7*DATA!C$7,$H$2="Geothermal",H7*DATA!C$8,$H$2="Solar thermal",H7*DATA!C$9,$H$2="Wood burning stoves",H7*DATA!C$12,AND($H$2="District heating",$J$2="Coal"),H7*DATA!C$15,AND($H$2="District heating",$J$2="Natural gas"),H7*DATA!C$16,AND($H$2="District heating",$J$2="Oil"),H7*DATA!C$17,AND($H$2="District heating",$J$2="Electricity"),H7*DATA!C$18,AND($H$2="District heating",$J$2="Solar thermal energy"),H7*DATA!C$19,AND($H$2="District heating",$J$2="Gothermal energy"),H7*DATA!C$20,AND($H$2="District heating",$J$2="Biomass"),H7*DATA!C$21,AND($H$2="District heating",$J$2="Waste treatment"),H7*DATA!C$22,AND($H$2="District heating",$J$2="Default"),H7*DATA!C$23)</f>
        <v>#N/A</v>
      </c>
      <c r="K7" s="324"/>
      <c r="L7" s="325"/>
      <c r="N7" s="223"/>
      <c r="O7" s="326"/>
      <c r="P7" s="225"/>
    </row>
    <row r="8" spans="1:16" ht="17" thickBot="1" x14ac:dyDescent="0.25">
      <c r="A8" s="221"/>
      <c r="B8" s="24"/>
      <c r="C8" s="13"/>
      <c r="D8" s="14"/>
      <c r="E8" s="15"/>
      <c r="F8" s="15"/>
      <c r="G8" s="25" t="e">
        <f t="shared" si="0"/>
        <v>#DIV/0!</v>
      </c>
      <c r="H8" s="25" t="e">
        <f t="shared" si="1"/>
        <v>#DIV/0!</v>
      </c>
      <c r="I8" s="25" t="e">
        <f>IF($O$18="Yes",(E8/$F$2)*DATA!$C$9,(E8/$F$2)*DATA!F34)+IF(ISBLANK(K8),0,K8/$F$2)*DATA!$C$9-IF(ISBLANK(L8),0,L8/$F$2)*DATA!F$31</f>
        <v>#DIV/0!</v>
      </c>
      <c r="J8" s="318" t="e" cm="1">
        <f t="array" ref="J8">_xlfn.IFS($H$2="Heating oil",H8*DATA!C$3,$H$2="Natural gas",H8*DATA!C$4,$H$2="Liquified Petro Gas",H8*DATA!C$5,$H$2="Biomass",H8*DATA!C$6,$H$2="Locally-produced biomass",H8*DATA!C$7,$H$2="Geothermal",H8*DATA!C$8,$H$2="Solar thermal",H8*DATA!C$9,$H$2="Wood burning stoves",H8*DATA!C$12,AND($H$2="District heating",$J$2="Coal"),H8*DATA!C$15,AND($H$2="District heating",$J$2="Natural gas"),H8*DATA!C$16,AND($H$2="District heating",$J$2="Oil"),H8*DATA!C$17,AND($H$2="District heating",$J$2="Electricity"),H8*DATA!C$18,AND($H$2="District heating",$J$2="Solar thermal energy"),H8*DATA!C$19,AND($H$2="District heating",$J$2="Gothermal energy"),H8*DATA!C$20,AND($H$2="District heating",$J$2="Biomass"),H8*DATA!C$21,AND($H$2="District heating",$J$2="Waste treatment"),H8*DATA!C$22,AND($H$2="District heating",$J$2="Default"),H8*DATA!C$23)</f>
        <v>#N/A</v>
      </c>
      <c r="K8" s="324"/>
      <c r="L8" s="325"/>
      <c r="N8" s="218"/>
      <c r="O8" s="219"/>
      <c r="P8" s="220"/>
    </row>
    <row r="9" spans="1:16" ht="17" thickBot="1" x14ac:dyDescent="0.25">
      <c r="A9" s="221"/>
      <c r="B9" s="24"/>
      <c r="C9" s="13"/>
      <c r="D9" s="14"/>
      <c r="E9" s="15"/>
      <c r="F9" s="15"/>
      <c r="G9" s="25" t="e">
        <f t="shared" si="0"/>
        <v>#DIV/0!</v>
      </c>
      <c r="H9" s="25" t="e">
        <f t="shared" si="1"/>
        <v>#DIV/0!</v>
      </c>
      <c r="I9" s="25" t="e">
        <f>IF($O$18="Yes",(E9/$F$2)*DATA!$C$9,(E9/$F$2)*DATA!F35)+IF(ISBLANK(K9),0,K9/$F$2)*DATA!$C$9-IF(ISBLANK(L9),0,L9/$F$2)*DATA!F$31</f>
        <v>#DIV/0!</v>
      </c>
      <c r="J9" s="318" t="e" cm="1">
        <f t="array" ref="J9">_xlfn.IFS($H$2="Heating oil",H9*DATA!C$3,$H$2="Natural gas",H9*DATA!C$4,$H$2="Liquified Petro Gas",H9*DATA!C$5,$H$2="Biomass",H9*DATA!C$6,$H$2="Locally-produced biomass",H9*DATA!C$7,$H$2="Geothermal",H9*DATA!C$8,$H$2="Solar thermal",H9*DATA!C$9,$H$2="Wood burning stoves",H9*DATA!C$12,AND($H$2="District heating",$J$2="Coal"),H9*DATA!C$15,AND($H$2="District heating",$J$2="Natural gas"),H9*DATA!C$16,AND($H$2="District heating",$J$2="Oil"),H9*DATA!C$17,AND($H$2="District heating",$J$2="Electricity"),H9*DATA!C$18,AND($H$2="District heating",$J$2="Solar thermal energy"),H9*DATA!C$19,AND($H$2="District heating",$J$2="Gothermal energy"),H9*DATA!C$20,AND($H$2="District heating",$J$2="Biomass"),H9*DATA!C$21,AND($H$2="District heating",$J$2="Waste treatment"),H9*DATA!C$22,AND($H$2="District heating",$J$2="Default"),H9*DATA!C$23)</f>
        <v>#N/A</v>
      </c>
      <c r="K9" s="324"/>
      <c r="L9" s="325"/>
      <c r="N9" s="193" t="s">
        <v>272</v>
      </c>
      <c r="O9" s="194"/>
      <c r="P9" s="195"/>
    </row>
    <row r="10" spans="1:16" ht="15" customHeight="1" x14ac:dyDescent="0.2">
      <c r="A10" s="221"/>
      <c r="B10" s="24"/>
      <c r="C10" s="13"/>
      <c r="D10" s="14"/>
      <c r="E10" s="15"/>
      <c r="F10" s="15"/>
      <c r="G10" s="25" t="e">
        <f t="shared" si="0"/>
        <v>#DIV/0!</v>
      </c>
      <c r="H10" s="25" t="e">
        <f t="shared" si="1"/>
        <v>#DIV/0!</v>
      </c>
      <c r="I10" s="25" t="e">
        <f>IF($O$18="Yes",(E10/$F$2)*DATA!$C$9,(E10/$F$2)*DATA!F36)+IF(ISBLANK(K10),0,K10/$F$2)*DATA!$C$9-IF(ISBLANK(L10),0,L10/$F$2)*DATA!F$31</f>
        <v>#DIV/0!</v>
      </c>
      <c r="J10" s="318" t="e" cm="1">
        <f t="array" ref="J10">_xlfn.IFS($H$2="Heating oil",H10*DATA!C$3,$H$2="Natural gas",H10*DATA!C$4,$H$2="Liquified Petro Gas",H10*DATA!C$5,$H$2="Biomass",H10*DATA!C$6,$H$2="Locally-produced biomass",H10*DATA!C$7,$H$2="Geothermal",H10*DATA!C$8,$H$2="Solar thermal",H10*DATA!C$9,$H$2="Wood burning stoves",H10*DATA!C$12,AND($H$2="District heating",$J$2="Coal"),H10*DATA!C$15,AND($H$2="District heating",$J$2="Natural gas"),H10*DATA!C$16,AND($H$2="District heating",$J$2="Oil"),H10*DATA!C$17,AND($H$2="District heating",$J$2="Electricity"),H10*DATA!C$18,AND($H$2="District heating",$J$2="Solar thermal energy"),H10*DATA!C$19,AND($H$2="District heating",$J$2="Gothermal energy"),H10*DATA!C$20,AND($H$2="District heating",$J$2="Biomass"),H10*DATA!C$21,AND($H$2="District heating",$J$2="Waste treatment"),H10*DATA!C$22,AND($H$2="District heating",$J$2="Default"),H10*DATA!C$23)</f>
        <v>#N/A</v>
      </c>
      <c r="K10" s="324"/>
      <c r="L10" s="325"/>
      <c r="N10" s="327" t="s">
        <v>295</v>
      </c>
      <c r="O10" s="328"/>
      <c r="P10" s="329"/>
    </row>
    <row r="11" spans="1:16" ht="16" x14ac:dyDescent="0.2">
      <c r="A11" s="221"/>
      <c r="B11" s="24"/>
      <c r="C11" s="13"/>
      <c r="D11" s="14"/>
      <c r="E11" s="15"/>
      <c r="F11" s="15"/>
      <c r="G11" s="25" t="e">
        <f t="shared" si="0"/>
        <v>#DIV/0!</v>
      </c>
      <c r="H11" s="25" t="e">
        <f t="shared" si="1"/>
        <v>#DIV/0!</v>
      </c>
      <c r="I11" s="25" t="e">
        <f>IF($O$18="Yes",(E11/$F$2)*DATA!$C$9,(E11/$F$2)*DATA!F37)+IF(ISBLANK(K11),0,K11/$F$2)*DATA!$C$9-IF(ISBLANK(L11),0,L11/$F$2)*DATA!F$31</f>
        <v>#DIV/0!</v>
      </c>
      <c r="J11" s="318" t="e" cm="1">
        <f t="array" ref="J11">_xlfn.IFS($H$2="Heating oil",H11*DATA!C$3,$H$2="Natural gas",H11*DATA!C$4,$H$2="Liquified Petro Gas",H11*DATA!C$5,$H$2="Biomass",H11*DATA!C$6,$H$2="Locally-produced biomass",H11*DATA!C$7,$H$2="Geothermal",H11*DATA!C$8,$H$2="Solar thermal",H11*DATA!C$9,$H$2="Wood burning stoves",H11*DATA!C$12,AND($H$2="District heating",$J$2="Coal"),H11*DATA!C$15,AND($H$2="District heating",$J$2="Natural gas"),H11*DATA!C$16,AND($H$2="District heating",$J$2="Oil"),H11*DATA!C$17,AND($H$2="District heating",$J$2="Electricity"),H11*DATA!C$18,AND($H$2="District heating",$J$2="Solar thermal energy"),H11*DATA!C$19,AND($H$2="District heating",$J$2="Gothermal energy"),H11*DATA!C$20,AND($H$2="District heating",$J$2="Biomass"),H11*DATA!C$21,AND($H$2="District heating",$J$2="Waste treatment"),H11*DATA!C$22,AND($H$2="District heating",$J$2="Default"),H11*DATA!C$23)</f>
        <v>#N/A</v>
      </c>
      <c r="K11" s="324"/>
      <c r="L11" s="325"/>
      <c r="N11" s="330"/>
      <c r="O11" s="331"/>
      <c r="P11" s="332"/>
    </row>
    <row r="12" spans="1:16" ht="20" customHeight="1" thickBot="1" x14ac:dyDescent="0.25">
      <c r="A12" s="221"/>
      <c r="B12" s="24"/>
      <c r="C12" s="13"/>
      <c r="D12" s="14"/>
      <c r="E12" s="15"/>
      <c r="F12" s="15"/>
      <c r="G12" s="25" t="e">
        <f t="shared" si="0"/>
        <v>#DIV/0!</v>
      </c>
      <c r="H12" s="25" t="e">
        <f t="shared" si="1"/>
        <v>#DIV/0!</v>
      </c>
      <c r="I12" s="25" t="e">
        <f>IF($O$18="Yes",(E12/$F$2)*DATA!$C$9,(E12/$F$2)*DATA!F38)+IF(ISBLANK(K12),0,K12/$F$2)*DATA!$C$9-IF(ISBLANK(L12),0,L12/$F$2)*DATA!F$31</f>
        <v>#DIV/0!</v>
      </c>
      <c r="J12" s="318" t="e" cm="1">
        <f t="array" ref="J12">_xlfn.IFS($H$2="Heating oil",H12*DATA!C$3,$H$2="Natural gas",H12*DATA!C$4,$H$2="Liquified Petro Gas",H12*DATA!C$5,$H$2="Biomass",H12*DATA!C$6,$H$2="Locally-produced biomass",H12*DATA!C$7,$H$2="Geothermal",H12*DATA!C$8,$H$2="Solar thermal",H12*DATA!C$9,$H$2="Wood burning stoves",H12*DATA!C$12,AND($H$2="District heating",$J$2="Coal"),H12*DATA!C$15,AND($H$2="District heating",$J$2="Natural gas"),H12*DATA!C$16,AND($H$2="District heating",$J$2="Oil"),H12*DATA!C$17,AND($H$2="District heating",$J$2="Electricity"),H12*DATA!C$18,AND($H$2="District heating",$J$2="Solar thermal energy"),H12*DATA!C$19,AND($H$2="District heating",$J$2="Gothermal energy"),H12*DATA!C$20,AND($H$2="District heating",$J$2="Biomass"),H12*DATA!C$21,AND($H$2="District heating",$J$2="Waste treatment"),H12*DATA!C$22,AND($H$2="District heating",$J$2="Default"),H12*DATA!C$23)</f>
        <v>#N/A</v>
      </c>
      <c r="K12" s="324"/>
      <c r="L12" s="325"/>
      <c r="N12" s="333"/>
      <c r="O12" s="334"/>
      <c r="P12" s="335"/>
    </row>
    <row r="13" spans="1:16" ht="20" customHeight="1" thickBot="1" x14ac:dyDescent="0.25">
      <c r="A13" s="221"/>
      <c r="B13" s="24"/>
      <c r="C13" s="13"/>
      <c r="D13" s="14"/>
      <c r="E13" s="15"/>
      <c r="F13" s="15"/>
      <c r="G13" s="25" t="e">
        <f t="shared" si="0"/>
        <v>#DIV/0!</v>
      </c>
      <c r="H13" s="25" t="e">
        <f t="shared" si="1"/>
        <v>#DIV/0!</v>
      </c>
      <c r="I13" s="25" t="e">
        <f>IF($O$18="Yes",(E13/$F$2)*DATA!$C$9,(E13/$F$2)*DATA!F39)+IF(ISBLANK(K13),0,K13/$F$2)*DATA!$C$9-IF(ISBLANK(L13),0,L13/$F$2)*DATA!F$31</f>
        <v>#DIV/0!</v>
      </c>
      <c r="J13" s="318" t="e" cm="1">
        <f t="array" ref="J13">_xlfn.IFS($H$2="Heating oil",H13*DATA!C$3,$H$2="Natural gas",H13*DATA!C$4,$H$2="Liquified Petro Gas",H13*DATA!C$5,$H$2="Biomass",H13*DATA!C$6,$H$2="Locally-produced biomass",H13*DATA!C$7,$H$2="Geothermal",H13*DATA!C$8,$H$2="Solar thermal",H13*DATA!C$9,$H$2="Wood burning stoves",H13*DATA!C$12,AND($H$2="District heating",$J$2="Coal"),H13*DATA!C$15,AND($H$2="District heating",$J$2="Natural gas"),H13*DATA!C$16,AND($H$2="District heating",$J$2="Oil"),H13*DATA!C$17,AND($H$2="District heating",$J$2="Electricity"),H13*DATA!C$18,AND($H$2="District heating",$J$2="Solar thermal energy"),H13*DATA!C$19,AND($H$2="District heating",$J$2="Gothermal energy"),H13*DATA!C$20,AND($H$2="District heating",$J$2="Biomass"),H13*DATA!C$21,AND($H$2="District heating",$J$2="Waste treatment"),H13*DATA!C$22,AND($H$2="District heating",$J$2="Default"),H13*DATA!C$23)</f>
        <v>#N/A</v>
      </c>
      <c r="K13" s="324"/>
      <c r="L13" s="325"/>
      <c r="N13" s="238" t="s">
        <v>56</v>
      </c>
      <c r="O13" s="239"/>
      <c r="P13" s="240"/>
    </row>
    <row r="14" spans="1:16" ht="16" x14ac:dyDescent="0.2">
      <c r="A14" s="221"/>
      <c r="B14" s="24"/>
      <c r="C14" s="13"/>
      <c r="D14" s="14"/>
      <c r="E14" s="15"/>
      <c r="F14" s="15"/>
      <c r="G14" s="25" t="e">
        <f t="shared" si="0"/>
        <v>#DIV/0!</v>
      </c>
      <c r="H14" s="25" t="e">
        <f t="shared" si="1"/>
        <v>#DIV/0!</v>
      </c>
      <c r="I14" s="25" t="e">
        <f>IF($O$18="Yes",(E14/$F$2)*DATA!$C$9,(E14/$F$2)*DATA!F40)+IF(ISBLANK(K14),0,K14/$F$2)*DATA!$C$9-IF(ISBLANK(L14),0,L14/$F$2)*DATA!F$31</f>
        <v>#DIV/0!</v>
      </c>
      <c r="J14" s="318" t="e" cm="1">
        <f t="array" ref="J14">_xlfn.IFS($H$2="Heating oil",H14*DATA!C$3,$H$2="Natural gas",H14*DATA!C$4,$H$2="Liquified Petro Gas",H14*DATA!C$5,$H$2="Biomass",H14*DATA!C$6,$H$2="Locally-produced biomass",H14*DATA!C$7,$H$2="Geothermal",H14*DATA!C$8,$H$2="Solar thermal",H14*DATA!C$9,$H$2="Wood burning stoves",H14*DATA!C$12,AND($H$2="District heating",$J$2="Coal"),H14*DATA!C$15,AND($H$2="District heating",$J$2="Natural gas"),H14*DATA!C$16,AND($H$2="District heating",$J$2="Oil"),H14*DATA!C$17,AND($H$2="District heating",$J$2="Electricity"),H14*DATA!C$18,AND($H$2="District heating",$J$2="Solar thermal energy"),H14*DATA!C$19,AND($H$2="District heating",$J$2="Gothermal energy"),H14*DATA!C$20,AND($H$2="District heating",$J$2="Biomass"),H14*DATA!C$21,AND($H$2="District heating",$J$2="Waste treatment"),H14*DATA!C$22,AND($H$2="District heating",$J$2="Default"),H14*DATA!C$23)</f>
        <v>#N/A</v>
      </c>
      <c r="K14" s="324"/>
      <c r="L14" s="325"/>
      <c r="N14" s="249"/>
      <c r="O14" s="250"/>
      <c r="P14" s="251"/>
    </row>
    <row r="15" spans="1:16" ht="14.5" customHeight="1" thickBot="1" x14ac:dyDescent="0.25">
      <c r="A15" s="221"/>
      <c r="B15" s="24"/>
      <c r="C15" s="13"/>
      <c r="D15" s="14"/>
      <c r="E15" s="15"/>
      <c r="F15" s="15"/>
      <c r="G15" s="25" t="e">
        <f t="shared" si="0"/>
        <v>#DIV/0!</v>
      </c>
      <c r="H15" s="25" t="e">
        <f t="shared" si="1"/>
        <v>#DIV/0!</v>
      </c>
      <c r="I15" s="25" t="e">
        <f>IF($O$18="Yes",(E15/$F$2)*DATA!$C$9,(E15/$F$2)*DATA!F41)+IF(ISBLANK(K15),0,K15/$F$2)*DATA!$C$9-IF(ISBLANK(L15),0,L15/$F$2)*DATA!F$31</f>
        <v>#DIV/0!</v>
      </c>
      <c r="J15" s="318" t="e" cm="1">
        <f t="array" ref="J15">_xlfn.IFS($H$2="Heating oil",H15*DATA!C$3,$H$2="Natural gas",H15*DATA!C$4,$H$2="Liquified Petro Gas",H15*DATA!C$5,$H$2="Biomass",H15*DATA!C$6,$H$2="Locally-produced biomass",H15*DATA!C$7,$H$2="Geothermal",H15*DATA!C$8,$H$2="Solar thermal",H15*DATA!C$9,$H$2="Wood burning stoves",H15*DATA!C$12,AND($H$2="District heating",$J$2="Coal"),H15*DATA!C$15,AND($H$2="District heating",$J$2="Natural gas"),H15*DATA!C$16,AND($H$2="District heating",$J$2="Oil"),H15*DATA!C$17,AND($H$2="District heating",$J$2="Electricity"),H15*DATA!C$18,AND($H$2="District heating",$J$2="Solar thermal energy"),H15*DATA!C$19,AND($H$2="District heating",$J$2="Gothermal energy"),H15*DATA!C$20,AND($H$2="District heating",$J$2="Biomass"),H15*DATA!C$21,AND($H$2="District heating",$J$2="Waste treatment"),H15*DATA!C$22,AND($H$2="District heating",$J$2="Default"),H15*DATA!C$23)</f>
        <v>#N/A</v>
      </c>
      <c r="K15" s="324"/>
      <c r="L15" s="325"/>
      <c r="N15" s="252"/>
      <c r="O15" s="314"/>
      <c r="P15" s="254"/>
    </row>
    <row r="16" spans="1:16" ht="16" thickBot="1" x14ac:dyDescent="0.25">
      <c r="A16" s="221"/>
      <c r="B16" s="211" t="s">
        <v>57</v>
      </c>
      <c r="C16" s="212"/>
      <c r="D16" s="16"/>
      <c r="E16" s="16"/>
      <c r="F16" s="16" t="s">
        <v>58</v>
      </c>
      <c r="G16" s="17" t="e">
        <f>SUM(G5:G11)/D16</f>
        <v>#DIV/0!</v>
      </c>
      <c r="H16" s="18" t="e">
        <f>SUM(H5:H11)/D16</f>
        <v>#DIV/0!</v>
      </c>
      <c r="I16" s="19" t="e">
        <f>SUM(I5:I11)/D16</f>
        <v>#DIV/0!</v>
      </c>
      <c r="J16" s="20" t="e">
        <f>SUM(J5:J11)/D16</f>
        <v>#N/A</v>
      </c>
      <c r="K16" s="18"/>
      <c r="L16" s="18"/>
      <c r="N16" s="255"/>
      <c r="O16" s="256"/>
      <c r="P16" s="257"/>
    </row>
    <row r="17" spans="1:17" ht="17" thickBot="1" x14ac:dyDescent="0.25">
      <c r="B17" s="2"/>
      <c r="C17" s="2"/>
      <c r="D17" s="2"/>
      <c r="E17" s="2"/>
      <c r="N17" s="22"/>
      <c r="O17" s="22"/>
    </row>
    <row r="18" spans="1:17" ht="37.25" customHeight="1" thickBot="1" x14ac:dyDescent="0.25">
      <c r="B18" s="268" t="s">
        <v>59</v>
      </c>
      <c r="C18" s="269"/>
      <c r="D18" s="269"/>
      <c r="E18" s="269"/>
      <c r="F18" s="270"/>
      <c r="N18" s="135" t="s">
        <v>268</v>
      </c>
      <c r="O18" s="134" t="s">
        <v>270</v>
      </c>
    </row>
    <row r="19" spans="1:17" ht="51.5" customHeight="1" thickBot="1" x14ac:dyDescent="0.25">
      <c r="B19" s="132" t="s">
        <v>278</v>
      </c>
      <c r="C19" s="133" t="s">
        <v>279</v>
      </c>
      <c r="D19" s="133" t="s">
        <v>280</v>
      </c>
      <c r="E19" s="133" t="s">
        <v>281</v>
      </c>
      <c r="F19" s="133" t="s">
        <v>282</v>
      </c>
      <c r="G19" s="111" t="s">
        <v>63</v>
      </c>
      <c r="H19" s="117" t="s">
        <v>64</v>
      </c>
      <c r="I19" s="118" t="s">
        <v>65</v>
      </c>
      <c r="J19" s="119" t="s">
        <v>266</v>
      </c>
      <c r="K19" s="319"/>
      <c r="L19" s="319"/>
      <c r="N19" s="135" t="s">
        <v>291</v>
      </c>
      <c r="O19" s="134" t="s">
        <v>270</v>
      </c>
      <c r="P19" s="135" t="s">
        <v>294</v>
      </c>
      <c r="Q19" s="134" t="s">
        <v>270</v>
      </c>
    </row>
    <row r="20" spans="1:17" ht="14.5" customHeight="1" x14ac:dyDescent="0.2">
      <c r="B20" s="107"/>
      <c r="C20" s="105"/>
      <c r="D20" s="105"/>
      <c r="E20" s="105"/>
      <c r="F20" s="105"/>
      <c r="G20" s="112"/>
      <c r="H20" s="62" t="e" cm="1">
        <f t="array" ref="H20">_xlfn.IFS(B20&gt;0,B20*1.015*'UK '!$L$22,C20&gt;0,C20*4.8*'UK '!$L$20,D20&gt;0,D20*5.3*'UK '!$L$20,E20&gt;0,E20*12.44*'UK '!$L$20,F20&gt;0,F20*0.066*'UK '!$L$22)</f>
        <v>#N/A</v>
      </c>
      <c r="I20" t="e">
        <f>H20/$F$2</f>
        <v>#N/A</v>
      </c>
      <c r="J20" s="110" t="e" cm="1">
        <f t="array" ref="J20">_xlfn.IFS(B20&gt;0,I20*DATA!$C$3,C20&gt;0,I20*DATA!$C$6,I20&gt;0,D20*DATA!$C$12,E20&gt;0,DATA!$C$13,F20&gt;0,F20*DATA!$C$5)</f>
        <v>#N/A</v>
      </c>
      <c r="K20" s="319"/>
      <c r="L20" s="319"/>
    </row>
    <row r="21" spans="1:17" ht="14.5" customHeight="1" x14ac:dyDescent="0.2">
      <c r="B21" s="107"/>
      <c r="C21" s="105"/>
      <c r="D21" s="105"/>
      <c r="E21" s="105"/>
      <c r="F21" s="105"/>
      <c r="G21" s="112"/>
      <c r="H21" s="62" t="e" cm="1">
        <f t="array" ref="H21">_xlfn.IFS(B21&gt;0,B21*1.015*'UK '!$L$22,C21&gt;0,C21*4.8*'UK '!$L$20,D21&gt;0,D21*5.3*'UK '!$L$20,E21&gt;0,E21*12.44*'UK '!$L$20,F21&gt;0,F21*0.066*'UK '!$L$22)</f>
        <v>#N/A</v>
      </c>
      <c r="I21" t="e">
        <f t="shared" ref="I21:I23" si="2">H21/$F$2</f>
        <v>#N/A</v>
      </c>
      <c r="J21" s="110" t="e" cm="1">
        <f t="array" ref="J21">_xlfn.IFS(B21&gt;0,I21*DATA!$C$3,C21&gt;0,I21*DATA!$C$6,I21&gt;0,D21*DATA!$C$12,E21&gt;0,DATA!$C$13,F21&gt;0,F21*DATA!$C$5)</f>
        <v>#N/A</v>
      </c>
      <c r="K21" s="319"/>
      <c r="L21" s="319"/>
    </row>
    <row r="22" spans="1:17" x14ac:dyDescent="0.2">
      <c r="B22" s="108"/>
      <c r="C22" s="106"/>
      <c r="D22" s="106"/>
      <c r="E22" s="106"/>
      <c r="F22" s="106"/>
      <c r="G22" s="112"/>
      <c r="H22" s="62" t="e" cm="1">
        <f t="array" ref="H22">_xlfn.IFS(B22&gt;0,B22*1.015*'UK '!$L$22,C22&gt;0,C22*4.8*'UK '!$L$20,D22&gt;0,D22*5.3*'UK '!$L$20,E22&gt;0,E22*12.44*'UK '!$L$20,F22&gt;0,F22*0.066*'UK '!$L$22)</f>
        <v>#N/A</v>
      </c>
      <c r="I22" t="e">
        <f t="shared" si="2"/>
        <v>#N/A</v>
      </c>
      <c r="J22" s="110" t="e" cm="1">
        <f t="array" ref="J22">_xlfn.IFS(B22&gt;0,I22*DATA!$C$3,C22&gt;0,I22*DATA!$C$6,I22&gt;0,D22*DATA!$C$12,E22&gt;0,DATA!$C$13,F22&gt;0,F22*DATA!$C$5)</f>
        <v>#N/A</v>
      </c>
      <c r="K22" s="319"/>
      <c r="L22" s="319"/>
    </row>
    <row r="23" spans="1:17" ht="16" thickBot="1" x14ac:dyDescent="0.25">
      <c r="B23" s="109"/>
      <c r="C23" s="34"/>
      <c r="D23" s="34"/>
      <c r="E23" s="34"/>
      <c r="F23" s="34"/>
      <c r="G23" s="113"/>
      <c r="H23" s="62" t="e" cm="1">
        <f t="array" ref="H23">_xlfn.IFS(B23&gt;0,B23*1.015*'UK '!$L$22,C23&gt;0,C23*4.8*'UK '!$L$20,D23&gt;0,D23*5.3*'UK '!$L$20,E23&gt;0,E23*12.44*'UK '!$L$20,F23&gt;0,F23*0.066*'UK '!$L$22)</f>
        <v>#N/A</v>
      </c>
      <c r="I23" t="e">
        <f t="shared" si="2"/>
        <v>#N/A</v>
      </c>
      <c r="J23" s="110" t="e" cm="1">
        <f t="array" ref="J23">_xlfn.IFS(B23&gt;0,I23*DATA!$C$3,C23&gt;0,I23*DATA!$C$6,I23&gt;0,D23*DATA!$C$12,E23&gt;0,DATA!$C$13,F23&gt;0,F23*DATA!$C$5)</f>
        <v>#N/A</v>
      </c>
      <c r="K23" s="319"/>
      <c r="L23" s="319"/>
    </row>
    <row r="24" spans="1:17" ht="16" thickBot="1" x14ac:dyDescent="0.25">
      <c r="H24" s="114" t="s">
        <v>58</v>
      </c>
      <c r="I24" s="115" t="e">
        <f t="shared" ref="I24:J24" si="3">SUM(I20:I23)</f>
        <v>#N/A</v>
      </c>
      <c r="J24" s="116" t="e">
        <f t="shared" si="3"/>
        <v>#N/A</v>
      </c>
      <c r="K24" s="320"/>
      <c r="L24" s="320"/>
    </row>
    <row r="25" spans="1:17" ht="16" thickBot="1" x14ac:dyDescent="0.25"/>
    <row r="26" spans="1:17" ht="32.5" customHeight="1" thickBot="1" x14ac:dyDescent="0.3">
      <c r="A26" s="222" t="s">
        <v>66</v>
      </c>
      <c r="B26" s="206" t="s">
        <v>66</v>
      </c>
      <c r="C26" s="207"/>
      <c r="D26" s="207"/>
      <c r="E26" s="207"/>
      <c r="F26" s="207"/>
      <c r="G26" s="208"/>
      <c r="H26" s="198" t="s">
        <v>286</v>
      </c>
      <c r="I26" s="199"/>
      <c r="J26" s="200"/>
      <c r="K26" s="321"/>
      <c r="L26" s="321"/>
      <c r="N26" s="271" t="s">
        <v>45</v>
      </c>
      <c r="O26" s="272"/>
      <c r="P26" s="273"/>
    </row>
    <row r="27" spans="1:17" ht="14.5" customHeight="1" x14ac:dyDescent="0.2">
      <c r="A27" s="222"/>
      <c r="B27" s="278" t="s">
        <v>68</v>
      </c>
      <c r="C27" s="280" t="s">
        <v>69</v>
      </c>
      <c r="D27" s="258" t="s">
        <v>70</v>
      </c>
      <c r="E27" s="280" t="s">
        <v>121</v>
      </c>
      <c r="F27" s="258" t="s">
        <v>72</v>
      </c>
      <c r="G27" s="260" t="s">
        <v>73</v>
      </c>
      <c r="H27" s="201" t="s">
        <v>287</v>
      </c>
      <c r="I27" s="209" t="s">
        <v>284</v>
      </c>
      <c r="J27" s="202" t="s">
        <v>285</v>
      </c>
      <c r="K27" s="322"/>
      <c r="L27" s="322"/>
      <c r="N27" s="215" t="s">
        <v>252</v>
      </c>
      <c r="O27" s="216"/>
      <c r="P27" s="217"/>
    </row>
    <row r="28" spans="1:17" ht="16" thickBot="1" x14ac:dyDescent="0.25">
      <c r="A28" s="222"/>
      <c r="B28" s="279"/>
      <c r="C28" s="281"/>
      <c r="D28" s="259"/>
      <c r="E28" s="281"/>
      <c r="F28" s="209"/>
      <c r="G28" s="277"/>
      <c r="H28" s="201"/>
      <c r="I28" s="209"/>
      <c r="J28" s="202"/>
      <c r="K28" s="322"/>
      <c r="L28" s="322"/>
      <c r="N28" s="223"/>
      <c r="O28" s="224"/>
      <c r="P28" s="225"/>
    </row>
    <row r="29" spans="1:17" ht="16" thickBot="1" x14ac:dyDescent="0.25">
      <c r="A29" s="222"/>
      <c r="B29" s="102"/>
      <c r="C29" s="15"/>
      <c r="D29" s="29"/>
      <c r="E29" s="124"/>
      <c r="F29" s="127" t="e" cm="1">
        <f t="array" ref="F29">_xlfn.IFS(AND($C29="Fuel car",$D29=1),$E29*'UK '!C$7,AND($C29="Fuel car",$D29=2),$E29*'UK '!C$8,AND($C29="Fuel car",$D29=3),$E29*'UK '!C$9,AND($C29="Fuel car",$D29=4),$E29*'UK '!C$10,AND($C29="Fuel car",$D29=5),$E29*'UK '!C$11,AND($C29="Motorcycle",$D29=1),$E29*'UK '!C$13,AND($C29="Motorcycle",$D29=2),$E29*'UK '!C$14,AND($C29="Electric car",$D29=1),$E29*'UK '!C$16,AND($C29="Electric car",$D29=2),$E29*'UK '!C$17,AND($C29="Electric car",$D29=3),$E29*'UK '!C$18,AND($C29="Electric car",$D29=4),$E29*'UK '!C$19,AND($C29="Electric car",$D29=5),$E29*'UK '!C$20,AND($C29="Hybrid car",$D29=1),$E29*'UK '!C$22,AND($C29="Hybrid car",$D29=2),$E29*'UK '!C$23,AND($C29="Hybrid car",$D29=3),$E29*'UK '!C$24,AND($C29="Hybrid car",$D29=4),$E29*'UK '!C$25,AND($C29="Hybrid car",$D29=5),$E29*'UK '!C$26,AND($C29="Electric motorcycle",$D29=1),$E29*'UK '!C$28,AND($C29="Electric motorcycle",$D29=2),$E29*'UK '!C$29,AND($C29="Electric bike",$D29=1),$E29*'UK '!C$31,AND($C29="Electric scooter",$D29=1),$E29*'UK '!C$33,AND($C29="Bus",$D29="Almost empty"),$E29*'UK '!H$23,AND($C29="Bus",$D29="Average"),$E29*'UK '!H$24,AND($C29="Bus",$D29="Nearly full"),$E29*'UK '!H$25,AND($C29="Electric bus",$D29="Almost empty"),$E29*'UK '!H$7,AND($C29="Electric bus",$D29="Average"),$E29*'UK '!H$8,AND($C29="Electric bus",$D29="Nearly full"),$E29*'UK '!H$9,AND($C29="Diesel bus",$D29="Almost empty"),$E29*'UK '!H$19,AND($C29="Diesel bus",$D29="Average"),$E29*'UK '!H$20,AND($C29="Diesel bus",$D29="Nearly full"),$E29*'UK '!H$21,AND($C29="Hybrid-electric bus",$D29="Almost empty"),$E29*'UK '!H$11,AND($C29="Hybrid-electric bus",$D29="Average"),$E29*'UK '!H$12,AND($C29="Hybrid-electric bus",$D29="Nearly full"),$E29*'UK '!H$13,AND($C29="Alternative fuel bus",$D29="Almost empty"),$E29*'UK '!H$15,AND($C29="Alternative fuel bus",$D29="Average"),$E29*'UK '!H$16,AND($C29="Alternative fuel bus",$D29="Nearly full"),$E29*'UK '!H$17,AND($C29="Metro, tram, urban light train",$D29="Almost empty"),$E29*'UK '!C$35,AND($C29="Metro, tram, urban light train",$D29="Average"),$E29*'UK '!C$36,AND($C29="Metro, tram, urban light train",$D29="Nearly full"),$E29*'UK '!C$37,AND($C29="Electric passenger train",$D29="Almost empty"),$E29*'UK '!C$39,AND($C29="Electric passenger train",$D29="Average"),$E29*'UK '!C$40,AND($C29="Electric passenger train",$D29="Nearly full"),$E29*'UK '!C$41,AND($C29="Diesel passenger train",$D29="Almost empty"),$E29*'UK '!C$47,AND($C29="Diesel passenger train",$D29="Average"),$E29*'UK '!C$48,AND($C29="Diesel passenger train",$D29="Nearly full"),$E29*'UK '!C$49,AND($C29="Walking"),$E29*0,AND($C29="Bike"),$E29*0,AND($C29="Plane - domestic flight"),$E29*'UK '!$C53,AND($C29="Plane - international - intra EU"),$E29*'UK '!$C55,AND($C29="Plane - international (extra EU)"),$E29*'UK '!$C57)</f>
        <v>#N/A</v>
      </c>
      <c r="G29" s="104" t="e" cm="1">
        <f t="array" ref="G29">_xlfn.IFS(AND($C29="Fuel car",$D29=1),$E29*'UK '!D$7,AND($C29="Fuel car",$D29=2),$E29*'UK '!D$8,AND($C29="Fuel car",$D29=3),$E29*'UK '!D$9,AND($C29="Fuel car",$D29=4),$E29*'UK '!D$10,AND($C29="Fuel car",$D29=5),$E29*'UK '!D$11,AND($C29="Motorcycle",$D29=1),$E29*'UK '!D$13,AND($C29="Motorcycle",$D29=2),$E29*'UK '!D$14,AND($C29="Electric car",$D29=1),$E29*'UK '!D$16,AND($C29="Electric car",$D29=2),$E29*'UK '!D$17,AND($C29="Electric car",$D29=3),$E29*'UK '!D$18,AND($C29="Electric car",$D29=4),$E29*'UK '!D$19,AND($C29="Electric car",$D29=5),$E29*'UK '!D$20,AND($C29="Hybrid car",$D29=1),$E29*'UK '!D$22,AND($C29="Hybrid car",$D29=2),$E29*'UK '!D$23,AND($C29="Hybrid car",$D29=3),$E29*'UK '!D$24,AND($C29="Hybrid car",$D29=4),$E29*'UK '!D$25,AND($C29="Hybrid car",$D29=5),$E29*'UK '!D$26,AND($C29="Electric motorcycle",$D29=1),$E29*'UK '!D$28,AND($C29="Electric motorcycle",$D29=2),$E29*'UK '!D$29,AND($C29="Electric bike",$D29=1),$E29*'UK '!D$31,AND($C29="Electric scooter",$D29=1),$E29*'UK '!D$33,AND($C29="Bus",$D29="Almost empty"),$E29*'UK '!I$23,AND($C29="Bus",$D29="Average"),$E29*'UK '!I$24,AND($C29="Bus",$D29="Nearly full"),$E29*'UK '!I$25,AND($C29="Electric bus",$D29="Almost empty"),$E29*'UK '!I$7,AND($C29="Electric bus",$D29="Average"),$E29*'UK '!I$8,AND($C29="Electric bus",$D29="Nearly full"),$E29*'UK '!I$9,AND($C29="Diesel bus",$D29="Almost empty"),$E29*'UK '!I$19,AND($C29="Diesel bus",$D29="Average"),$E29*'UK '!I$20,AND($C29="Diesel bus",$D29="Nearly full"),$E29*'UK '!I$21,AND($C29="Hybrid-electric bus",$D29="Almost empty"),$E29*'UK '!I$11,AND($C29="Hybrid-electric bus",$D29="Average"),$E29*'UK '!I$12,AND($C29="Hybrid-electric bus",$D29="Nearly full"),$E29*'UK '!I$13,AND($C29="Alternative fuel bus",$D29="Almost empty"),$E29*'UK '!I$15,AND($C29="Alternative fuel bus",$D29="Average"),$E29*'UK '!I$16,AND($C29="Alternative fuel bus",$D29="Nearly full"),$E29*'UK '!I$17,AND($C29="Metro, tram, urban light train",$D29="Almost empty"),$E29*'UK '!D$35,AND($C29="Metro, tram, urban light train",$D29="Average"),$E29*'UK '!D$36,AND($C29="Metro, tram, urban light train",$D29="Nearly full"),$E29*'UK '!D$37,AND($C29="Electric passenger train",$D29="Almost empty"),$E29*'UK '!D$39,AND($C29="Electric passenger train",$D29="Average"),$E29*'UK '!D$40,AND($C29="Electric passenger train",$D29="Nearly full"),$E29*'UK '!D$41,AND($C29="Diesel passenger train",$D29="Almost empty"),$E29*'UK '!D$47,AND($C29="Diesel passenger train",$D29="Average"),$E29*'UK '!D$48,AND($C29="Diesel passenger train",$D29="Nearly full"),$E29*'UK '!D$49,AND($C29="Walking"),$E29*0,AND($C29="Bike"),$E29*0,AND($C29="Plane - domestic flight"),$E29*'UK '!$C53,AND($C29="Plane - international - intra EU"),$E29*'UK '!$C55,AND($C29="Plane - international (extra EU)"),$E29*'UK '!$C57)</f>
        <v>#N/A</v>
      </c>
      <c r="H29" s="151"/>
      <c r="I29" s="152" t="e">
        <f>H29/E29*'UK '!$M$26</f>
        <v>#DIV/0!</v>
      </c>
      <c r="J29" s="146" t="e" cm="1">
        <f t="array" ref="J29">_xlfn.IFS(C29="Fuel car",C29*DATA!$C$17,C29="Electric car",C29*DATA!$F$31,C29="Hybrid car",I29*(0.5*DATA!$C$17+0.5*DATA!$F$31))</f>
        <v>#N/A</v>
      </c>
      <c r="K29" s="323"/>
      <c r="L29" s="323"/>
      <c r="N29" s="218"/>
      <c r="O29" s="219"/>
      <c r="P29" s="220"/>
    </row>
    <row r="30" spans="1:17" ht="32" customHeight="1" x14ac:dyDescent="0.2">
      <c r="A30" s="222"/>
      <c r="B30" s="30"/>
      <c r="C30" s="15"/>
      <c r="D30" s="15"/>
      <c r="E30" s="125"/>
      <c r="F30" s="128" t="e" cm="1">
        <f t="array" ref="F30">_xlfn.IFS(AND($C30="Fuel car",$D30=1),$E30*'UK '!C$7,AND($C30="Fuel car",$D30=2),$E30*'UK '!C$8,AND($C30="Fuel car",$D30=3),$E30*'UK '!C$9,AND($C30="Fuel car",$D30=4),$E30*'UK '!C$10,AND($C30="Fuel car",$D30=5),$E30*'UK '!C$11,AND($C30="Motorcycle",$D30=1),$E30*'UK '!C$13,AND($C30="Motorcycle",$D30=2),$E30*'UK '!C$14,AND($C30="Electric car",$D30=1),$E30*'UK '!C$16,AND($C30="Electric car",$D30=2),$E30*'UK '!C$17,AND($C30="Electric car",$D30=3),$E30*'UK '!C$18,AND($C30="Electric car",$D30=4),$E30*'UK '!C$19,AND($C30="Electric car",$D30=5),$E30*'UK '!C$20,AND($C30="Hybrid car",$D30=1),$E30*'UK '!C$22,AND($C30="Hybrid car",$D30=2),$E30*'UK '!C$23,AND($C30="Hybrid car",$D30=3),$E30*'UK '!C$24,AND($C30="Hybrid car",$D30=4),$E30*'UK '!C$25,AND($C30="Hybrid car",$D30=5),$E30*'UK '!C$26,AND($C30="Electric motorcycle",$D30=1),$E30*'UK '!C$28,AND($C30="Electric motorcycle",$D30=2),$E30*'UK '!C$29,AND($C30="Electric bike",$D30=1),$E30*'UK '!C$31,AND($C30="Electric scooter",$D30=1),$E30*'UK '!C$33,AND($C30="Bus",$D30="Almost empty"),$E30*'UK '!H$23,AND($C30="Bus",$D30="Average"),$E30*'UK '!H$24,AND($C30="Bus",$D30="Nearly full"),$E30*'UK '!H$25,AND($C30="Electric bus",$D30="Almost empty"),$E30*'UK '!H$7,AND($C30="Electric bus",$D30="Average"),$E30*'UK '!H$8,AND($C30="Electric bus",$D30="Nearly full"),$E30*'UK '!H$9,AND($C30="Diesel bus",$D30="Almost empty"),$E30*'UK '!H$19,AND($C30="Diesel bus",$D30="Average"),$E30*'UK '!H$20,AND($C30="Diesel bus",$D30="Nearly full"),$E30*'UK '!H$21,AND($C30="Hybrid-electric bus",$D30="Almost empty"),$E30*'UK '!H$11,AND($C30="Hybrid-electric bus",$D30="Average"),$E30*'UK '!H$12,AND($C30="Hybrid-electric bus",$D30="Nearly full"),$E30*'UK '!H$13,AND($C30="Alternative fuel bus",$D30="Almost empty"),$E30*'UK '!H$15,AND($C30="Alternative fuel bus",$D30="Average"),$E30*'UK '!H$16,AND($C30="Alternative fuel bus",$D30="Nearly full"),$E30*'UK '!H$17,AND($C30="Metro, tram, urban light train",$D30="Almost empty"),$E30*'UK '!C$35,AND($C30="Metro, tram, urban light train",$D30="Average"),$E30*'UK '!C$36,AND($C30="Metro, tram, urban light train",$D30="Nearly full"),$E30*'UK '!C$37,AND($C30="Electric passenger train",$D30="Almost empty"),$E30*'UK '!C$39,AND($C30="Electric passenger train",$D30="Average"),$E30*'UK '!C$40,AND($C30="Electric passenger train",$D30="Nearly full"),$E30*'UK '!C$41,AND($C30="Diesel passenger train",$D30="Almost empty"),$E30*'UK '!C$47,AND($C30="Diesel passenger train",$D30="Average"),$E30*'UK '!C$48,AND($C30="Diesel passenger train",$D30="Nearly full"),$E30*'UK '!C$49,AND($C30="Walking"),$E30*0,AND($C30="Bike"),$E30*0,AND($C30="Plane - domestic flight"),$E30*'UK '!$C54,AND($C30="Plane - international - intra EU"),$E30*'UK '!$C56,AND($C30="Plane - international (extra EU)"),$E30*'UK '!$C58)</f>
        <v>#N/A</v>
      </c>
      <c r="G30" s="31" t="e" cm="1">
        <f t="array" ref="G30">_xlfn.IFS(AND($C30="Fuel car",$D30=1),$E30*'UK '!D$7,AND($C30="Fuel car",$D30=2),$E30*'UK '!D$8,AND($C30="Fuel car",$D30=3),$E30*'UK '!D$9,AND($C30="Fuel car",$D30=4),$E30*'UK '!D$10,AND($C30="Fuel car",$D30=5),$E30*'UK '!D$11,AND($C30="Motorcycle",$D30=1),$E30*'UK '!D$13,AND($C30="Motorcycle",$D30=2),$E30*'UK '!D$14,AND($C30="Electric car",$D30=1),$E30*'UK '!D$16,AND($C30="Electric car",$D30=2),$E30*'UK '!D$17,AND($C30="Electric car",$D30=3),$E30*'UK '!D$18,AND($C30="Electric car",$D30=4),$E30*'UK '!D$19,AND($C30="Electric car",$D30=5),$E30*'UK '!D$20,AND($C30="Hybrid car",$D30=1),$E30*'UK '!D$22,AND($C30="Hybrid car",$D30=2),$E30*'UK '!D$23,AND($C30="Hybrid car",$D30=3),$E30*'UK '!D$24,AND($C30="Hybrid car",$D30=4),$E30*'UK '!D$25,AND($C30="Hybrid car",$D30=5),$E30*'UK '!D$26,AND($C30="Electric motorcycle",$D30=1),$E30*'UK '!D$28,AND($C30="Electric motorcycle",$D30=2),$E30*'UK '!D$29,AND($C30="Electric bike",$D30=1),$E30*'UK '!D$31,AND($C30="Electric scooter",$D30=1),$E30*'UK '!D$33,AND($C30="Bus",$D30="Almost empty"),$E30*'UK '!I$23,AND($C30="Bus",$D30="Average"),$E30*'UK '!I$24,AND($C30="Bus",$D30="Nearly full"),$E30*'UK '!I$25,AND($C30="Electric bus",$D30="Almost empty"),$E30*'UK '!I$7,AND($C30="Electric bus",$D30="Average"),$E30*'UK '!I$8,AND($C30="Electric bus",$D30="Nearly full"),$E30*'UK '!I$9,AND($C30="Diesel bus",$D30="Almost empty"),$E30*'UK '!I$19,AND($C30="Diesel bus",$D30="Average"),$E30*'UK '!I$20,AND($C30="Diesel bus",$D30="Nearly full"),$E30*'UK '!I$21,AND($C30="Hybrid-electric bus",$D30="Almost empty"),$E30*'UK '!I$11,AND($C30="Hybrid-electric bus",$D30="Average"),$E30*'UK '!I$12,AND($C30="Hybrid-electric bus",$D30="Nearly full"),$E30*'UK '!I$13,AND($C30="Alternative fuel bus",$D30="Almost empty"),$E30*'UK '!I$15,AND($C30="Alternative fuel bus",$D30="Average"),$E30*'UK '!I$16,AND($C30="Alternative fuel bus",$D30="Nearly full"),$E30*'UK '!I$17,AND($C30="Metro, tram, urban light train",$D30="Almost empty"),$E30*'UK '!D$35,AND($C30="Metro, tram, urban light train",$D30="Average"),$E30*'UK '!D$36,AND($C30="Metro, tram, urban light train",$D30="Nearly full"),$E30*'UK '!D$37,AND($C30="Electric passenger train",$D30="Almost empty"),$E30*'UK '!D$39,AND($C30="Electric passenger train",$D30="Average"),$E30*'UK '!D$40,AND($C30="Electric passenger train",$D30="Nearly full"),$E30*'UK '!D$41,AND($C30="Diesel passenger train",$D30="Almost empty"),$E30*'UK '!D$47,AND($C30="Diesel passenger train",$D30="Average"),$E30*'UK '!D$48,AND($C30="Diesel passenger train",$D30="Nearly full"),$E30*'UK '!D$49,AND($C30="Walking"),$E30*0,AND($C30="Bike"),$E30*0,AND($C30="Plane - domestic flight"),$E30*'UK '!$C54,AND($C30="Plane - international - intra EU"),$E30*'UK '!$C56,AND($C30="Plane - international (extra EU)"),$E30*'UK '!$C58)</f>
        <v>#N/A</v>
      </c>
      <c r="H30" s="145"/>
      <c r="I30" s="148" t="e">
        <f>H30/E30*'UK '!$M$26</f>
        <v>#DIV/0!</v>
      </c>
      <c r="J30" s="146" t="e" cm="1">
        <f t="array" ref="J30">_xlfn.IFS(C30="Fuel car",C30*DATA!$C$17,C30="Electric car",C30*DATA!$F$31,C30="Hybrid car",I30*(0.5*DATA!$C$17+0.5*DATA!$F$31))</f>
        <v>#N/A</v>
      </c>
      <c r="K30" s="323"/>
      <c r="L30" s="323"/>
      <c r="N30" s="215" t="s">
        <v>76</v>
      </c>
      <c r="O30" s="216"/>
      <c r="P30" s="217"/>
    </row>
    <row r="31" spans="1:17" x14ac:dyDescent="0.2">
      <c r="A31" s="222"/>
      <c r="B31" s="30"/>
      <c r="C31" s="15"/>
      <c r="D31" s="15"/>
      <c r="E31" s="125"/>
      <c r="F31" s="128" t="e" cm="1">
        <f t="array" ref="F31">_xlfn.IFS(AND($C31="Fuel car",$D31=1),$E31*'UK '!C$7,AND($C31="Fuel car",$D31=2),$E31*'UK '!C$8,AND($C31="Fuel car",$D31=3),$E31*'UK '!C$9,AND($C31="Fuel car",$D31=4),$E31*'UK '!C$10,AND($C31="Fuel car",$D31=5),$E31*'UK '!C$11,AND($C31="Motorcycle",$D31=1),$E31*'UK '!C$13,AND($C31="Motorcycle",$D31=2),$E31*'UK '!C$14,AND($C31="Electric car",$D31=1),$E31*'UK '!C$16,AND($C31="Electric car",$D31=2),$E31*'UK '!C$17,AND($C31="Electric car",$D31=3),$E31*'UK '!C$18,AND($C31="Electric car",$D31=4),$E31*'UK '!C$19,AND($C31="Electric car",$D31=5),$E31*'UK '!C$20,AND($C31="Hybrid car",$D31=1),$E31*'UK '!C$22,AND($C31="Hybrid car",$D31=2),$E31*'UK '!C$23,AND($C31="Hybrid car",$D31=3),$E31*'UK '!C$24,AND($C31="Hybrid car",$D31=4),$E31*'UK '!C$25,AND($C31="Hybrid car",$D31=5),$E31*'UK '!C$26,AND($C31="Electric motorcycle",$D31=1),$E31*'UK '!C$28,AND($C31="Electric motorcycle",$D31=2),$E31*'UK '!C$29,AND($C31="Electric bike",$D31=1),$E31*'UK '!C$31,AND($C31="Electric scooter",$D31=1),$E31*'UK '!C$33,AND($C31="Bus",$D31="Almost empty"),$E31*'UK '!H$23,AND($C31="Bus",$D31="Average"),$E31*'UK '!H$24,AND($C31="Bus",$D31="Nearly full"),$E31*'UK '!H$25,AND($C31="Electric bus",$D31="Almost empty"),$E31*'UK '!H$7,AND($C31="Electric bus",$D31="Average"),$E31*'UK '!H$8,AND($C31="Electric bus",$D31="Nearly full"),$E31*'UK '!H$9,AND($C31="Diesel bus",$D31="Almost empty"),$E31*'UK '!H$19,AND($C31="Diesel bus",$D31="Average"),$E31*'UK '!H$20,AND($C31="Diesel bus",$D31="Nearly full"),$E31*'UK '!H$21,AND($C31="Hybrid-electric bus",$D31="Almost empty"),$E31*'UK '!H$11,AND($C31="Hybrid-electric bus",$D31="Average"),$E31*'UK '!H$12,AND($C31="Hybrid-electric bus",$D31="Nearly full"),$E31*'UK '!H$13,AND($C31="Alternative fuel bus",$D31="Almost empty"),$E31*'UK '!H$15,AND($C31="Alternative fuel bus",$D31="Average"),$E31*'UK '!H$16,AND($C31="Alternative fuel bus",$D31="Nearly full"),$E31*'UK '!H$17,AND($C31="Metro, tram, urban light train",$D31="Almost empty"),$E31*'UK '!C$35,AND($C31="Metro, tram, urban light train",$D31="Average"),$E31*'UK '!C$36,AND($C31="Metro, tram, urban light train",$D31="Nearly full"),$E31*'UK '!C$37,AND($C31="Electric passenger train",$D31="Almost empty"),$E31*'UK '!C$39,AND($C31="Electric passenger train",$D31="Average"),$E31*'UK '!C$40,AND($C31="Electric passenger train",$D31="Nearly full"),$E31*'UK '!C$41,AND($C31="Diesel passenger train",$D31="Almost empty"),$E31*'UK '!C$47,AND($C31="Diesel passenger train",$D31="Average"),$E31*'UK '!C$48,AND($C31="Diesel passenger train",$D31="Nearly full"),$E31*'UK '!C$49,AND($C31="Walking"),$E31*0,AND($C31="Bike"),$E31*0,AND($C31="Plane - domestic flight"),$E31*'UK '!$C55,AND($C31="Plane - international - intra EU"),$E31*'UK '!$C57,AND($C31="Plane - international (extra EU)"),$E31*'UK '!$C59)</f>
        <v>#N/A</v>
      </c>
      <c r="G31" s="31" t="e" cm="1">
        <f t="array" ref="G31">_xlfn.IFS(AND($C31="Fuel car",$D31=1),$E31*'UK '!D$7,AND($C31="Fuel car",$D31=2),$E31*'UK '!D$8,AND($C31="Fuel car",$D31=3),$E31*'UK '!D$9,AND($C31="Fuel car",$D31=4),$E31*'UK '!D$10,AND($C31="Fuel car",$D31=5),$E31*'UK '!D$11,AND($C31="Motorcycle",$D31=1),$E31*'UK '!D$13,AND($C31="Motorcycle",$D31=2),$E31*'UK '!D$14,AND($C31="Electric car",$D31=1),$E31*'UK '!D$16,AND($C31="Electric car",$D31=2),$E31*'UK '!D$17,AND($C31="Electric car",$D31=3),$E31*'UK '!D$18,AND($C31="Electric car",$D31=4),$E31*'UK '!D$19,AND($C31="Electric car",$D31=5),$E31*'UK '!D$20,AND($C31="Hybrid car",$D31=1),$E31*'UK '!D$22,AND($C31="Hybrid car",$D31=2),$E31*'UK '!D$23,AND($C31="Hybrid car",$D31=3),$E31*'UK '!D$24,AND($C31="Hybrid car",$D31=4),$E31*'UK '!D$25,AND($C31="Hybrid car",$D31=5),$E31*'UK '!D$26,AND($C31="Electric motorcycle",$D31=1),$E31*'UK '!D$28,AND($C31="Electric motorcycle",$D31=2),$E31*'UK '!D$29,AND($C31="Electric bike",$D31=1),$E31*'UK '!D$31,AND($C31="Electric scooter",$D31=1),$E31*'UK '!D$33,AND($C31="Bus",$D31="Almost empty"),$E31*'UK '!I$23,AND($C31="Bus",$D31="Average"),$E31*'UK '!I$24,AND($C31="Bus",$D31="Nearly full"),$E31*'UK '!I$25,AND($C31="Electric bus",$D31="Almost empty"),$E31*'UK '!I$7,AND($C31="Electric bus",$D31="Average"),$E31*'UK '!I$8,AND($C31="Electric bus",$D31="Nearly full"),$E31*'UK '!I$9,AND($C31="Diesel bus",$D31="Almost empty"),$E31*'UK '!I$19,AND($C31="Diesel bus",$D31="Average"),$E31*'UK '!I$20,AND($C31="Diesel bus",$D31="Nearly full"),$E31*'UK '!I$21,AND($C31="Hybrid-electric bus",$D31="Almost empty"),$E31*'UK '!I$11,AND($C31="Hybrid-electric bus",$D31="Average"),$E31*'UK '!I$12,AND($C31="Hybrid-electric bus",$D31="Nearly full"),$E31*'UK '!I$13,AND($C31="Alternative fuel bus",$D31="Almost empty"),$E31*'UK '!I$15,AND($C31="Alternative fuel bus",$D31="Average"),$E31*'UK '!I$16,AND($C31="Alternative fuel bus",$D31="Nearly full"),$E31*'UK '!I$17,AND($C31="Metro, tram, urban light train",$D31="Almost empty"),$E31*'UK '!D$35,AND($C31="Metro, tram, urban light train",$D31="Average"),$E31*'UK '!D$36,AND($C31="Metro, tram, urban light train",$D31="Nearly full"),$E31*'UK '!D$37,AND($C31="Electric passenger train",$D31="Almost empty"),$E31*'UK '!D$39,AND($C31="Electric passenger train",$D31="Average"),$E31*'UK '!D$40,AND($C31="Electric passenger train",$D31="Nearly full"),$E31*'UK '!D$41,AND($C31="Diesel passenger train",$D31="Almost empty"),$E31*'UK '!D$47,AND($C31="Diesel passenger train",$D31="Average"),$E31*'UK '!D$48,AND($C31="Diesel passenger train",$D31="Nearly full"),$E31*'UK '!D$49,AND($C31="Walking"),$E31*0,AND($C31="Bike"),$E31*0,AND($C31="Plane - domestic flight"),$E31*'UK '!$C55,AND($C31="Plane - international - intra EU"),$E31*'UK '!$C57,AND($C31="Plane - international (extra EU)"),$E31*'UK '!$C59)</f>
        <v>#N/A</v>
      </c>
      <c r="H31" s="145"/>
      <c r="I31" s="148" t="e">
        <f>H31/E31*'UK '!$M$26</f>
        <v>#DIV/0!</v>
      </c>
      <c r="J31" s="146" t="e" cm="1">
        <f t="array" ref="J31">_xlfn.IFS(C31="Fuel car",C31*DATA!$C$17,C31="Electric car",C31*DATA!$F$31,C31="Hybrid car",I31*(0.5*DATA!$C$17+0.5*DATA!$F$31))</f>
        <v>#N/A</v>
      </c>
      <c r="K31" s="323"/>
      <c r="L31" s="323"/>
      <c r="N31" s="223"/>
      <c r="O31" s="224"/>
      <c r="P31" s="225"/>
    </row>
    <row r="32" spans="1:17" ht="16" thickBot="1" x14ac:dyDescent="0.25">
      <c r="A32" s="222"/>
      <c r="B32" s="30"/>
      <c r="C32" s="15"/>
      <c r="D32" s="15"/>
      <c r="E32" s="125"/>
      <c r="F32" s="128" t="e" cm="1">
        <f t="array" ref="F32">_xlfn.IFS(AND($C32="Fuel car",$D32=1),$E32*'UK '!C$7,AND($C32="Fuel car",$D32=2),$E32*'UK '!C$8,AND($C32="Fuel car",$D32=3),$E32*'UK '!C$9,AND($C32="Fuel car",$D32=4),$E32*'UK '!C$10,AND($C32="Fuel car",$D32=5),$E32*'UK '!C$11,AND($C32="Motorcycle",$D32=1),$E32*'UK '!C$13,AND($C32="Motorcycle",$D32=2),$E32*'UK '!C$14,AND($C32="Electric car",$D32=1),$E32*'UK '!C$16,AND($C32="Electric car",$D32=2),$E32*'UK '!C$17,AND($C32="Electric car",$D32=3),$E32*'UK '!C$18,AND($C32="Electric car",$D32=4),$E32*'UK '!C$19,AND($C32="Electric car",$D32=5),$E32*'UK '!C$20,AND($C32="Hybrid car",$D32=1),$E32*'UK '!C$22,AND($C32="Hybrid car",$D32=2),$E32*'UK '!C$23,AND($C32="Hybrid car",$D32=3),$E32*'UK '!C$24,AND($C32="Hybrid car",$D32=4),$E32*'UK '!C$25,AND($C32="Hybrid car",$D32=5),$E32*'UK '!C$26,AND($C32="Electric motorcycle",$D32=1),$E32*'UK '!C$28,AND($C32="Electric motorcycle",$D32=2),$E32*'UK '!C$29,AND($C32="Electric bike",$D32=1),$E32*'UK '!C$31,AND($C32="Electric scooter",$D32=1),$E32*'UK '!C$33,AND($C32="Bus",$D32="Almost empty"),$E32*'UK '!H$23,AND($C32="Bus",$D32="Average"),$E32*'UK '!H$24,AND($C32="Bus",$D32="Nearly full"),$E32*'UK '!H$25,AND($C32="Electric bus",$D32="Almost empty"),$E32*'UK '!H$7,AND($C32="Electric bus",$D32="Average"),$E32*'UK '!H$8,AND($C32="Electric bus",$D32="Nearly full"),$E32*'UK '!H$9,AND($C32="Diesel bus",$D32="Almost empty"),$E32*'UK '!H$19,AND($C32="Diesel bus",$D32="Average"),$E32*'UK '!H$20,AND($C32="Diesel bus",$D32="Nearly full"),$E32*'UK '!H$21,AND($C32="Hybrid-electric bus",$D32="Almost empty"),$E32*'UK '!H$11,AND($C32="Hybrid-electric bus",$D32="Average"),$E32*'UK '!H$12,AND($C32="Hybrid-electric bus",$D32="Nearly full"),$E32*'UK '!H$13,AND($C32="Alternative fuel bus",$D32="Almost empty"),$E32*'UK '!H$15,AND($C32="Alternative fuel bus",$D32="Average"),$E32*'UK '!H$16,AND($C32="Alternative fuel bus",$D32="Nearly full"),$E32*'UK '!H$17,AND($C32="Metro, tram, urban light train",$D32="Almost empty"),$E32*'UK '!C$35,AND($C32="Metro, tram, urban light train",$D32="Average"),$E32*'UK '!C$36,AND($C32="Metro, tram, urban light train",$D32="Nearly full"),$E32*'UK '!C$37,AND($C32="Electric passenger train",$D32="Almost empty"),$E32*'UK '!C$39,AND($C32="Electric passenger train",$D32="Average"),$E32*'UK '!C$40,AND($C32="Electric passenger train",$D32="Nearly full"),$E32*'UK '!C$41,AND($C32="Diesel passenger train",$D32="Almost empty"),$E32*'UK '!C$47,AND($C32="Diesel passenger train",$D32="Average"),$E32*'UK '!C$48,AND($C32="Diesel passenger train",$D32="Nearly full"),$E32*'UK '!C$49,AND($C32="Walking"),$E32*0,AND($C32="Bike"),$E32*0,AND($C32="Plane - domestic flight"),$E32*'UK '!$C56,AND($C32="Plane - international - intra EU"),$E32*'UK '!$C58,AND($C32="Plane - international (extra EU)"),$E32*'UK '!$C60)</f>
        <v>#N/A</v>
      </c>
      <c r="G32" s="31" t="e" cm="1">
        <f t="array" ref="G32">_xlfn.IFS(AND($C32="Fuel car",$D32=1),$E32*'UK '!D$7,AND($C32="Fuel car",$D32=2),$E32*'UK '!D$8,AND($C32="Fuel car",$D32=3),$E32*'UK '!D$9,AND($C32="Fuel car",$D32=4),$E32*'UK '!D$10,AND($C32="Fuel car",$D32=5),$E32*'UK '!D$11,AND($C32="Motorcycle",$D32=1),$E32*'UK '!D$13,AND($C32="Motorcycle",$D32=2),$E32*'UK '!D$14,AND($C32="Electric car",$D32=1),$E32*'UK '!D$16,AND($C32="Electric car",$D32=2),$E32*'UK '!D$17,AND($C32="Electric car",$D32=3),$E32*'UK '!D$18,AND($C32="Electric car",$D32=4),$E32*'UK '!D$19,AND($C32="Electric car",$D32=5),$E32*'UK '!D$20,AND($C32="Hybrid car",$D32=1),$E32*'UK '!D$22,AND($C32="Hybrid car",$D32=2),$E32*'UK '!D$23,AND($C32="Hybrid car",$D32=3),$E32*'UK '!D$24,AND($C32="Hybrid car",$D32=4),$E32*'UK '!D$25,AND($C32="Hybrid car",$D32=5),$E32*'UK '!D$26,AND($C32="Electric motorcycle",$D32=1),$E32*'UK '!D$28,AND($C32="Electric motorcycle",$D32=2),$E32*'UK '!D$29,AND($C32="Electric bike",$D32=1),$E32*'UK '!D$31,AND($C32="Electric scooter",$D32=1),$E32*'UK '!D$33,AND($C32="Bus",$D32="Almost empty"),$E32*'UK '!I$23,AND($C32="Bus",$D32="Average"),$E32*'UK '!I$24,AND($C32="Bus",$D32="Nearly full"),$E32*'UK '!I$25,AND($C32="Electric bus",$D32="Almost empty"),$E32*'UK '!I$7,AND($C32="Electric bus",$D32="Average"),$E32*'UK '!I$8,AND($C32="Electric bus",$D32="Nearly full"),$E32*'UK '!I$9,AND($C32="Diesel bus",$D32="Almost empty"),$E32*'UK '!I$19,AND($C32="Diesel bus",$D32="Average"),$E32*'UK '!I$20,AND($C32="Diesel bus",$D32="Nearly full"),$E32*'UK '!I$21,AND($C32="Hybrid-electric bus",$D32="Almost empty"),$E32*'UK '!I$11,AND($C32="Hybrid-electric bus",$D32="Average"),$E32*'UK '!I$12,AND($C32="Hybrid-electric bus",$D32="Nearly full"),$E32*'UK '!I$13,AND($C32="Alternative fuel bus",$D32="Almost empty"),$E32*'UK '!I$15,AND($C32="Alternative fuel bus",$D32="Average"),$E32*'UK '!I$16,AND($C32="Alternative fuel bus",$D32="Nearly full"),$E32*'UK '!I$17,AND($C32="Metro, tram, urban light train",$D32="Almost empty"),$E32*'UK '!D$35,AND($C32="Metro, tram, urban light train",$D32="Average"),$E32*'UK '!D$36,AND($C32="Metro, tram, urban light train",$D32="Nearly full"),$E32*'UK '!D$37,AND($C32="Electric passenger train",$D32="Almost empty"),$E32*'UK '!D$39,AND($C32="Electric passenger train",$D32="Average"),$E32*'UK '!D$40,AND($C32="Electric passenger train",$D32="Nearly full"),$E32*'UK '!D$41,AND($C32="Diesel passenger train",$D32="Almost empty"),$E32*'UK '!D$47,AND($C32="Diesel passenger train",$D32="Average"),$E32*'UK '!D$48,AND($C32="Diesel passenger train",$D32="Nearly full"),$E32*'UK '!D$49,AND($C32="Walking"),$E32*0,AND($C32="Bike"),$E32*0,AND($C32="Plane - domestic flight"),$E32*'UK '!$C56,AND($C32="Plane - international - intra EU"),$E32*'UK '!$C58,AND($C32="Plane - international (extra EU)"),$E32*'UK '!$C60)</f>
        <v>#N/A</v>
      </c>
      <c r="H32" s="145"/>
      <c r="I32" s="148" t="e">
        <f>H32/E32*'UK '!$M$26</f>
        <v>#DIV/0!</v>
      </c>
      <c r="J32" s="146" t="e" cm="1">
        <f t="array" ref="J32">_xlfn.IFS(C32="Fuel car",C32*DATA!$C$17,C32="Electric car",C32*DATA!$F$31,C32="Hybrid car",I32*(0.5*DATA!$C$17+0.5*DATA!$F$31))</f>
        <v>#N/A</v>
      </c>
      <c r="K32" s="323"/>
      <c r="L32" s="323"/>
      <c r="N32" s="218"/>
      <c r="O32" s="219"/>
      <c r="P32" s="220"/>
    </row>
    <row r="33" spans="1:16" ht="14.5" customHeight="1" x14ac:dyDescent="0.2">
      <c r="A33" s="222"/>
      <c r="B33" s="30"/>
      <c r="C33" s="15"/>
      <c r="D33" s="15"/>
      <c r="E33" s="125"/>
      <c r="F33" s="128" t="e" cm="1">
        <f t="array" ref="F33">_xlfn.IFS(AND($C33="Fuel car",$D33=1),$E33*'UK '!C$7,AND($C33="Fuel car",$D33=2),$E33*'UK '!C$8,AND($C33="Fuel car",$D33=3),$E33*'UK '!C$9,AND($C33="Fuel car",$D33=4),$E33*'UK '!C$10,AND($C33="Fuel car",$D33=5),$E33*'UK '!C$11,AND($C33="Motorcycle",$D33=1),$E33*'UK '!C$13,AND($C33="Motorcycle",$D33=2),$E33*'UK '!C$14,AND($C33="Electric car",$D33=1),$E33*'UK '!C$16,AND($C33="Electric car",$D33=2),$E33*'UK '!C$17,AND($C33="Electric car",$D33=3),$E33*'UK '!C$18,AND($C33="Electric car",$D33=4),$E33*'UK '!C$19,AND($C33="Electric car",$D33=5),$E33*'UK '!C$20,AND($C33="Hybrid car",$D33=1),$E33*'UK '!C$22,AND($C33="Hybrid car",$D33=2),$E33*'UK '!C$23,AND($C33="Hybrid car",$D33=3),$E33*'UK '!C$24,AND($C33="Hybrid car",$D33=4),$E33*'UK '!C$25,AND($C33="Hybrid car",$D33=5),$E33*'UK '!C$26,AND($C33="Electric motorcycle",$D33=1),$E33*'UK '!C$28,AND($C33="Electric motorcycle",$D33=2),$E33*'UK '!C$29,AND($C33="Electric bike",$D33=1),$E33*'UK '!C$31,AND($C33="Electric scooter",$D33=1),$E33*'UK '!C$33,AND($C33="Bus",$D33="Almost empty"),$E33*'UK '!H$23,AND($C33="Bus",$D33="Average"),$E33*'UK '!H$24,AND($C33="Bus",$D33="Nearly full"),$E33*'UK '!H$25,AND($C33="Electric bus",$D33="Almost empty"),$E33*'UK '!H$7,AND($C33="Electric bus",$D33="Average"),$E33*'UK '!H$8,AND($C33="Electric bus",$D33="Nearly full"),$E33*'UK '!H$9,AND($C33="Diesel bus",$D33="Almost empty"),$E33*'UK '!H$19,AND($C33="Diesel bus",$D33="Average"),$E33*'UK '!H$20,AND($C33="Diesel bus",$D33="Nearly full"),$E33*'UK '!H$21,AND($C33="Hybrid-electric bus",$D33="Almost empty"),$E33*'UK '!H$11,AND($C33="Hybrid-electric bus",$D33="Average"),$E33*'UK '!H$12,AND($C33="Hybrid-electric bus",$D33="Nearly full"),$E33*'UK '!H$13,AND($C33="Alternative fuel bus",$D33="Almost empty"),$E33*'UK '!H$15,AND($C33="Alternative fuel bus",$D33="Average"),$E33*'UK '!H$16,AND($C33="Alternative fuel bus",$D33="Nearly full"),$E33*'UK '!H$17,AND($C33="Metro, tram, urban light train",$D33="Almost empty"),$E33*'UK '!C$35,AND($C33="Metro, tram, urban light train",$D33="Average"),$E33*'UK '!C$36,AND($C33="Metro, tram, urban light train",$D33="Nearly full"),$E33*'UK '!C$37,AND($C33="Electric passenger train",$D33="Almost empty"),$E33*'UK '!C$39,AND($C33="Electric passenger train",$D33="Average"),$E33*'UK '!C$40,AND($C33="Electric passenger train",$D33="Nearly full"),$E33*'UK '!C$41,AND($C33="Diesel passenger train",$D33="Almost empty"),$E33*'UK '!C$47,AND($C33="Diesel passenger train",$D33="Average"),$E33*'UK '!C$48,AND($C33="Diesel passenger train",$D33="Nearly full"),$E33*'UK '!C$49,AND($C33="Walking"),$E33*0,AND($C33="Bike"),$E33*0,AND($C33="Plane - domestic flight"),$E33*'UK '!$C57,AND($C33="Plane - international - intra EU"),$E33*'UK '!$C59,AND($C33="Plane - international (extra EU)"),$E33*'UK '!$C61)</f>
        <v>#N/A</v>
      </c>
      <c r="G33" s="31" t="e" cm="1">
        <f t="array" ref="G33">_xlfn.IFS(AND($C33="Fuel car",$D33=1),$E33*'UK '!D$7,AND($C33="Fuel car",$D33=2),$E33*'UK '!D$8,AND($C33="Fuel car",$D33=3),$E33*'UK '!D$9,AND($C33="Fuel car",$D33=4),$E33*'UK '!D$10,AND($C33="Fuel car",$D33=5),$E33*'UK '!D$11,AND($C33="Motorcycle",$D33=1),$E33*'UK '!D$13,AND($C33="Motorcycle",$D33=2),$E33*'UK '!D$14,AND($C33="Electric car",$D33=1),$E33*'UK '!D$16,AND($C33="Electric car",$D33=2),$E33*'UK '!D$17,AND($C33="Electric car",$D33=3),$E33*'UK '!D$18,AND($C33="Electric car",$D33=4),$E33*'UK '!D$19,AND($C33="Electric car",$D33=5),$E33*'UK '!D$20,AND($C33="Hybrid car",$D33=1),$E33*'UK '!D$22,AND($C33="Hybrid car",$D33=2),$E33*'UK '!D$23,AND($C33="Hybrid car",$D33=3),$E33*'UK '!D$24,AND($C33="Hybrid car",$D33=4),$E33*'UK '!D$25,AND($C33="Hybrid car",$D33=5),$E33*'UK '!D$26,AND($C33="Electric motorcycle",$D33=1),$E33*'UK '!D$28,AND($C33="Electric motorcycle",$D33=2),$E33*'UK '!D$29,AND($C33="Electric bike",$D33=1),$E33*'UK '!D$31,AND($C33="Electric scooter",$D33=1),$E33*'UK '!D$33,AND($C33="Bus",$D33="Almost empty"),$E33*'UK '!I$23,AND($C33="Bus",$D33="Average"),$E33*'UK '!I$24,AND($C33="Bus",$D33="Nearly full"),$E33*'UK '!I$25,AND($C33="Electric bus",$D33="Almost empty"),$E33*'UK '!I$7,AND($C33="Electric bus",$D33="Average"),$E33*'UK '!I$8,AND($C33="Electric bus",$D33="Nearly full"),$E33*'UK '!I$9,AND($C33="Diesel bus",$D33="Almost empty"),$E33*'UK '!I$19,AND($C33="Diesel bus",$D33="Average"),$E33*'UK '!I$20,AND($C33="Diesel bus",$D33="Nearly full"),$E33*'UK '!I$21,AND($C33="Hybrid-electric bus",$D33="Almost empty"),$E33*'UK '!I$11,AND($C33="Hybrid-electric bus",$D33="Average"),$E33*'UK '!I$12,AND($C33="Hybrid-electric bus",$D33="Nearly full"),$E33*'UK '!I$13,AND($C33="Alternative fuel bus",$D33="Almost empty"),$E33*'UK '!I$15,AND($C33="Alternative fuel bus",$D33="Average"),$E33*'UK '!I$16,AND($C33="Alternative fuel bus",$D33="Nearly full"),$E33*'UK '!I$17,AND($C33="Metro, tram, urban light train",$D33="Almost empty"),$E33*'UK '!D$35,AND($C33="Metro, tram, urban light train",$D33="Average"),$E33*'UK '!D$36,AND($C33="Metro, tram, urban light train",$D33="Nearly full"),$E33*'UK '!D$37,AND($C33="Electric passenger train",$D33="Almost empty"),$E33*'UK '!D$39,AND($C33="Electric passenger train",$D33="Average"),$E33*'UK '!D$40,AND($C33="Electric passenger train",$D33="Nearly full"),$E33*'UK '!D$41,AND($C33="Diesel passenger train",$D33="Almost empty"),$E33*'UK '!D$47,AND($C33="Diesel passenger train",$D33="Average"),$E33*'UK '!D$48,AND($C33="Diesel passenger train",$D33="Nearly full"),$E33*'UK '!D$49,AND($C33="Walking"),$E33*0,AND($C33="Bike"),$E33*0,AND($C33="Plane - domestic flight"),$E33*'UK '!$C57,AND($C33="Plane - international - intra EU"),$E33*'UK '!$C59,AND($C33="Plane - international (extra EU)"),$E33*'UK '!$C61)</f>
        <v>#N/A</v>
      </c>
      <c r="H33" s="145"/>
      <c r="I33" s="148" t="e">
        <f>H33/E33*'UK '!$M$26</f>
        <v>#DIV/0!</v>
      </c>
      <c r="J33" s="146" t="e" cm="1">
        <f t="array" ref="J33">_xlfn.IFS(C33="Fuel car",C33*DATA!$C$17,C33="Electric car",C33*DATA!$F$31,C33="Hybrid car",I33*(0.5*DATA!$C$17+0.5*DATA!$F$31))</f>
        <v>#N/A</v>
      </c>
      <c r="K33" s="323"/>
      <c r="L33" s="323"/>
      <c r="N33" s="223" t="s">
        <v>78</v>
      </c>
      <c r="O33" s="224"/>
      <c r="P33" s="225"/>
    </row>
    <row r="34" spans="1:16" x14ac:dyDescent="0.2">
      <c r="A34" s="222"/>
      <c r="B34" s="30"/>
      <c r="C34" s="15"/>
      <c r="D34" s="15"/>
      <c r="E34" s="125"/>
      <c r="F34" s="128" t="e" cm="1">
        <f t="array" ref="F34">_xlfn.IFS(AND($C34="Fuel car",$D34=1),$E34*'UK '!C$7,AND($C34="Fuel car",$D34=2),$E34*'UK '!C$8,AND($C34="Fuel car",$D34=3),$E34*'UK '!C$9,AND($C34="Fuel car",$D34=4),$E34*'UK '!C$10,AND($C34="Fuel car",$D34=5),$E34*'UK '!C$11,AND($C34="Motorcycle",$D34=1),$E34*'UK '!C$13,AND($C34="Motorcycle",$D34=2),$E34*'UK '!C$14,AND($C34="Electric car",$D34=1),$E34*'UK '!C$16,AND($C34="Electric car",$D34=2),$E34*'UK '!C$17,AND($C34="Electric car",$D34=3),$E34*'UK '!C$18,AND($C34="Electric car",$D34=4),$E34*'UK '!C$19,AND($C34="Electric car",$D34=5),$E34*'UK '!C$20,AND($C34="Hybrid car",$D34=1),$E34*'UK '!C$22,AND($C34="Hybrid car",$D34=2),$E34*'UK '!C$23,AND($C34="Hybrid car",$D34=3),$E34*'UK '!C$24,AND($C34="Hybrid car",$D34=4),$E34*'UK '!C$25,AND($C34="Hybrid car",$D34=5),$E34*'UK '!C$26,AND($C34="Electric motorcycle",$D34=1),$E34*'UK '!C$28,AND($C34="Electric motorcycle",$D34=2),$E34*'UK '!C$29,AND($C34="Electric bike",$D34=1),$E34*'UK '!C$31,AND($C34="Electric scooter",$D34=1),$E34*'UK '!C$33,AND($C34="Bus",$D34="Almost empty"),$E34*'UK '!H$23,AND($C34="Bus",$D34="Average"),$E34*'UK '!H$24,AND($C34="Bus",$D34="Nearly full"),$E34*'UK '!H$25,AND($C34="Electric bus",$D34="Almost empty"),$E34*'UK '!H$7,AND($C34="Electric bus",$D34="Average"),$E34*'UK '!H$8,AND($C34="Electric bus",$D34="Nearly full"),$E34*'UK '!H$9,AND($C34="Diesel bus",$D34="Almost empty"),$E34*'UK '!H$19,AND($C34="Diesel bus",$D34="Average"),$E34*'UK '!H$20,AND($C34="Diesel bus",$D34="Nearly full"),$E34*'UK '!H$21,AND($C34="Hybrid-electric bus",$D34="Almost empty"),$E34*'UK '!H$11,AND($C34="Hybrid-electric bus",$D34="Average"),$E34*'UK '!H$12,AND($C34="Hybrid-electric bus",$D34="Nearly full"),$E34*'UK '!H$13,AND($C34="Alternative fuel bus",$D34="Almost empty"),$E34*'UK '!H$15,AND($C34="Alternative fuel bus",$D34="Average"),$E34*'UK '!H$16,AND($C34="Alternative fuel bus",$D34="Nearly full"),$E34*'UK '!H$17,AND($C34="Metro, tram, urban light train",$D34="Almost empty"),$E34*'UK '!C$35,AND($C34="Metro, tram, urban light train",$D34="Average"),$E34*'UK '!C$36,AND($C34="Metro, tram, urban light train",$D34="Nearly full"),$E34*'UK '!C$37,AND($C34="Electric passenger train",$D34="Almost empty"),$E34*'UK '!C$39,AND($C34="Electric passenger train",$D34="Average"),$E34*'UK '!C$40,AND($C34="Electric passenger train",$D34="Nearly full"),$E34*'UK '!C$41,AND($C34="Diesel passenger train",$D34="Almost empty"),$E34*'UK '!C$47,AND($C34="Diesel passenger train",$D34="Average"),$E34*'UK '!C$48,AND($C34="Diesel passenger train",$D34="Nearly full"),$E34*'UK '!C$49,AND($C34="Walking"),$E34*0,AND($C34="Bike"),$E34*0,AND($C34="Plane - domestic flight"),$E34*'UK '!$C58,AND($C34="Plane - international - intra EU"),$E34*'UK '!$C60,AND($C34="Plane - international (extra EU)"),$E34*'UK '!$C62)</f>
        <v>#N/A</v>
      </c>
      <c r="G34" s="31" t="e" cm="1">
        <f t="array" ref="G34">_xlfn.IFS(AND($C34="Fuel car",$D34=1),$E34*'UK '!D$7,AND($C34="Fuel car",$D34=2),$E34*'UK '!D$8,AND($C34="Fuel car",$D34=3),$E34*'UK '!D$9,AND($C34="Fuel car",$D34=4),$E34*'UK '!D$10,AND($C34="Fuel car",$D34=5),$E34*'UK '!D$11,AND($C34="Motorcycle",$D34=1),$E34*'UK '!D$13,AND($C34="Motorcycle",$D34=2),$E34*'UK '!D$14,AND($C34="Electric car",$D34=1),$E34*'UK '!D$16,AND($C34="Electric car",$D34=2),$E34*'UK '!D$17,AND($C34="Electric car",$D34=3),$E34*'UK '!D$18,AND($C34="Electric car",$D34=4),$E34*'UK '!D$19,AND($C34="Electric car",$D34=5),$E34*'UK '!D$20,AND($C34="Hybrid car",$D34=1),$E34*'UK '!D$22,AND($C34="Hybrid car",$D34=2),$E34*'UK '!D$23,AND($C34="Hybrid car",$D34=3),$E34*'UK '!D$24,AND($C34="Hybrid car",$D34=4),$E34*'UK '!D$25,AND($C34="Hybrid car",$D34=5),$E34*'UK '!D$26,AND($C34="Electric motorcycle",$D34=1),$E34*'UK '!D$28,AND($C34="Electric motorcycle",$D34=2),$E34*'UK '!D$29,AND($C34="Electric bike",$D34=1),$E34*'UK '!D$31,AND($C34="Electric scooter",$D34=1),$E34*'UK '!D$33,AND($C34="Bus",$D34="Almost empty"),$E34*'UK '!I$23,AND($C34="Bus",$D34="Average"),$E34*'UK '!I$24,AND($C34="Bus",$D34="Nearly full"),$E34*'UK '!I$25,AND($C34="Electric bus",$D34="Almost empty"),$E34*'UK '!I$7,AND($C34="Electric bus",$D34="Average"),$E34*'UK '!I$8,AND($C34="Electric bus",$D34="Nearly full"),$E34*'UK '!I$9,AND($C34="Diesel bus",$D34="Almost empty"),$E34*'UK '!I$19,AND($C34="Diesel bus",$D34="Average"),$E34*'UK '!I$20,AND($C34="Diesel bus",$D34="Nearly full"),$E34*'UK '!I$21,AND($C34="Hybrid-electric bus",$D34="Almost empty"),$E34*'UK '!I$11,AND($C34="Hybrid-electric bus",$D34="Average"),$E34*'UK '!I$12,AND($C34="Hybrid-electric bus",$D34="Nearly full"),$E34*'UK '!I$13,AND($C34="Alternative fuel bus",$D34="Almost empty"),$E34*'UK '!I$15,AND($C34="Alternative fuel bus",$D34="Average"),$E34*'UK '!I$16,AND($C34="Alternative fuel bus",$D34="Nearly full"),$E34*'UK '!I$17,AND($C34="Metro, tram, urban light train",$D34="Almost empty"),$E34*'UK '!D$35,AND($C34="Metro, tram, urban light train",$D34="Average"),$E34*'UK '!D$36,AND($C34="Metro, tram, urban light train",$D34="Nearly full"),$E34*'UK '!D$37,AND($C34="Electric passenger train",$D34="Almost empty"),$E34*'UK '!D$39,AND($C34="Electric passenger train",$D34="Average"),$E34*'UK '!D$40,AND($C34="Electric passenger train",$D34="Nearly full"),$E34*'UK '!D$41,AND($C34="Diesel passenger train",$D34="Almost empty"),$E34*'UK '!D$47,AND($C34="Diesel passenger train",$D34="Average"),$E34*'UK '!D$48,AND($C34="Diesel passenger train",$D34="Nearly full"),$E34*'UK '!D$49,AND($C34="Walking"),$E34*0,AND($C34="Bike"),$E34*0,AND($C34="Plane - domestic flight"),$E34*'UK '!$C58,AND($C34="Plane - international - intra EU"),$E34*'UK '!$C60,AND($C34="Plane - international (extra EU)"),$E34*'UK '!$C62)</f>
        <v>#N/A</v>
      </c>
      <c r="H34" s="145"/>
      <c r="I34" s="148" t="e">
        <f>H34/E34*'UK '!$M$26</f>
        <v>#DIV/0!</v>
      </c>
      <c r="J34" s="146" t="e" cm="1">
        <f t="array" ref="J34">_xlfn.IFS(C34="Fuel car",C34*DATA!$C$17,C34="Electric car",C34*DATA!$F$31,C34="Hybrid car",I34*(0.5*DATA!$C$17+0.5*DATA!$F$31))</f>
        <v>#N/A</v>
      </c>
      <c r="K34" s="323"/>
      <c r="L34" s="323"/>
      <c r="N34" s="223"/>
      <c r="O34" s="224"/>
      <c r="P34" s="225"/>
    </row>
    <row r="35" spans="1:16" ht="14.5" customHeight="1" x14ac:dyDescent="0.2">
      <c r="A35" s="222"/>
      <c r="B35" s="30"/>
      <c r="C35" s="15"/>
      <c r="D35" s="15"/>
      <c r="E35" s="125"/>
      <c r="F35" s="128" t="e" cm="1">
        <f t="array" ref="F35">_xlfn.IFS(AND($C35="Fuel car",$D35=1),$E35*'UK '!C$7,AND($C35="Fuel car",$D35=2),$E35*'UK '!C$8,AND($C35="Fuel car",$D35=3),$E35*'UK '!C$9,AND($C35="Fuel car",$D35=4),$E35*'UK '!C$10,AND($C35="Fuel car",$D35=5),$E35*'UK '!C$11,AND($C35="Motorcycle",$D35=1),$E35*'UK '!C$13,AND($C35="Motorcycle",$D35=2),$E35*'UK '!C$14,AND($C35="Electric car",$D35=1),$E35*'UK '!C$16,AND($C35="Electric car",$D35=2),$E35*'UK '!C$17,AND($C35="Electric car",$D35=3),$E35*'UK '!C$18,AND($C35="Electric car",$D35=4),$E35*'UK '!C$19,AND($C35="Electric car",$D35=5),$E35*'UK '!C$20,AND($C35="Hybrid car",$D35=1),$E35*'UK '!C$22,AND($C35="Hybrid car",$D35=2),$E35*'UK '!C$23,AND($C35="Hybrid car",$D35=3),$E35*'UK '!C$24,AND($C35="Hybrid car",$D35=4),$E35*'UK '!C$25,AND($C35="Hybrid car",$D35=5),$E35*'UK '!C$26,AND($C35="Electric motorcycle",$D35=1),$E35*'UK '!C$28,AND($C35="Electric motorcycle",$D35=2),$E35*'UK '!C$29,AND($C35="Electric bike",$D35=1),$E35*'UK '!C$31,AND($C35="Electric scooter",$D35=1),$E35*'UK '!C$33,AND($C35="Bus",$D35="Almost empty"),$E35*'UK '!H$23,AND($C35="Bus",$D35="Average"),$E35*'UK '!H$24,AND($C35="Bus",$D35="Nearly full"),$E35*'UK '!H$25,AND($C35="Electric bus",$D35="Almost empty"),$E35*'UK '!H$7,AND($C35="Electric bus",$D35="Average"),$E35*'UK '!H$8,AND($C35="Electric bus",$D35="Nearly full"),$E35*'UK '!H$9,AND($C35="Diesel bus",$D35="Almost empty"),$E35*'UK '!H$19,AND($C35="Diesel bus",$D35="Average"),$E35*'UK '!H$20,AND($C35="Diesel bus",$D35="Nearly full"),$E35*'UK '!H$21,AND($C35="Hybrid-electric bus",$D35="Almost empty"),$E35*'UK '!H$11,AND($C35="Hybrid-electric bus",$D35="Average"),$E35*'UK '!H$12,AND($C35="Hybrid-electric bus",$D35="Nearly full"),$E35*'UK '!H$13,AND($C35="Alternative fuel bus",$D35="Almost empty"),$E35*'UK '!H$15,AND($C35="Alternative fuel bus",$D35="Average"),$E35*'UK '!H$16,AND($C35="Alternative fuel bus",$D35="Nearly full"),$E35*'UK '!H$17,AND($C35="Metro, tram, urban light train",$D35="Almost empty"),$E35*'UK '!C$35,AND($C35="Metro, tram, urban light train",$D35="Average"),$E35*'UK '!C$36,AND($C35="Metro, tram, urban light train",$D35="Nearly full"),$E35*'UK '!C$37,AND($C35="Electric passenger train",$D35="Almost empty"),$E35*'UK '!C$39,AND($C35="Electric passenger train",$D35="Average"),$E35*'UK '!C$40,AND($C35="Electric passenger train",$D35="Nearly full"),$E35*'UK '!C$41,AND($C35="Diesel passenger train",$D35="Almost empty"),$E35*'UK '!C$47,AND($C35="Diesel passenger train",$D35="Average"),$E35*'UK '!C$48,AND($C35="Diesel passenger train",$D35="Nearly full"),$E35*'UK '!C$49,AND($C35="Walking"),$E35*0,AND($C35="Bike"),$E35*0,AND($C35="Plane - domestic flight"),$E35*'UK '!$C59,AND($C35="Plane - international - intra EU"),$E35*'UK '!$C61,AND($C35="Plane - international (extra EU)"),$E35*'UK '!$C63)</f>
        <v>#N/A</v>
      </c>
      <c r="G35" s="31" t="e" cm="1">
        <f t="array" ref="G35">_xlfn.IFS(AND($C35="Fuel car",$D35=1),$E35*'UK '!D$7,AND($C35="Fuel car",$D35=2),$E35*'UK '!D$8,AND($C35="Fuel car",$D35=3),$E35*'UK '!D$9,AND($C35="Fuel car",$D35=4),$E35*'UK '!D$10,AND($C35="Fuel car",$D35=5),$E35*'UK '!D$11,AND($C35="Motorcycle",$D35=1),$E35*'UK '!D$13,AND($C35="Motorcycle",$D35=2),$E35*'UK '!D$14,AND($C35="Electric car",$D35=1),$E35*'UK '!D$16,AND($C35="Electric car",$D35=2),$E35*'UK '!D$17,AND($C35="Electric car",$D35=3),$E35*'UK '!D$18,AND($C35="Electric car",$D35=4),$E35*'UK '!D$19,AND($C35="Electric car",$D35=5),$E35*'UK '!D$20,AND($C35="Hybrid car",$D35=1),$E35*'UK '!D$22,AND($C35="Hybrid car",$D35=2),$E35*'UK '!D$23,AND($C35="Hybrid car",$D35=3),$E35*'UK '!D$24,AND($C35="Hybrid car",$D35=4),$E35*'UK '!D$25,AND($C35="Hybrid car",$D35=5),$E35*'UK '!D$26,AND($C35="Electric motorcycle",$D35=1),$E35*'UK '!D$28,AND($C35="Electric motorcycle",$D35=2),$E35*'UK '!D$29,AND($C35="Electric bike",$D35=1),$E35*'UK '!D$31,AND($C35="Electric scooter",$D35=1),$E35*'UK '!D$33,AND($C35="Bus",$D35="Almost empty"),$E35*'UK '!I$23,AND($C35="Bus",$D35="Average"),$E35*'UK '!I$24,AND($C35="Bus",$D35="Nearly full"),$E35*'UK '!I$25,AND($C35="Electric bus",$D35="Almost empty"),$E35*'UK '!I$7,AND($C35="Electric bus",$D35="Average"),$E35*'UK '!I$8,AND($C35="Electric bus",$D35="Nearly full"),$E35*'UK '!I$9,AND($C35="Diesel bus",$D35="Almost empty"),$E35*'UK '!I$19,AND($C35="Diesel bus",$D35="Average"),$E35*'UK '!I$20,AND($C35="Diesel bus",$D35="Nearly full"),$E35*'UK '!I$21,AND($C35="Hybrid-electric bus",$D35="Almost empty"),$E35*'UK '!I$11,AND($C35="Hybrid-electric bus",$D35="Average"),$E35*'UK '!I$12,AND($C35="Hybrid-electric bus",$D35="Nearly full"),$E35*'UK '!I$13,AND($C35="Alternative fuel bus",$D35="Almost empty"),$E35*'UK '!I$15,AND($C35="Alternative fuel bus",$D35="Average"),$E35*'UK '!I$16,AND($C35="Alternative fuel bus",$D35="Nearly full"),$E35*'UK '!I$17,AND($C35="Metro, tram, urban light train",$D35="Almost empty"),$E35*'UK '!D$35,AND($C35="Metro, tram, urban light train",$D35="Average"),$E35*'UK '!D$36,AND($C35="Metro, tram, urban light train",$D35="Nearly full"),$E35*'UK '!D$37,AND($C35="Electric passenger train",$D35="Almost empty"),$E35*'UK '!D$39,AND($C35="Electric passenger train",$D35="Average"),$E35*'UK '!D$40,AND($C35="Electric passenger train",$D35="Nearly full"),$E35*'UK '!D$41,AND($C35="Diesel passenger train",$D35="Almost empty"),$E35*'UK '!D$47,AND($C35="Diesel passenger train",$D35="Average"),$E35*'UK '!D$48,AND($C35="Diesel passenger train",$D35="Nearly full"),$E35*'UK '!D$49,AND($C35="Walking"),$E35*0,AND($C35="Bike"),$E35*0,AND($C35="Plane - domestic flight"),$E35*'UK '!$C59,AND($C35="Plane - international - intra EU"),$E35*'UK '!$C61,AND($C35="Plane - international (extra EU)"),$E35*'UK '!$C63)</f>
        <v>#N/A</v>
      </c>
      <c r="H35" s="145"/>
      <c r="I35" s="148" t="e">
        <f>H35/E35*'UK '!$M$26</f>
        <v>#DIV/0!</v>
      </c>
      <c r="J35" s="146" t="e" cm="1">
        <f t="array" ref="J35">_xlfn.IFS(C35="Fuel car",C35*DATA!$C$17,C35="Electric car",C35*DATA!$F$31,C35="Hybrid car",I35*(0.5*DATA!$C$17+0.5*DATA!$F$31))</f>
        <v>#N/A</v>
      </c>
      <c r="K35" s="323"/>
      <c r="L35" s="323"/>
      <c r="N35" s="223"/>
      <c r="O35" s="224"/>
      <c r="P35" s="225"/>
    </row>
    <row r="36" spans="1:16" ht="16" thickBot="1" x14ac:dyDescent="0.25">
      <c r="A36" s="222"/>
      <c r="B36" s="30"/>
      <c r="C36" s="15"/>
      <c r="D36" s="15"/>
      <c r="E36" s="125"/>
      <c r="F36" s="128" t="e" cm="1">
        <f t="array" ref="F36">_xlfn.IFS(AND($C36="Fuel car",$D36=1),$E36*'UK '!C$7,AND($C36="Fuel car",$D36=2),$E36*'UK '!C$8,AND($C36="Fuel car",$D36=3),$E36*'UK '!C$9,AND($C36="Fuel car",$D36=4),$E36*'UK '!C$10,AND($C36="Fuel car",$D36=5),$E36*'UK '!C$11,AND($C36="Motorcycle",$D36=1),$E36*'UK '!C$13,AND($C36="Motorcycle",$D36=2),$E36*'UK '!C$14,AND($C36="Electric car",$D36=1),$E36*'UK '!C$16,AND($C36="Electric car",$D36=2),$E36*'UK '!C$17,AND($C36="Electric car",$D36=3),$E36*'UK '!C$18,AND($C36="Electric car",$D36=4),$E36*'UK '!C$19,AND($C36="Electric car",$D36=5),$E36*'UK '!C$20,AND($C36="Hybrid car",$D36=1),$E36*'UK '!C$22,AND($C36="Hybrid car",$D36=2),$E36*'UK '!C$23,AND($C36="Hybrid car",$D36=3),$E36*'UK '!C$24,AND($C36="Hybrid car",$D36=4),$E36*'UK '!C$25,AND($C36="Hybrid car",$D36=5),$E36*'UK '!C$26,AND($C36="Electric motorcycle",$D36=1),$E36*'UK '!C$28,AND($C36="Electric motorcycle",$D36=2),$E36*'UK '!C$29,AND($C36="Electric bike",$D36=1),$E36*'UK '!C$31,AND($C36="Electric scooter",$D36=1),$E36*'UK '!C$33,AND($C36="Bus",$D36="Almost empty"),$E36*'UK '!H$23,AND($C36="Bus",$D36="Average"),$E36*'UK '!H$24,AND($C36="Bus",$D36="Nearly full"),$E36*'UK '!H$25,AND($C36="Electric bus",$D36="Almost empty"),$E36*'UK '!H$7,AND($C36="Electric bus",$D36="Average"),$E36*'UK '!H$8,AND($C36="Electric bus",$D36="Nearly full"),$E36*'UK '!H$9,AND($C36="Diesel bus",$D36="Almost empty"),$E36*'UK '!H$19,AND($C36="Diesel bus",$D36="Average"),$E36*'UK '!H$20,AND($C36="Diesel bus",$D36="Nearly full"),$E36*'UK '!H$21,AND($C36="Hybrid-electric bus",$D36="Almost empty"),$E36*'UK '!H$11,AND($C36="Hybrid-electric bus",$D36="Average"),$E36*'UK '!H$12,AND($C36="Hybrid-electric bus",$D36="Nearly full"),$E36*'UK '!H$13,AND($C36="Alternative fuel bus",$D36="Almost empty"),$E36*'UK '!H$15,AND($C36="Alternative fuel bus",$D36="Average"),$E36*'UK '!H$16,AND($C36="Alternative fuel bus",$D36="Nearly full"),$E36*'UK '!H$17,AND($C36="Metro, tram, urban light train",$D36="Almost empty"),$E36*'UK '!C$35,AND($C36="Metro, tram, urban light train",$D36="Average"),$E36*'UK '!C$36,AND($C36="Metro, tram, urban light train",$D36="Nearly full"),$E36*'UK '!C$37,AND($C36="Electric passenger train",$D36="Almost empty"),$E36*'UK '!C$39,AND($C36="Electric passenger train",$D36="Average"),$E36*'UK '!C$40,AND($C36="Electric passenger train",$D36="Nearly full"),$E36*'UK '!C$41,AND($C36="Diesel passenger train",$D36="Almost empty"),$E36*'UK '!C$47,AND($C36="Diesel passenger train",$D36="Average"),$E36*'UK '!C$48,AND($C36="Diesel passenger train",$D36="Nearly full"),$E36*'UK '!C$49,AND($C36="Walking"),$E36*0,AND($C36="Bike"),$E36*0,AND($C36="Plane - domestic flight"),$E36*'UK '!$C60,AND($C36="Plane - international - intra EU"),$E36*'UK '!$C62,AND($C36="Plane - international (extra EU)"),$E36*'UK '!$C64)</f>
        <v>#N/A</v>
      </c>
      <c r="G36" s="31" t="e" cm="1">
        <f t="array" ref="G36">_xlfn.IFS(AND($C36="Fuel car",$D36=1),$E36*'UK '!D$7,AND($C36="Fuel car",$D36=2),$E36*'UK '!D$8,AND($C36="Fuel car",$D36=3),$E36*'UK '!D$9,AND($C36="Fuel car",$D36=4),$E36*'UK '!D$10,AND($C36="Fuel car",$D36=5),$E36*'UK '!D$11,AND($C36="Motorcycle",$D36=1),$E36*'UK '!D$13,AND($C36="Motorcycle",$D36=2),$E36*'UK '!D$14,AND($C36="Electric car",$D36=1),$E36*'UK '!D$16,AND($C36="Electric car",$D36=2),$E36*'UK '!D$17,AND($C36="Electric car",$D36=3),$E36*'UK '!D$18,AND($C36="Electric car",$D36=4),$E36*'UK '!D$19,AND($C36="Electric car",$D36=5),$E36*'UK '!D$20,AND($C36="Hybrid car",$D36=1),$E36*'UK '!D$22,AND($C36="Hybrid car",$D36=2),$E36*'UK '!D$23,AND($C36="Hybrid car",$D36=3),$E36*'UK '!D$24,AND($C36="Hybrid car",$D36=4),$E36*'UK '!D$25,AND($C36="Hybrid car",$D36=5),$E36*'UK '!D$26,AND($C36="Electric motorcycle",$D36=1),$E36*'UK '!D$28,AND($C36="Electric motorcycle",$D36=2),$E36*'UK '!D$29,AND($C36="Electric bike",$D36=1),$E36*'UK '!D$31,AND($C36="Electric scooter",$D36=1),$E36*'UK '!D$33,AND($C36="Bus",$D36="Almost empty"),$E36*'UK '!I$23,AND($C36="Bus",$D36="Average"),$E36*'UK '!I$24,AND($C36="Bus",$D36="Nearly full"),$E36*'UK '!I$25,AND($C36="Electric bus",$D36="Almost empty"),$E36*'UK '!I$7,AND($C36="Electric bus",$D36="Average"),$E36*'UK '!I$8,AND($C36="Electric bus",$D36="Nearly full"),$E36*'UK '!I$9,AND($C36="Diesel bus",$D36="Almost empty"),$E36*'UK '!I$19,AND($C36="Diesel bus",$D36="Average"),$E36*'UK '!I$20,AND($C36="Diesel bus",$D36="Nearly full"),$E36*'UK '!I$21,AND($C36="Hybrid-electric bus",$D36="Almost empty"),$E36*'UK '!I$11,AND($C36="Hybrid-electric bus",$D36="Average"),$E36*'UK '!I$12,AND($C36="Hybrid-electric bus",$D36="Nearly full"),$E36*'UK '!I$13,AND($C36="Alternative fuel bus",$D36="Almost empty"),$E36*'UK '!I$15,AND($C36="Alternative fuel bus",$D36="Average"),$E36*'UK '!I$16,AND($C36="Alternative fuel bus",$D36="Nearly full"),$E36*'UK '!I$17,AND($C36="Metro, tram, urban light train",$D36="Almost empty"),$E36*'UK '!D$35,AND($C36="Metro, tram, urban light train",$D36="Average"),$E36*'UK '!D$36,AND($C36="Metro, tram, urban light train",$D36="Nearly full"),$E36*'UK '!D$37,AND($C36="Electric passenger train",$D36="Almost empty"),$E36*'UK '!D$39,AND($C36="Electric passenger train",$D36="Average"),$E36*'UK '!D$40,AND($C36="Electric passenger train",$D36="Nearly full"),$E36*'UK '!D$41,AND($C36="Diesel passenger train",$D36="Almost empty"),$E36*'UK '!D$47,AND($C36="Diesel passenger train",$D36="Average"),$E36*'UK '!D$48,AND($C36="Diesel passenger train",$D36="Nearly full"),$E36*'UK '!D$49,AND($C36="Walking"),$E36*0,AND($C36="Bike"),$E36*0,AND($C36="Plane - domestic flight"),$E36*'UK '!$C60,AND($C36="Plane - international - intra EU"),$E36*'UK '!$C62,AND($C36="Plane - international (extra EU)"),$E36*'UK '!$C64)</f>
        <v>#N/A</v>
      </c>
      <c r="H36" s="145"/>
      <c r="I36" s="148" t="e">
        <f>H36/E36*'UK '!$M$26</f>
        <v>#DIV/0!</v>
      </c>
      <c r="J36" s="146" t="e" cm="1">
        <f t="array" ref="J36">_xlfn.IFS(C36="Fuel car",C36*DATA!$C$17,C36="Electric car",C36*DATA!$F$31,C36="Hybrid car",I36*(0.5*DATA!$C$17+0.5*DATA!$F$31))</f>
        <v>#N/A</v>
      </c>
      <c r="K36" s="323"/>
      <c r="L36" s="323"/>
      <c r="N36" s="218"/>
      <c r="O36" s="219"/>
      <c r="P36" s="220"/>
    </row>
    <row r="37" spans="1:16" ht="14.5" customHeight="1" x14ac:dyDescent="0.2">
      <c r="A37" s="222"/>
      <c r="B37" s="30"/>
      <c r="C37" s="15"/>
      <c r="D37" s="15"/>
      <c r="E37" s="125"/>
      <c r="F37" s="128" t="e" cm="1">
        <f t="array" ref="F37">_xlfn.IFS(AND($C37="Fuel car",$D37=1),$E37*'UK '!C$7,AND($C37="Fuel car",$D37=2),$E37*'UK '!C$8,AND($C37="Fuel car",$D37=3),$E37*'UK '!C$9,AND($C37="Fuel car",$D37=4),$E37*'UK '!C$10,AND($C37="Fuel car",$D37=5),$E37*'UK '!C$11,AND($C37="Motorcycle",$D37=1),$E37*'UK '!C$13,AND($C37="Motorcycle",$D37=2),$E37*'UK '!C$14,AND($C37="Electric car",$D37=1),$E37*'UK '!C$16,AND($C37="Electric car",$D37=2),$E37*'UK '!C$17,AND($C37="Electric car",$D37=3),$E37*'UK '!C$18,AND($C37="Electric car",$D37=4),$E37*'UK '!C$19,AND($C37="Electric car",$D37=5),$E37*'UK '!C$20,AND($C37="Hybrid car",$D37=1),$E37*'UK '!C$22,AND($C37="Hybrid car",$D37=2),$E37*'UK '!C$23,AND($C37="Hybrid car",$D37=3),$E37*'UK '!C$24,AND($C37="Hybrid car",$D37=4),$E37*'UK '!C$25,AND($C37="Hybrid car",$D37=5),$E37*'UK '!C$26,AND($C37="Electric motorcycle",$D37=1),$E37*'UK '!C$28,AND($C37="Electric motorcycle",$D37=2),$E37*'UK '!C$29,AND($C37="Electric bike",$D37=1),$E37*'UK '!C$31,AND($C37="Electric scooter",$D37=1),$E37*'UK '!C$33,AND($C37="Bus",$D37="Almost empty"),$E37*'UK '!H$23,AND($C37="Bus",$D37="Average"),$E37*'UK '!H$24,AND($C37="Bus",$D37="Nearly full"),$E37*'UK '!H$25,AND($C37="Electric bus",$D37="Almost empty"),$E37*'UK '!H$7,AND($C37="Electric bus",$D37="Average"),$E37*'UK '!H$8,AND($C37="Electric bus",$D37="Nearly full"),$E37*'UK '!H$9,AND($C37="Diesel bus",$D37="Almost empty"),$E37*'UK '!H$19,AND($C37="Diesel bus",$D37="Average"),$E37*'UK '!H$20,AND($C37="Diesel bus",$D37="Nearly full"),$E37*'UK '!H$21,AND($C37="Hybrid-electric bus",$D37="Almost empty"),$E37*'UK '!H$11,AND($C37="Hybrid-electric bus",$D37="Average"),$E37*'UK '!H$12,AND($C37="Hybrid-electric bus",$D37="Nearly full"),$E37*'UK '!H$13,AND($C37="Alternative fuel bus",$D37="Almost empty"),$E37*'UK '!H$15,AND($C37="Alternative fuel bus",$D37="Average"),$E37*'UK '!H$16,AND($C37="Alternative fuel bus",$D37="Nearly full"),$E37*'UK '!H$17,AND($C37="Metro, tram, urban light train",$D37="Almost empty"),$E37*'UK '!C$35,AND($C37="Metro, tram, urban light train",$D37="Average"),$E37*'UK '!C$36,AND($C37="Metro, tram, urban light train",$D37="Nearly full"),$E37*'UK '!C$37,AND($C37="Electric passenger train",$D37="Almost empty"),$E37*'UK '!C$39,AND($C37="Electric passenger train",$D37="Average"),$E37*'UK '!C$40,AND($C37="Electric passenger train",$D37="Nearly full"),$E37*'UK '!C$41,AND($C37="Diesel passenger train",$D37="Almost empty"),$E37*'UK '!C$47,AND($C37="Diesel passenger train",$D37="Average"),$E37*'UK '!C$48,AND($C37="Diesel passenger train",$D37="Nearly full"),$E37*'UK '!C$49,AND($C37="Walking"),$E37*0,AND($C37="Bike"),$E37*0,AND($C37="Plane - domestic flight"),$E37*'UK '!$C61,AND($C37="Plane - international - intra EU"),$E37*'UK '!$C63,AND($C37="Plane - international (extra EU)"),$E37*'UK '!$C65)</f>
        <v>#N/A</v>
      </c>
      <c r="G37" s="31" t="e" cm="1">
        <f t="array" ref="G37">_xlfn.IFS(AND($C37="Fuel car",$D37=1),$E37*'UK '!D$7,AND($C37="Fuel car",$D37=2),$E37*'UK '!D$8,AND($C37="Fuel car",$D37=3),$E37*'UK '!D$9,AND($C37="Fuel car",$D37=4),$E37*'UK '!D$10,AND($C37="Fuel car",$D37=5),$E37*'UK '!D$11,AND($C37="Motorcycle",$D37=1),$E37*'UK '!D$13,AND($C37="Motorcycle",$D37=2),$E37*'UK '!D$14,AND($C37="Electric car",$D37=1),$E37*'UK '!D$16,AND($C37="Electric car",$D37=2),$E37*'UK '!D$17,AND($C37="Electric car",$D37=3),$E37*'UK '!D$18,AND($C37="Electric car",$D37=4),$E37*'UK '!D$19,AND($C37="Electric car",$D37=5),$E37*'UK '!D$20,AND($C37="Hybrid car",$D37=1),$E37*'UK '!D$22,AND($C37="Hybrid car",$D37=2),$E37*'UK '!D$23,AND($C37="Hybrid car",$D37=3),$E37*'UK '!D$24,AND($C37="Hybrid car",$D37=4),$E37*'UK '!D$25,AND($C37="Hybrid car",$D37=5),$E37*'UK '!D$26,AND($C37="Electric motorcycle",$D37=1),$E37*'UK '!D$28,AND($C37="Electric motorcycle",$D37=2),$E37*'UK '!D$29,AND($C37="Electric bike",$D37=1),$E37*'UK '!D$31,AND($C37="Electric scooter",$D37=1),$E37*'UK '!D$33,AND($C37="Bus",$D37="Almost empty"),$E37*'UK '!I$23,AND($C37="Bus",$D37="Average"),$E37*'UK '!I$24,AND($C37="Bus",$D37="Nearly full"),$E37*'UK '!I$25,AND($C37="Electric bus",$D37="Almost empty"),$E37*'UK '!I$7,AND($C37="Electric bus",$D37="Average"),$E37*'UK '!I$8,AND($C37="Electric bus",$D37="Nearly full"),$E37*'UK '!I$9,AND($C37="Diesel bus",$D37="Almost empty"),$E37*'UK '!I$19,AND($C37="Diesel bus",$D37="Average"),$E37*'UK '!I$20,AND($C37="Diesel bus",$D37="Nearly full"),$E37*'UK '!I$21,AND($C37="Hybrid-electric bus",$D37="Almost empty"),$E37*'UK '!I$11,AND($C37="Hybrid-electric bus",$D37="Average"),$E37*'UK '!I$12,AND($C37="Hybrid-electric bus",$D37="Nearly full"),$E37*'UK '!I$13,AND($C37="Alternative fuel bus",$D37="Almost empty"),$E37*'UK '!I$15,AND($C37="Alternative fuel bus",$D37="Average"),$E37*'UK '!I$16,AND($C37="Alternative fuel bus",$D37="Nearly full"),$E37*'UK '!I$17,AND($C37="Metro, tram, urban light train",$D37="Almost empty"),$E37*'UK '!D$35,AND($C37="Metro, tram, urban light train",$D37="Average"),$E37*'UK '!D$36,AND($C37="Metro, tram, urban light train",$D37="Nearly full"),$E37*'UK '!D$37,AND($C37="Electric passenger train",$D37="Almost empty"),$E37*'UK '!D$39,AND($C37="Electric passenger train",$D37="Average"),$E37*'UK '!D$40,AND($C37="Electric passenger train",$D37="Nearly full"),$E37*'UK '!D$41,AND($C37="Diesel passenger train",$D37="Almost empty"),$E37*'UK '!D$47,AND($C37="Diesel passenger train",$D37="Average"),$E37*'UK '!D$48,AND($C37="Diesel passenger train",$D37="Nearly full"),$E37*'UK '!D$49,AND($C37="Walking"),$E37*0,AND($C37="Bike"),$E37*0,AND($C37="Plane - domestic flight"),$E37*'UK '!$C61,AND($C37="Plane - international - intra EU"),$E37*'UK '!$C63,AND($C37="Plane - international (extra EU)"),$E37*'UK '!$C65)</f>
        <v>#N/A</v>
      </c>
      <c r="H37" s="145"/>
      <c r="I37" s="148" t="e">
        <f>H37/E37*'UK '!$M$26</f>
        <v>#DIV/0!</v>
      </c>
      <c r="J37" s="146" t="e" cm="1">
        <f t="array" ref="J37">_xlfn.IFS(C37="Fuel car",C37*DATA!$C$17,C37="Electric car",C37*DATA!$F$31,C37="Hybrid car",I37*(0.5*DATA!$C$17+0.5*DATA!$F$31))</f>
        <v>#N/A</v>
      </c>
      <c r="K37" s="323"/>
      <c r="L37" s="323"/>
      <c r="N37" s="215" t="s">
        <v>79</v>
      </c>
      <c r="O37" s="216"/>
      <c r="P37" s="217"/>
    </row>
    <row r="38" spans="1:16" ht="16" thickBot="1" x14ac:dyDescent="0.25">
      <c r="A38" s="222"/>
      <c r="B38" s="30"/>
      <c r="C38" s="15"/>
      <c r="D38" s="15"/>
      <c r="E38" s="125"/>
      <c r="F38" s="128" t="e" cm="1">
        <f t="array" ref="F38">_xlfn.IFS(AND($C38="Fuel car",$D38=1),$E38*'UK '!C$7,AND($C38="Fuel car",$D38=2),$E38*'UK '!C$8,AND($C38="Fuel car",$D38=3),$E38*'UK '!C$9,AND($C38="Fuel car",$D38=4),$E38*'UK '!C$10,AND($C38="Fuel car",$D38=5),$E38*'UK '!C$11,AND($C38="Motorcycle",$D38=1),$E38*'UK '!C$13,AND($C38="Motorcycle",$D38=2),$E38*'UK '!C$14,AND($C38="Electric car",$D38=1),$E38*'UK '!C$16,AND($C38="Electric car",$D38=2),$E38*'UK '!C$17,AND($C38="Electric car",$D38=3),$E38*'UK '!C$18,AND($C38="Electric car",$D38=4),$E38*'UK '!C$19,AND($C38="Electric car",$D38=5),$E38*'UK '!C$20,AND($C38="Hybrid car",$D38=1),$E38*'UK '!C$22,AND($C38="Hybrid car",$D38=2),$E38*'UK '!C$23,AND($C38="Hybrid car",$D38=3),$E38*'UK '!C$24,AND($C38="Hybrid car",$D38=4),$E38*'UK '!C$25,AND($C38="Hybrid car",$D38=5),$E38*'UK '!C$26,AND($C38="Electric motorcycle",$D38=1),$E38*'UK '!C$28,AND($C38="Electric motorcycle",$D38=2),$E38*'UK '!C$29,AND($C38="Electric bike",$D38=1),$E38*'UK '!C$31,AND($C38="Electric scooter",$D38=1),$E38*'UK '!C$33,AND($C38="Bus",$D38="Almost empty"),$E38*'UK '!H$23,AND($C38="Bus",$D38="Average"),$E38*'UK '!H$24,AND($C38="Bus",$D38="Nearly full"),$E38*'UK '!H$25,AND($C38="Electric bus",$D38="Almost empty"),$E38*'UK '!H$7,AND($C38="Electric bus",$D38="Average"),$E38*'UK '!H$8,AND($C38="Electric bus",$D38="Nearly full"),$E38*'UK '!H$9,AND($C38="Diesel bus",$D38="Almost empty"),$E38*'UK '!H$19,AND($C38="Diesel bus",$D38="Average"),$E38*'UK '!H$20,AND($C38="Diesel bus",$D38="Nearly full"),$E38*'UK '!H$21,AND($C38="Hybrid-electric bus",$D38="Almost empty"),$E38*'UK '!H$11,AND($C38="Hybrid-electric bus",$D38="Average"),$E38*'UK '!H$12,AND($C38="Hybrid-electric bus",$D38="Nearly full"),$E38*'UK '!H$13,AND($C38="Alternative fuel bus",$D38="Almost empty"),$E38*'UK '!H$15,AND($C38="Alternative fuel bus",$D38="Average"),$E38*'UK '!H$16,AND($C38="Alternative fuel bus",$D38="Nearly full"),$E38*'UK '!H$17,AND($C38="Metro, tram, urban light train",$D38="Almost empty"),$E38*'UK '!C$35,AND($C38="Metro, tram, urban light train",$D38="Average"),$E38*'UK '!C$36,AND($C38="Metro, tram, urban light train",$D38="Nearly full"),$E38*'UK '!C$37,AND($C38="Electric passenger train",$D38="Almost empty"),$E38*'UK '!C$39,AND($C38="Electric passenger train",$D38="Average"),$E38*'UK '!C$40,AND($C38="Electric passenger train",$D38="Nearly full"),$E38*'UK '!C$41,AND($C38="Diesel passenger train",$D38="Almost empty"),$E38*'UK '!C$47,AND($C38="Diesel passenger train",$D38="Average"),$E38*'UK '!C$48,AND($C38="Diesel passenger train",$D38="Nearly full"),$E38*'UK '!C$49,AND($C38="Walking"),$E38*0,AND($C38="Bike"),$E38*0,AND($C38="Plane - domestic flight"),$E38*'UK '!$C62,AND($C38="Plane - international - intra EU"),$E38*'UK '!$C64,AND($C38="Plane - international (extra EU)"),$E38*'UK '!$C66)</f>
        <v>#N/A</v>
      </c>
      <c r="G38" s="31" t="e" cm="1">
        <f t="array" ref="G38">_xlfn.IFS(AND($C38="Fuel car",$D38=1),$E38*'UK '!D$7,AND($C38="Fuel car",$D38=2),$E38*'UK '!D$8,AND($C38="Fuel car",$D38=3),$E38*'UK '!D$9,AND($C38="Fuel car",$D38=4),$E38*'UK '!D$10,AND($C38="Fuel car",$D38=5),$E38*'UK '!D$11,AND($C38="Motorcycle",$D38=1),$E38*'UK '!D$13,AND($C38="Motorcycle",$D38=2),$E38*'UK '!D$14,AND($C38="Electric car",$D38=1),$E38*'UK '!D$16,AND($C38="Electric car",$D38=2),$E38*'UK '!D$17,AND($C38="Electric car",$D38=3),$E38*'UK '!D$18,AND($C38="Electric car",$D38=4),$E38*'UK '!D$19,AND($C38="Electric car",$D38=5),$E38*'UK '!D$20,AND($C38="Hybrid car",$D38=1),$E38*'UK '!D$22,AND($C38="Hybrid car",$D38=2),$E38*'UK '!D$23,AND($C38="Hybrid car",$D38=3),$E38*'UK '!D$24,AND($C38="Hybrid car",$D38=4),$E38*'UK '!D$25,AND($C38="Hybrid car",$D38=5),$E38*'UK '!D$26,AND($C38="Electric motorcycle",$D38=1),$E38*'UK '!D$28,AND($C38="Electric motorcycle",$D38=2),$E38*'UK '!D$29,AND($C38="Electric bike",$D38=1),$E38*'UK '!D$31,AND($C38="Electric scooter",$D38=1),$E38*'UK '!D$33,AND($C38="Bus",$D38="Almost empty"),$E38*'UK '!I$23,AND($C38="Bus",$D38="Average"),$E38*'UK '!I$24,AND($C38="Bus",$D38="Nearly full"),$E38*'UK '!I$25,AND($C38="Electric bus",$D38="Almost empty"),$E38*'UK '!I$7,AND($C38="Electric bus",$D38="Average"),$E38*'UK '!I$8,AND($C38="Electric bus",$D38="Nearly full"),$E38*'UK '!I$9,AND($C38="Diesel bus",$D38="Almost empty"),$E38*'UK '!I$19,AND($C38="Diesel bus",$D38="Average"),$E38*'UK '!I$20,AND($C38="Diesel bus",$D38="Nearly full"),$E38*'UK '!I$21,AND($C38="Hybrid-electric bus",$D38="Almost empty"),$E38*'UK '!I$11,AND($C38="Hybrid-electric bus",$D38="Average"),$E38*'UK '!I$12,AND($C38="Hybrid-electric bus",$D38="Nearly full"),$E38*'UK '!I$13,AND($C38="Alternative fuel bus",$D38="Almost empty"),$E38*'UK '!I$15,AND($C38="Alternative fuel bus",$D38="Average"),$E38*'UK '!I$16,AND($C38="Alternative fuel bus",$D38="Nearly full"),$E38*'UK '!I$17,AND($C38="Metro, tram, urban light train",$D38="Almost empty"),$E38*'UK '!D$35,AND($C38="Metro, tram, urban light train",$D38="Average"),$E38*'UK '!D$36,AND($C38="Metro, tram, urban light train",$D38="Nearly full"),$E38*'UK '!D$37,AND($C38="Electric passenger train",$D38="Almost empty"),$E38*'UK '!D$39,AND($C38="Electric passenger train",$D38="Average"),$E38*'UK '!D$40,AND($C38="Electric passenger train",$D38="Nearly full"),$E38*'UK '!D$41,AND($C38="Diesel passenger train",$D38="Almost empty"),$E38*'UK '!D$47,AND($C38="Diesel passenger train",$D38="Average"),$E38*'UK '!D$48,AND($C38="Diesel passenger train",$D38="Nearly full"),$E38*'UK '!D$49,AND($C38="Walking"),$E38*0,AND($C38="Bike"),$E38*0,AND($C38="Plane - domestic flight"),$E38*'UK '!$C62,AND($C38="Plane - international - intra EU"),$E38*'UK '!$C64,AND($C38="Plane - international (extra EU)"),$E38*'UK '!$C66)</f>
        <v>#N/A</v>
      </c>
      <c r="H38" s="145"/>
      <c r="I38" s="148" t="e">
        <f>H38/E38*'UK '!$M$26</f>
        <v>#DIV/0!</v>
      </c>
      <c r="J38" s="146" t="e" cm="1">
        <f t="array" ref="J38">_xlfn.IFS(C38="Fuel car",C38*DATA!$C$17,C38="Electric car",C38*DATA!$F$31,C38="Hybrid car",I38*(0.5*DATA!$C$17+0.5*DATA!$F$31))</f>
        <v>#N/A</v>
      </c>
      <c r="K38" s="323"/>
      <c r="L38" s="323"/>
      <c r="N38" s="218"/>
      <c r="O38" s="219"/>
      <c r="P38" s="220"/>
    </row>
    <row r="39" spans="1:16" ht="14.5" customHeight="1" x14ac:dyDescent="0.2">
      <c r="A39" s="222"/>
      <c r="B39" s="30"/>
      <c r="C39" s="15"/>
      <c r="D39" s="15"/>
      <c r="E39" s="125"/>
      <c r="F39" s="128" t="e" cm="1">
        <f t="array" ref="F39">_xlfn.IFS(AND($C39="Fuel car",$D39=1),$E39*'UK '!C$7,AND($C39="Fuel car",$D39=2),$E39*'UK '!C$8,AND($C39="Fuel car",$D39=3),$E39*'UK '!C$9,AND($C39="Fuel car",$D39=4),$E39*'UK '!C$10,AND($C39="Fuel car",$D39=5),$E39*'UK '!C$11,AND($C39="Motorcycle",$D39=1),$E39*'UK '!C$13,AND($C39="Motorcycle",$D39=2),$E39*'UK '!C$14,AND($C39="Electric car",$D39=1),$E39*'UK '!C$16,AND($C39="Electric car",$D39=2),$E39*'UK '!C$17,AND($C39="Electric car",$D39=3),$E39*'UK '!C$18,AND($C39="Electric car",$D39=4),$E39*'UK '!C$19,AND($C39="Electric car",$D39=5),$E39*'UK '!C$20,AND($C39="Hybrid car",$D39=1),$E39*'UK '!C$22,AND($C39="Hybrid car",$D39=2),$E39*'UK '!C$23,AND($C39="Hybrid car",$D39=3),$E39*'UK '!C$24,AND($C39="Hybrid car",$D39=4),$E39*'UK '!C$25,AND($C39="Hybrid car",$D39=5),$E39*'UK '!C$26,AND($C39="Electric motorcycle",$D39=1),$E39*'UK '!C$28,AND($C39="Electric motorcycle",$D39=2),$E39*'UK '!C$29,AND($C39="Electric bike",$D39=1),$E39*'UK '!C$31,AND($C39="Electric scooter",$D39=1),$E39*'UK '!C$33,AND($C39="Bus",$D39="Almost empty"),$E39*'UK '!H$23,AND($C39="Bus",$D39="Average"),$E39*'UK '!H$24,AND($C39="Bus",$D39="Nearly full"),$E39*'UK '!H$25,AND($C39="Electric bus",$D39="Almost empty"),$E39*'UK '!H$7,AND($C39="Electric bus",$D39="Average"),$E39*'UK '!H$8,AND($C39="Electric bus",$D39="Nearly full"),$E39*'UK '!H$9,AND($C39="Diesel bus",$D39="Almost empty"),$E39*'UK '!H$19,AND($C39="Diesel bus",$D39="Average"),$E39*'UK '!H$20,AND($C39="Diesel bus",$D39="Nearly full"),$E39*'UK '!H$21,AND($C39="Hybrid-electric bus",$D39="Almost empty"),$E39*'UK '!H$11,AND($C39="Hybrid-electric bus",$D39="Average"),$E39*'UK '!H$12,AND($C39="Hybrid-electric bus",$D39="Nearly full"),$E39*'UK '!H$13,AND($C39="Alternative fuel bus",$D39="Almost empty"),$E39*'UK '!H$15,AND($C39="Alternative fuel bus",$D39="Average"),$E39*'UK '!H$16,AND($C39="Alternative fuel bus",$D39="Nearly full"),$E39*'UK '!H$17,AND($C39="Metro, tram, urban light train",$D39="Almost empty"),$E39*'UK '!C$35,AND($C39="Metro, tram, urban light train",$D39="Average"),$E39*'UK '!C$36,AND($C39="Metro, tram, urban light train",$D39="Nearly full"),$E39*'UK '!C$37,AND($C39="Electric passenger train",$D39="Almost empty"),$E39*'UK '!C$39,AND($C39="Electric passenger train",$D39="Average"),$E39*'UK '!C$40,AND($C39="Electric passenger train",$D39="Nearly full"),$E39*'UK '!C$41,AND($C39="Diesel passenger train",$D39="Almost empty"),$E39*'UK '!C$47,AND($C39="Diesel passenger train",$D39="Average"),$E39*'UK '!C$48,AND($C39="Diesel passenger train",$D39="Nearly full"),$E39*'UK '!C$49,AND($C39="Walking"),$E39*0,AND($C39="Bike"),$E39*0,AND($C39="Plane - domestic flight"),$E39*'UK '!$C63,AND($C39="Plane - international - intra EU"),$E39*'UK '!$C65,AND($C39="Plane - international (extra EU)"),$E39*'UK '!$C67)</f>
        <v>#N/A</v>
      </c>
      <c r="G39" s="31" t="e" cm="1">
        <f t="array" ref="G39">_xlfn.IFS(AND($C39="Fuel car",$D39=1),$E39*'UK '!D$7,AND($C39="Fuel car",$D39=2),$E39*'UK '!D$8,AND($C39="Fuel car",$D39=3),$E39*'UK '!D$9,AND($C39="Fuel car",$D39=4),$E39*'UK '!D$10,AND($C39="Fuel car",$D39=5),$E39*'UK '!D$11,AND($C39="Motorcycle",$D39=1),$E39*'UK '!D$13,AND($C39="Motorcycle",$D39=2),$E39*'UK '!D$14,AND($C39="Electric car",$D39=1),$E39*'UK '!D$16,AND($C39="Electric car",$D39=2),$E39*'UK '!D$17,AND($C39="Electric car",$D39=3),$E39*'UK '!D$18,AND($C39="Electric car",$D39=4),$E39*'UK '!D$19,AND($C39="Electric car",$D39=5),$E39*'UK '!D$20,AND($C39="Hybrid car",$D39=1),$E39*'UK '!D$22,AND($C39="Hybrid car",$D39=2),$E39*'UK '!D$23,AND($C39="Hybrid car",$D39=3),$E39*'UK '!D$24,AND($C39="Hybrid car",$D39=4),$E39*'UK '!D$25,AND($C39="Hybrid car",$D39=5),$E39*'UK '!D$26,AND($C39="Electric motorcycle",$D39=1),$E39*'UK '!D$28,AND($C39="Electric motorcycle",$D39=2),$E39*'UK '!D$29,AND($C39="Electric bike",$D39=1),$E39*'UK '!D$31,AND($C39="Electric scooter",$D39=1),$E39*'UK '!D$33,AND($C39="Bus",$D39="Almost empty"),$E39*'UK '!I$23,AND($C39="Bus",$D39="Average"),$E39*'UK '!I$24,AND($C39="Bus",$D39="Nearly full"),$E39*'UK '!I$25,AND($C39="Electric bus",$D39="Almost empty"),$E39*'UK '!I$7,AND($C39="Electric bus",$D39="Average"),$E39*'UK '!I$8,AND($C39="Electric bus",$D39="Nearly full"),$E39*'UK '!I$9,AND($C39="Diesel bus",$D39="Almost empty"),$E39*'UK '!I$19,AND($C39="Diesel bus",$D39="Average"),$E39*'UK '!I$20,AND($C39="Diesel bus",$D39="Nearly full"),$E39*'UK '!I$21,AND($C39="Hybrid-electric bus",$D39="Almost empty"),$E39*'UK '!I$11,AND($C39="Hybrid-electric bus",$D39="Average"),$E39*'UK '!I$12,AND($C39="Hybrid-electric bus",$D39="Nearly full"),$E39*'UK '!I$13,AND($C39="Alternative fuel bus",$D39="Almost empty"),$E39*'UK '!I$15,AND($C39="Alternative fuel bus",$D39="Average"),$E39*'UK '!I$16,AND($C39="Alternative fuel bus",$D39="Nearly full"),$E39*'UK '!I$17,AND($C39="Metro, tram, urban light train",$D39="Almost empty"),$E39*'UK '!D$35,AND($C39="Metro, tram, urban light train",$D39="Average"),$E39*'UK '!D$36,AND($C39="Metro, tram, urban light train",$D39="Nearly full"),$E39*'UK '!D$37,AND($C39="Electric passenger train",$D39="Almost empty"),$E39*'UK '!D$39,AND($C39="Electric passenger train",$D39="Average"),$E39*'UK '!D$40,AND($C39="Electric passenger train",$D39="Nearly full"),$E39*'UK '!D$41,AND($C39="Diesel passenger train",$D39="Almost empty"),$E39*'UK '!D$47,AND($C39="Diesel passenger train",$D39="Average"),$E39*'UK '!D$48,AND($C39="Diesel passenger train",$D39="Nearly full"),$E39*'UK '!D$49,AND($C39="Walking"),$E39*0,AND($C39="Bike"),$E39*0,AND($C39="Plane - domestic flight"),$E39*'UK '!$C63,AND($C39="Plane - international - intra EU"),$E39*'UK '!$C65,AND($C39="Plane - international (extra EU)"),$E39*'UK '!$C67)</f>
        <v>#N/A</v>
      </c>
      <c r="H39" s="145"/>
      <c r="I39" s="148" t="e">
        <f>H39/E39*'UK '!$M$26</f>
        <v>#DIV/0!</v>
      </c>
      <c r="J39" s="146" t="e" cm="1">
        <f t="array" ref="J39">_xlfn.IFS(C39="Fuel car",C39*DATA!$C$17,C39="Electric car",C39*DATA!$F$31,C39="Hybrid car",I39*(0.5*DATA!$C$17+0.5*DATA!$F$31))</f>
        <v>#N/A</v>
      </c>
      <c r="K39" s="323"/>
      <c r="L39" s="323"/>
      <c r="N39" s="226" t="s">
        <v>80</v>
      </c>
      <c r="O39" s="227"/>
      <c r="P39" s="228"/>
    </row>
    <row r="40" spans="1:16" x14ac:dyDescent="0.2">
      <c r="A40" s="222"/>
      <c r="B40" s="30"/>
      <c r="C40" s="15"/>
      <c r="D40" s="15"/>
      <c r="E40" s="125"/>
      <c r="F40" s="128" t="e" cm="1">
        <f t="array" ref="F40">_xlfn.IFS(AND($C40="Fuel car",$D40=1),$E40*'UK '!C$7,AND($C40="Fuel car",$D40=2),$E40*'UK '!C$8,AND($C40="Fuel car",$D40=3),$E40*'UK '!C$9,AND($C40="Fuel car",$D40=4),$E40*'UK '!C$10,AND($C40="Fuel car",$D40=5),$E40*'UK '!C$11,AND($C40="Motorcycle",$D40=1),$E40*'UK '!C$13,AND($C40="Motorcycle",$D40=2),$E40*'UK '!C$14,AND($C40="Electric car",$D40=1),$E40*'UK '!C$16,AND($C40="Electric car",$D40=2),$E40*'UK '!C$17,AND($C40="Electric car",$D40=3),$E40*'UK '!C$18,AND($C40="Electric car",$D40=4),$E40*'UK '!C$19,AND($C40="Electric car",$D40=5),$E40*'UK '!C$20,AND($C40="Hybrid car",$D40=1),$E40*'UK '!C$22,AND($C40="Hybrid car",$D40=2),$E40*'UK '!C$23,AND($C40="Hybrid car",$D40=3),$E40*'UK '!C$24,AND($C40="Hybrid car",$D40=4),$E40*'UK '!C$25,AND($C40="Hybrid car",$D40=5),$E40*'UK '!C$26,AND($C40="Electric motorcycle",$D40=1),$E40*'UK '!C$28,AND($C40="Electric motorcycle",$D40=2),$E40*'UK '!C$29,AND($C40="Electric bike",$D40=1),$E40*'UK '!C$31,AND($C40="Electric scooter",$D40=1),$E40*'UK '!C$33,AND($C40="Bus",$D40="Almost empty"),$E40*'UK '!H$23,AND($C40="Bus",$D40="Average"),$E40*'UK '!H$24,AND($C40="Bus",$D40="Nearly full"),$E40*'UK '!H$25,AND($C40="Electric bus",$D40="Almost empty"),$E40*'UK '!H$7,AND($C40="Electric bus",$D40="Average"),$E40*'UK '!H$8,AND($C40="Electric bus",$D40="Nearly full"),$E40*'UK '!H$9,AND($C40="Diesel bus",$D40="Almost empty"),$E40*'UK '!H$19,AND($C40="Diesel bus",$D40="Average"),$E40*'UK '!H$20,AND($C40="Diesel bus",$D40="Nearly full"),$E40*'UK '!H$21,AND($C40="Hybrid-electric bus",$D40="Almost empty"),$E40*'UK '!H$11,AND($C40="Hybrid-electric bus",$D40="Average"),$E40*'UK '!H$12,AND($C40="Hybrid-electric bus",$D40="Nearly full"),$E40*'UK '!H$13,AND($C40="Alternative fuel bus",$D40="Almost empty"),$E40*'UK '!H$15,AND($C40="Alternative fuel bus",$D40="Average"),$E40*'UK '!H$16,AND($C40="Alternative fuel bus",$D40="Nearly full"),$E40*'UK '!H$17,AND($C40="Metro, tram, urban light train",$D40="Almost empty"),$E40*'UK '!C$35,AND($C40="Metro, tram, urban light train",$D40="Average"),$E40*'UK '!C$36,AND($C40="Metro, tram, urban light train",$D40="Nearly full"),$E40*'UK '!C$37,AND($C40="Electric passenger train",$D40="Almost empty"),$E40*'UK '!C$39,AND($C40="Electric passenger train",$D40="Average"),$E40*'UK '!C$40,AND($C40="Electric passenger train",$D40="Nearly full"),$E40*'UK '!C$41,AND($C40="Diesel passenger train",$D40="Almost empty"),$E40*'UK '!C$47,AND($C40="Diesel passenger train",$D40="Average"),$E40*'UK '!C$48,AND($C40="Diesel passenger train",$D40="Nearly full"),$E40*'UK '!C$49,AND($C40="Walking"),$E40*0,AND($C40="Bike"),$E40*0,AND($C40="Plane - domestic flight"),$E40*'UK '!$C64,AND($C40="Plane - international - intra EU"),$E40*'UK '!$C66,AND($C40="Plane - international (extra EU)"),$E40*'UK '!$C68)</f>
        <v>#N/A</v>
      </c>
      <c r="G40" s="31" t="e" cm="1">
        <f t="array" ref="G40">_xlfn.IFS(AND($C40="Fuel car",$D40=1),$E40*'UK '!D$7,AND($C40="Fuel car",$D40=2),$E40*'UK '!D$8,AND($C40="Fuel car",$D40=3),$E40*'UK '!D$9,AND($C40="Fuel car",$D40=4),$E40*'UK '!D$10,AND($C40="Fuel car",$D40=5),$E40*'UK '!D$11,AND($C40="Motorcycle",$D40=1),$E40*'UK '!D$13,AND($C40="Motorcycle",$D40=2),$E40*'UK '!D$14,AND($C40="Electric car",$D40=1),$E40*'UK '!D$16,AND($C40="Electric car",$D40=2),$E40*'UK '!D$17,AND($C40="Electric car",$D40=3),$E40*'UK '!D$18,AND($C40="Electric car",$D40=4),$E40*'UK '!D$19,AND($C40="Electric car",$D40=5),$E40*'UK '!D$20,AND($C40="Hybrid car",$D40=1),$E40*'UK '!D$22,AND($C40="Hybrid car",$D40=2),$E40*'UK '!D$23,AND($C40="Hybrid car",$D40=3),$E40*'UK '!D$24,AND($C40="Hybrid car",$D40=4),$E40*'UK '!D$25,AND($C40="Hybrid car",$D40=5),$E40*'UK '!D$26,AND($C40="Electric motorcycle",$D40=1),$E40*'UK '!D$28,AND($C40="Electric motorcycle",$D40=2),$E40*'UK '!D$29,AND($C40="Electric bike",$D40=1),$E40*'UK '!D$31,AND($C40="Electric scooter",$D40=1),$E40*'UK '!D$33,AND($C40="Bus",$D40="Almost empty"),$E40*'UK '!I$23,AND($C40="Bus",$D40="Average"),$E40*'UK '!I$24,AND($C40="Bus",$D40="Nearly full"),$E40*'UK '!I$25,AND($C40="Electric bus",$D40="Almost empty"),$E40*'UK '!I$7,AND($C40="Electric bus",$D40="Average"),$E40*'UK '!I$8,AND($C40="Electric bus",$D40="Nearly full"),$E40*'UK '!I$9,AND($C40="Diesel bus",$D40="Almost empty"),$E40*'UK '!I$19,AND($C40="Diesel bus",$D40="Average"),$E40*'UK '!I$20,AND($C40="Diesel bus",$D40="Nearly full"),$E40*'UK '!I$21,AND($C40="Hybrid-electric bus",$D40="Almost empty"),$E40*'UK '!I$11,AND($C40="Hybrid-electric bus",$D40="Average"),$E40*'UK '!I$12,AND($C40="Hybrid-electric bus",$D40="Nearly full"),$E40*'UK '!I$13,AND($C40="Alternative fuel bus",$D40="Almost empty"),$E40*'UK '!I$15,AND($C40="Alternative fuel bus",$D40="Average"),$E40*'UK '!I$16,AND($C40="Alternative fuel bus",$D40="Nearly full"),$E40*'UK '!I$17,AND($C40="Metro, tram, urban light train",$D40="Almost empty"),$E40*'UK '!D$35,AND($C40="Metro, tram, urban light train",$D40="Average"),$E40*'UK '!D$36,AND($C40="Metro, tram, urban light train",$D40="Nearly full"),$E40*'UK '!D$37,AND($C40="Electric passenger train",$D40="Almost empty"),$E40*'UK '!D$39,AND($C40="Electric passenger train",$D40="Average"),$E40*'UK '!D$40,AND($C40="Electric passenger train",$D40="Nearly full"),$E40*'UK '!D$41,AND($C40="Diesel passenger train",$D40="Almost empty"),$E40*'UK '!D$47,AND($C40="Diesel passenger train",$D40="Average"),$E40*'UK '!D$48,AND($C40="Diesel passenger train",$D40="Nearly full"),$E40*'UK '!D$49,AND($C40="Walking"),$E40*0,AND($C40="Bike"),$E40*0,AND($C40="Plane - domestic flight"),$E40*'UK '!$C64,AND($C40="Plane - international - intra EU"),$E40*'UK '!$C66,AND($C40="Plane - international (extra EU)"),$E40*'UK '!$C68)</f>
        <v>#N/A</v>
      </c>
      <c r="H40" s="145"/>
      <c r="I40" s="148" t="e">
        <f>H40/E40*'UK '!$M$26</f>
        <v>#DIV/0!</v>
      </c>
      <c r="J40" s="146" t="e" cm="1">
        <f t="array" ref="J40">_xlfn.IFS(C40="Fuel car",C40*DATA!$C$17,C40="Electric car",C40*DATA!$F$31,C40="Hybrid car",I40*(0.5*DATA!$C$17+0.5*DATA!$F$31))</f>
        <v>#N/A</v>
      </c>
      <c r="K40" s="323"/>
      <c r="L40" s="323"/>
      <c r="N40" s="229"/>
      <c r="O40" s="230"/>
      <c r="P40" s="231"/>
    </row>
    <row r="41" spans="1:16" ht="14.5" customHeight="1" x14ac:dyDescent="0.2">
      <c r="A41" s="222"/>
      <c r="B41" s="30"/>
      <c r="C41" s="15"/>
      <c r="D41" s="15"/>
      <c r="E41" s="125"/>
      <c r="F41" s="128" t="e" cm="1">
        <f t="array" ref="F41">_xlfn.IFS(AND($C41="Fuel car",$D41=1),$E41*'UK '!C$7,AND($C41="Fuel car",$D41=2),$E41*'UK '!C$8,AND($C41="Fuel car",$D41=3),$E41*'UK '!C$9,AND($C41="Fuel car",$D41=4),$E41*'UK '!C$10,AND($C41="Fuel car",$D41=5),$E41*'UK '!C$11,AND($C41="Motorcycle",$D41=1),$E41*'UK '!C$13,AND($C41="Motorcycle",$D41=2),$E41*'UK '!C$14,AND($C41="Electric car",$D41=1),$E41*'UK '!C$16,AND($C41="Electric car",$D41=2),$E41*'UK '!C$17,AND($C41="Electric car",$D41=3),$E41*'UK '!C$18,AND($C41="Electric car",$D41=4),$E41*'UK '!C$19,AND($C41="Electric car",$D41=5),$E41*'UK '!C$20,AND($C41="Hybrid car",$D41=1),$E41*'UK '!C$22,AND($C41="Hybrid car",$D41=2),$E41*'UK '!C$23,AND($C41="Hybrid car",$D41=3),$E41*'UK '!C$24,AND($C41="Hybrid car",$D41=4),$E41*'UK '!C$25,AND($C41="Hybrid car",$D41=5),$E41*'UK '!C$26,AND($C41="Electric motorcycle",$D41=1),$E41*'UK '!C$28,AND($C41="Electric motorcycle",$D41=2),$E41*'UK '!C$29,AND($C41="Electric bike",$D41=1),$E41*'UK '!C$31,AND($C41="Electric scooter",$D41=1),$E41*'UK '!C$33,AND($C41="Bus",$D41="Almost empty"),$E41*'UK '!H$23,AND($C41="Bus",$D41="Average"),$E41*'UK '!H$24,AND($C41="Bus",$D41="Nearly full"),$E41*'UK '!H$25,AND($C41="Electric bus",$D41="Almost empty"),$E41*'UK '!H$7,AND($C41="Electric bus",$D41="Average"),$E41*'UK '!H$8,AND($C41="Electric bus",$D41="Nearly full"),$E41*'UK '!H$9,AND($C41="Diesel bus",$D41="Almost empty"),$E41*'UK '!H$19,AND($C41="Diesel bus",$D41="Average"),$E41*'UK '!H$20,AND($C41="Diesel bus",$D41="Nearly full"),$E41*'UK '!H$21,AND($C41="Hybrid-electric bus",$D41="Almost empty"),$E41*'UK '!H$11,AND($C41="Hybrid-electric bus",$D41="Average"),$E41*'UK '!H$12,AND($C41="Hybrid-electric bus",$D41="Nearly full"),$E41*'UK '!H$13,AND($C41="Alternative fuel bus",$D41="Almost empty"),$E41*'UK '!H$15,AND($C41="Alternative fuel bus",$D41="Average"),$E41*'UK '!H$16,AND($C41="Alternative fuel bus",$D41="Nearly full"),$E41*'UK '!H$17,AND($C41="Metro, tram, urban light train",$D41="Almost empty"),$E41*'UK '!C$35,AND($C41="Metro, tram, urban light train",$D41="Average"),$E41*'UK '!C$36,AND($C41="Metro, tram, urban light train",$D41="Nearly full"),$E41*'UK '!C$37,AND($C41="Electric passenger train",$D41="Almost empty"),$E41*'UK '!C$39,AND($C41="Electric passenger train",$D41="Average"),$E41*'UK '!C$40,AND($C41="Electric passenger train",$D41="Nearly full"),$E41*'UK '!C$41,AND($C41="Diesel passenger train",$D41="Almost empty"),$E41*'UK '!C$47,AND($C41="Diesel passenger train",$D41="Average"),$E41*'UK '!C$48,AND($C41="Diesel passenger train",$D41="Nearly full"),$E41*'UK '!C$49,AND($C41="Walking"),$E41*0,AND($C41="Bike"),$E41*0,AND($C41="Plane - domestic flight"),$E41*'UK '!$C65,AND($C41="Plane - international - intra EU"),$E41*'UK '!$C67,AND($C41="Plane - international (extra EU)"),$E41*'UK '!$C69)</f>
        <v>#N/A</v>
      </c>
      <c r="G41" s="31" t="e" cm="1">
        <f t="array" ref="G41">_xlfn.IFS(AND($C41="Fuel car",$D41=1),$E41*'UK '!D$7,AND($C41="Fuel car",$D41=2),$E41*'UK '!D$8,AND($C41="Fuel car",$D41=3),$E41*'UK '!D$9,AND($C41="Fuel car",$D41=4),$E41*'UK '!D$10,AND($C41="Fuel car",$D41=5),$E41*'UK '!D$11,AND($C41="Motorcycle",$D41=1),$E41*'UK '!D$13,AND($C41="Motorcycle",$D41=2),$E41*'UK '!D$14,AND($C41="Electric car",$D41=1),$E41*'UK '!D$16,AND($C41="Electric car",$D41=2),$E41*'UK '!D$17,AND($C41="Electric car",$D41=3),$E41*'UK '!D$18,AND($C41="Electric car",$D41=4),$E41*'UK '!D$19,AND($C41="Electric car",$D41=5),$E41*'UK '!D$20,AND($C41="Hybrid car",$D41=1),$E41*'UK '!D$22,AND($C41="Hybrid car",$D41=2),$E41*'UK '!D$23,AND($C41="Hybrid car",$D41=3),$E41*'UK '!D$24,AND($C41="Hybrid car",$D41=4),$E41*'UK '!D$25,AND($C41="Hybrid car",$D41=5),$E41*'UK '!D$26,AND($C41="Electric motorcycle",$D41=1),$E41*'UK '!D$28,AND($C41="Electric motorcycle",$D41=2),$E41*'UK '!D$29,AND($C41="Electric bike",$D41=1),$E41*'UK '!D$31,AND($C41="Electric scooter",$D41=1),$E41*'UK '!D$33,AND($C41="Bus",$D41="Almost empty"),$E41*'UK '!I$23,AND($C41="Bus",$D41="Average"),$E41*'UK '!I$24,AND($C41="Bus",$D41="Nearly full"),$E41*'UK '!I$25,AND($C41="Electric bus",$D41="Almost empty"),$E41*'UK '!I$7,AND($C41="Electric bus",$D41="Average"),$E41*'UK '!I$8,AND($C41="Electric bus",$D41="Nearly full"),$E41*'UK '!I$9,AND($C41="Diesel bus",$D41="Almost empty"),$E41*'UK '!I$19,AND($C41="Diesel bus",$D41="Average"),$E41*'UK '!I$20,AND($C41="Diesel bus",$D41="Nearly full"),$E41*'UK '!I$21,AND($C41="Hybrid-electric bus",$D41="Almost empty"),$E41*'UK '!I$11,AND($C41="Hybrid-electric bus",$D41="Average"),$E41*'UK '!I$12,AND($C41="Hybrid-electric bus",$D41="Nearly full"),$E41*'UK '!I$13,AND($C41="Alternative fuel bus",$D41="Almost empty"),$E41*'UK '!I$15,AND($C41="Alternative fuel bus",$D41="Average"),$E41*'UK '!I$16,AND($C41="Alternative fuel bus",$D41="Nearly full"),$E41*'UK '!I$17,AND($C41="Metro, tram, urban light train",$D41="Almost empty"),$E41*'UK '!D$35,AND($C41="Metro, tram, urban light train",$D41="Average"),$E41*'UK '!D$36,AND($C41="Metro, tram, urban light train",$D41="Nearly full"),$E41*'UK '!D$37,AND($C41="Electric passenger train",$D41="Almost empty"),$E41*'UK '!D$39,AND($C41="Electric passenger train",$D41="Average"),$E41*'UK '!D$40,AND($C41="Electric passenger train",$D41="Nearly full"),$E41*'UK '!D$41,AND($C41="Diesel passenger train",$D41="Almost empty"),$E41*'UK '!D$47,AND($C41="Diesel passenger train",$D41="Average"),$E41*'UK '!D$48,AND($C41="Diesel passenger train",$D41="Nearly full"),$E41*'UK '!D$49,AND($C41="Walking"),$E41*0,AND($C41="Bike"),$E41*0,AND($C41="Plane - domestic flight"),$E41*'UK '!$C65,AND($C41="Plane - international - intra EU"),$E41*'UK '!$C67,AND($C41="Plane - international (extra EU)"),$E41*'UK '!$C69)</f>
        <v>#N/A</v>
      </c>
      <c r="H41" s="145"/>
      <c r="I41" s="148" t="e">
        <f>H41/E41*'UK '!$M$26</f>
        <v>#DIV/0!</v>
      </c>
      <c r="J41" s="146" t="e" cm="1">
        <f t="array" ref="J41">_xlfn.IFS(C41="Fuel car",C41*DATA!$C$17,C41="Electric car",C41*DATA!$F$31,C41="Hybrid car",I41*(0.5*DATA!$C$17+0.5*DATA!$F$31))</f>
        <v>#N/A</v>
      </c>
      <c r="K41" s="323"/>
      <c r="L41" s="323"/>
      <c r="N41" s="232" t="str">
        <f>"-if the vehicle is private (car, motorcycle…) fill the cell with the number of passengers in the vehicle during the travel"</f>
        <v>-if the vehicle is private (car, motorcycle…) fill the cell with the number of passengers in the vehicle during the travel</v>
      </c>
      <c r="O41" s="233"/>
      <c r="P41" s="234"/>
    </row>
    <row r="42" spans="1:16" x14ac:dyDescent="0.2">
      <c r="A42" s="222"/>
      <c r="B42" s="30"/>
      <c r="C42" s="15"/>
      <c r="D42" s="15"/>
      <c r="E42" s="125"/>
      <c r="F42" s="128" t="e" cm="1">
        <f t="array" ref="F42">_xlfn.IFS(AND($C42="Fuel car",$D42=1),$E42*'UK '!C$7,AND($C42="Fuel car",$D42=2),$E42*'UK '!C$8,AND($C42="Fuel car",$D42=3),$E42*'UK '!C$9,AND($C42="Fuel car",$D42=4),$E42*'UK '!C$10,AND($C42="Fuel car",$D42=5),$E42*'UK '!C$11,AND($C42="Motorcycle",$D42=1),$E42*'UK '!C$13,AND($C42="Motorcycle",$D42=2),$E42*'UK '!C$14,AND($C42="Electric car",$D42=1),$E42*'UK '!C$16,AND($C42="Electric car",$D42=2),$E42*'UK '!C$17,AND($C42="Electric car",$D42=3),$E42*'UK '!C$18,AND($C42="Electric car",$D42=4),$E42*'UK '!C$19,AND($C42="Electric car",$D42=5),$E42*'UK '!C$20,AND($C42="Hybrid car",$D42=1),$E42*'UK '!C$22,AND($C42="Hybrid car",$D42=2),$E42*'UK '!C$23,AND($C42="Hybrid car",$D42=3),$E42*'UK '!C$24,AND($C42="Hybrid car",$D42=4),$E42*'UK '!C$25,AND($C42="Hybrid car",$D42=5),$E42*'UK '!C$26,AND($C42="Electric motorcycle",$D42=1),$E42*'UK '!C$28,AND($C42="Electric motorcycle",$D42=2),$E42*'UK '!C$29,AND($C42="Electric bike",$D42=1),$E42*'UK '!C$31,AND($C42="Electric scooter",$D42=1),$E42*'UK '!C$33,AND($C42="Bus",$D42="Almost empty"),$E42*'UK '!H$23,AND($C42="Bus",$D42="Average"),$E42*'UK '!H$24,AND($C42="Bus",$D42="Nearly full"),$E42*'UK '!H$25,AND($C42="Electric bus",$D42="Almost empty"),$E42*'UK '!H$7,AND($C42="Electric bus",$D42="Average"),$E42*'UK '!H$8,AND($C42="Electric bus",$D42="Nearly full"),$E42*'UK '!H$9,AND($C42="Diesel bus",$D42="Almost empty"),$E42*'UK '!H$19,AND($C42="Diesel bus",$D42="Average"),$E42*'UK '!H$20,AND($C42="Diesel bus",$D42="Nearly full"),$E42*'UK '!H$21,AND($C42="Hybrid-electric bus",$D42="Almost empty"),$E42*'UK '!H$11,AND($C42="Hybrid-electric bus",$D42="Average"),$E42*'UK '!H$12,AND($C42="Hybrid-electric bus",$D42="Nearly full"),$E42*'UK '!H$13,AND($C42="Alternative fuel bus",$D42="Almost empty"),$E42*'UK '!H$15,AND($C42="Alternative fuel bus",$D42="Average"),$E42*'UK '!H$16,AND($C42="Alternative fuel bus",$D42="Nearly full"),$E42*'UK '!H$17,AND($C42="Metro, tram, urban light train",$D42="Almost empty"),$E42*'UK '!C$35,AND($C42="Metro, tram, urban light train",$D42="Average"),$E42*'UK '!C$36,AND($C42="Metro, tram, urban light train",$D42="Nearly full"),$E42*'UK '!C$37,AND($C42="Electric passenger train",$D42="Almost empty"),$E42*'UK '!C$39,AND($C42="Electric passenger train",$D42="Average"),$E42*'UK '!C$40,AND($C42="Electric passenger train",$D42="Nearly full"),$E42*'UK '!C$41,AND($C42="Diesel passenger train",$D42="Almost empty"),$E42*'UK '!C$47,AND($C42="Diesel passenger train",$D42="Average"),$E42*'UK '!C$48,AND($C42="Diesel passenger train",$D42="Nearly full"),$E42*'UK '!C$49,AND($C42="Walking"),$E42*0,AND($C42="Bike"),$E42*0,AND($C42="Plane - domestic flight"),$E42*'UK '!$C66,AND($C42="Plane - international - intra EU"),$E42*'UK '!$C68,AND($C42="Plane - international (extra EU)"),$E42*'UK '!$C70)</f>
        <v>#N/A</v>
      </c>
      <c r="G42" s="31" t="e" cm="1">
        <f t="array" ref="G42">_xlfn.IFS(AND($C42="Fuel car",$D42=1),$E42*'UK '!D$7,AND($C42="Fuel car",$D42=2),$E42*'UK '!D$8,AND($C42="Fuel car",$D42=3),$E42*'UK '!D$9,AND($C42="Fuel car",$D42=4),$E42*'UK '!D$10,AND($C42="Fuel car",$D42=5),$E42*'UK '!D$11,AND($C42="Motorcycle",$D42=1),$E42*'UK '!D$13,AND($C42="Motorcycle",$D42=2),$E42*'UK '!D$14,AND($C42="Electric car",$D42=1),$E42*'UK '!D$16,AND($C42="Electric car",$D42=2),$E42*'UK '!D$17,AND($C42="Electric car",$D42=3),$E42*'UK '!D$18,AND($C42="Electric car",$D42=4),$E42*'UK '!D$19,AND($C42="Electric car",$D42=5),$E42*'UK '!D$20,AND($C42="Hybrid car",$D42=1),$E42*'UK '!D$22,AND($C42="Hybrid car",$D42=2),$E42*'UK '!D$23,AND($C42="Hybrid car",$D42=3),$E42*'UK '!D$24,AND($C42="Hybrid car",$D42=4),$E42*'UK '!D$25,AND($C42="Hybrid car",$D42=5),$E42*'UK '!D$26,AND($C42="Electric motorcycle",$D42=1),$E42*'UK '!D$28,AND($C42="Electric motorcycle",$D42=2),$E42*'UK '!D$29,AND($C42="Electric bike",$D42=1),$E42*'UK '!D$31,AND($C42="Electric scooter",$D42=1),$E42*'UK '!D$33,AND($C42="Bus",$D42="Almost empty"),$E42*'UK '!I$23,AND($C42="Bus",$D42="Average"),$E42*'UK '!I$24,AND($C42="Bus",$D42="Nearly full"),$E42*'UK '!I$25,AND($C42="Electric bus",$D42="Almost empty"),$E42*'UK '!I$7,AND($C42="Electric bus",$D42="Average"),$E42*'UK '!I$8,AND($C42="Electric bus",$D42="Nearly full"),$E42*'UK '!I$9,AND($C42="Diesel bus",$D42="Almost empty"),$E42*'UK '!I$19,AND($C42="Diesel bus",$D42="Average"),$E42*'UK '!I$20,AND($C42="Diesel bus",$D42="Nearly full"),$E42*'UK '!I$21,AND($C42="Hybrid-electric bus",$D42="Almost empty"),$E42*'UK '!I$11,AND($C42="Hybrid-electric bus",$D42="Average"),$E42*'UK '!I$12,AND($C42="Hybrid-electric bus",$D42="Nearly full"),$E42*'UK '!I$13,AND($C42="Alternative fuel bus",$D42="Almost empty"),$E42*'UK '!I$15,AND($C42="Alternative fuel bus",$D42="Average"),$E42*'UK '!I$16,AND($C42="Alternative fuel bus",$D42="Nearly full"),$E42*'UK '!I$17,AND($C42="Metro, tram, urban light train",$D42="Almost empty"),$E42*'UK '!D$35,AND($C42="Metro, tram, urban light train",$D42="Average"),$E42*'UK '!D$36,AND($C42="Metro, tram, urban light train",$D42="Nearly full"),$E42*'UK '!D$37,AND($C42="Electric passenger train",$D42="Almost empty"),$E42*'UK '!D$39,AND($C42="Electric passenger train",$D42="Average"),$E42*'UK '!D$40,AND($C42="Electric passenger train",$D42="Nearly full"),$E42*'UK '!D$41,AND($C42="Diesel passenger train",$D42="Almost empty"),$E42*'UK '!D$47,AND($C42="Diesel passenger train",$D42="Average"),$E42*'UK '!D$48,AND($C42="Diesel passenger train",$D42="Nearly full"),$E42*'UK '!D$49,AND($C42="Walking"),$E42*0,AND($C42="Bike"),$E42*0,AND($C42="Plane - domestic flight"),$E42*'UK '!$C66,AND($C42="Plane - international - intra EU"),$E42*'UK '!$C68,AND($C42="Plane - international (extra EU)"),$E42*'UK '!$C70)</f>
        <v>#N/A</v>
      </c>
      <c r="H42" s="145"/>
      <c r="I42" s="148" t="e">
        <f>H42/E42*'UK '!$M$26</f>
        <v>#DIV/0!</v>
      </c>
      <c r="J42" s="146" t="e" cm="1">
        <f t="array" ref="J42">_xlfn.IFS(C42="Fuel car",C42*DATA!$C$17,C42="Electric car",C42*DATA!$F$31,C42="Hybrid car",I42*(0.5*DATA!$C$17+0.5*DATA!$F$31))</f>
        <v>#N/A</v>
      </c>
      <c r="K42" s="323"/>
      <c r="L42" s="323"/>
      <c r="N42" s="235"/>
      <c r="O42" s="236"/>
      <c r="P42" s="237"/>
    </row>
    <row r="43" spans="1:16" ht="14.5" customHeight="1" thickBot="1" x14ac:dyDescent="0.25">
      <c r="A43" s="222"/>
      <c r="B43" s="30"/>
      <c r="C43" s="15"/>
      <c r="D43" s="15"/>
      <c r="E43" s="125"/>
      <c r="F43" s="128" t="e" cm="1">
        <f t="array" ref="F43">_xlfn.IFS(AND($C43="Fuel car",$D43=1),$E43*'UK '!C$7,AND($C43="Fuel car",$D43=2),$E43*'UK '!C$8,AND($C43="Fuel car",$D43=3),$E43*'UK '!C$9,AND($C43="Fuel car",$D43=4),$E43*'UK '!C$10,AND($C43="Fuel car",$D43=5),$E43*'UK '!C$11,AND($C43="Motorcycle",$D43=1),$E43*'UK '!C$13,AND($C43="Motorcycle",$D43=2),$E43*'UK '!C$14,AND($C43="Electric car",$D43=1),$E43*'UK '!C$16,AND($C43="Electric car",$D43=2),$E43*'UK '!C$17,AND($C43="Electric car",$D43=3),$E43*'UK '!C$18,AND($C43="Electric car",$D43=4),$E43*'UK '!C$19,AND($C43="Electric car",$D43=5),$E43*'UK '!C$20,AND($C43="Hybrid car",$D43=1),$E43*'UK '!C$22,AND($C43="Hybrid car",$D43=2),$E43*'UK '!C$23,AND($C43="Hybrid car",$D43=3),$E43*'UK '!C$24,AND($C43="Hybrid car",$D43=4),$E43*'UK '!C$25,AND($C43="Hybrid car",$D43=5),$E43*'UK '!C$26,AND($C43="Electric motorcycle",$D43=1),$E43*'UK '!C$28,AND($C43="Electric motorcycle",$D43=2),$E43*'UK '!C$29,AND($C43="Electric bike",$D43=1),$E43*'UK '!C$31,AND($C43="Electric scooter",$D43=1),$E43*'UK '!C$33,AND($C43="Bus",$D43="Almost empty"),$E43*'UK '!H$23,AND($C43="Bus",$D43="Average"),$E43*'UK '!H$24,AND($C43="Bus",$D43="Nearly full"),$E43*'UK '!H$25,AND($C43="Electric bus",$D43="Almost empty"),$E43*'UK '!H$7,AND($C43="Electric bus",$D43="Average"),$E43*'UK '!H$8,AND($C43="Electric bus",$D43="Nearly full"),$E43*'UK '!H$9,AND($C43="Diesel bus",$D43="Almost empty"),$E43*'UK '!H$19,AND($C43="Diesel bus",$D43="Average"),$E43*'UK '!H$20,AND($C43="Diesel bus",$D43="Nearly full"),$E43*'UK '!H$21,AND($C43="Hybrid-electric bus",$D43="Almost empty"),$E43*'UK '!H$11,AND($C43="Hybrid-electric bus",$D43="Average"),$E43*'UK '!H$12,AND($C43="Hybrid-electric bus",$D43="Nearly full"),$E43*'UK '!H$13,AND($C43="Alternative fuel bus",$D43="Almost empty"),$E43*'UK '!H$15,AND($C43="Alternative fuel bus",$D43="Average"),$E43*'UK '!H$16,AND($C43="Alternative fuel bus",$D43="Nearly full"),$E43*'UK '!H$17,AND($C43="Metro, tram, urban light train",$D43="Almost empty"),$E43*'UK '!C$35,AND($C43="Metro, tram, urban light train",$D43="Average"),$E43*'UK '!C$36,AND($C43="Metro, tram, urban light train",$D43="Nearly full"),$E43*'UK '!C$37,AND($C43="Electric passenger train",$D43="Almost empty"),$E43*'UK '!C$39,AND($C43="Electric passenger train",$D43="Average"),$E43*'UK '!C$40,AND($C43="Electric passenger train",$D43="Nearly full"),$E43*'UK '!C$41,AND($C43="Diesel passenger train",$D43="Almost empty"),$E43*'UK '!C$47,AND($C43="Diesel passenger train",$D43="Average"),$E43*'UK '!C$48,AND($C43="Diesel passenger train",$D43="Nearly full"),$E43*'UK '!C$49,AND($C43="Walking"),$E43*0,AND($C43="Bike"),$E43*0,AND($C43="Plane - domestic flight"),$E43*'UK '!$C67,AND($C43="Plane - international - intra EU"),$E43*'UK '!$C69,AND($C43="Plane - international (extra EU)"),$E43*'UK '!$C71)</f>
        <v>#N/A</v>
      </c>
      <c r="G43" s="31" t="e" cm="1">
        <f t="array" ref="G43">_xlfn.IFS(AND($C43="Fuel car",$D43=1),$E43*'UK '!D$7,AND($C43="Fuel car",$D43=2),$E43*'UK '!D$8,AND($C43="Fuel car",$D43=3),$E43*'UK '!D$9,AND($C43="Fuel car",$D43=4),$E43*'UK '!D$10,AND($C43="Fuel car",$D43=5),$E43*'UK '!D$11,AND($C43="Motorcycle",$D43=1),$E43*'UK '!D$13,AND($C43="Motorcycle",$D43=2),$E43*'UK '!D$14,AND($C43="Electric car",$D43=1),$E43*'UK '!D$16,AND($C43="Electric car",$D43=2),$E43*'UK '!D$17,AND($C43="Electric car",$D43=3),$E43*'UK '!D$18,AND($C43="Electric car",$D43=4),$E43*'UK '!D$19,AND($C43="Electric car",$D43=5),$E43*'UK '!D$20,AND($C43="Hybrid car",$D43=1),$E43*'UK '!D$22,AND($C43="Hybrid car",$D43=2),$E43*'UK '!D$23,AND($C43="Hybrid car",$D43=3),$E43*'UK '!D$24,AND($C43="Hybrid car",$D43=4),$E43*'UK '!D$25,AND($C43="Hybrid car",$D43=5),$E43*'UK '!D$26,AND($C43="Electric motorcycle",$D43=1),$E43*'UK '!D$28,AND($C43="Electric motorcycle",$D43=2),$E43*'UK '!D$29,AND($C43="Electric bike",$D43=1),$E43*'UK '!D$31,AND($C43="Electric scooter",$D43=1),$E43*'UK '!D$33,AND($C43="Bus",$D43="Almost empty"),$E43*'UK '!I$23,AND($C43="Bus",$D43="Average"),$E43*'UK '!I$24,AND($C43="Bus",$D43="Nearly full"),$E43*'UK '!I$25,AND($C43="Electric bus",$D43="Almost empty"),$E43*'UK '!I$7,AND($C43="Electric bus",$D43="Average"),$E43*'UK '!I$8,AND($C43="Electric bus",$D43="Nearly full"),$E43*'UK '!I$9,AND($C43="Diesel bus",$D43="Almost empty"),$E43*'UK '!I$19,AND($C43="Diesel bus",$D43="Average"),$E43*'UK '!I$20,AND($C43="Diesel bus",$D43="Nearly full"),$E43*'UK '!I$21,AND($C43="Hybrid-electric bus",$D43="Almost empty"),$E43*'UK '!I$11,AND($C43="Hybrid-electric bus",$D43="Average"),$E43*'UK '!I$12,AND($C43="Hybrid-electric bus",$D43="Nearly full"),$E43*'UK '!I$13,AND($C43="Alternative fuel bus",$D43="Almost empty"),$E43*'UK '!I$15,AND($C43="Alternative fuel bus",$D43="Average"),$E43*'UK '!I$16,AND($C43="Alternative fuel bus",$D43="Nearly full"),$E43*'UK '!I$17,AND($C43="Metro, tram, urban light train",$D43="Almost empty"),$E43*'UK '!D$35,AND($C43="Metro, tram, urban light train",$D43="Average"),$E43*'UK '!D$36,AND($C43="Metro, tram, urban light train",$D43="Nearly full"),$E43*'UK '!D$37,AND($C43="Electric passenger train",$D43="Almost empty"),$E43*'UK '!D$39,AND($C43="Electric passenger train",$D43="Average"),$E43*'UK '!D$40,AND($C43="Electric passenger train",$D43="Nearly full"),$E43*'UK '!D$41,AND($C43="Diesel passenger train",$D43="Almost empty"),$E43*'UK '!D$47,AND($C43="Diesel passenger train",$D43="Average"),$E43*'UK '!D$48,AND($C43="Diesel passenger train",$D43="Nearly full"),$E43*'UK '!D$49,AND($C43="Walking"),$E43*0,AND($C43="Bike"),$E43*0,AND($C43="Plane - domestic flight"),$E43*'UK '!$C67,AND($C43="Plane - international - intra EU"),$E43*'UK '!$C69,AND($C43="Plane - international (extra EU)"),$E43*'UK '!$C71)</f>
        <v>#N/A</v>
      </c>
      <c r="H43" s="109"/>
      <c r="I43" s="154" t="e">
        <f>H43/E43*'UK '!$M$26</f>
        <v>#DIV/0!</v>
      </c>
      <c r="J43" s="147" t="e" cm="1">
        <f t="array" ref="J43">_xlfn.IFS(C43="Fuel car",C43*DATA!$C$17,C43="Electric car",C43*DATA!$F$31,C43="Hybrid car",I43*(0.5*DATA!$C$17+0.5*DATA!$F$31))</f>
        <v>#N/A</v>
      </c>
      <c r="K43" s="323"/>
      <c r="L43" s="323"/>
      <c r="N43" s="223" t="str">
        <f>"-if it is a public vehicle (bus, metro…) choose between the options (almost empty, average, nearly full)"</f>
        <v>-if it is a public vehicle (bus, metro…) choose between the options (almost empty, average, nearly full)</v>
      </c>
      <c r="O43" s="224"/>
      <c r="P43" s="225"/>
    </row>
    <row r="44" spans="1:16" ht="16" thickBot="1" x14ac:dyDescent="0.25">
      <c r="A44" s="222"/>
      <c r="B44" s="30"/>
      <c r="C44" s="15"/>
      <c r="D44" s="15"/>
      <c r="E44" s="125"/>
      <c r="F44" s="128" t="e" cm="1">
        <f t="array" ref="F44">_xlfn.IFS(AND($C44="Fuel car",$D44=1),$E44*'UK '!C$7,AND($C44="Fuel car",$D44=2),$E44*'UK '!C$8,AND($C44="Fuel car",$D44=3),$E44*'UK '!C$9,AND($C44="Fuel car",$D44=4),$E44*'UK '!C$10,AND($C44="Fuel car",$D44=5),$E44*'UK '!C$11,AND($C44="Motorcycle",$D44=1),$E44*'UK '!C$13,AND($C44="Motorcycle",$D44=2),$E44*'UK '!C$14,AND($C44="Electric car",$D44=1),$E44*'UK '!C$16,AND($C44="Electric car",$D44=2),$E44*'UK '!C$17,AND($C44="Electric car",$D44=3),$E44*'UK '!C$18,AND($C44="Electric car",$D44=4),$E44*'UK '!C$19,AND($C44="Electric car",$D44=5),$E44*'UK '!C$20,AND($C44="Hybrid car",$D44=1),$E44*'UK '!C$22,AND($C44="Hybrid car",$D44=2),$E44*'UK '!C$23,AND($C44="Hybrid car",$D44=3),$E44*'UK '!C$24,AND($C44="Hybrid car",$D44=4),$E44*'UK '!C$25,AND($C44="Hybrid car",$D44=5),$E44*'UK '!C$26,AND($C44="Electric motorcycle",$D44=1),$E44*'UK '!C$28,AND($C44="Electric motorcycle",$D44=2),$E44*'UK '!C$29,AND($C44="Electric bike",$D44=1),$E44*'UK '!C$31,AND($C44="Electric scooter",$D44=1),$E44*'UK '!C$33,AND($C44="Bus",$D44="Almost empty"),$E44*'UK '!H$23,AND($C44="Bus",$D44="Average"),$E44*'UK '!H$24,AND($C44="Bus",$D44="Nearly full"),$E44*'UK '!H$25,AND($C44="Electric bus",$D44="Almost empty"),$E44*'UK '!H$7,AND($C44="Electric bus",$D44="Average"),$E44*'UK '!H$8,AND($C44="Electric bus",$D44="Nearly full"),$E44*'UK '!H$9,AND($C44="Diesel bus",$D44="Almost empty"),$E44*'UK '!H$19,AND($C44="Diesel bus",$D44="Average"),$E44*'UK '!H$20,AND($C44="Diesel bus",$D44="Nearly full"),$E44*'UK '!H$21,AND($C44="Hybrid-electric bus",$D44="Almost empty"),$E44*'UK '!H$11,AND($C44="Hybrid-electric bus",$D44="Average"),$E44*'UK '!H$12,AND($C44="Hybrid-electric bus",$D44="Nearly full"),$E44*'UK '!H$13,AND($C44="Alternative fuel bus",$D44="Almost empty"),$E44*'UK '!H$15,AND($C44="Alternative fuel bus",$D44="Average"),$E44*'UK '!H$16,AND($C44="Alternative fuel bus",$D44="Nearly full"),$E44*'UK '!H$17,AND($C44="Metro, tram, urban light train",$D44="Almost empty"),$E44*'UK '!C$35,AND($C44="Metro, tram, urban light train",$D44="Average"),$E44*'UK '!C$36,AND($C44="Metro, tram, urban light train",$D44="Nearly full"),$E44*'UK '!C$37,AND($C44="Electric passenger train",$D44="Almost empty"),$E44*'UK '!C$39,AND($C44="Electric passenger train",$D44="Average"),$E44*'UK '!C$40,AND($C44="Electric passenger train",$D44="Nearly full"),$E44*'UK '!C$41,AND($C44="Diesel passenger train",$D44="Almost empty"),$E44*'UK '!C$47,AND($C44="Diesel passenger train",$D44="Average"),$E44*'UK '!C$48,AND($C44="Diesel passenger train",$D44="Nearly full"),$E44*'UK '!C$49,AND($C44="Walking"),$E44*0,AND($C44="Bike"),$E44*0,AND($C44="Plane - domestic flight"),$E44*'UK '!$C68,AND($C44="Plane - international - intra EU"),$E44*'UK '!$C70,AND($C44="Plane - international (extra EU)"),$E44*'UK '!$C72)</f>
        <v>#N/A</v>
      </c>
      <c r="G44" s="31" t="e" cm="1">
        <f t="array" ref="G44">_xlfn.IFS(AND($C44="Fuel car",$D44=1),$E44*'UK '!D$7,AND($C44="Fuel car",$D44=2),$E44*'UK '!D$8,AND($C44="Fuel car",$D44=3),$E44*'UK '!D$9,AND($C44="Fuel car",$D44=4),$E44*'UK '!D$10,AND($C44="Fuel car",$D44=5),$E44*'UK '!D$11,AND($C44="Motorcycle",$D44=1),$E44*'UK '!D$13,AND($C44="Motorcycle",$D44=2),$E44*'UK '!D$14,AND($C44="Electric car",$D44=1),$E44*'UK '!D$16,AND($C44="Electric car",$D44=2),$E44*'UK '!D$17,AND($C44="Electric car",$D44=3),$E44*'UK '!D$18,AND($C44="Electric car",$D44=4),$E44*'UK '!D$19,AND($C44="Electric car",$D44=5),$E44*'UK '!D$20,AND($C44="Hybrid car",$D44=1),$E44*'UK '!D$22,AND($C44="Hybrid car",$D44=2),$E44*'UK '!D$23,AND($C44="Hybrid car",$D44=3),$E44*'UK '!D$24,AND($C44="Hybrid car",$D44=4),$E44*'UK '!D$25,AND($C44="Hybrid car",$D44=5),$E44*'UK '!D$26,AND($C44="Electric motorcycle",$D44=1),$E44*'UK '!D$28,AND($C44="Electric motorcycle",$D44=2),$E44*'UK '!D$29,AND($C44="Electric bike",$D44=1),$E44*'UK '!D$31,AND($C44="Electric scooter",$D44=1),$E44*'UK '!D$33,AND($C44="Bus",$D44="Almost empty"),$E44*'UK '!I$23,AND($C44="Bus",$D44="Average"),$E44*'UK '!I$24,AND($C44="Bus",$D44="Nearly full"),$E44*'UK '!I$25,AND($C44="Electric bus",$D44="Almost empty"),$E44*'UK '!I$7,AND($C44="Electric bus",$D44="Average"),$E44*'UK '!I$8,AND($C44="Electric bus",$D44="Nearly full"),$E44*'UK '!I$9,AND($C44="Diesel bus",$D44="Almost empty"),$E44*'UK '!I$19,AND($C44="Diesel bus",$D44="Average"),$E44*'UK '!I$20,AND($C44="Diesel bus",$D44="Nearly full"),$E44*'UK '!I$21,AND($C44="Hybrid-electric bus",$D44="Almost empty"),$E44*'UK '!I$11,AND($C44="Hybrid-electric bus",$D44="Average"),$E44*'UK '!I$12,AND($C44="Hybrid-electric bus",$D44="Nearly full"),$E44*'UK '!I$13,AND($C44="Alternative fuel bus",$D44="Almost empty"),$E44*'UK '!I$15,AND($C44="Alternative fuel bus",$D44="Average"),$E44*'UK '!I$16,AND($C44="Alternative fuel bus",$D44="Nearly full"),$E44*'UK '!I$17,AND($C44="Metro, tram, urban light train",$D44="Almost empty"),$E44*'UK '!D$35,AND($C44="Metro, tram, urban light train",$D44="Average"),$E44*'UK '!D$36,AND($C44="Metro, tram, urban light train",$D44="Nearly full"),$E44*'UK '!D$37,AND($C44="Electric passenger train",$D44="Almost empty"),$E44*'UK '!D$39,AND($C44="Electric passenger train",$D44="Average"),$E44*'UK '!D$40,AND($C44="Electric passenger train",$D44="Nearly full"),$E44*'UK '!D$41,AND($C44="Diesel passenger train",$D44="Almost empty"),$E44*'UK '!D$47,AND($C44="Diesel passenger train",$D44="Average"),$E44*'UK '!D$48,AND($C44="Diesel passenger train",$D44="Nearly full"),$E44*'UK '!D$49,AND($C44="Walking"),$E44*0,AND($C44="Bike"),$E44*0,AND($C44="Plane - domestic flight"),$E44*'UK '!$C68,AND($C44="Plane - international - intra EU"),$E44*'UK '!$C70,AND($C44="Plane - international (extra EU)"),$E44*'UK '!$C72)</f>
        <v>#N/A</v>
      </c>
      <c r="N44" s="218"/>
      <c r="O44" s="219"/>
      <c r="P44" s="220"/>
    </row>
    <row r="45" spans="1:16" ht="14.5" customHeight="1" x14ac:dyDescent="0.2">
      <c r="A45" s="222"/>
      <c r="B45" s="30"/>
      <c r="C45" s="15"/>
      <c r="D45" s="15"/>
      <c r="E45" s="125"/>
      <c r="F45" s="128" t="e" cm="1">
        <f t="array" ref="F45">_xlfn.IFS(AND($C45="Fuel car",$D45=1),$E45*'UK '!C$7,AND($C45="Fuel car",$D45=2),$E45*'UK '!C$8,AND($C45="Fuel car",$D45=3),$E45*'UK '!C$9,AND($C45="Fuel car",$D45=4),$E45*'UK '!C$10,AND($C45="Fuel car",$D45=5),$E45*'UK '!C$11,AND($C45="Motorcycle",$D45=1),$E45*'UK '!C$13,AND($C45="Motorcycle",$D45=2),$E45*'UK '!C$14,AND($C45="Electric car",$D45=1),$E45*'UK '!C$16,AND($C45="Electric car",$D45=2),$E45*'UK '!C$17,AND($C45="Electric car",$D45=3),$E45*'UK '!C$18,AND($C45="Electric car",$D45=4),$E45*'UK '!C$19,AND($C45="Electric car",$D45=5),$E45*'UK '!C$20,AND($C45="Hybrid car",$D45=1),$E45*'UK '!C$22,AND($C45="Hybrid car",$D45=2),$E45*'UK '!C$23,AND($C45="Hybrid car",$D45=3),$E45*'UK '!C$24,AND($C45="Hybrid car",$D45=4),$E45*'UK '!C$25,AND($C45="Hybrid car",$D45=5),$E45*'UK '!C$26,AND($C45="Electric motorcycle",$D45=1),$E45*'UK '!C$28,AND($C45="Electric motorcycle",$D45=2),$E45*'UK '!C$29,AND($C45="Electric bike",$D45=1),$E45*'UK '!C$31,AND($C45="Electric scooter",$D45=1),$E45*'UK '!C$33,AND($C45="Bus",$D45="Almost empty"),$E45*'UK '!H$23,AND($C45="Bus",$D45="Average"),$E45*'UK '!H$24,AND($C45="Bus",$D45="Nearly full"),$E45*'UK '!H$25,AND($C45="Electric bus",$D45="Almost empty"),$E45*'UK '!H$7,AND($C45="Electric bus",$D45="Average"),$E45*'UK '!H$8,AND($C45="Electric bus",$D45="Nearly full"),$E45*'UK '!H$9,AND($C45="Diesel bus",$D45="Almost empty"),$E45*'UK '!H$19,AND($C45="Diesel bus",$D45="Average"),$E45*'UK '!H$20,AND($C45="Diesel bus",$D45="Nearly full"),$E45*'UK '!H$21,AND($C45="Hybrid-electric bus",$D45="Almost empty"),$E45*'UK '!H$11,AND($C45="Hybrid-electric bus",$D45="Average"),$E45*'UK '!H$12,AND($C45="Hybrid-electric bus",$D45="Nearly full"),$E45*'UK '!H$13,AND($C45="Alternative fuel bus",$D45="Almost empty"),$E45*'UK '!H$15,AND($C45="Alternative fuel bus",$D45="Average"),$E45*'UK '!H$16,AND($C45="Alternative fuel bus",$D45="Nearly full"),$E45*'UK '!H$17,AND($C45="Metro, tram, urban light train",$D45="Almost empty"),$E45*'UK '!C$35,AND($C45="Metro, tram, urban light train",$D45="Average"),$E45*'UK '!C$36,AND($C45="Metro, tram, urban light train",$D45="Nearly full"),$E45*'UK '!C$37,AND($C45="Electric passenger train",$D45="Almost empty"),$E45*'UK '!C$39,AND($C45="Electric passenger train",$D45="Average"),$E45*'UK '!C$40,AND($C45="Electric passenger train",$D45="Nearly full"),$E45*'UK '!C$41,AND($C45="Diesel passenger train",$D45="Almost empty"),$E45*'UK '!C$47,AND($C45="Diesel passenger train",$D45="Average"),$E45*'UK '!C$48,AND($C45="Diesel passenger train",$D45="Nearly full"),$E45*'UK '!C$49,AND($C45="Walking"),$E45*0,AND($C45="Bike"),$E45*0,AND($C45="Plane - domestic flight"),$E45*'UK '!$C69,AND($C45="Plane - international - intra EU"),$E45*'UK '!$C71,AND($C45="Plane - international (extra EU)"),$E45*'UK '!$C73)</f>
        <v>#N/A</v>
      </c>
      <c r="G45" s="31" t="e" cm="1">
        <f t="array" ref="G45">_xlfn.IFS(AND($C45="Fuel car",$D45=1),$E45*'UK '!D$7,AND($C45="Fuel car",$D45=2),$E45*'UK '!D$8,AND($C45="Fuel car",$D45=3),$E45*'UK '!D$9,AND($C45="Fuel car",$D45=4),$E45*'UK '!D$10,AND($C45="Fuel car",$D45=5),$E45*'UK '!D$11,AND($C45="Motorcycle",$D45=1),$E45*'UK '!D$13,AND($C45="Motorcycle",$D45=2),$E45*'UK '!D$14,AND($C45="Electric car",$D45=1),$E45*'UK '!D$16,AND($C45="Electric car",$D45=2),$E45*'UK '!D$17,AND($C45="Electric car",$D45=3),$E45*'UK '!D$18,AND($C45="Electric car",$D45=4),$E45*'UK '!D$19,AND($C45="Electric car",$D45=5),$E45*'UK '!D$20,AND($C45="Hybrid car",$D45=1),$E45*'UK '!D$22,AND($C45="Hybrid car",$D45=2),$E45*'UK '!D$23,AND($C45="Hybrid car",$D45=3),$E45*'UK '!D$24,AND($C45="Hybrid car",$D45=4),$E45*'UK '!D$25,AND($C45="Hybrid car",$D45=5),$E45*'UK '!D$26,AND($C45="Electric motorcycle",$D45=1),$E45*'UK '!D$28,AND($C45="Electric motorcycle",$D45=2),$E45*'UK '!D$29,AND($C45="Electric bike",$D45=1),$E45*'UK '!D$31,AND($C45="Electric scooter",$D45=1),$E45*'UK '!D$33,AND($C45="Bus",$D45="Almost empty"),$E45*'UK '!I$23,AND($C45="Bus",$D45="Average"),$E45*'UK '!I$24,AND($C45="Bus",$D45="Nearly full"),$E45*'UK '!I$25,AND($C45="Electric bus",$D45="Almost empty"),$E45*'UK '!I$7,AND($C45="Electric bus",$D45="Average"),$E45*'UK '!I$8,AND($C45="Electric bus",$D45="Nearly full"),$E45*'UK '!I$9,AND($C45="Diesel bus",$D45="Almost empty"),$E45*'UK '!I$19,AND($C45="Diesel bus",$D45="Average"),$E45*'UK '!I$20,AND($C45="Diesel bus",$D45="Nearly full"),$E45*'UK '!I$21,AND($C45="Hybrid-electric bus",$D45="Almost empty"),$E45*'UK '!I$11,AND($C45="Hybrid-electric bus",$D45="Average"),$E45*'UK '!I$12,AND($C45="Hybrid-electric bus",$D45="Nearly full"),$E45*'UK '!I$13,AND($C45="Alternative fuel bus",$D45="Almost empty"),$E45*'UK '!I$15,AND($C45="Alternative fuel bus",$D45="Average"),$E45*'UK '!I$16,AND($C45="Alternative fuel bus",$D45="Nearly full"),$E45*'UK '!I$17,AND($C45="Metro, tram, urban light train",$D45="Almost empty"),$E45*'UK '!D$35,AND($C45="Metro, tram, urban light train",$D45="Average"),$E45*'UK '!D$36,AND($C45="Metro, tram, urban light train",$D45="Nearly full"),$E45*'UK '!D$37,AND($C45="Electric passenger train",$D45="Almost empty"),$E45*'UK '!D$39,AND($C45="Electric passenger train",$D45="Average"),$E45*'UK '!D$40,AND($C45="Electric passenger train",$D45="Nearly full"),$E45*'UK '!D$41,AND($C45="Diesel passenger train",$D45="Almost empty"),$E45*'UK '!D$47,AND($C45="Diesel passenger train",$D45="Average"),$E45*'UK '!D$48,AND($C45="Diesel passenger train",$D45="Nearly full"),$E45*'UK '!D$49,AND($C45="Walking"),$E45*0,AND($C45="Bike"),$E45*0,AND($C45="Plane - domestic flight"),$E45*'UK '!$C69,AND($C45="Plane - international - intra EU"),$E45*'UK '!$C71,AND($C45="Plane - international (extra EU)"),$E45*'UK '!$C73)</f>
        <v>#N/A</v>
      </c>
      <c r="N45" s="198" t="s">
        <v>256</v>
      </c>
      <c r="O45" s="199"/>
      <c r="P45" s="200"/>
    </row>
    <row r="46" spans="1:16" ht="16" thickBot="1" x14ac:dyDescent="0.25">
      <c r="A46" s="222"/>
      <c r="B46" s="30"/>
      <c r="C46" s="15"/>
      <c r="D46" s="15"/>
      <c r="E46" s="125"/>
      <c r="F46" s="128" t="e" cm="1">
        <f t="array" ref="F46">_xlfn.IFS(AND($C46="Fuel car",$D46=1),$E46*'UK '!C$7,AND($C46="Fuel car",$D46=2),$E46*'UK '!C$8,AND($C46="Fuel car",$D46=3),$E46*'UK '!C$9,AND($C46="Fuel car",$D46=4),$E46*'UK '!C$10,AND($C46="Fuel car",$D46=5),$E46*'UK '!C$11,AND($C46="Motorcycle",$D46=1),$E46*'UK '!C$13,AND($C46="Motorcycle",$D46=2),$E46*'UK '!C$14,AND($C46="Electric car",$D46=1),$E46*'UK '!C$16,AND($C46="Electric car",$D46=2),$E46*'UK '!C$17,AND($C46="Electric car",$D46=3),$E46*'UK '!C$18,AND($C46="Electric car",$D46=4),$E46*'UK '!C$19,AND($C46="Electric car",$D46=5),$E46*'UK '!C$20,AND($C46="Hybrid car",$D46=1),$E46*'UK '!C$22,AND($C46="Hybrid car",$D46=2),$E46*'UK '!C$23,AND($C46="Hybrid car",$D46=3),$E46*'UK '!C$24,AND($C46="Hybrid car",$D46=4),$E46*'UK '!C$25,AND($C46="Hybrid car",$D46=5),$E46*'UK '!C$26,AND($C46="Electric motorcycle",$D46=1),$E46*'UK '!C$28,AND($C46="Electric motorcycle",$D46=2),$E46*'UK '!C$29,AND($C46="Electric bike",$D46=1),$E46*'UK '!C$31,AND($C46="Electric scooter",$D46=1),$E46*'UK '!C$33,AND($C46="Bus",$D46="Almost empty"),$E46*'UK '!H$23,AND($C46="Bus",$D46="Average"),$E46*'UK '!H$24,AND($C46="Bus",$D46="Nearly full"),$E46*'UK '!H$25,AND($C46="Electric bus",$D46="Almost empty"),$E46*'UK '!H$7,AND($C46="Electric bus",$D46="Average"),$E46*'UK '!H$8,AND($C46="Electric bus",$D46="Nearly full"),$E46*'UK '!H$9,AND($C46="Diesel bus",$D46="Almost empty"),$E46*'UK '!H$19,AND($C46="Diesel bus",$D46="Average"),$E46*'UK '!H$20,AND($C46="Diesel bus",$D46="Nearly full"),$E46*'UK '!H$21,AND($C46="Hybrid-electric bus",$D46="Almost empty"),$E46*'UK '!H$11,AND($C46="Hybrid-electric bus",$D46="Average"),$E46*'UK '!H$12,AND($C46="Hybrid-electric bus",$D46="Nearly full"),$E46*'UK '!H$13,AND($C46="Alternative fuel bus",$D46="Almost empty"),$E46*'UK '!H$15,AND($C46="Alternative fuel bus",$D46="Average"),$E46*'UK '!H$16,AND($C46="Alternative fuel bus",$D46="Nearly full"),$E46*'UK '!H$17,AND($C46="Metro, tram, urban light train",$D46="Almost empty"),$E46*'UK '!C$35,AND($C46="Metro, tram, urban light train",$D46="Average"),$E46*'UK '!C$36,AND($C46="Metro, tram, urban light train",$D46="Nearly full"),$E46*'UK '!C$37,AND($C46="Electric passenger train",$D46="Almost empty"),$E46*'UK '!C$39,AND($C46="Electric passenger train",$D46="Average"),$E46*'UK '!C$40,AND($C46="Electric passenger train",$D46="Nearly full"),$E46*'UK '!C$41,AND($C46="Diesel passenger train",$D46="Almost empty"),$E46*'UK '!C$47,AND($C46="Diesel passenger train",$D46="Average"),$E46*'UK '!C$48,AND($C46="Diesel passenger train",$D46="Nearly full"),$E46*'UK '!C$49,AND($C46="Walking"),$E46*0,AND($C46="Bike"),$E46*0,AND($C46="Plane - domestic flight"),$E46*'UK '!$C70,AND($C46="Plane - international - intra EU"),$E46*'UK '!$C72,AND($C46="Plane - international (extra EU)"),$E46*'UK '!$C74)</f>
        <v>#N/A</v>
      </c>
      <c r="G46" s="31" t="e" cm="1">
        <f t="array" ref="G46">_xlfn.IFS(AND($C46="Fuel car",$D46=1),$E46*'UK '!D$7,AND($C46="Fuel car",$D46=2),$E46*'UK '!D$8,AND($C46="Fuel car",$D46=3),$E46*'UK '!D$9,AND($C46="Fuel car",$D46=4),$E46*'UK '!D$10,AND($C46="Fuel car",$D46=5),$E46*'UK '!D$11,AND($C46="Motorcycle",$D46=1),$E46*'UK '!D$13,AND($C46="Motorcycle",$D46=2),$E46*'UK '!D$14,AND($C46="Electric car",$D46=1),$E46*'UK '!D$16,AND($C46="Electric car",$D46=2),$E46*'UK '!D$17,AND($C46="Electric car",$D46=3),$E46*'UK '!D$18,AND($C46="Electric car",$D46=4),$E46*'UK '!D$19,AND($C46="Electric car",$D46=5),$E46*'UK '!D$20,AND($C46="Hybrid car",$D46=1),$E46*'UK '!D$22,AND($C46="Hybrid car",$D46=2),$E46*'UK '!D$23,AND($C46="Hybrid car",$D46=3),$E46*'UK '!D$24,AND($C46="Hybrid car",$D46=4),$E46*'UK '!D$25,AND($C46="Hybrid car",$D46=5),$E46*'UK '!D$26,AND($C46="Electric motorcycle",$D46=1),$E46*'UK '!D$28,AND($C46="Electric motorcycle",$D46=2),$E46*'UK '!D$29,AND($C46="Electric bike",$D46=1),$E46*'UK '!D$31,AND($C46="Electric scooter",$D46=1),$E46*'UK '!D$33,AND($C46="Bus",$D46="Almost empty"),$E46*'UK '!I$23,AND($C46="Bus",$D46="Average"),$E46*'UK '!I$24,AND($C46="Bus",$D46="Nearly full"),$E46*'UK '!I$25,AND($C46="Electric bus",$D46="Almost empty"),$E46*'UK '!I$7,AND($C46="Electric bus",$D46="Average"),$E46*'UK '!I$8,AND($C46="Electric bus",$D46="Nearly full"),$E46*'UK '!I$9,AND($C46="Diesel bus",$D46="Almost empty"),$E46*'UK '!I$19,AND($C46="Diesel bus",$D46="Average"),$E46*'UK '!I$20,AND($C46="Diesel bus",$D46="Nearly full"),$E46*'UK '!I$21,AND($C46="Hybrid-electric bus",$D46="Almost empty"),$E46*'UK '!I$11,AND($C46="Hybrid-electric bus",$D46="Average"),$E46*'UK '!I$12,AND($C46="Hybrid-electric bus",$D46="Nearly full"),$E46*'UK '!I$13,AND($C46="Alternative fuel bus",$D46="Almost empty"),$E46*'UK '!I$15,AND($C46="Alternative fuel bus",$D46="Average"),$E46*'UK '!I$16,AND($C46="Alternative fuel bus",$D46="Nearly full"),$E46*'UK '!I$17,AND($C46="Metro, tram, urban light train",$D46="Almost empty"),$E46*'UK '!D$35,AND($C46="Metro, tram, urban light train",$D46="Average"),$E46*'UK '!D$36,AND($C46="Metro, tram, urban light train",$D46="Nearly full"),$E46*'UK '!D$37,AND($C46="Electric passenger train",$D46="Almost empty"),$E46*'UK '!D$39,AND($C46="Electric passenger train",$D46="Average"),$E46*'UK '!D$40,AND($C46="Electric passenger train",$D46="Nearly full"),$E46*'UK '!D$41,AND($C46="Diesel passenger train",$D46="Almost empty"),$E46*'UK '!D$47,AND($C46="Diesel passenger train",$D46="Average"),$E46*'UK '!D$48,AND($C46="Diesel passenger train",$D46="Nearly full"),$E46*'UK '!D$49,AND($C46="Walking"),$E46*0,AND($C46="Bike"),$E46*0,AND($C46="Plane - domestic flight"),$E46*'UK '!$C70,AND($C46="Plane - international - intra EU"),$E46*'UK '!$C72,AND($C46="Plane - international (extra EU)"),$E46*'UK '!$C74)</f>
        <v>#N/A</v>
      </c>
      <c r="N46" s="246"/>
      <c r="O46" s="247"/>
      <c r="P46" s="248"/>
    </row>
    <row r="47" spans="1:16" ht="20" thickBot="1" x14ac:dyDescent="0.25">
      <c r="A47" s="222"/>
      <c r="B47" s="30"/>
      <c r="C47" s="15"/>
      <c r="D47" s="15"/>
      <c r="E47" s="125"/>
      <c r="F47" s="128" t="e" cm="1">
        <f t="array" ref="F47">_xlfn.IFS(AND($C47="Fuel car",$D47=1),$E47*'UK '!C$7,AND($C47="Fuel car",$D47=2),$E47*'UK '!C$8,AND($C47="Fuel car",$D47=3),$E47*'UK '!C$9,AND($C47="Fuel car",$D47=4),$E47*'UK '!C$10,AND($C47="Fuel car",$D47=5),$E47*'UK '!C$11,AND($C47="Motorcycle",$D47=1),$E47*'UK '!C$13,AND($C47="Motorcycle",$D47=2),$E47*'UK '!C$14,AND($C47="Electric car",$D47=1),$E47*'UK '!C$16,AND($C47="Electric car",$D47=2),$E47*'UK '!C$17,AND($C47="Electric car",$D47=3),$E47*'UK '!C$18,AND($C47="Electric car",$D47=4),$E47*'UK '!C$19,AND($C47="Electric car",$D47=5),$E47*'UK '!C$20,AND($C47="Hybrid car",$D47=1),$E47*'UK '!C$22,AND($C47="Hybrid car",$D47=2),$E47*'UK '!C$23,AND($C47="Hybrid car",$D47=3),$E47*'UK '!C$24,AND($C47="Hybrid car",$D47=4),$E47*'UK '!C$25,AND($C47="Hybrid car",$D47=5),$E47*'UK '!C$26,AND($C47="Electric motorcycle",$D47=1),$E47*'UK '!C$28,AND($C47="Electric motorcycle",$D47=2),$E47*'UK '!C$29,AND($C47="Electric bike",$D47=1),$E47*'UK '!C$31,AND($C47="Electric scooter",$D47=1),$E47*'UK '!C$33,AND($C47="Bus",$D47="Almost empty"),$E47*'UK '!H$23,AND($C47="Bus",$D47="Average"),$E47*'UK '!H$24,AND($C47="Bus",$D47="Nearly full"),$E47*'UK '!H$25,AND($C47="Electric bus",$D47="Almost empty"),$E47*'UK '!H$7,AND($C47="Electric bus",$D47="Average"),$E47*'UK '!H$8,AND($C47="Electric bus",$D47="Nearly full"),$E47*'UK '!H$9,AND($C47="Diesel bus",$D47="Almost empty"),$E47*'UK '!H$19,AND($C47="Diesel bus",$D47="Average"),$E47*'UK '!H$20,AND($C47="Diesel bus",$D47="Nearly full"),$E47*'UK '!H$21,AND($C47="Hybrid-electric bus",$D47="Almost empty"),$E47*'UK '!H$11,AND($C47="Hybrid-electric bus",$D47="Average"),$E47*'UK '!H$12,AND($C47="Hybrid-electric bus",$D47="Nearly full"),$E47*'UK '!H$13,AND($C47="Alternative fuel bus",$D47="Almost empty"),$E47*'UK '!H$15,AND($C47="Alternative fuel bus",$D47="Average"),$E47*'UK '!H$16,AND($C47="Alternative fuel bus",$D47="Nearly full"),$E47*'UK '!H$17,AND($C47="Metro, tram, urban light train",$D47="Almost empty"),$E47*'UK '!C$35,AND($C47="Metro, tram, urban light train",$D47="Average"),$E47*'UK '!C$36,AND($C47="Metro, tram, urban light train",$D47="Nearly full"),$E47*'UK '!C$37,AND($C47="Electric passenger train",$D47="Almost empty"),$E47*'UK '!C$39,AND($C47="Electric passenger train",$D47="Average"),$E47*'UK '!C$40,AND($C47="Electric passenger train",$D47="Nearly full"),$E47*'UK '!C$41,AND($C47="Diesel passenger train",$D47="Almost empty"),$E47*'UK '!C$47,AND($C47="Diesel passenger train",$D47="Average"),$E47*'UK '!C$48,AND($C47="Diesel passenger train",$D47="Nearly full"),$E47*'UK '!C$49,AND($C47="Walking"),$E47*0,AND($C47="Bike"),$E47*0,AND($C47="Plane - domestic flight"),$E47*'UK '!$C71,AND($C47="Plane - international - intra EU"),$E47*'UK '!$C73,AND($C47="Plane - international (extra EU)"),$E47*'UK '!$C75)</f>
        <v>#N/A</v>
      </c>
      <c r="G47" s="31" t="e" cm="1">
        <f t="array" ref="G47">_xlfn.IFS(AND($C47="Fuel car",$D47=1),$E47*'UK '!D$7,AND($C47="Fuel car",$D47=2),$E47*'UK '!D$8,AND($C47="Fuel car",$D47=3),$E47*'UK '!D$9,AND($C47="Fuel car",$D47=4),$E47*'UK '!D$10,AND($C47="Fuel car",$D47=5),$E47*'UK '!D$11,AND($C47="Motorcycle",$D47=1),$E47*'UK '!D$13,AND($C47="Motorcycle",$D47=2),$E47*'UK '!D$14,AND($C47="Electric car",$D47=1),$E47*'UK '!D$16,AND($C47="Electric car",$D47=2),$E47*'UK '!D$17,AND($C47="Electric car",$D47=3),$E47*'UK '!D$18,AND($C47="Electric car",$D47=4),$E47*'UK '!D$19,AND($C47="Electric car",$D47=5),$E47*'UK '!D$20,AND($C47="Hybrid car",$D47=1),$E47*'UK '!D$22,AND($C47="Hybrid car",$D47=2),$E47*'UK '!D$23,AND($C47="Hybrid car",$D47=3),$E47*'UK '!D$24,AND($C47="Hybrid car",$D47=4),$E47*'UK '!D$25,AND($C47="Hybrid car",$D47=5),$E47*'UK '!D$26,AND($C47="Electric motorcycle",$D47=1),$E47*'UK '!D$28,AND($C47="Electric motorcycle",$D47=2),$E47*'UK '!D$29,AND($C47="Electric bike",$D47=1),$E47*'UK '!D$31,AND($C47="Electric scooter",$D47=1),$E47*'UK '!D$33,AND($C47="Bus",$D47="Almost empty"),$E47*'UK '!I$23,AND($C47="Bus",$D47="Average"),$E47*'UK '!I$24,AND($C47="Bus",$D47="Nearly full"),$E47*'UK '!I$25,AND($C47="Electric bus",$D47="Almost empty"),$E47*'UK '!I$7,AND($C47="Electric bus",$D47="Average"),$E47*'UK '!I$8,AND($C47="Electric bus",$D47="Nearly full"),$E47*'UK '!I$9,AND($C47="Diesel bus",$D47="Almost empty"),$E47*'UK '!I$19,AND($C47="Diesel bus",$D47="Average"),$E47*'UK '!I$20,AND($C47="Diesel bus",$D47="Nearly full"),$E47*'UK '!I$21,AND($C47="Hybrid-electric bus",$D47="Almost empty"),$E47*'UK '!I$11,AND($C47="Hybrid-electric bus",$D47="Average"),$E47*'UK '!I$12,AND($C47="Hybrid-electric bus",$D47="Nearly full"),$E47*'UK '!I$13,AND($C47="Alternative fuel bus",$D47="Almost empty"),$E47*'UK '!I$15,AND($C47="Alternative fuel bus",$D47="Average"),$E47*'UK '!I$16,AND($C47="Alternative fuel bus",$D47="Nearly full"),$E47*'UK '!I$17,AND($C47="Metro, tram, urban light train",$D47="Almost empty"),$E47*'UK '!D$35,AND($C47="Metro, tram, urban light train",$D47="Average"),$E47*'UK '!D$36,AND($C47="Metro, tram, urban light train",$D47="Nearly full"),$E47*'UK '!D$37,AND($C47="Electric passenger train",$D47="Almost empty"),$E47*'UK '!D$39,AND($C47="Electric passenger train",$D47="Average"),$E47*'UK '!D$40,AND($C47="Electric passenger train",$D47="Nearly full"),$E47*'UK '!D$41,AND($C47="Diesel passenger train",$D47="Almost empty"),$E47*'UK '!D$47,AND($C47="Diesel passenger train",$D47="Average"),$E47*'UK '!D$48,AND($C47="Diesel passenger train",$D47="Nearly full"),$E47*'UK '!D$49,AND($C47="Walking"),$E47*0,AND($C47="Bike"),$E47*0,AND($C47="Plane - domestic flight"),$E47*'UK '!$C71,AND($C47="Plane - international - intra EU"),$E47*'UK '!$C73,AND($C47="Plane - international (extra EU)"),$E47*'UK '!$C75)</f>
        <v>#N/A</v>
      </c>
      <c r="N47" s="238" t="s">
        <v>56</v>
      </c>
      <c r="O47" s="239"/>
      <c r="P47" s="240"/>
    </row>
    <row r="48" spans="1:16" ht="16" thickBot="1" x14ac:dyDescent="0.25">
      <c r="A48" s="222"/>
      <c r="B48" s="30"/>
      <c r="C48" s="15"/>
      <c r="D48" s="15"/>
      <c r="E48" s="125"/>
      <c r="F48" s="128" t="e" cm="1">
        <f t="array" ref="F48">_xlfn.IFS(AND($C48="Fuel car",$D48=1),$E48*'UK '!C$7,AND($C48="Fuel car",$D48=2),$E48*'UK '!C$8,AND($C48="Fuel car",$D48=3),$E48*'UK '!C$9,AND($C48="Fuel car",$D48=4),$E48*'UK '!C$10,AND($C48="Fuel car",$D48=5),$E48*'UK '!C$11,AND($C48="Motorcycle",$D48=1),$E48*'UK '!C$13,AND($C48="Motorcycle",$D48=2),$E48*'UK '!C$14,AND($C48="Electric car",$D48=1),$E48*'UK '!C$16,AND($C48="Electric car",$D48=2),$E48*'UK '!C$17,AND($C48="Electric car",$D48=3),$E48*'UK '!C$18,AND($C48="Electric car",$D48=4),$E48*'UK '!C$19,AND($C48="Electric car",$D48=5),$E48*'UK '!C$20,AND($C48="Hybrid car",$D48=1),$E48*'UK '!C$22,AND($C48="Hybrid car",$D48=2),$E48*'UK '!C$23,AND($C48="Hybrid car",$D48=3),$E48*'UK '!C$24,AND($C48="Hybrid car",$D48=4),$E48*'UK '!C$25,AND($C48="Hybrid car",$D48=5),$E48*'UK '!C$26,AND($C48="Electric motorcycle",$D48=1),$E48*'UK '!C$28,AND($C48="Electric motorcycle",$D48=2),$E48*'UK '!C$29,AND($C48="Electric bike",$D48=1),$E48*'UK '!C$31,AND($C48="Electric scooter",$D48=1),$E48*'UK '!C$33,AND($C48="Bus",$D48="Almost empty"),$E48*'UK '!H$23,AND($C48="Bus",$D48="Average"),$E48*'UK '!H$24,AND($C48="Bus",$D48="Nearly full"),$E48*'UK '!H$25,AND($C48="Electric bus",$D48="Almost empty"),$E48*'UK '!H$7,AND($C48="Electric bus",$D48="Average"),$E48*'UK '!H$8,AND($C48="Electric bus",$D48="Nearly full"),$E48*'UK '!H$9,AND($C48="Diesel bus",$D48="Almost empty"),$E48*'UK '!H$19,AND($C48="Diesel bus",$D48="Average"),$E48*'UK '!H$20,AND($C48="Diesel bus",$D48="Nearly full"),$E48*'UK '!H$21,AND($C48="Hybrid-electric bus",$D48="Almost empty"),$E48*'UK '!H$11,AND($C48="Hybrid-electric bus",$D48="Average"),$E48*'UK '!H$12,AND($C48="Hybrid-electric bus",$D48="Nearly full"),$E48*'UK '!H$13,AND($C48="Alternative fuel bus",$D48="Almost empty"),$E48*'UK '!H$15,AND($C48="Alternative fuel bus",$D48="Average"),$E48*'UK '!H$16,AND($C48="Alternative fuel bus",$D48="Nearly full"),$E48*'UK '!H$17,AND($C48="Metro, tram, urban light train",$D48="Almost empty"),$E48*'UK '!C$35,AND($C48="Metro, tram, urban light train",$D48="Average"),$E48*'UK '!C$36,AND($C48="Metro, tram, urban light train",$D48="Nearly full"),$E48*'UK '!C$37,AND($C48="Electric passenger train",$D48="Almost empty"),$E48*'UK '!C$39,AND($C48="Electric passenger train",$D48="Average"),$E48*'UK '!C$40,AND($C48="Electric passenger train",$D48="Nearly full"),$E48*'UK '!C$41,AND($C48="Diesel passenger train",$D48="Almost empty"),$E48*'UK '!C$47,AND($C48="Diesel passenger train",$D48="Average"),$E48*'UK '!C$48,AND($C48="Diesel passenger train",$D48="Nearly full"),$E48*'UK '!C$49,AND($C48="Walking"),$E48*0,AND($C48="Bike"),$E48*0,AND($C48="Plane - domestic flight"),$E48*'UK '!$C72,AND($C48="Plane - international - intra EU"),$E48*'UK '!$C74,AND($C48="Plane - international (extra EU)"),$E48*'UK '!$C76)</f>
        <v>#N/A</v>
      </c>
      <c r="G48" s="31" t="e" cm="1">
        <f t="array" ref="G48">_xlfn.IFS(AND($C48="Fuel car",$D48=1),$E48*'UK '!D$7,AND($C48="Fuel car",$D48=2),$E48*'UK '!D$8,AND($C48="Fuel car",$D48=3),$E48*'UK '!D$9,AND($C48="Fuel car",$D48=4),$E48*'UK '!D$10,AND($C48="Fuel car",$D48=5),$E48*'UK '!D$11,AND($C48="Motorcycle",$D48=1),$E48*'UK '!D$13,AND($C48="Motorcycle",$D48=2),$E48*'UK '!D$14,AND($C48="Electric car",$D48=1),$E48*'UK '!D$16,AND($C48="Electric car",$D48=2),$E48*'UK '!D$17,AND($C48="Electric car",$D48=3),$E48*'UK '!D$18,AND($C48="Electric car",$D48=4),$E48*'UK '!D$19,AND($C48="Electric car",$D48=5),$E48*'UK '!D$20,AND($C48="Hybrid car",$D48=1),$E48*'UK '!D$22,AND($C48="Hybrid car",$D48=2),$E48*'UK '!D$23,AND($C48="Hybrid car",$D48=3),$E48*'UK '!D$24,AND($C48="Hybrid car",$D48=4),$E48*'UK '!D$25,AND($C48="Hybrid car",$D48=5),$E48*'UK '!D$26,AND($C48="Electric motorcycle",$D48=1),$E48*'UK '!D$28,AND($C48="Electric motorcycle",$D48=2),$E48*'UK '!D$29,AND($C48="Electric bike",$D48=1),$E48*'UK '!D$31,AND($C48="Electric scooter",$D48=1),$E48*'UK '!D$33,AND($C48="Bus",$D48="Almost empty"),$E48*'UK '!I$23,AND($C48="Bus",$D48="Average"),$E48*'UK '!I$24,AND($C48="Bus",$D48="Nearly full"),$E48*'UK '!I$25,AND($C48="Electric bus",$D48="Almost empty"),$E48*'UK '!I$7,AND($C48="Electric bus",$D48="Average"),$E48*'UK '!I$8,AND($C48="Electric bus",$D48="Nearly full"),$E48*'UK '!I$9,AND($C48="Diesel bus",$D48="Almost empty"),$E48*'UK '!I$19,AND($C48="Diesel bus",$D48="Average"),$E48*'UK '!I$20,AND($C48="Diesel bus",$D48="Nearly full"),$E48*'UK '!I$21,AND($C48="Hybrid-electric bus",$D48="Almost empty"),$E48*'UK '!I$11,AND($C48="Hybrid-electric bus",$D48="Average"),$E48*'UK '!I$12,AND($C48="Hybrid-electric bus",$D48="Nearly full"),$E48*'UK '!I$13,AND($C48="Alternative fuel bus",$D48="Almost empty"),$E48*'UK '!I$15,AND($C48="Alternative fuel bus",$D48="Average"),$E48*'UK '!I$16,AND($C48="Alternative fuel bus",$D48="Nearly full"),$E48*'UK '!I$17,AND($C48="Metro, tram, urban light train",$D48="Almost empty"),$E48*'UK '!D$35,AND($C48="Metro, tram, urban light train",$D48="Average"),$E48*'UK '!D$36,AND($C48="Metro, tram, urban light train",$D48="Nearly full"),$E48*'UK '!D$37,AND($C48="Electric passenger train",$D48="Almost empty"),$E48*'UK '!D$39,AND($C48="Electric passenger train",$D48="Average"),$E48*'UK '!D$40,AND($C48="Electric passenger train",$D48="Nearly full"),$E48*'UK '!D$41,AND($C48="Diesel passenger train",$D48="Almost empty"),$E48*'UK '!D$47,AND($C48="Diesel passenger train",$D48="Average"),$E48*'UK '!D$48,AND($C48="Diesel passenger train",$D48="Nearly full"),$E48*'UK '!D$49,AND($C48="Walking"),$E48*0,AND($C48="Bike"),$E48*0,AND($C48="Plane - domestic flight"),$E48*'UK '!$C72,AND($C48="Plane - international - intra EU"),$E48*'UK '!$C74,AND($C48="Plane - international (extra EU)"),$E48*'UK '!$C76)</f>
        <v>#N/A</v>
      </c>
      <c r="H48" s="196" t="s">
        <v>67</v>
      </c>
      <c r="I48" s="197"/>
      <c r="N48" s="249"/>
      <c r="O48" s="250"/>
      <c r="P48" s="251"/>
    </row>
    <row r="49" spans="1:16" x14ac:dyDescent="0.2">
      <c r="A49" s="222"/>
      <c r="B49" s="30"/>
      <c r="C49" s="15"/>
      <c r="D49" s="15"/>
      <c r="E49" s="125"/>
      <c r="F49" s="128" t="e" cm="1">
        <f t="array" ref="F49">_xlfn.IFS(AND($C49="Fuel car",$D49=1),$E49*'UK '!C$7,AND($C49="Fuel car",$D49=2),$E49*'UK '!C$8,AND($C49="Fuel car",$D49=3),$E49*'UK '!C$9,AND($C49="Fuel car",$D49=4),$E49*'UK '!C$10,AND($C49="Fuel car",$D49=5),$E49*'UK '!C$11,AND($C49="Motorcycle",$D49=1),$E49*'UK '!C$13,AND($C49="Motorcycle",$D49=2),$E49*'UK '!C$14,AND($C49="Electric car",$D49=1),$E49*'UK '!C$16,AND($C49="Electric car",$D49=2),$E49*'UK '!C$17,AND($C49="Electric car",$D49=3),$E49*'UK '!C$18,AND($C49="Electric car",$D49=4),$E49*'UK '!C$19,AND($C49="Electric car",$D49=5),$E49*'UK '!C$20,AND($C49="Hybrid car",$D49=1),$E49*'UK '!C$22,AND($C49="Hybrid car",$D49=2),$E49*'UK '!C$23,AND($C49="Hybrid car",$D49=3),$E49*'UK '!C$24,AND($C49="Hybrid car",$D49=4),$E49*'UK '!C$25,AND($C49="Hybrid car",$D49=5),$E49*'UK '!C$26,AND($C49="Electric motorcycle",$D49=1),$E49*'UK '!C$28,AND($C49="Electric motorcycle",$D49=2),$E49*'UK '!C$29,AND($C49="Electric bike",$D49=1),$E49*'UK '!C$31,AND($C49="Electric scooter",$D49=1),$E49*'UK '!C$33,AND($C49="Bus",$D49="Almost empty"),$E49*'UK '!H$23,AND($C49="Bus",$D49="Average"),$E49*'UK '!H$24,AND($C49="Bus",$D49="Nearly full"),$E49*'UK '!H$25,AND($C49="Electric bus",$D49="Almost empty"),$E49*'UK '!H$7,AND($C49="Electric bus",$D49="Average"),$E49*'UK '!H$8,AND($C49="Electric bus",$D49="Nearly full"),$E49*'UK '!H$9,AND($C49="Diesel bus",$D49="Almost empty"),$E49*'UK '!H$19,AND($C49="Diesel bus",$D49="Average"),$E49*'UK '!H$20,AND($C49="Diesel bus",$D49="Nearly full"),$E49*'UK '!H$21,AND($C49="Hybrid-electric bus",$D49="Almost empty"),$E49*'UK '!H$11,AND($C49="Hybrid-electric bus",$D49="Average"),$E49*'UK '!H$12,AND($C49="Hybrid-electric bus",$D49="Nearly full"),$E49*'UK '!H$13,AND($C49="Alternative fuel bus",$D49="Almost empty"),$E49*'UK '!H$15,AND($C49="Alternative fuel bus",$D49="Average"),$E49*'UK '!H$16,AND($C49="Alternative fuel bus",$D49="Nearly full"),$E49*'UK '!H$17,AND($C49="Metro, tram, urban light train",$D49="Almost empty"),$E49*'UK '!C$35,AND($C49="Metro, tram, urban light train",$D49="Average"),$E49*'UK '!C$36,AND($C49="Metro, tram, urban light train",$D49="Nearly full"),$E49*'UK '!C$37,AND($C49="Electric passenger train",$D49="Almost empty"),$E49*'UK '!C$39,AND($C49="Electric passenger train",$D49="Average"),$E49*'UK '!C$40,AND($C49="Electric passenger train",$D49="Nearly full"),$E49*'UK '!C$41,AND($C49="Diesel passenger train",$D49="Almost empty"),$E49*'UK '!C$47,AND($C49="Diesel passenger train",$D49="Average"),$E49*'UK '!C$48,AND($C49="Diesel passenger train",$D49="Nearly full"),$E49*'UK '!C$49,AND($C49="Walking"),$E49*0,AND($C49="Bike"),$E49*0,AND($C49="Plane - domestic flight"),$E49*'UK '!$C73,AND($C49="Plane - international - intra EU"),$E49*'UK '!$C75,AND($C49="Plane - international (extra EU)"),$E49*'UK '!$C77)</f>
        <v>#N/A</v>
      </c>
      <c r="G49" s="31" t="e" cm="1">
        <f t="array" ref="G49">_xlfn.IFS(AND($C49="Fuel car",$D49=1),$E49*'UK '!D$7,AND($C49="Fuel car",$D49=2),$E49*'UK '!D$8,AND($C49="Fuel car",$D49=3),$E49*'UK '!D$9,AND($C49="Fuel car",$D49=4),$E49*'UK '!D$10,AND($C49="Fuel car",$D49=5),$E49*'UK '!D$11,AND($C49="Motorcycle",$D49=1),$E49*'UK '!D$13,AND($C49="Motorcycle",$D49=2),$E49*'UK '!D$14,AND($C49="Electric car",$D49=1),$E49*'UK '!D$16,AND($C49="Electric car",$D49=2),$E49*'UK '!D$17,AND($C49="Electric car",$D49=3),$E49*'UK '!D$18,AND($C49="Electric car",$D49=4),$E49*'UK '!D$19,AND($C49="Electric car",$D49=5),$E49*'UK '!D$20,AND($C49="Hybrid car",$D49=1),$E49*'UK '!D$22,AND($C49="Hybrid car",$D49=2),$E49*'UK '!D$23,AND($C49="Hybrid car",$D49=3),$E49*'UK '!D$24,AND($C49="Hybrid car",$D49=4),$E49*'UK '!D$25,AND($C49="Hybrid car",$D49=5),$E49*'UK '!D$26,AND($C49="Electric motorcycle",$D49=1),$E49*'UK '!D$28,AND($C49="Electric motorcycle",$D49=2),$E49*'UK '!D$29,AND($C49="Electric bike",$D49=1),$E49*'UK '!D$31,AND($C49="Electric scooter",$D49=1),$E49*'UK '!D$33,AND($C49="Bus",$D49="Almost empty"),$E49*'UK '!I$23,AND($C49="Bus",$D49="Average"),$E49*'UK '!I$24,AND($C49="Bus",$D49="Nearly full"),$E49*'UK '!I$25,AND($C49="Electric bus",$D49="Almost empty"),$E49*'UK '!I$7,AND($C49="Electric bus",$D49="Average"),$E49*'UK '!I$8,AND($C49="Electric bus",$D49="Nearly full"),$E49*'UK '!I$9,AND($C49="Diesel bus",$D49="Almost empty"),$E49*'UK '!I$19,AND($C49="Diesel bus",$D49="Average"),$E49*'UK '!I$20,AND($C49="Diesel bus",$D49="Nearly full"),$E49*'UK '!I$21,AND($C49="Hybrid-electric bus",$D49="Almost empty"),$E49*'UK '!I$11,AND($C49="Hybrid-electric bus",$D49="Average"),$E49*'UK '!I$12,AND($C49="Hybrid-electric bus",$D49="Nearly full"),$E49*'UK '!I$13,AND($C49="Alternative fuel bus",$D49="Almost empty"),$E49*'UK '!I$15,AND($C49="Alternative fuel bus",$D49="Average"),$E49*'UK '!I$16,AND($C49="Alternative fuel bus",$D49="Nearly full"),$E49*'UK '!I$17,AND($C49="Metro, tram, urban light train",$D49="Almost empty"),$E49*'UK '!D$35,AND($C49="Metro, tram, urban light train",$D49="Average"),$E49*'UK '!D$36,AND($C49="Metro, tram, urban light train",$D49="Nearly full"),$E49*'UK '!D$37,AND($C49="Electric passenger train",$D49="Almost empty"),$E49*'UK '!D$39,AND($C49="Electric passenger train",$D49="Average"),$E49*'UK '!D$40,AND($C49="Electric passenger train",$D49="Nearly full"),$E49*'UK '!D$41,AND($C49="Diesel passenger train",$D49="Almost empty"),$E49*'UK '!D$47,AND($C49="Diesel passenger train",$D49="Average"),$E49*'UK '!D$48,AND($C49="Diesel passenger train",$D49="Nearly full"),$E49*'UK '!D$49,AND($C49="Walking"),$E49*0,AND($C49="Bike"),$E49*0,AND($C49="Plane - domestic flight"),$E49*'UK '!$C73,AND($C49="Plane - international - intra EU"),$E49*'UK '!$C75,AND($C49="Plane - international (extra EU)"),$E49*'UK '!$C77)</f>
        <v>#N/A</v>
      </c>
      <c r="H49" s="244" t="s">
        <v>74</v>
      </c>
      <c r="I49" s="141"/>
      <c r="N49" s="252"/>
      <c r="O49" s="253"/>
      <c r="P49" s="254"/>
    </row>
    <row r="50" spans="1:16" ht="16" thickBot="1" x14ac:dyDescent="0.25">
      <c r="A50" s="222"/>
      <c r="B50" s="51"/>
      <c r="C50" s="15"/>
      <c r="D50" s="15"/>
      <c r="E50" s="126"/>
      <c r="F50" s="128" t="e" cm="1">
        <f t="array" ref="F50">_xlfn.IFS(AND($C50="Fuel car",$D50=1),$E50*'UK '!C$7,AND($C50="Fuel car",$D50=2),$E50*'UK '!C$8,AND($C50="Fuel car",$D50=3),$E50*'UK '!C$9,AND($C50="Fuel car",$D50=4),$E50*'UK '!C$10,AND($C50="Fuel car",$D50=5),$E50*'UK '!C$11,AND($C50="Motorcycle",$D50=1),$E50*'UK '!C$13,AND($C50="Motorcycle",$D50=2),$E50*'UK '!C$14,AND($C50="Electric car",$D50=1),$E50*'UK '!C$16,AND($C50="Electric car",$D50=2),$E50*'UK '!C$17,AND($C50="Electric car",$D50=3),$E50*'UK '!C$18,AND($C50="Electric car",$D50=4),$E50*'UK '!C$19,AND($C50="Electric car",$D50=5),$E50*'UK '!C$20,AND($C50="Hybrid car",$D50=1),$E50*'UK '!C$22,AND($C50="Hybrid car",$D50=2),$E50*'UK '!C$23,AND($C50="Hybrid car",$D50=3),$E50*'UK '!C$24,AND($C50="Hybrid car",$D50=4),$E50*'UK '!C$25,AND($C50="Hybrid car",$D50=5),$E50*'UK '!C$26,AND($C50="Electric motorcycle",$D50=1),$E50*'UK '!C$28,AND($C50="Electric motorcycle",$D50=2),$E50*'UK '!C$29,AND($C50="Electric bike",$D50=1),$E50*'UK '!C$31,AND($C50="Electric scooter",$D50=1),$E50*'UK '!C$33,AND($C50="Bus",$D50="Almost empty"),$E50*'UK '!H$23,AND($C50="Bus",$D50="Average"),$E50*'UK '!H$24,AND($C50="Bus",$D50="Nearly full"),$E50*'UK '!H$25,AND($C50="Electric bus",$D50="Almost empty"),$E50*'UK '!H$7,AND($C50="Electric bus",$D50="Average"),$E50*'UK '!H$8,AND($C50="Electric bus",$D50="Nearly full"),$E50*'UK '!H$9,AND($C50="Diesel bus",$D50="Almost empty"),$E50*'UK '!H$19,AND($C50="Diesel bus",$D50="Average"),$E50*'UK '!H$20,AND($C50="Diesel bus",$D50="Nearly full"),$E50*'UK '!H$21,AND($C50="Hybrid-electric bus",$D50="Almost empty"),$E50*'UK '!H$11,AND($C50="Hybrid-electric bus",$D50="Average"),$E50*'UK '!H$12,AND($C50="Hybrid-electric bus",$D50="Nearly full"),$E50*'UK '!H$13,AND($C50="Alternative fuel bus",$D50="Almost empty"),$E50*'UK '!H$15,AND($C50="Alternative fuel bus",$D50="Average"),$E50*'UK '!H$16,AND($C50="Alternative fuel bus",$D50="Nearly full"),$E50*'UK '!H$17,AND($C50="Metro, tram, urban light train",$D50="Almost empty"),$E50*'UK '!C$35,AND($C50="Metro, tram, urban light train",$D50="Average"),$E50*'UK '!C$36,AND($C50="Metro, tram, urban light train",$D50="Nearly full"),$E50*'UK '!C$37,AND($C50="Electric passenger train",$D50="Almost empty"),$E50*'UK '!C$39,AND($C50="Electric passenger train",$D50="Average"),$E50*'UK '!C$40,AND($C50="Electric passenger train",$D50="Nearly full"),$E50*'UK '!C$41,AND($C50="Diesel passenger train",$D50="Almost empty"),$E50*'UK '!C$47,AND($C50="Diesel passenger train",$D50="Average"),$E50*'UK '!C$48,AND($C50="Diesel passenger train",$D50="Nearly full"),$E50*'UK '!C$49,AND($C50="Walking"),$E50*0,AND($C50="Bike"),$E50*0,AND($C50="Plane - domestic flight"),$E50*'UK '!$C74,AND($C50="Plane - international - intra EU"),$E50*'UK '!$C76,AND($C50="Plane - international (extra EU)"),$E50*'UK '!$C78)</f>
        <v>#N/A</v>
      </c>
      <c r="G50" s="31" t="e" cm="1">
        <f t="array" ref="G50">_xlfn.IFS(AND($C50="Fuel car",$D50=1),$E50*'UK '!D$7,AND($C50="Fuel car",$D50=2),$E50*'UK '!D$8,AND($C50="Fuel car",$D50=3),$E50*'UK '!D$9,AND($C50="Fuel car",$D50=4),$E50*'UK '!D$10,AND($C50="Fuel car",$D50=5),$E50*'UK '!D$11,AND($C50="Motorcycle",$D50=1),$E50*'UK '!D$13,AND($C50="Motorcycle",$D50=2),$E50*'UK '!D$14,AND($C50="Electric car",$D50=1),$E50*'UK '!D$16,AND($C50="Electric car",$D50=2),$E50*'UK '!D$17,AND($C50="Electric car",$D50=3),$E50*'UK '!D$18,AND($C50="Electric car",$D50=4),$E50*'UK '!D$19,AND($C50="Electric car",$D50=5),$E50*'UK '!D$20,AND($C50="Hybrid car",$D50=1),$E50*'UK '!D$22,AND($C50="Hybrid car",$D50=2),$E50*'UK '!D$23,AND($C50="Hybrid car",$D50=3),$E50*'UK '!D$24,AND($C50="Hybrid car",$D50=4),$E50*'UK '!D$25,AND($C50="Hybrid car",$D50=5),$E50*'UK '!D$26,AND($C50="Electric motorcycle",$D50=1),$E50*'UK '!D$28,AND($C50="Electric motorcycle",$D50=2),$E50*'UK '!D$29,AND($C50="Electric bike",$D50=1),$E50*'UK '!D$31,AND($C50="Electric scooter",$D50=1),$E50*'UK '!D$33,AND($C50="Bus",$D50="Almost empty"),$E50*'UK '!I$23,AND($C50="Bus",$D50="Average"),$E50*'UK '!I$24,AND($C50="Bus",$D50="Nearly full"),$E50*'UK '!I$25,AND($C50="Electric bus",$D50="Almost empty"),$E50*'UK '!I$7,AND($C50="Electric bus",$D50="Average"),$E50*'UK '!I$8,AND($C50="Electric bus",$D50="Nearly full"),$E50*'UK '!I$9,AND($C50="Diesel bus",$D50="Almost empty"),$E50*'UK '!I$19,AND($C50="Diesel bus",$D50="Average"),$E50*'UK '!I$20,AND($C50="Diesel bus",$D50="Nearly full"),$E50*'UK '!I$21,AND($C50="Hybrid-electric bus",$D50="Almost empty"),$E50*'UK '!I$11,AND($C50="Hybrid-electric bus",$D50="Average"),$E50*'UK '!I$12,AND($C50="Hybrid-electric bus",$D50="Nearly full"),$E50*'UK '!I$13,AND($C50="Alternative fuel bus",$D50="Almost empty"),$E50*'UK '!I$15,AND($C50="Alternative fuel bus",$D50="Average"),$E50*'UK '!I$16,AND($C50="Alternative fuel bus",$D50="Nearly full"),$E50*'UK '!I$17,AND($C50="Metro, tram, urban light train",$D50="Almost empty"),$E50*'UK '!D$35,AND($C50="Metro, tram, urban light train",$D50="Average"),$E50*'UK '!D$36,AND($C50="Metro, tram, urban light train",$D50="Nearly full"),$E50*'UK '!D$37,AND($C50="Electric passenger train",$D50="Almost empty"),$E50*'UK '!D$39,AND($C50="Electric passenger train",$D50="Average"),$E50*'UK '!D$40,AND($C50="Electric passenger train",$D50="Nearly full"),$E50*'UK '!D$41,AND($C50="Diesel passenger train",$D50="Almost empty"),$E50*'UK '!D$47,AND($C50="Diesel passenger train",$D50="Average"),$E50*'UK '!D$48,AND($C50="Diesel passenger train",$D50="Nearly full"),$E50*'UK '!D$49,AND($C50="Walking"),$E50*0,AND($C50="Bike"),$E50*0,AND($C50="Plane - domestic flight"),$E50*'UK '!$C74,AND($C50="Plane - international - intra EU"),$E50*'UK '!$C76,AND($C50="Plane - international (extra EU)"),$E50*'UK '!$C78)</f>
        <v>#N/A</v>
      </c>
      <c r="H50" s="245"/>
      <c r="I50" s="142"/>
      <c r="N50" s="252"/>
      <c r="O50" s="253"/>
      <c r="P50" s="254"/>
    </row>
    <row r="51" spans="1:16" ht="33" thickBot="1" x14ac:dyDescent="0.25">
      <c r="A51" s="222"/>
      <c r="B51" s="51"/>
      <c r="C51" s="32"/>
      <c r="D51" s="32"/>
      <c r="E51" s="126"/>
      <c r="F51" s="129" t="e" cm="1">
        <f t="array" ref="F51">_xlfn.IFS(AND($C51="Fuel car",$D51=1),$E51*'UK '!C$7,AND($C51="Fuel car",$D51=2),$E51*'UK '!C$8,AND($C51="Fuel car",$D51=3),$E51*'UK '!C$9,AND($C51="Fuel car",$D51=4),$E51*'UK '!C$10,AND($C51="Fuel car",$D51=5),$E51*'UK '!C$11,AND($C51="Motorcycle",$D51=1),$E51*'UK '!C$13,AND($C51="Motorcycle",$D51=2),$E51*'UK '!C$14,AND($C51="Electric car",$D51=1),$E51*'UK '!C$16,AND($C51="Electric car",$D51=2),$E51*'UK '!C$17,AND($C51="Electric car",$D51=3),$E51*'UK '!C$18,AND($C51="Electric car",$D51=4),$E51*'UK '!C$19,AND($C51="Electric car",$D51=5),$E51*'UK '!C$20,AND($C51="Hybrid car",$D51=1),$E51*'UK '!C$22,AND($C51="Hybrid car",$D51=2),$E51*'UK '!C$23,AND($C51="Hybrid car",$D51=3),$E51*'UK '!C$24,AND($C51="Hybrid car",$D51=4),$E51*'UK '!C$25,AND($C51="Hybrid car",$D51=5),$E51*'UK '!C$26,AND($C51="Electric motorcycle",$D51=1),$E51*'UK '!C$28,AND($C51="Electric motorcycle",$D51=2),$E51*'UK '!C$29,AND($C51="Electric bike",$D51=1),$E51*'UK '!C$31,AND($C51="Electric scooter",$D51=1),$E51*'UK '!C$33,AND($C51="Bus",$D51="Almost empty"),$E51*'UK '!H$23,AND($C51="Bus",$D51="Average"),$E51*'UK '!H$24,AND($C51="Bus",$D51="Nearly full"),$E51*'UK '!H$25,AND($C51="Electric bus",$D51="Almost empty"),$E51*'UK '!H$7,AND($C51="Electric bus",$D51="Average"),$E51*'UK '!H$8,AND($C51="Electric bus",$D51="Nearly full"),$E51*'UK '!H$9,AND($C51="Diesel bus",$D51="Almost empty"),$E51*'UK '!H$19,AND($C51="Diesel bus",$D51="Average"),$E51*'UK '!H$20,AND($C51="Diesel bus",$D51="Nearly full"),$E51*'UK '!H$21,AND($C51="Hybrid-electric bus",$D51="Almost empty"),$E51*'UK '!H$11,AND($C51="Hybrid-electric bus",$D51="Average"),$E51*'UK '!H$12,AND($C51="Hybrid-electric bus",$D51="Nearly full"),$E51*'UK '!H$13,AND($C51="Alternative fuel bus",$D51="Almost empty"),$E51*'UK '!H$15,AND($C51="Alternative fuel bus",$D51="Average"),$E51*'UK '!H$16,AND($C51="Alternative fuel bus",$D51="Nearly full"),$E51*'UK '!H$17,AND($C51="Metro, tram, urban light train",$D51="Almost empty"),$E51*'UK '!C$35,AND($C51="Metro, tram, urban light train",$D51="Average"),$E51*'UK '!C$36,AND($C51="Metro, tram, urban light train",$D51="Nearly full"),$E51*'UK '!C$37,AND($C51="Electric passenger train",$D51="Almost empty"),$E51*'UK '!C$39,AND($C51="Electric passenger train",$D51="Average"),$E51*'UK '!C$40,AND($C51="Electric passenger train",$D51="Nearly full"),$E51*'UK '!C$41,AND($C51="Diesel passenger train",$D51="Almost empty"),$E51*'UK '!C$47,AND($C51="Diesel passenger train",$D51="Average"),$E51*'UK '!C$48,AND($C51="Diesel passenger train",$D51="Nearly full"),$E51*'UK '!C$49,AND($C51="Walking"),$E51*0,AND($C51="Bike"),$E51*0,AND($C51="Plane - domestic flight"),$E51*'UK '!$C75,AND($C51="Plane - international - intra EU"),$E51*'UK '!$C77,AND($C51="Plane - international (extra EU)"),$E51*'UK '!$C79)</f>
        <v>#N/A</v>
      </c>
      <c r="G51" s="35" t="e" cm="1">
        <f t="array" ref="G51">_xlfn.IFS(AND($C51="Fuel car",$D51=1),$E51*'UK '!D$7,AND($C51="Fuel car",$D51=2),$E51*'UK '!D$8,AND($C51="Fuel car",$D51=3),$E51*'UK '!D$9,AND($C51="Fuel car",$D51=4),$E51*'UK '!D$10,AND($C51="Fuel car",$D51=5),$E51*'UK '!D$11,AND($C51="Motorcycle",$D51=1),$E51*'UK '!D$13,AND($C51="Motorcycle",$D51=2),$E51*'UK '!D$14,AND($C51="Electric car",$D51=1),$E51*'UK '!D$16,AND($C51="Electric car",$D51=2),$E51*'UK '!D$17,AND($C51="Electric car",$D51=3),$E51*'UK '!D$18,AND($C51="Electric car",$D51=4),$E51*'UK '!D$19,AND($C51="Electric car",$D51=5),$E51*'UK '!D$20,AND($C51="Hybrid car",$D51=1),$E51*'UK '!D$22,AND($C51="Hybrid car",$D51=2),$E51*'UK '!D$23,AND($C51="Hybrid car",$D51=3),$E51*'UK '!D$24,AND($C51="Hybrid car",$D51=4),$E51*'UK '!D$25,AND($C51="Hybrid car",$D51=5),$E51*'UK '!D$26,AND($C51="Electric motorcycle",$D51=1),$E51*'UK '!D$28,AND($C51="Electric motorcycle",$D51=2),$E51*'UK '!D$29,AND($C51="Electric bike",$D51=1),$E51*'UK '!D$31,AND($C51="Electric scooter",$D51=1),$E51*'UK '!D$33,AND($C51="Bus",$D51="Almost empty"),$E51*'UK '!I$23,AND($C51="Bus",$D51="Average"),$E51*'UK '!I$24,AND($C51="Bus",$D51="Nearly full"),$E51*'UK '!I$25,AND($C51="Electric bus",$D51="Almost empty"),$E51*'UK '!I$7,AND($C51="Electric bus",$D51="Average"),$E51*'UK '!I$8,AND($C51="Electric bus",$D51="Nearly full"),$E51*'UK '!I$9,AND($C51="Diesel bus",$D51="Almost empty"),$E51*'UK '!I$19,AND($C51="Diesel bus",$D51="Average"),$E51*'UK '!I$20,AND($C51="Diesel bus",$D51="Nearly full"),$E51*'UK '!I$21,AND($C51="Hybrid-electric bus",$D51="Almost empty"),$E51*'UK '!I$11,AND($C51="Hybrid-electric bus",$D51="Average"),$E51*'UK '!I$12,AND($C51="Hybrid-electric bus",$D51="Nearly full"),$E51*'UK '!I$13,AND($C51="Alternative fuel bus",$D51="Almost empty"),$E51*'UK '!I$15,AND($C51="Alternative fuel bus",$D51="Average"),$E51*'UK '!I$16,AND($C51="Alternative fuel bus",$D51="Nearly full"),$E51*'UK '!I$17,AND($C51="Metro, tram, urban light train",$D51="Almost empty"),$E51*'UK '!D$35,AND($C51="Metro, tram, urban light train",$D51="Average"),$E51*'UK '!D$36,AND($C51="Metro, tram, urban light train",$D51="Nearly full"),$E51*'UK '!D$37,AND($C51="Electric passenger train",$D51="Almost empty"),$E51*'UK '!D$39,AND($C51="Electric passenger train",$D51="Average"),$E51*'UK '!D$40,AND($C51="Electric passenger train",$D51="Nearly full"),$E51*'UK '!D$41,AND($C51="Diesel passenger train",$D51="Almost empty"),$E51*'UK '!D$47,AND($C51="Diesel passenger train",$D51="Average"),$E51*'UK '!D$48,AND($C51="Diesel passenger train",$D51="Nearly full"),$E51*'UK '!D$49,AND($C51="Walking"),$E51*0,AND($C51="Bike"),$E51*0,AND($C51="Plane - domestic flight"),$E51*'UK '!$C75,AND($C51="Plane - international - intra EU"),$E51*'UK '!$C77,AND($C51="Plane - international (extra EU)"),$E51*'UK '!$C79)</f>
        <v>#N/A</v>
      </c>
      <c r="H51" s="144" t="s">
        <v>75</v>
      </c>
      <c r="I51" s="49" t="e">
        <f>F52/I49</f>
        <v>#DIV/0!</v>
      </c>
      <c r="N51" s="252"/>
      <c r="O51" s="253"/>
      <c r="P51" s="254"/>
    </row>
    <row r="52" spans="1:16" ht="17" thickBot="1" x14ac:dyDescent="0.25">
      <c r="A52" s="222"/>
      <c r="B52" s="241" t="s">
        <v>57</v>
      </c>
      <c r="C52" s="242"/>
      <c r="D52" s="242"/>
      <c r="E52" s="243"/>
      <c r="F52" s="130">
        <f>SUMIF(F29:F51,"&gt;=0")</f>
        <v>0</v>
      </c>
      <c r="G52" s="131">
        <f>SUMIF(G29:G51,"&gt;=0")</f>
        <v>0</v>
      </c>
      <c r="H52" s="143" t="s">
        <v>77</v>
      </c>
      <c r="I52" s="48" t="e">
        <f>G52/I49</f>
        <v>#DIV/0!</v>
      </c>
      <c r="N52" s="255"/>
      <c r="O52" s="256"/>
      <c r="P52" s="257"/>
    </row>
    <row r="55" spans="1:16" ht="16" thickBot="1" x14ac:dyDescent="0.25"/>
    <row r="56" spans="1:16" ht="17" thickBot="1" x14ac:dyDescent="0.25">
      <c r="A56" s="221" t="s">
        <v>81</v>
      </c>
      <c r="B56" s="183" t="s">
        <v>82</v>
      </c>
      <c r="C56" s="184"/>
      <c r="D56" s="184"/>
      <c r="E56" s="185"/>
      <c r="G56" s="183" t="s">
        <v>83</v>
      </c>
      <c r="H56" s="184"/>
      <c r="I56" s="185"/>
    </row>
    <row r="57" spans="1:16" ht="32" x14ac:dyDescent="0.2">
      <c r="A57" s="262"/>
      <c r="B57" s="263" t="s">
        <v>84</v>
      </c>
      <c r="C57" s="57" t="s">
        <v>85</v>
      </c>
      <c r="D57" s="100" t="e">
        <f>G16</f>
        <v>#DIV/0!</v>
      </c>
      <c r="E57" s="260" t="s">
        <v>86</v>
      </c>
      <c r="G57" s="263" t="s">
        <v>84</v>
      </c>
      <c r="H57" s="46" t="s">
        <v>85</v>
      </c>
      <c r="I57" s="55" t="e" cm="1">
        <f t="array" ref="I57">_xlfn.IFS(AND(D57&lt;='UK '!L4),"A+",AND(D57&lt;='UK '!M4,D57&gt;'UK '!L4),"A",AND(D57&lt;='UK '!N4,D57&gt;'UK '!M4),"B",AND(D57&lt;='UK '!O4,D57&gt;'UK '!N4),"C",AND(D57&lt;='UK '!P4,D57&gt;'UK '!O4),"D",AND(D57&lt;='UK '!Q4,D57&gt;'UK '!P4),"E",AND(D57&lt;='UK '!R4,D57&gt;'UK '!Q4),"F",AND(D57&gt;'UK '!R4),"G")</f>
        <v>#DIV/0!</v>
      </c>
    </row>
    <row r="58" spans="1:16" ht="32" x14ac:dyDescent="0.2">
      <c r="A58" s="262"/>
      <c r="B58" s="264"/>
      <c r="C58" s="21" t="s">
        <v>87</v>
      </c>
      <c r="D58" s="99" t="str">
        <f>IF(AND(ISNUMBER(H16),ISNUMBER(G24)),H16+G24,IF(ISNUMBER(H16),H16,IF(ISNUMBER(G24),G24,"#")))</f>
        <v>#</v>
      </c>
      <c r="E58" s="277"/>
      <c r="G58" s="264"/>
      <c r="H58" t="s">
        <v>87</v>
      </c>
      <c r="I58" s="56" t="str" cm="1">
        <f t="array" ref="I58">_xlfn.IFS(D58="#","#",AND(D58&lt;='UK '!L5),"A+",AND(D58&lt;='UK '!M5,D58&gt;'UK '!L5),"A",AND(D58&lt;='UK '!N5,D58&gt;'UK '!M5),"B",AND(D58&lt;='UK '!O5,D58&gt;'UK '!N5),"C",AND(D58&lt;='UK '!P5,D58&gt;'UK '!O5),"D",AND(D58&lt;='UK '!Q5,D58&gt;'UK '!P5),"E",AND(D58&lt;='UK '!R5,D58&gt;'UK '!Q5),"F",AND(D58&gt;'UK '!R5),"G")</f>
        <v>#</v>
      </c>
    </row>
    <row r="59" spans="1:16" ht="32" x14ac:dyDescent="0.2">
      <c r="A59" s="262"/>
      <c r="B59" s="264"/>
      <c r="C59" s="21" t="s">
        <v>88</v>
      </c>
      <c r="D59" s="47" t="e">
        <f>IF(ISNUMBER(D58), D57 + D58, D57)</f>
        <v>#DIV/0!</v>
      </c>
      <c r="E59" s="277"/>
      <c r="G59" s="264"/>
      <c r="H59" t="s">
        <v>88</v>
      </c>
      <c r="I59" s="56" t="e" cm="1">
        <f t="array" ref="I59">_xlfn.IFS(AND(D59&lt;='UK '!L6),"A+",AND(D59&lt;='UK '!M6,D59&gt;'UK '!L6),"A",AND(D59&lt;='UK '!N6,D59&gt;'UK '!M6),"B",AND(D59&lt;='UK '!O6,D59&gt;'UK '!N6),"C",AND(D59&lt;='UK '!P6,D59&gt;'UK '!O6),"D",AND(D59&lt;='UK '!Q6,D59&gt;'UK '!P6),"E",AND(D59&lt;='UK '!R6,D59&gt;'UK '!Q6),"F",AND(D59&gt;'UK '!R6),"G")</f>
        <v>#DIV/0!</v>
      </c>
    </row>
    <row r="60" spans="1:16" ht="16" x14ac:dyDescent="0.2">
      <c r="A60" s="262"/>
      <c r="B60" s="264"/>
      <c r="C60" s="21" t="s">
        <v>89</v>
      </c>
      <c r="D60" s="99" t="e">
        <f>I30</f>
        <v>#DIV/0!</v>
      </c>
      <c r="E60" s="277"/>
      <c r="G60" s="264"/>
      <c r="H60" t="s">
        <v>89</v>
      </c>
      <c r="I60" s="56" t="e" cm="1">
        <f t="array" ref="I60">_xlfn.IFS(AND(D60&lt;='UK '!L7),"A+",AND(D60&lt;='UK '!M7,D60&gt;'UK '!L7),"A",AND(D60&lt;='UK '!N7,D60&gt;'UK '!M7),"B",AND(D60&lt;='UK '!O7,D60&gt;'UK '!N7),"C",AND(D60&lt;='UK '!P7,D60&gt;'UK '!O7),"D",AND(D60&lt;='UK '!Q7,D60&gt;'UK '!P7),"E",AND(D60&lt;='UK '!R7,D60&gt;'UK '!Q7),"F",AND(D60&gt;'UK '!R7),"G")</f>
        <v>#DIV/0!</v>
      </c>
    </row>
    <row r="61" spans="1:16" ht="16" thickBot="1" x14ac:dyDescent="0.25">
      <c r="A61" s="262"/>
      <c r="B61" s="265"/>
      <c r="C61" s="16" t="s">
        <v>57</v>
      </c>
      <c r="D61" s="58" t="e">
        <f>SUM(D59:D60)</f>
        <v>#DIV/0!</v>
      </c>
      <c r="E61" s="261"/>
      <c r="G61" s="265"/>
      <c r="H61" s="16" t="s">
        <v>57</v>
      </c>
      <c r="I61" s="1" t="e" cm="1">
        <f t="array" ref="I61">_xlfn.IFS(AND(D61&lt;='UK '!L8),"A+",AND(D61&lt;='UK '!M8,D61&gt;'UK '!L8),"A",AND(D61&lt;='UK '!N8,D61&gt;'UK '!M8),"B",AND(D61&lt;='UK '!O8,D61&gt;'UK '!N8),"C",AND(D61&lt;='UK '!P8,D61&gt;'UK '!O8),"D",AND(D61&lt;='UK '!Q8,D61&gt;'UK '!P8),"E",AND(D61&lt;='UK '!R8,D61&gt;'UK '!Q8),"F",AND(D61&gt;'UK '!R8),"G")</f>
        <v>#DIV/0!</v>
      </c>
    </row>
    <row r="62" spans="1:16" ht="32" x14ac:dyDescent="0.2">
      <c r="A62" s="262"/>
      <c r="B62" s="263" t="s">
        <v>90</v>
      </c>
      <c r="C62" s="57" t="s">
        <v>85</v>
      </c>
      <c r="D62" s="100" t="e">
        <f>I16</f>
        <v>#DIV/0!</v>
      </c>
      <c r="E62" s="266" t="s">
        <v>91</v>
      </c>
      <c r="G62" s="263" t="s">
        <v>90</v>
      </c>
      <c r="H62" s="46" t="s">
        <v>85</v>
      </c>
      <c r="I62" s="55" t="e" cm="1">
        <f t="array" ref="I62">_xlfn.IFS(AND(D62&lt;='UK '!L9),"A+",AND(D62&lt;='UK '!M9,D62&gt;'UK '!L9),"A",AND(D62&lt;='UK '!N9,D62&gt;'UK '!M9),"B",AND(D62&lt;='UK '!O9,D62&gt;'UK '!N9),"C",AND(D62&lt;='UK '!P9,D62&gt;'UK '!O9),"D",AND(D62&lt;='UK '!Q9,D62&gt;'UK '!P9),"E",AND(D62&lt;='UK '!R9,D62&gt;'UK '!Q9),"F",AND(D62&gt;'UK '!R9),"G")</f>
        <v>#DIV/0!</v>
      </c>
    </row>
    <row r="63" spans="1:16" ht="32" x14ac:dyDescent="0.2">
      <c r="A63" s="262"/>
      <c r="B63" s="264"/>
      <c r="C63" s="21" t="s">
        <v>87</v>
      </c>
      <c r="D63" s="99" t="str">
        <f>IF(AND(ISNUMBER(J16),ISNUMBER(H24)),J16+H24,IF(ISNUMBER(J16),J16,IF(ISNUMBER(H24),H24,"#")))</f>
        <v>#</v>
      </c>
      <c r="E63" s="202"/>
      <c r="G63" s="264"/>
      <c r="H63" t="s">
        <v>87</v>
      </c>
      <c r="I63" s="56" t="str" cm="1">
        <f t="array" ref="I63">_xlfn.IFS(D63="#","#",AND(D63&lt;='UK '!L10),"A+",AND(D63&lt;='UK '!M10,D63&gt;'UK '!L10),"A",AND(D63&lt;='UK '!N10,D63&gt;'UK '!M10),"B",AND(D63&lt;='UK '!O10,D63&gt;'UK '!N10),"C",AND(D63&lt;='UK '!P10,D63&gt;'UK '!O10),"D",AND(D63&lt;='UK '!Q10,D63&gt;'UK '!P10),"E",AND(D63&lt;='UK '!R10,D63&gt;'UK '!Q10),"F",AND(D63&gt;'UK '!R10),"G")</f>
        <v>#</v>
      </c>
    </row>
    <row r="64" spans="1:16" ht="32" x14ac:dyDescent="0.2">
      <c r="A64" s="262"/>
      <c r="B64" s="264"/>
      <c r="C64" s="21" t="s">
        <v>92</v>
      </c>
      <c r="D64" s="47" t="e">
        <f>IF(ISNUMBER(D63), D62 + D63, D62)</f>
        <v>#DIV/0!</v>
      </c>
      <c r="E64" s="202"/>
      <c r="G64" s="264"/>
      <c r="H64" t="s">
        <v>92</v>
      </c>
      <c r="I64" s="56" t="e" cm="1">
        <f t="array" ref="I64">_xlfn.IFS(AND(D64&lt;='UK '!L11),"A+",AND(D64&lt;='UK '!M11,D64&gt;'UK '!L11),"A",AND(D64&lt;='UK '!N11,D64&gt;'UK '!M11),"B",AND(D64&lt;='UK '!O11,D64&gt;'UK '!N11),"C",AND(D64&lt;='UK '!P11,D64&gt;'UK '!O11),"D",AND(D64&lt;='UK '!Q11,D64&gt;'UK '!P11),"E",AND(D64&lt;='UK '!R11,D64&gt;'UK '!Q11),"F",AND(D64&gt;'UK '!R11),"G")</f>
        <v>#DIV/0!</v>
      </c>
    </row>
    <row r="65" spans="1:9" x14ac:dyDescent="0.2">
      <c r="A65" s="262"/>
      <c r="B65" s="264"/>
      <c r="C65" t="s">
        <v>89</v>
      </c>
      <c r="D65" s="99" t="e">
        <f>I31</f>
        <v>#DIV/0!</v>
      </c>
      <c r="E65" s="202"/>
      <c r="G65" s="264"/>
      <c r="H65" t="s">
        <v>89</v>
      </c>
      <c r="I65" s="56" t="e" cm="1">
        <f t="array" ref="I65">_xlfn.IFS(AND(D65&lt;='UK '!L12),"A+",AND(D65&lt;='UK '!M12,D65&gt;'UK '!L12),"A",AND(D65&lt;='UK '!N12,D65&gt;'UK '!M12),"B",AND(D65&lt;='UK '!O12,D65&gt;'UK '!N12),"C",AND(D65&lt;='UK '!P12,D65&gt;'UK '!O12),"D",AND(D65&lt;='UK '!Q12,D65&gt;'UK '!P12),"E",AND(D65&lt;='UK '!R12,D65&gt;'UK '!Q12),"F",AND(D65&gt;'UK '!R12),"G")</f>
        <v>#DIV/0!</v>
      </c>
    </row>
    <row r="66" spans="1:9" ht="16" thickBot="1" x14ac:dyDescent="0.25">
      <c r="A66" s="262"/>
      <c r="B66" s="265"/>
      <c r="C66" s="16" t="s">
        <v>57</v>
      </c>
      <c r="D66" s="16" t="e">
        <f>SUM(D64:D65)</f>
        <v>#DIV/0!</v>
      </c>
      <c r="E66" s="267"/>
      <c r="G66" s="265"/>
      <c r="H66" s="16" t="s">
        <v>57</v>
      </c>
      <c r="I66" s="1" t="e" cm="1">
        <f t="array" ref="I66">_xlfn.IFS(AND(D66&lt;='UK '!L13),"A+",AND(D66&lt;='UK '!M13,D66&gt;'UK '!L13),"A",AND(D66&lt;='UK '!N13,D66&gt;'UK '!M13),"B",AND(D66&lt;='UK '!O13,D66&gt;'UK '!N13),"C",AND(D66&lt;='UK '!P13,D66&gt;'UK '!O13),"D",AND(D66&lt;='UK '!Q13,D66&gt;'UK '!P13),"E",AND(D66&lt;='UK '!R13,D66&gt;'UK '!Q13),"F",AND(D66&gt;'UK '!R13),"G")</f>
        <v>#DIV/0!</v>
      </c>
    </row>
  </sheetData>
  <mergeCells count="56">
    <mergeCell ref="K3:K4"/>
    <mergeCell ref="L3:L4"/>
    <mergeCell ref="N13:P13"/>
    <mergeCell ref="N10:P12"/>
    <mergeCell ref="A2:A16"/>
    <mergeCell ref="B2:D2"/>
    <mergeCell ref="N2:P2"/>
    <mergeCell ref="B3:C3"/>
    <mergeCell ref="D3:D4"/>
    <mergeCell ref="E3:E4"/>
    <mergeCell ref="F3:F4"/>
    <mergeCell ref="G3:G4"/>
    <mergeCell ref="H3:H4"/>
    <mergeCell ref="I3:I4"/>
    <mergeCell ref="J3:J4"/>
    <mergeCell ref="N3:P4"/>
    <mergeCell ref="N5:P8"/>
    <mergeCell ref="N9:P9"/>
    <mergeCell ref="N30:P32"/>
    <mergeCell ref="B16:C16"/>
    <mergeCell ref="B18:F18"/>
    <mergeCell ref="H26:J26"/>
    <mergeCell ref="J27:J28"/>
    <mergeCell ref="N14:P16"/>
    <mergeCell ref="N47:P47"/>
    <mergeCell ref="N48:P52"/>
    <mergeCell ref="A26:A52"/>
    <mergeCell ref="B26:G26"/>
    <mergeCell ref="N26:P26"/>
    <mergeCell ref="B27:B28"/>
    <mergeCell ref="C27:C28"/>
    <mergeCell ref="D27:D28"/>
    <mergeCell ref="E27:E28"/>
    <mergeCell ref="F27:F28"/>
    <mergeCell ref="G27:G28"/>
    <mergeCell ref="B52:E52"/>
    <mergeCell ref="H27:H28"/>
    <mergeCell ref="N33:P36"/>
    <mergeCell ref="I27:I28"/>
    <mergeCell ref="N27:P29"/>
    <mergeCell ref="N37:P38"/>
    <mergeCell ref="N39:P40"/>
    <mergeCell ref="N41:P42"/>
    <mergeCell ref="N43:P44"/>
    <mergeCell ref="A56:A66"/>
    <mergeCell ref="B56:E56"/>
    <mergeCell ref="G56:I56"/>
    <mergeCell ref="B57:B61"/>
    <mergeCell ref="E57:E61"/>
    <mergeCell ref="G57:G61"/>
    <mergeCell ref="B62:B66"/>
    <mergeCell ref="E62:E66"/>
    <mergeCell ref="G62:G66"/>
    <mergeCell ref="H48:I48"/>
    <mergeCell ref="H49:H50"/>
    <mergeCell ref="N45:P46"/>
  </mergeCells>
  <conditionalFormatting sqref="I57:I66">
    <cfRule type="cellIs" dxfId="133" priority="24" operator="equal">
      <formula>"A+"</formula>
    </cfRule>
    <cfRule type="containsText" dxfId="132" priority="25" operator="containsText" text="A">
      <formula>NOT(ISERROR(SEARCH("A",I57)))</formula>
    </cfRule>
    <cfRule type="containsText" dxfId="131" priority="26" operator="containsText" text="B">
      <formula>NOT(ISERROR(SEARCH("B",I57)))</formula>
    </cfRule>
    <cfRule type="containsText" dxfId="130" priority="27" operator="containsText" text="C">
      <formula>NOT(ISERROR(SEARCH("C",I57)))</formula>
    </cfRule>
    <cfRule type="containsText" dxfId="129" priority="28" operator="containsText" text="D">
      <formula>NOT(ISERROR(SEARCH("D",I57)))</formula>
    </cfRule>
    <cfRule type="containsText" dxfId="128" priority="29" operator="containsText" text="E">
      <formula>NOT(ISERROR(SEARCH("E",I57)))</formula>
    </cfRule>
    <cfRule type="containsText" dxfId="127" priority="30" operator="containsText" text="F">
      <formula>NOT(ISERROR(SEARCH("F",I57)))</formula>
    </cfRule>
    <cfRule type="containsText" dxfId="126" priority="31" operator="containsText" text="G">
      <formula>NOT(ISERROR(SEARCH("G",I57)))</formula>
    </cfRule>
  </conditionalFormatting>
  <conditionalFormatting sqref="K5:K15">
    <cfRule type="expression" dxfId="125" priority="12" stopIfTrue="1">
      <formula>$O$19="No"</formula>
    </cfRule>
  </conditionalFormatting>
  <conditionalFormatting sqref="L5:L15">
    <cfRule type="expression" dxfId="124" priority="11" stopIfTrue="1">
      <formula>$Q$19="No"</formula>
    </cfRule>
  </conditionalFormatting>
  <dataValidations count="2">
    <dataValidation type="custom" operator="lessThan" allowBlank="1" showErrorMessage="1" errorTitle="Error" error="You can only enter values if you have selected HOME PV. The value must be a number." sqref="K5:K15" xr:uid="{E0C38DAD-A70E-884F-B766-883E242B444D}">
      <formula1>AND(O19="Yes", ISNUMBER(K5))</formula1>
    </dataValidation>
    <dataValidation type="custom" allowBlank="1" showInputMessage="1" showErrorMessage="1" errorTitle="Error" error="You can only enter values if you have selected Connected To Grid. The value must be a number." sqref="L5:L15" xr:uid="{43A112DC-2656-1344-926E-50F64C439382}">
      <formula1>AND(Q19="Yes", ISNUMBER(L5))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6FE8ED8-26B3-44BD-9285-7A214527018D}">
          <x14:formula1>
            <xm:f>DATA!$J$3:$J$10</xm:f>
          </x14:formula1>
          <xm:sqref>D29:D51</xm:sqref>
        </x14:dataValidation>
        <x14:dataValidation type="list" allowBlank="1" showInputMessage="1" showErrorMessage="1" xr:uid="{8B61DF4A-089C-4AF4-8C6A-6EE02A9A1184}">
          <x14:formula1>
            <xm:f>DATA!$B$15:$B$23</xm:f>
          </x14:formula1>
          <xm:sqref>J2</xm:sqref>
        </x14:dataValidation>
        <x14:dataValidation type="list" allowBlank="1" showInputMessage="1" showErrorMessage="1" xr:uid="{1D9DDA39-0535-49D0-BCE2-CCA8E3C9E56D}">
          <x14:formula1>
            <xm:f>DATA!$H$3:$H$23</xm:f>
          </x14:formula1>
          <xm:sqref>C29:C51</xm:sqref>
        </x14:dataValidation>
        <x14:dataValidation type="list" allowBlank="1" showInputMessage="1" showErrorMessage="1" xr:uid="{C85B02F2-82BB-4022-B7F7-0980440DF1C8}">
          <x14:formula1>
            <xm:f>DATA!$B$3:$B$13</xm:f>
          </x14:formula1>
          <xm:sqref>H2</xm:sqref>
        </x14:dataValidation>
        <x14:dataValidation type="list" allowBlank="1" showInputMessage="1" showErrorMessage="1" xr:uid="{D1221643-A233-AF40-A8B7-5185AF1300FB}">
          <x14:formula1>
            <xm:f>DATA!$L$4:$L$5</xm:f>
          </x14:formula1>
          <xm:sqref>O18:O19 Q19</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2660-07F3-45EA-9704-9B5ABABFE007}">
  <dimension ref="B1:L31"/>
  <sheetViews>
    <sheetView workbookViewId="0">
      <selection activeCell="E16" sqref="E16"/>
    </sheetView>
  </sheetViews>
  <sheetFormatPr baseColWidth="10" defaultColWidth="11.5" defaultRowHeight="15" x14ac:dyDescent="0.2"/>
  <cols>
    <col min="2" max="2" width="25.33203125" customWidth="1"/>
    <col min="3" max="3" width="11.1640625" customWidth="1"/>
    <col min="4" max="4" width="19" customWidth="1"/>
    <col min="5" max="5" width="13.6640625" customWidth="1"/>
    <col min="6" max="6" width="17.5" customWidth="1"/>
    <col min="8" max="8" width="26.6640625" customWidth="1"/>
    <col min="9" max="9" width="15.33203125" customWidth="1"/>
    <col min="10" max="10" width="13" customWidth="1"/>
  </cols>
  <sheetData>
    <row r="1" spans="2:12" ht="16" thickBot="1" x14ac:dyDescent="0.25"/>
    <row r="2" spans="2:12" ht="32.5" customHeight="1" thickBot="1" x14ac:dyDescent="0.25">
      <c r="B2" s="1" t="s">
        <v>122</v>
      </c>
      <c r="C2" s="41" t="s">
        <v>123</v>
      </c>
      <c r="E2" s="1" t="s">
        <v>124</v>
      </c>
      <c r="F2" s="41" t="s">
        <v>125</v>
      </c>
      <c r="H2" t="s">
        <v>126</v>
      </c>
      <c r="J2" s="21" t="s">
        <v>127</v>
      </c>
    </row>
    <row r="3" spans="2:12" x14ac:dyDescent="0.2">
      <c r="B3" t="s">
        <v>60</v>
      </c>
      <c r="C3" s="42">
        <v>0.26700000000000002</v>
      </c>
      <c r="E3" t="s">
        <v>128</v>
      </c>
      <c r="F3">
        <v>8.3000000000000004E-2</v>
      </c>
      <c r="H3" t="s">
        <v>129</v>
      </c>
      <c r="J3">
        <v>1</v>
      </c>
      <c r="L3" t="s">
        <v>271</v>
      </c>
    </row>
    <row r="4" spans="2:12" x14ac:dyDescent="0.2">
      <c r="B4" t="s">
        <v>258</v>
      </c>
      <c r="C4" s="42">
        <v>0.20200000000000001</v>
      </c>
      <c r="E4" t="s">
        <v>131</v>
      </c>
      <c r="F4">
        <v>0.192</v>
      </c>
      <c r="H4" t="s">
        <v>132</v>
      </c>
      <c r="J4">
        <v>2</v>
      </c>
      <c r="L4" t="s">
        <v>269</v>
      </c>
    </row>
    <row r="5" spans="2:12" x14ac:dyDescent="0.2">
      <c r="B5" t="s">
        <v>264</v>
      </c>
      <c r="C5" s="42">
        <v>0.22700000000000001</v>
      </c>
      <c r="E5" t="s">
        <v>133</v>
      </c>
      <c r="F5">
        <v>0.35199999999999998</v>
      </c>
      <c r="H5" t="s">
        <v>134</v>
      </c>
      <c r="J5">
        <v>3</v>
      </c>
      <c r="L5" t="s">
        <v>270</v>
      </c>
    </row>
    <row r="6" spans="2:12" x14ac:dyDescent="0.2">
      <c r="B6" t="s">
        <v>61</v>
      </c>
      <c r="C6" s="42">
        <v>0.11799999999999999</v>
      </c>
      <c r="E6" t="s">
        <v>136</v>
      </c>
      <c r="F6">
        <v>0.16400000000000001</v>
      </c>
      <c r="H6" t="s">
        <v>137</v>
      </c>
      <c r="J6">
        <v>4</v>
      </c>
    </row>
    <row r="7" spans="2:12" x14ac:dyDescent="0.2">
      <c r="B7" t="s">
        <v>263</v>
      </c>
      <c r="C7" s="42">
        <v>0</v>
      </c>
      <c r="E7" t="s">
        <v>138</v>
      </c>
      <c r="F7">
        <v>0.65300000000000002</v>
      </c>
      <c r="H7" t="s">
        <v>139</v>
      </c>
      <c r="J7">
        <v>5</v>
      </c>
    </row>
    <row r="8" spans="2:12" x14ac:dyDescent="0.2">
      <c r="B8" t="s">
        <v>259</v>
      </c>
      <c r="C8" s="42">
        <v>0.05</v>
      </c>
      <c r="E8" t="s">
        <v>140</v>
      </c>
      <c r="F8">
        <v>0.38600000000000001</v>
      </c>
      <c r="H8" t="s">
        <v>141</v>
      </c>
      <c r="J8" t="s">
        <v>142</v>
      </c>
    </row>
    <row r="9" spans="2:12" x14ac:dyDescent="0.2">
      <c r="B9" t="s">
        <v>260</v>
      </c>
      <c r="C9" s="42">
        <v>3.9600000000000003E-2</v>
      </c>
      <c r="E9" t="s">
        <v>143</v>
      </c>
      <c r="F9">
        <v>0.11600000000000001</v>
      </c>
      <c r="H9" t="s">
        <v>144</v>
      </c>
      <c r="J9" t="s">
        <v>145</v>
      </c>
    </row>
    <row r="10" spans="2:12" ht="16" thickBot="1" x14ac:dyDescent="0.25">
      <c r="B10" t="s">
        <v>261</v>
      </c>
      <c r="C10" s="43">
        <f>C23</f>
        <v>0.26519999999999999</v>
      </c>
      <c r="E10" t="s">
        <v>146</v>
      </c>
      <c r="F10">
        <v>0.66900000000000004</v>
      </c>
      <c r="H10" t="s">
        <v>147</v>
      </c>
      <c r="J10" t="s">
        <v>148</v>
      </c>
    </row>
    <row r="11" spans="2:12" x14ac:dyDescent="0.2">
      <c r="B11" t="s">
        <v>149</v>
      </c>
      <c r="E11" t="s">
        <v>150</v>
      </c>
      <c r="F11">
        <v>0.22600000000000001</v>
      </c>
      <c r="H11" t="s">
        <v>151</v>
      </c>
    </row>
    <row r="12" spans="2:12" x14ac:dyDescent="0.2">
      <c r="B12" t="s">
        <v>62</v>
      </c>
      <c r="C12">
        <v>7.5999999999999998E-2</v>
      </c>
      <c r="E12" t="s">
        <v>152</v>
      </c>
      <c r="F12">
        <v>6.7000000000000004E-2</v>
      </c>
      <c r="H12" t="s">
        <v>153</v>
      </c>
    </row>
    <row r="13" spans="2:12" x14ac:dyDescent="0.2">
      <c r="B13" t="s">
        <v>262</v>
      </c>
      <c r="C13">
        <v>0.24</v>
      </c>
      <c r="E13" t="s">
        <v>154</v>
      </c>
      <c r="F13">
        <v>5.5E-2</v>
      </c>
      <c r="H13" t="s">
        <v>155</v>
      </c>
    </row>
    <row r="14" spans="2:12" ht="32" x14ac:dyDescent="0.2">
      <c r="B14" t="s">
        <v>156</v>
      </c>
      <c r="C14" s="21" t="s">
        <v>123</v>
      </c>
      <c r="E14" t="s">
        <v>157</v>
      </c>
      <c r="F14">
        <v>0.30099999999999999</v>
      </c>
      <c r="H14" t="s">
        <v>158</v>
      </c>
    </row>
    <row r="15" spans="2:12" x14ac:dyDescent="0.2">
      <c r="B15" t="s">
        <v>159</v>
      </c>
      <c r="C15">
        <v>0.35399999999999998</v>
      </c>
      <c r="E15" t="s">
        <v>160</v>
      </c>
      <c r="F15">
        <v>0.52200000000000002</v>
      </c>
      <c r="H15" t="s">
        <v>161</v>
      </c>
    </row>
    <row r="16" spans="2:12" x14ac:dyDescent="0.2">
      <c r="B16" t="s">
        <v>130</v>
      </c>
      <c r="C16">
        <v>0.20200000000000001</v>
      </c>
      <c r="E16" t="s">
        <v>162</v>
      </c>
      <c r="F16">
        <v>0.218</v>
      </c>
      <c r="H16" t="s">
        <v>163</v>
      </c>
    </row>
    <row r="17" spans="2:8" x14ac:dyDescent="0.2">
      <c r="B17" t="s">
        <v>164</v>
      </c>
      <c r="C17">
        <v>0.26700000000000002</v>
      </c>
      <c r="E17" t="s">
        <v>165</v>
      </c>
      <c r="F17">
        <v>0.29299999999999998</v>
      </c>
      <c r="H17" t="s">
        <v>166</v>
      </c>
    </row>
    <row r="18" spans="2:8" x14ac:dyDescent="0.2">
      <c r="B18" t="s">
        <v>167</v>
      </c>
      <c r="C18">
        <v>0.22600000000000001</v>
      </c>
      <c r="D18" t="s">
        <v>168</v>
      </c>
      <c r="E18" t="s">
        <v>169</v>
      </c>
      <c r="F18">
        <v>0.21199999999999999</v>
      </c>
      <c r="H18" t="s">
        <v>170</v>
      </c>
    </row>
    <row r="19" spans="2:8" x14ac:dyDescent="0.2">
      <c r="B19" t="s">
        <v>171</v>
      </c>
      <c r="C19">
        <v>3.9600000000000003E-2</v>
      </c>
      <c r="E19" t="s">
        <v>172</v>
      </c>
      <c r="F19">
        <v>9.1999999999999998E-2</v>
      </c>
      <c r="H19" t="s">
        <v>173</v>
      </c>
    </row>
    <row r="20" spans="2:8" x14ac:dyDescent="0.2">
      <c r="B20" t="s">
        <v>174</v>
      </c>
      <c r="C20">
        <v>0.05</v>
      </c>
      <c r="E20" t="s">
        <v>175</v>
      </c>
      <c r="F20">
        <v>0.14599999999999999</v>
      </c>
      <c r="H20" t="s">
        <v>176</v>
      </c>
    </row>
    <row r="21" spans="2:8" x14ac:dyDescent="0.2">
      <c r="B21" t="s">
        <v>135</v>
      </c>
      <c r="C21">
        <v>0.2878</v>
      </c>
      <c r="E21" t="s">
        <v>177</v>
      </c>
      <c r="F21">
        <v>6.9000000000000006E-2</v>
      </c>
      <c r="H21" t="s">
        <v>253</v>
      </c>
    </row>
    <row r="22" spans="2:8" x14ac:dyDescent="0.2">
      <c r="B22" t="s">
        <v>178</v>
      </c>
      <c r="C22">
        <v>0.54859999999999998</v>
      </c>
      <c r="E22" t="s">
        <v>179</v>
      </c>
      <c r="F22">
        <v>0.35599999999999998</v>
      </c>
      <c r="H22" t="s">
        <v>254</v>
      </c>
    </row>
    <row r="23" spans="2:8" x14ac:dyDescent="0.2">
      <c r="B23" t="s">
        <v>180</v>
      </c>
      <c r="C23">
        <v>0.26519999999999999</v>
      </c>
      <c r="E23" t="s">
        <v>181</v>
      </c>
      <c r="F23">
        <v>0.318</v>
      </c>
      <c r="H23" t="s">
        <v>255</v>
      </c>
    </row>
    <row r="24" spans="2:8" x14ac:dyDescent="0.2">
      <c r="E24" t="s">
        <v>182</v>
      </c>
      <c r="F24">
        <v>0.72399999999999998</v>
      </c>
    </row>
    <row r="25" spans="2:8" x14ac:dyDescent="0.2">
      <c r="E25" t="s">
        <v>183</v>
      </c>
      <c r="F25">
        <v>0.20100000000000001</v>
      </c>
    </row>
    <row r="26" spans="2:8" x14ac:dyDescent="0.2">
      <c r="E26" t="s">
        <v>184</v>
      </c>
      <c r="F26">
        <v>0.20799999999999999</v>
      </c>
    </row>
    <row r="27" spans="2:8" x14ac:dyDescent="0.2">
      <c r="E27" t="s">
        <v>185</v>
      </c>
      <c r="F27">
        <v>0.09</v>
      </c>
    </row>
    <row r="28" spans="2:8" x14ac:dyDescent="0.2">
      <c r="E28" t="s">
        <v>186</v>
      </c>
      <c r="F28">
        <v>0.219</v>
      </c>
    </row>
    <row r="29" spans="2:8" x14ac:dyDescent="0.2">
      <c r="E29" t="s">
        <v>187</v>
      </c>
      <c r="F29">
        <v>0.19</v>
      </c>
    </row>
    <row r="30" spans="2:8" x14ac:dyDescent="0.2">
      <c r="E30" t="s">
        <v>188</v>
      </c>
      <c r="F30">
        <v>1.2999999999999999E-2</v>
      </c>
    </row>
    <row r="31" spans="2:8" x14ac:dyDescent="0.2">
      <c r="E31" s="45" t="s">
        <v>189</v>
      </c>
      <c r="F31">
        <v>0.20899999999999999</v>
      </c>
    </row>
  </sheetData>
  <pageMargins left="0.7" right="0.7" top="0.75" bottom="0.75" header="0.3" footer="0.3"/>
  <tableParts count="6">
    <tablePart r:id="rId1"/>
    <tablePart r:id="rId2"/>
    <tablePart r:id="rId3"/>
    <tablePart r:id="rId4"/>
    <tablePart r:id="rId5"/>
    <tablePart r:id="rId6"/>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B374A-42F1-41A8-BE4E-0092F5FECCCA}">
  <dimension ref="A1:T57"/>
  <sheetViews>
    <sheetView zoomScale="80" zoomScaleNormal="80" workbookViewId="0">
      <selection activeCell="C7" sqref="C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41</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521.5</v>
      </c>
      <c r="M4" s="70">
        <f>P4*0.75</f>
        <v>782.25</v>
      </c>
      <c r="N4" s="72">
        <f>P4*0.9</f>
        <v>938.7</v>
      </c>
      <c r="O4" s="74">
        <f>P4*0.95</f>
        <v>990.84999999999991</v>
      </c>
      <c r="P4" s="63">
        <v>1043</v>
      </c>
      <c r="Q4" s="64">
        <f>P4*1.05</f>
        <v>1095.1500000000001</v>
      </c>
      <c r="R4" s="76">
        <f>P4*1.25</f>
        <v>1303.75</v>
      </c>
      <c r="S4" s="78" t="s">
        <v>206</v>
      </c>
      <c r="T4" s="56" t="s">
        <v>86</v>
      </c>
    </row>
    <row r="5" spans="1:20" ht="16" thickBot="1" x14ac:dyDescent="0.25">
      <c r="B5" s="289"/>
      <c r="C5" s="291"/>
      <c r="D5" s="293"/>
      <c r="E5" s="3"/>
      <c r="F5" s="4"/>
      <c r="G5" s="291"/>
      <c r="H5" s="291"/>
      <c r="I5" s="291"/>
      <c r="K5" s="62" t="s">
        <v>87</v>
      </c>
      <c r="L5" s="68">
        <f>P5*0.5</f>
        <v>3531</v>
      </c>
      <c r="M5" s="70">
        <f>P5*0.75</f>
        <v>5296.5</v>
      </c>
      <c r="N5" s="72">
        <f>P5*0.9</f>
        <v>6355.8</v>
      </c>
      <c r="O5" s="74">
        <f>P5*0.95</f>
        <v>6708.9</v>
      </c>
      <c r="P5" s="63">
        <v>7062</v>
      </c>
      <c r="Q5" s="64">
        <f>P5*1.05</f>
        <v>7415.1</v>
      </c>
      <c r="R5" s="76">
        <f>P5*1.25</f>
        <v>8827.5</v>
      </c>
      <c r="S5" s="78"/>
      <c r="T5" s="56" t="s">
        <v>86</v>
      </c>
    </row>
    <row r="6" spans="1:20" x14ac:dyDescent="0.2">
      <c r="B6" s="294" t="s">
        <v>207</v>
      </c>
      <c r="C6" s="295"/>
      <c r="D6" s="296"/>
      <c r="G6" s="297" t="s">
        <v>208</v>
      </c>
      <c r="H6" s="297"/>
      <c r="I6" s="297"/>
      <c r="K6" s="62" t="s">
        <v>209</v>
      </c>
      <c r="L6" s="68">
        <f t="shared" ref="L6:N6" si="0">L4+L5</f>
        <v>4052.5</v>
      </c>
      <c r="M6" s="70">
        <f t="shared" si="0"/>
        <v>6078.75</v>
      </c>
      <c r="N6" s="72">
        <f t="shared" si="0"/>
        <v>7294.5</v>
      </c>
      <c r="O6" s="74">
        <f>O4+O5</f>
        <v>7699.75</v>
      </c>
      <c r="P6" s="63">
        <f>P5+P4</f>
        <v>8105</v>
      </c>
      <c r="Q6" s="64">
        <f t="shared" ref="Q6" si="1">Q4+Q5</f>
        <v>8510.25</v>
      </c>
      <c r="R6" s="76">
        <f t="shared" ref="R6" si="2">R4+R5</f>
        <v>10131.25</v>
      </c>
      <c r="S6" s="78"/>
      <c r="T6" s="56" t="s">
        <v>86</v>
      </c>
    </row>
    <row r="7" spans="1:20" x14ac:dyDescent="0.2">
      <c r="B7" s="28">
        <v>1</v>
      </c>
      <c r="C7" s="39">
        <v>0.72601472998358174</v>
      </c>
      <c r="D7" s="39">
        <v>174.70745678814905</v>
      </c>
      <c r="G7" s="38">
        <v>6.1949657996142795</v>
      </c>
      <c r="H7" s="39">
        <v>0.97355398400882653</v>
      </c>
      <c r="I7" s="39">
        <v>0.10709093824097092</v>
      </c>
      <c r="K7" s="62" t="s">
        <v>210</v>
      </c>
      <c r="L7" s="68">
        <f>P7*0.5</f>
        <v>3687</v>
      </c>
      <c r="M7" s="70">
        <f>P7*0.84</f>
        <v>6194.16</v>
      </c>
      <c r="N7" s="72">
        <f>P7*0.91</f>
        <v>6710.34</v>
      </c>
      <c r="O7" s="74">
        <f>P7*0.95</f>
        <v>7005.2999999999993</v>
      </c>
      <c r="P7" s="63">
        <v>7374</v>
      </c>
      <c r="Q7" s="64">
        <f>P7*1.05</f>
        <v>7742.7000000000007</v>
      </c>
      <c r="R7" s="76">
        <f>P7*1.16</f>
        <v>8553.84</v>
      </c>
      <c r="S7" s="78"/>
      <c r="T7" s="56" t="s">
        <v>86</v>
      </c>
    </row>
    <row r="8" spans="1:20" x14ac:dyDescent="0.2">
      <c r="B8" s="28">
        <v>2</v>
      </c>
      <c r="C8" s="39">
        <v>0.37900736499179088</v>
      </c>
      <c r="D8" s="39">
        <v>69.247471761627864</v>
      </c>
      <c r="G8" s="38">
        <v>19.48102452708893</v>
      </c>
      <c r="H8" s="39">
        <v>0.30959016691480684</v>
      </c>
      <c r="I8" s="39">
        <v>3.4054918360628753E-2</v>
      </c>
      <c r="K8" s="79" t="s">
        <v>211</v>
      </c>
      <c r="L8" s="80">
        <f t="shared" ref="L8:O8" si="3">L7+L6</f>
        <v>7739.5</v>
      </c>
      <c r="M8" s="81">
        <f t="shared" si="3"/>
        <v>12272.91</v>
      </c>
      <c r="N8" s="82">
        <f t="shared" si="3"/>
        <v>14004.84</v>
      </c>
      <c r="O8" s="83">
        <f t="shared" si="3"/>
        <v>14705.05</v>
      </c>
      <c r="P8" s="84">
        <f>P7+P6</f>
        <v>15479</v>
      </c>
      <c r="Q8" s="85">
        <f t="shared" ref="Q8:R8" si="4">Q7+Q6</f>
        <v>16252.95</v>
      </c>
      <c r="R8" s="86">
        <f t="shared" si="4"/>
        <v>18685.09</v>
      </c>
      <c r="S8" s="87"/>
      <c r="T8" s="88" t="s">
        <v>86</v>
      </c>
    </row>
    <row r="9" spans="1:20" x14ac:dyDescent="0.2">
      <c r="B9" s="28">
        <v>3</v>
      </c>
      <c r="C9" s="39">
        <v>0.2633382433278606</v>
      </c>
      <c r="D9" s="39">
        <v>50.220566660115054</v>
      </c>
      <c r="G9" s="38">
        <v>32.767083254563573</v>
      </c>
      <c r="H9" s="39">
        <v>0.18406074132866046</v>
      </c>
      <c r="I9" s="39">
        <v>2.024668154615265E-2</v>
      </c>
      <c r="K9" s="62" t="s">
        <v>212</v>
      </c>
      <c r="L9" s="68">
        <f>P9*0.5</f>
        <v>57.5</v>
      </c>
      <c r="M9" s="70">
        <f>P9*0.75</f>
        <v>86.25</v>
      </c>
      <c r="N9" s="72">
        <f>P9*0.9</f>
        <v>103.5</v>
      </c>
      <c r="O9" s="74">
        <f>P9*0.95</f>
        <v>109.25</v>
      </c>
      <c r="P9" s="63">
        <v>115</v>
      </c>
      <c r="Q9" s="64">
        <f>P9*1.05</f>
        <v>120.75</v>
      </c>
      <c r="R9" s="76">
        <f>P9*1.25</f>
        <v>143.75</v>
      </c>
      <c r="S9" s="78"/>
      <c r="T9" s="56" t="s">
        <v>91</v>
      </c>
    </row>
    <row r="10" spans="1:20" x14ac:dyDescent="0.2">
      <c r="B10" s="28">
        <v>4</v>
      </c>
      <c r="C10" s="39">
        <v>0.20550368249589543</v>
      </c>
      <c r="D10" s="39">
        <v>40.835114109358642</v>
      </c>
      <c r="G10" s="297" t="s">
        <v>213</v>
      </c>
      <c r="H10" s="297"/>
      <c r="I10" s="297"/>
      <c r="K10" s="62" t="s">
        <v>214</v>
      </c>
      <c r="L10" s="68">
        <f>P10*0.5</f>
        <v>713.5</v>
      </c>
      <c r="M10" s="70">
        <f>P10*0.75</f>
        <v>1070.25</v>
      </c>
      <c r="N10" s="72">
        <f>P10*0.9</f>
        <v>1284.3</v>
      </c>
      <c r="O10" s="74">
        <f>P10*0.95</f>
        <v>1355.6499999999999</v>
      </c>
      <c r="P10" s="63">
        <v>1427</v>
      </c>
      <c r="Q10" s="64">
        <f>P10*1.05</f>
        <v>1498.3500000000001</v>
      </c>
      <c r="R10" s="76">
        <f>P10*1.25</f>
        <v>1783.75</v>
      </c>
      <c r="S10" s="78"/>
      <c r="T10" s="56" t="s">
        <v>91</v>
      </c>
    </row>
    <row r="11" spans="1:20" x14ac:dyDescent="0.2">
      <c r="B11" s="28">
        <v>5</v>
      </c>
      <c r="C11" s="39">
        <v>0.17080294599671636</v>
      </c>
      <c r="D11" s="39">
        <v>35.306242578904801</v>
      </c>
      <c r="G11" s="38">
        <v>6.1949657996142795</v>
      </c>
      <c r="H11" s="39">
        <v>0.97355398400882653</v>
      </c>
      <c r="I11" s="39">
        <v>0.17074027373031841</v>
      </c>
      <c r="K11" s="62" t="s">
        <v>215</v>
      </c>
      <c r="L11" s="68">
        <f t="shared" ref="L11" si="5">L9+L10</f>
        <v>771</v>
      </c>
      <c r="M11" s="70">
        <f t="shared" ref="M11" si="6">M9+M10</f>
        <v>1156.5</v>
      </c>
      <c r="N11" s="72">
        <f t="shared" ref="N11" si="7">N9+N10</f>
        <v>1387.8</v>
      </c>
      <c r="O11" s="74">
        <f>O9+O10</f>
        <v>1464.8999999999999</v>
      </c>
      <c r="P11" s="63">
        <f>P9+P10</f>
        <v>1542</v>
      </c>
      <c r="Q11" s="64">
        <f t="shared" ref="Q11" si="8">Q9+Q10</f>
        <v>1619.1000000000001</v>
      </c>
      <c r="R11" s="76">
        <f t="shared" ref="R11" si="9">R9+R10</f>
        <v>1927.5</v>
      </c>
      <c r="S11" s="78"/>
      <c r="T11" s="56" t="s">
        <v>91</v>
      </c>
    </row>
    <row r="12" spans="1:20" x14ac:dyDescent="0.2">
      <c r="B12" s="298" t="s">
        <v>216</v>
      </c>
      <c r="C12" s="299"/>
      <c r="D12" s="300"/>
      <c r="G12" s="38">
        <v>19.48102452708893</v>
      </c>
      <c r="H12" s="39">
        <v>0.30959016691480684</v>
      </c>
      <c r="I12" s="39">
        <v>5.4295407046241258E-2</v>
      </c>
      <c r="K12" s="62" t="s">
        <v>217</v>
      </c>
      <c r="L12" s="68">
        <f>P12*0.5</f>
        <v>770.5</v>
      </c>
      <c r="M12" s="70">
        <f>P12*0.84</f>
        <v>1294.44</v>
      </c>
      <c r="N12" s="72">
        <f>P12*0.91</f>
        <v>1402.31</v>
      </c>
      <c r="O12" s="74">
        <f>P12*0.95</f>
        <v>1463.9499999999998</v>
      </c>
      <c r="P12" s="63">
        <v>1541</v>
      </c>
      <c r="Q12" s="64">
        <f>P12*1.05</f>
        <v>1618.0500000000002</v>
      </c>
      <c r="R12" s="76">
        <f>P12*1.16</f>
        <v>1787.56</v>
      </c>
      <c r="S12" s="78"/>
      <c r="T12" s="56" t="s">
        <v>91</v>
      </c>
    </row>
    <row r="13" spans="1:20" ht="16" thickBot="1" x14ac:dyDescent="0.25">
      <c r="B13" s="28">
        <v>1</v>
      </c>
      <c r="C13" s="39">
        <v>0.42544866768334494</v>
      </c>
      <c r="D13" s="39">
        <v>102.37954087590545</v>
      </c>
      <c r="G13" s="38">
        <v>32.767083254563573</v>
      </c>
      <c r="H13" s="39">
        <v>0.18406074132866046</v>
      </c>
      <c r="I13" s="39">
        <v>3.2280265782545343E-2</v>
      </c>
      <c r="K13" s="89" t="s">
        <v>218</v>
      </c>
      <c r="L13" s="90">
        <f t="shared" ref="L13" si="10">L12+L11</f>
        <v>1541.5</v>
      </c>
      <c r="M13" s="91">
        <f t="shared" ref="M13" si="11">M12+M11</f>
        <v>2450.94</v>
      </c>
      <c r="N13" s="92">
        <f t="shared" ref="N13" si="12">N12+N11</f>
        <v>2790.1099999999997</v>
      </c>
      <c r="O13" s="93">
        <f t="shared" ref="O13" si="13">O12+O11</f>
        <v>2928.8499999999995</v>
      </c>
      <c r="P13" s="94">
        <f>P12+P11</f>
        <v>3083</v>
      </c>
      <c r="Q13" s="95">
        <f t="shared" ref="Q13" si="14">Q12+Q11</f>
        <v>3237.1500000000005</v>
      </c>
      <c r="R13" s="96">
        <f t="shared" ref="R13" si="15">R12+R11</f>
        <v>3715.06</v>
      </c>
      <c r="S13" s="97"/>
      <c r="T13" s="98" t="s">
        <v>91</v>
      </c>
    </row>
    <row r="14" spans="1:20" x14ac:dyDescent="0.2">
      <c r="B14" s="28">
        <v>2</v>
      </c>
      <c r="C14" s="39">
        <v>0.22872433384167246</v>
      </c>
      <c r="D14" s="39">
        <v>25.246486956591127</v>
      </c>
      <c r="G14" s="297" t="s">
        <v>219</v>
      </c>
      <c r="H14" s="297"/>
      <c r="I14" s="29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0.3458400757110367</v>
      </c>
      <c r="D16" s="39">
        <v>38.042408328214037</v>
      </c>
      <c r="G16" s="38"/>
      <c r="H16" s="28"/>
      <c r="I16" s="28"/>
      <c r="K16" t="s">
        <v>223</v>
      </c>
      <c r="L16" s="60">
        <v>-0.5</v>
      </c>
      <c r="M16" s="60">
        <v>-0.16</v>
      </c>
      <c r="N16" s="60">
        <v>-0.09</v>
      </c>
      <c r="O16" s="60">
        <v>-0.05</v>
      </c>
      <c r="P16" t="s">
        <v>222</v>
      </c>
      <c r="Q16" s="60">
        <v>0.05</v>
      </c>
      <c r="R16" s="60">
        <v>0.16</v>
      </c>
      <c r="S16" s="60"/>
    </row>
    <row r="17" spans="2:9" x14ac:dyDescent="0.2">
      <c r="B17" s="28">
        <v>2</v>
      </c>
      <c r="C17" s="39">
        <v>0.17589503785551835</v>
      </c>
      <c r="D17" s="39">
        <v>7.0362251272031111</v>
      </c>
      <c r="G17" s="38"/>
      <c r="H17" s="28"/>
      <c r="I17" s="28"/>
    </row>
    <row r="18" spans="2:9" x14ac:dyDescent="0.2">
      <c r="B18" s="28">
        <v>3</v>
      </c>
      <c r="C18" s="39">
        <v>0.11924669190367891</v>
      </c>
      <c r="D18" s="39">
        <v>5.003878377450909</v>
      </c>
      <c r="G18" s="297" t="s">
        <v>224</v>
      </c>
      <c r="H18" s="297"/>
      <c r="I18" s="297"/>
    </row>
    <row r="19" spans="2:9" x14ac:dyDescent="0.2">
      <c r="B19" s="28">
        <v>4</v>
      </c>
      <c r="C19" s="39">
        <v>9.0922518927759169E-2</v>
      </c>
      <c r="D19" s="39">
        <v>3.9935360025748072</v>
      </c>
      <c r="G19" s="38">
        <v>6.1949657996142795</v>
      </c>
      <c r="H19" s="39">
        <v>0.97355398400882653</v>
      </c>
      <c r="I19" s="39">
        <v>0.2343896092196659</v>
      </c>
    </row>
    <row r="20" spans="2:9" x14ac:dyDescent="0.2">
      <c r="B20" s="28">
        <v>5</v>
      </c>
      <c r="C20" s="39">
        <v>7.3928015142207343E-2</v>
      </c>
      <c r="D20" s="39">
        <v>3.3919953776491467</v>
      </c>
      <c r="G20" s="38">
        <v>19.48102452708893</v>
      </c>
      <c r="H20" s="39">
        <v>0.30959016691480684</v>
      </c>
      <c r="I20" s="39">
        <v>7.4535895731853749E-2</v>
      </c>
    </row>
    <row r="21" spans="2:9" x14ac:dyDescent="0.2">
      <c r="B21" s="298" t="s">
        <v>225</v>
      </c>
      <c r="C21" s="299"/>
      <c r="D21" s="299"/>
      <c r="G21" s="38">
        <v>32.767083254563573</v>
      </c>
      <c r="H21" s="39">
        <v>0.18406074132866046</v>
      </c>
      <c r="I21" s="39">
        <v>4.4313850018938034E-2</v>
      </c>
    </row>
    <row r="22" spans="2:9" x14ac:dyDescent="0.2">
      <c r="B22" s="28">
        <v>1</v>
      </c>
      <c r="C22" s="39">
        <v>0.36388602279038551</v>
      </c>
      <c r="D22" s="39">
        <v>63.796315116404926</v>
      </c>
      <c r="G22" s="297" t="s">
        <v>226</v>
      </c>
      <c r="H22" s="297"/>
      <c r="I22" s="297"/>
    </row>
    <row r="23" spans="2:9" x14ac:dyDescent="0.2">
      <c r="B23" s="28">
        <v>2</v>
      </c>
      <c r="C23" s="39">
        <v>0.19043051139519276</v>
      </c>
      <c r="D23" s="39">
        <v>12.157296199656361</v>
      </c>
      <c r="G23" s="38">
        <v>6.1949657996142795</v>
      </c>
      <c r="H23" s="39">
        <v>0.97355398400882653</v>
      </c>
      <c r="I23" s="39">
        <v>0.22840256227606914</v>
      </c>
    </row>
    <row r="24" spans="2:9" x14ac:dyDescent="0.2">
      <c r="B24" s="28">
        <v>3</v>
      </c>
      <c r="C24" s="39">
        <v>0.13261200759679517</v>
      </c>
      <c r="D24" s="39">
        <v>8.4720394607449006</v>
      </c>
      <c r="G24" s="38">
        <v>19.48102452708893</v>
      </c>
      <c r="H24" s="39">
        <v>0.30959016691480684</v>
      </c>
      <c r="I24" s="39">
        <v>7.2632014803789974E-2</v>
      </c>
    </row>
    <row r="25" spans="2:9" x14ac:dyDescent="0.2">
      <c r="B25" s="28">
        <v>4</v>
      </c>
      <c r="C25" s="39">
        <v>0.10370275569759638</v>
      </c>
      <c r="D25" s="39">
        <v>6.6297913312891721</v>
      </c>
      <c r="G25" s="38">
        <v>32.767083254563573</v>
      </c>
      <c r="H25" s="39">
        <v>0.18406074132866046</v>
      </c>
      <c r="I25" s="39">
        <v>4.3181935079542211E-2</v>
      </c>
    </row>
    <row r="26" spans="2:9" x14ac:dyDescent="0.2">
      <c r="B26" s="28">
        <v>5</v>
      </c>
      <c r="C26" s="39">
        <v>8.6357204558077105E-2</v>
      </c>
      <c r="D26" s="39">
        <v>5.5247466456157337</v>
      </c>
    </row>
    <row r="27" spans="2:9" x14ac:dyDescent="0.2">
      <c r="B27" s="298" t="s">
        <v>227</v>
      </c>
      <c r="C27" s="299"/>
      <c r="D27" s="300"/>
    </row>
    <row r="28" spans="2:9" x14ac:dyDescent="0.2">
      <c r="B28" s="28">
        <v>1</v>
      </c>
      <c r="C28" s="39">
        <v>0.13994458877609392</v>
      </c>
      <c r="D28" s="39">
        <v>15.393904765370332</v>
      </c>
    </row>
    <row r="29" spans="2:9" x14ac:dyDescent="0.2">
      <c r="B29" s="28">
        <v>2</v>
      </c>
      <c r="C29" s="39">
        <v>6.997229438804696E-2</v>
      </c>
      <c r="D29" s="39">
        <v>1.2142925330246237</v>
      </c>
    </row>
    <row r="30" spans="2:9" x14ac:dyDescent="0.2">
      <c r="B30" s="298" t="s">
        <v>228</v>
      </c>
      <c r="C30" s="299"/>
      <c r="D30" s="299"/>
    </row>
    <row r="31" spans="2:9" x14ac:dyDescent="0.2">
      <c r="B31" s="28">
        <v>1</v>
      </c>
      <c r="C31" s="39">
        <v>1.26E-2</v>
      </c>
      <c r="D31" s="39">
        <v>1.3824000000000001</v>
      </c>
    </row>
    <row r="32" spans="2:9" x14ac:dyDescent="0.2">
      <c r="B32" s="298" t="s">
        <v>229</v>
      </c>
      <c r="C32" s="299"/>
      <c r="D32" s="299"/>
    </row>
    <row r="33" spans="2:4" x14ac:dyDescent="0.2">
      <c r="B33" s="28">
        <v>1</v>
      </c>
      <c r="C33" s="39">
        <v>2.7199999999999998E-2</v>
      </c>
      <c r="D33" s="39">
        <v>2.9969000000000001</v>
      </c>
    </row>
    <row r="34" spans="2:4" x14ac:dyDescent="0.2">
      <c r="B34" s="298" t="s">
        <v>230</v>
      </c>
      <c r="C34" s="299"/>
      <c r="D34" s="299"/>
    </row>
    <row r="35" spans="2:4" x14ac:dyDescent="0.2">
      <c r="B35" s="38">
        <v>24.851205107741425</v>
      </c>
      <c r="C35" s="39">
        <v>0.17905880722162273</v>
      </c>
      <c r="D35" s="39">
        <v>1.9696468794378502E-2</v>
      </c>
    </row>
    <row r="36" spans="2:4" x14ac:dyDescent="0.2">
      <c r="B36" s="38">
        <v>78.148443735035926</v>
      </c>
      <c r="C36" s="39">
        <v>5.6940700696476026E-2</v>
      </c>
      <c r="D36" s="39">
        <v>6.2634770766123631E-3</v>
      </c>
    </row>
    <row r="37" spans="2:4" x14ac:dyDescent="0.2">
      <c r="B37" s="38">
        <v>131.44568236233042</v>
      </c>
      <c r="C37" s="39">
        <v>3.3852973065681351E-2</v>
      </c>
      <c r="D37" s="39">
        <v>3.7238270372249487E-3</v>
      </c>
    </row>
    <row r="38" spans="2:4" x14ac:dyDescent="0.2">
      <c r="B38" s="297" t="s">
        <v>231</v>
      </c>
      <c r="C38" s="297"/>
      <c r="D38" s="297"/>
    </row>
    <row r="39" spans="2:4" x14ac:dyDescent="0.2">
      <c r="B39" s="38">
        <v>34.515562649640863</v>
      </c>
      <c r="C39" s="39">
        <v>0.4810906539073399</v>
      </c>
      <c r="D39" s="39">
        <v>5.2919971929807387E-2</v>
      </c>
    </row>
    <row r="40" spans="2:4" x14ac:dyDescent="0.2">
      <c r="B40" s="38">
        <v>108.53950518754988</v>
      </c>
      <c r="C40" s="39">
        <v>0.1529868279425341</v>
      </c>
      <c r="D40" s="39">
        <v>1.6828551073678751E-2</v>
      </c>
    </row>
    <row r="41" spans="2:4" x14ac:dyDescent="0.2">
      <c r="B41" s="38">
        <v>182.5634477254589</v>
      </c>
      <c r="C41" s="39">
        <v>9.0955307932541071E-2</v>
      </c>
      <c r="D41" s="39">
        <v>1.0005083872579519E-2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34.515562649640863</v>
      </c>
      <c r="C47" s="28">
        <v>0.66428921646007932</v>
      </c>
      <c r="D47" s="28">
        <v>0.1663202061722871</v>
      </c>
    </row>
    <row r="48" spans="2:4" x14ac:dyDescent="0.2">
      <c r="B48" s="38">
        <v>108.53950518754988</v>
      </c>
      <c r="C48" s="28">
        <v>0.21124397083430524</v>
      </c>
      <c r="D48" s="28">
        <v>5.2889825562787304E-2</v>
      </c>
    </row>
    <row r="49" spans="2:6" x14ac:dyDescent="0.2">
      <c r="B49" s="38">
        <v>182.5634477254589</v>
      </c>
      <c r="C49" s="28">
        <v>0.12559094579923022</v>
      </c>
      <c r="D49" s="28">
        <v>3.144460497193062E-2</v>
      </c>
    </row>
    <row r="50" spans="2:6" x14ac:dyDescent="0.2">
      <c r="B50" s="304" t="s">
        <v>234</v>
      </c>
      <c r="C50" s="304"/>
      <c r="D50" s="304"/>
    </row>
    <row r="51" spans="2:6" ht="28.75" customHeight="1" x14ac:dyDescent="0.2">
      <c r="B51" s="21"/>
      <c r="C51" s="120" t="s">
        <v>250</v>
      </c>
      <c r="D51" s="121" t="s">
        <v>251</v>
      </c>
      <c r="F51" s="44"/>
    </row>
    <row r="52" spans="2:6" ht="16.25" customHeight="1" x14ac:dyDescent="0.2">
      <c r="B52" s="301" t="s">
        <v>247</v>
      </c>
      <c r="C52" s="301"/>
      <c r="D52" s="301"/>
    </row>
    <row r="53" spans="2:6" ht="18.5" customHeight="1" x14ac:dyDescent="0.2">
      <c r="C53">
        <v>1.4638739568345325</v>
      </c>
      <c r="D53">
        <v>0.38316546762589926</v>
      </c>
    </row>
    <row r="54" spans="2:6" ht="17.5" customHeight="1" x14ac:dyDescent="0.2">
      <c r="B54" s="302" t="s">
        <v>248</v>
      </c>
      <c r="C54" s="303"/>
      <c r="D54" s="303"/>
    </row>
    <row r="55" spans="2:6" x14ac:dyDescent="0.2">
      <c r="C55">
        <v>0.44612762923351151</v>
      </c>
      <c r="D55">
        <v>0.11547237076648841</v>
      </c>
    </row>
    <row r="56" spans="2:6" x14ac:dyDescent="0.2">
      <c r="B56" s="301" t="s">
        <v>249</v>
      </c>
      <c r="C56" s="301"/>
      <c r="D56" s="301"/>
    </row>
    <row r="57" spans="2:6" x14ac:dyDescent="0.2">
      <c r="C57">
        <v>0.25176262558606832</v>
      </c>
      <c r="D57">
        <v>6.515070328198258E-2</v>
      </c>
    </row>
  </sheetData>
  <mergeCells count="28">
    <mergeCell ref="B52:D52"/>
    <mergeCell ref="B54:D54"/>
    <mergeCell ref="B56:D56"/>
    <mergeCell ref="B50:D50"/>
    <mergeCell ref="B30:D30"/>
    <mergeCell ref="B32:D32"/>
    <mergeCell ref="B34:D34"/>
    <mergeCell ref="B38:D38"/>
    <mergeCell ref="B42:D42"/>
    <mergeCell ref="B46:D46"/>
    <mergeCell ref="G18:I18"/>
    <mergeCell ref="B15:D15"/>
    <mergeCell ref="G22:I22"/>
    <mergeCell ref="B21:D21"/>
    <mergeCell ref="B27:D27"/>
    <mergeCell ref="B6:D6"/>
    <mergeCell ref="G6:I6"/>
    <mergeCell ref="G10:I10"/>
    <mergeCell ref="B12:D12"/>
    <mergeCell ref="G14:I14"/>
    <mergeCell ref="B3:D3"/>
    <mergeCell ref="G3:I3"/>
    <mergeCell ref="B4:B5"/>
    <mergeCell ref="C4:C5"/>
    <mergeCell ref="D4:D5"/>
    <mergeCell ref="G4:G5"/>
    <mergeCell ref="H4:H5"/>
    <mergeCell ref="I4:I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199E-5C93-459F-BB8B-55C48C601DF2}">
  <dimension ref="A1:T57"/>
  <sheetViews>
    <sheetView zoomScale="80" zoomScaleNormal="80" workbookViewId="0">
      <selection activeCell="B50" sqref="B50: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93</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501</v>
      </c>
      <c r="M4" s="70">
        <f>P4*0.75</f>
        <v>751.5</v>
      </c>
      <c r="N4" s="72">
        <f>P4*0.9</f>
        <v>901.80000000000007</v>
      </c>
      <c r="O4" s="74">
        <f>P4*0.95</f>
        <v>951.9</v>
      </c>
      <c r="P4" s="63">
        <v>1002</v>
      </c>
      <c r="Q4" s="64">
        <f>P4*1.05</f>
        <v>1052.1000000000001</v>
      </c>
      <c r="R4" s="76">
        <f>P4*1.25</f>
        <v>1252.5</v>
      </c>
      <c r="S4" s="78" t="s">
        <v>206</v>
      </c>
      <c r="T4" s="56" t="s">
        <v>86</v>
      </c>
    </row>
    <row r="5" spans="1:20" ht="16" thickBot="1" x14ac:dyDescent="0.25">
      <c r="B5" s="289"/>
      <c r="C5" s="291"/>
      <c r="D5" s="293"/>
      <c r="E5" s="3"/>
      <c r="F5" s="4"/>
      <c r="G5" s="291"/>
      <c r="H5" s="291"/>
      <c r="I5" s="291"/>
      <c r="K5" s="62" t="s">
        <v>87</v>
      </c>
      <c r="L5" s="68">
        <f>P5*0.5</f>
        <v>3713</v>
      </c>
      <c r="M5" s="70">
        <f>P5*0.75</f>
        <v>5569.5</v>
      </c>
      <c r="N5" s="72">
        <f>P5*0.9</f>
        <v>6683.4000000000005</v>
      </c>
      <c r="O5" s="74">
        <f>P5*0.95</f>
        <v>7054.7</v>
      </c>
      <c r="P5" s="63">
        <v>7426</v>
      </c>
      <c r="Q5" s="64">
        <f>P5*1.05</f>
        <v>7797.3</v>
      </c>
      <c r="R5" s="76">
        <f>P5*1.25</f>
        <v>9282.5</v>
      </c>
      <c r="S5" s="78"/>
      <c r="T5" s="56" t="s">
        <v>86</v>
      </c>
    </row>
    <row r="6" spans="1:20" x14ac:dyDescent="0.2">
      <c r="B6" s="294" t="s">
        <v>207</v>
      </c>
      <c r="C6" s="295"/>
      <c r="D6" s="296"/>
      <c r="G6" s="297" t="s">
        <v>208</v>
      </c>
      <c r="H6" s="297"/>
      <c r="I6" s="297"/>
      <c r="K6" s="62" t="s">
        <v>209</v>
      </c>
      <c r="L6" s="68">
        <f t="shared" ref="L6:N6" si="0">L4+L5</f>
        <v>4214</v>
      </c>
      <c r="M6" s="70">
        <f t="shared" si="0"/>
        <v>6321</v>
      </c>
      <c r="N6" s="72">
        <f t="shared" si="0"/>
        <v>7585.2000000000007</v>
      </c>
      <c r="O6" s="74">
        <f>O4+O5</f>
        <v>8006.5999999999995</v>
      </c>
      <c r="P6" s="63">
        <f>P5+P4</f>
        <v>8428</v>
      </c>
      <c r="Q6" s="64">
        <f t="shared" ref="Q6:R6" si="1">Q4+Q5</f>
        <v>8849.4</v>
      </c>
      <c r="R6" s="76">
        <f t="shared" si="1"/>
        <v>10535</v>
      </c>
      <c r="S6" s="78"/>
      <c r="T6" s="56" t="s">
        <v>86</v>
      </c>
    </row>
    <row r="7" spans="1:20" x14ac:dyDescent="0.2">
      <c r="B7" s="28">
        <v>1</v>
      </c>
      <c r="C7" s="39">
        <v>0.65081411020123525</v>
      </c>
      <c r="D7" s="39">
        <v>162.88618224447126</v>
      </c>
      <c r="G7" s="38">
        <v>7.3183754537378851</v>
      </c>
      <c r="H7" s="28">
        <v>0.86277902722476818</v>
      </c>
      <c r="I7" s="28">
        <v>0.16565357322715549</v>
      </c>
      <c r="K7" s="62" t="s">
        <v>210</v>
      </c>
      <c r="L7" s="68">
        <f>P7*0.5</f>
        <v>3473</v>
      </c>
      <c r="M7" s="70">
        <f>P7*0.84</f>
        <v>5834.6399999999994</v>
      </c>
      <c r="N7" s="72">
        <f>P7*0.91</f>
        <v>6320.8600000000006</v>
      </c>
      <c r="O7" s="74">
        <f>P7*0.95</f>
        <v>6598.7</v>
      </c>
      <c r="P7" s="63">
        <v>6946</v>
      </c>
      <c r="Q7" s="64">
        <f>P7*1.05</f>
        <v>7293.3</v>
      </c>
      <c r="R7" s="76">
        <f>P7*1.16</f>
        <v>8057.36</v>
      </c>
      <c r="S7" s="78"/>
      <c r="T7" s="56" t="s">
        <v>86</v>
      </c>
    </row>
    <row r="8" spans="1:20" x14ac:dyDescent="0.2">
      <c r="B8" s="28">
        <v>2</v>
      </c>
      <c r="C8" s="39">
        <v>0.34140705510061764</v>
      </c>
      <c r="D8" s="39">
        <v>58.341748237472387</v>
      </c>
      <c r="G8" s="38">
        <v>23.013759288483914</v>
      </c>
      <c r="H8" s="28">
        <v>0.27436373065747632</v>
      </c>
      <c r="I8" s="28">
        <v>5.2677836286235451E-2</v>
      </c>
      <c r="K8" s="79" t="s">
        <v>211</v>
      </c>
      <c r="L8" s="80">
        <f t="shared" ref="L8:O8" si="2">L7+L6</f>
        <v>7687</v>
      </c>
      <c r="M8" s="81">
        <f t="shared" si="2"/>
        <v>12155.64</v>
      </c>
      <c r="N8" s="82">
        <f t="shared" si="2"/>
        <v>13906.060000000001</v>
      </c>
      <c r="O8" s="83">
        <f t="shared" si="2"/>
        <v>14605.3</v>
      </c>
      <c r="P8" s="84">
        <f>P7+P6</f>
        <v>15374</v>
      </c>
      <c r="Q8" s="85">
        <f t="shared" ref="Q8:R8" si="3">Q7+Q6</f>
        <v>16142.7</v>
      </c>
      <c r="R8" s="86">
        <f t="shared" si="3"/>
        <v>18592.36</v>
      </c>
      <c r="S8" s="87"/>
      <c r="T8" s="88" t="s">
        <v>86</v>
      </c>
    </row>
    <row r="9" spans="1:20" x14ac:dyDescent="0.2">
      <c r="B9" s="28">
        <v>3</v>
      </c>
      <c r="C9" s="39">
        <v>0.23827137006707844</v>
      </c>
      <c r="D9" s="39">
        <v>42.623455729459245</v>
      </c>
      <c r="G9" s="38">
        <v>38.709143123229943</v>
      </c>
      <c r="H9" s="28">
        <v>0.16311755687127011</v>
      </c>
      <c r="I9" s="28">
        <v>3.1318570919283861E-2</v>
      </c>
      <c r="K9" s="62" t="s">
        <v>212</v>
      </c>
      <c r="L9" s="68">
        <f>P9*0.5</f>
        <v>113.5</v>
      </c>
      <c r="M9" s="70">
        <f>P9*0.75</f>
        <v>170.25</v>
      </c>
      <c r="N9" s="72">
        <f>P9*0.9</f>
        <v>204.3</v>
      </c>
      <c r="O9" s="74">
        <f>P9*0.95</f>
        <v>215.64999999999998</v>
      </c>
      <c r="P9" s="63">
        <v>227</v>
      </c>
      <c r="Q9" s="64">
        <f>P9*1.05</f>
        <v>238.35000000000002</v>
      </c>
      <c r="R9" s="76">
        <f>P9*1.25</f>
        <v>283.75</v>
      </c>
      <c r="S9" s="78"/>
      <c r="T9" s="56" t="s">
        <v>91</v>
      </c>
    </row>
    <row r="10" spans="1:20" x14ac:dyDescent="0.2">
      <c r="B10" s="28">
        <v>4</v>
      </c>
      <c r="C10" s="39">
        <v>0.18670352755030881</v>
      </c>
      <c r="D10" s="39">
        <v>34.89230947545267</v>
      </c>
      <c r="G10" s="297" t="s">
        <v>213</v>
      </c>
      <c r="H10" s="297"/>
      <c r="I10" s="297"/>
      <c r="K10" s="62" t="s">
        <v>214</v>
      </c>
      <c r="L10" s="68">
        <f>P10*0.5</f>
        <v>750</v>
      </c>
      <c r="M10" s="70">
        <f>P10*0.75</f>
        <v>1125</v>
      </c>
      <c r="N10" s="72">
        <f>P10*0.9</f>
        <v>1350</v>
      </c>
      <c r="O10" s="74">
        <f>P10*0.95</f>
        <v>1425</v>
      </c>
      <c r="P10" s="63">
        <v>1500</v>
      </c>
      <c r="Q10" s="64">
        <f>P10*1.05</f>
        <v>1575</v>
      </c>
      <c r="R10" s="76">
        <f>P10*1.25</f>
        <v>1875</v>
      </c>
      <c r="S10" s="78"/>
      <c r="T10" s="56" t="s">
        <v>91</v>
      </c>
    </row>
    <row r="11" spans="1:20" x14ac:dyDescent="0.2">
      <c r="B11" s="28">
        <v>5</v>
      </c>
      <c r="C11" s="39">
        <v>0.15576282204024705</v>
      </c>
      <c r="D11" s="39">
        <v>30.35602172304873</v>
      </c>
      <c r="G11" s="38">
        <v>7.3183754537378851</v>
      </c>
      <c r="H11" s="28">
        <v>0.86277902722476818</v>
      </c>
      <c r="I11" s="28">
        <v>0.19447617921661095</v>
      </c>
      <c r="K11" s="62" t="s">
        <v>215</v>
      </c>
      <c r="L11" s="68">
        <f t="shared" ref="L11:N11" si="4">L9+L10</f>
        <v>863.5</v>
      </c>
      <c r="M11" s="70">
        <f t="shared" si="4"/>
        <v>1295.25</v>
      </c>
      <c r="N11" s="72">
        <f t="shared" si="4"/>
        <v>1554.3</v>
      </c>
      <c r="O11" s="74">
        <f>O9+O10</f>
        <v>1640.65</v>
      </c>
      <c r="P11" s="63">
        <f>P9+P10</f>
        <v>1727</v>
      </c>
      <c r="Q11" s="64">
        <f t="shared" ref="Q11:R11" si="5">Q9+Q10</f>
        <v>1813.35</v>
      </c>
      <c r="R11" s="76">
        <f t="shared" si="5"/>
        <v>2158.75</v>
      </c>
      <c r="S11" s="78"/>
      <c r="T11" s="56" t="s">
        <v>91</v>
      </c>
    </row>
    <row r="12" spans="1:20" x14ac:dyDescent="0.2">
      <c r="B12" s="297" t="s">
        <v>216</v>
      </c>
      <c r="C12" s="297"/>
      <c r="D12" s="297"/>
      <c r="G12" s="38">
        <v>23.013759288483914</v>
      </c>
      <c r="H12" s="28">
        <v>0.27436373065747632</v>
      </c>
      <c r="I12" s="28">
        <v>6.1843424990882287E-2</v>
      </c>
      <c r="K12" s="62" t="s">
        <v>217</v>
      </c>
      <c r="L12" s="68">
        <f>P12*0.5</f>
        <v>864</v>
      </c>
      <c r="M12" s="70">
        <f>P12*0.84</f>
        <v>1451.52</v>
      </c>
      <c r="N12" s="72">
        <f>P12*0.91</f>
        <v>1572.48</v>
      </c>
      <c r="O12" s="74">
        <f>P12*0.95</f>
        <v>1641.6</v>
      </c>
      <c r="P12" s="63">
        <v>1728</v>
      </c>
      <c r="Q12" s="64">
        <f>P12*1.05</f>
        <v>1814.4</v>
      </c>
      <c r="R12" s="76">
        <f>P12*1.16</f>
        <v>2004.4799999999998</v>
      </c>
      <c r="S12" s="78"/>
      <c r="T12" s="56" t="s">
        <v>91</v>
      </c>
    </row>
    <row r="13" spans="1:20" ht="16" thickBot="1" x14ac:dyDescent="0.25">
      <c r="B13" s="28">
        <v>1</v>
      </c>
      <c r="C13" s="39">
        <v>0.42927816118963463</v>
      </c>
      <c r="D13" s="39">
        <v>107.44001966319632</v>
      </c>
      <c r="G13" s="38">
        <v>38.709143123229943</v>
      </c>
      <c r="H13" s="28">
        <v>0.16311755687127011</v>
      </c>
      <c r="I13" s="28">
        <v>3.6767791314436554E-2</v>
      </c>
      <c r="K13" s="89" t="s">
        <v>218</v>
      </c>
      <c r="L13" s="90">
        <f t="shared" ref="L13:O13" si="6">L12+L11</f>
        <v>1727.5</v>
      </c>
      <c r="M13" s="91">
        <f t="shared" si="6"/>
        <v>2746.77</v>
      </c>
      <c r="N13" s="92">
        <f t="shared" si="6"/>
        <v>3126.7799999999997</v>
      </c>
      <c r="O13" s="93">
        <f t="shared" si="6"/>
        <v>3282.25</v>
      </c>
      <c r="P13" s="94">
        <f>P12+P11</f>
        <v>3455</v>
      </c>
      <c r="Q13" s="95">
        <f t="shared" ref="Q13:R13" si="7">Q12+Q11</f>
        <v>3627.75</v>
      </c>
      <c r="R13" s="96">
        <f t="shared" si="7"/>
        <v>4163.2299999999996</v>
      </c>
      <c r="S13" s="97"/>
      <c r="T13" s="98" t="s">
        <v>91</v>
      </c>
    </row>
    <row r="14" spans="1:20" x14ac:dyDescent="0.2">
      <c r="B14" s="28">
        <v>2</v>
      </c>
      <c r="C14" s="39">
        <v>0.2306390805948173</v>
      </c>
      <c r="D14" s="39">
        <v>26.62497999896723</v>
      </c>
      <c r="G14" s="297" t="s">
        <v>219</v>
      </c>
      <c r="H14" s="297"/>
      <c r="I14" s="297"/>
      <c r="L14" s="59"/>
      <c r="M14" s="59"/>
      <c r="N14" s="59"/>
      <c r="O14" s="59"/>
      <c r="P14" s="59"/>
      <c r="Q14" s="59"/>
      <c r="R14" s="59"/>
      <c r="S14" s="59"/>
    </row>
    <row r="15" spans="1:20" x14ac:dyDescent="0.2">
      <c r="B15" s="297" t="s">
        <v>220</v>
      </c>
      <c r="C15" s="297"/>
      <c r="D15" s="297"/>
      <c r="G15" s="38">
        <v>7.3183754537378851</v>
      </c>
      <c r="H15" s="28">
        <v>0.86277902722476818</v>
      </c>
      <c r="I15" s="28">
        <v>0.19671361820724717</v>
      </c>
      <c r="K15" t="s">
        <v>221</v>
      </c>
      <c r="L15" s="60">
        <v>-0.5</v>
      </c>
      <c r="M15" s="60">
        <v>-0.25</v>
      </c>
      <c r="N15" s="60">
        <v>-0.1</v>
      </c>
      <c r="O15" s="60">
        <v>-0.05</v>
      </c>
      <c r="P15" t="s">
        <v>222</v>
      </c>
      <c r="Q15" s="60">
        <v>0.05</v>
      </c>
      <c r="R15" s="60">
        <v>0.25</v>
      </c>
      <c r="S15" s="60"/>
    </row>
    <row r="16" spans="1:20" x14ac:dyDescent="0.2">
      <c r="B16" s="28">
        <v>1</v>
      </c>
      <c r="C16" s="39">
        <v>0.32462015475960976</v>
      </c>
      <c r="D16" s="39">
        <v>62.327069713845077</v>
      </c>
      <c r="G16" s="38">
        <v>23.013759288483914</v>
      </c>
      <c r="H16" s="28">
        <v>0.27436373065747632</v>
      </c>
      <c r="I16" s="28">
        <v>6.2554930589904606E-2</v>
      </c>
      <c r="K16" t="s">
        <v>223</v>
      </c>
      <c r="L16" s="60">
        <v>-0.5</v>
      </c>
      <c r="M16" s="60">
        <v>-0.16</v>
      </c>
      <c r="N16" s="60">
        <v>-0.09</v>
      </c>
      <c r="O16" s="60">
        <v>-0.05</v>
      </c>
      <c r="P16" t="s">
        <v>222</v>
      </c>
      <c r="Q16" s="60">
        <v>0.05</v>
      </c>
      <c r="R16" s="60">
        <v>0.16</v>
      </c>
      <c r="S16" s="60"/>
    </row>
    <row r="17" spans="2:9" x14ac:dyDescent="0.2">
      <c r="B17" s="28">
        <v>2</v>
      </c>
      <c r="C17" s="39">
        <v>0.16528507737980488</v>
      </c>
      <c r="D17" s="39">
        <v>10.625693292173793</v>
      </c>
      <c r="G17" s="38">
        <v>38.709143123229943</v>
      </c>
      <c r="H17" s="28">
        <v>0.16311755687127011</v>
      </c>
      <c r="I17" s="28">
        <v>3.7190802966649582E-2</v>
      </c>
    </row>
    <row r="18" spans="2:9" x14ac:dyDescent="0.2">
      <c r="B18" s="28">
        <v>3</v>
      </c>
      <c r="C18" s="39">
        <v>0.11217338491986993</v>
      </c>
      <c r="D18" s="39">
        <v>7.4311580508246005</v>
      </c>
      <c r="G18" s="297" t="s">
        <v>224</v>
      </c>
      <c r="H18" s="297"/>
      <c r="I18" s="297"/>
    </row>
    <row r="19" spans="2:9" x14ac:dyDescent="0.2">
      <c r="B19" s="28">
        <v>4</v>
      </c>
      <c r="C19" s="39">
        <v>8.5617538689902434E-2</v>
      </c>
      <c r="D19" s="39">
        <v>5.8397214301500027</v>
      </c>
      <c r="G19" s="38">
        <v>7.3183754537378851</v>
      </c>
      <c r="H19" s="28">
        <v>0.86277902722476818</v>
      </c>
      <c r="I19" s="28">
        <v>0.22329878520606641</v>
      </c>
    </row>
    <row r="20" spans="2:9" x14ac:dyDescent="0.2">
      <c r="B20" s="28">
        <v>5</v>
      </c>
      <c r="C20" s="39">
        <v>6.9684030951921952E-2</v>
      </c>
      <c r="D20" s="39">
        <v>4.8895242577452454</v>
      </c>
      <c r="G20" s="38">
        <v>23.013759288483914</v>
      </c>
      <c r="H20" s="28">
        <v>0.27436373065747632</v>
      </c>
      <c r="I20" s="28">
        <v>7.1009013695529116E-2</v>
      </c>
    </row>
    <row r="21" spans="2:9" x14ac:dyDescent="0.2">
      <c r="B21" s="297" t="s">
        <v>225</v>
      </c>
      <c r="C21" s="297"/>
      <c r="D21" s="297"/>
      <c r="G21" s="38">
        <v>38.709143123229943</v>
      </c>
      <c r="H21" s="28">
        <v>0.16311755687127011</v>
      </c>
      <c r="I21" s="28">
        <v>4.2217011709589254E-2</v>
      </c>
    </row>
    <row r="22" spans="2:9" x14ac:dyDescent="0.2">
      <c r="B22" s="28">
        <v>1</v>
      </c>
      <c r="C22" s="39">
        <v>0.43149022908499701</v>
      </c>
      <c r="D22" s="39">
        <v>95.419890725417616</v>
      </c>
      <c r="G22" s="297" t="s">
        <v>226</v>
      </c>
      <c r="H22" s="297"/>
      <c r="I22" s="297"/>
    </row>
    <row r="23" spans="2:9" x14ac:dyDescent="0.2">
      <c r="B23" s="28">
        <v>2</v>
      </c>
      <c r="C23" s="39">
        <v>0.22423261454249852</v>
      </c>
      <c r="D23" s="39">
        <v>21.406297197851401</v>
      </c>
      <c r="G23" s="38">
        <v>7.3183754537378851</v>
      </c>
      <c r="H23" s="28">
        <v>0.86277902722476818</v>
      </c>
      <c r="I23" s="28">
        <v>0.19965734606249516</v>
      </c>
    </row>
    <row r="24" spans="2:9" x14ac:dyDescent="0.2">
      <c r="B24" s="28">
        <v>3</v>
      </c>
      <c r="C24" s="39">
        <v>0.15514674302833234</v>
      </c>
      <c r="D24" s="39">
        <v>14.817986414343258</v>
      </c>
      <c r="G24" s="38">
        <v>23.013759288483914</v>
      </c>
      <c r="H24" s="28">
        <v>0.27436373065747632</v>
      </c>
      <c r="I24" s="28">
        <v>6.3491036047873456E-2</v>
      </c>
    </row>
    <row r="25" spans="2:9" x14ac:dyDescent="0.2">
      <c r="B25" s="28">
        <v>4</v>
      </c>
      <c r="C25" s="39">
        <v>0.12060380727124925</v>
      </c>
      <c r="D25" s="39">
        <v>11.524211262589185</v>
      </c>
      <c r="G25" s="38">
        <v>38.709143123229943</v>
      </c>
      <c r="H25" s="28">
        <v>0.16311755687127011</v>
      </c>
      <c r="I25" s="28">
        <v>3.7747346045109077E-2</v>
      </c>
    </row>
    <row r="26" spans="2:9" x14ac:dyDescent="0.2">
      <c r="B26" s="28">
        <v>5</v>
      </c>
      <c r="C26" s="39">
        <v>9.9878045816999411E-2</v>
      </c>
      <c r="D26" s="39">
        <v>9.5482503635367433</v>
      </c>
    </row>
    <row r="27" spans="2:9" x14ac:dyDescent="0.2">
      <c r="B27" s="297" t="s">
        <v>227</v>
      </c>
      <c r="C27" s="297"/>
      <c r="D27" s="297"/>
    </row>
    <row r="28" spans="2:9" x14ac:dyDescent="0.2">
      <c r="B28" s="28">
        <v>1</v>
      </c>
      <c r="C28" s="39">
        <v>0.13135792308877231</v>
      </c>
      <c r="D28" s="39">
        <v>25.220721233044284</v>
      </c>
    </row>
    <row r="29" spans="2:9" x14ac:dyDescent="0.2">
      <c r="B29" s="28">
        <v>2</v>
      </c>
      <c r="C29" s="39">
        <v>6.5678961544386155E-2</v>
      </c>
      <c r="D29" s="39">
        <v>1.7852015446137959</v>
      </c>
    </row>
    <row r="30" spans="2:9" x14ac:dyDescent="0.2">
      <c r="B30" s="297" t="s">
        <v>228</v>
      </c>
      <c r="C30" s="297"/>
      <c r="D30" s="297"/>
    </row>
    <row r="31" spans="2:9" x14ac:dyDescent="0.2">
      <c r="B31" s="28">
        <v>1</v>
      </c>
      <c r="C31" s="39">
        <v>1.18E-2</v>
      </c>
      <c r="D31" s="39">
        <v>2.2648000000000001</v>
      </c>
    </row>
    <row r="32" spans="2:9" x14ac:dyDescent="0.2">
      <c r="B32" s="297" t="s">
        <v>229</v>
      </c>
      <c r="C32" s="297"/>
      <c r="D32" s="297"/>
    </row>
    <row r="33" spans="2:4" x14ac:dyDescent="0.2">
      <c r="B33" s="28">
        <v>1</v>
      </c>
      <c r="C33" s="39">
        <v>2.5600000000000001E-2</v>
      </c>
      <c r="D33" s="39">
        <v>4.910068573387214</v>
      </c>
    </row>
    <row r="34" spans="2:4" x14ac:dyDescent="0.2">
      <c r="B34" s="297" t="s">
        <v>230</v>
      </c>
      <c r="C34" s="297"/>
      <c r="D34" s="297"/>
    </row>
    <row r="35" spans="2:4" x14ac:dyDescent="0.2">
      <c r="B35" s="38">
        <v>25.345627917865315</v>
      </c>
      <c r="C35" s="28">
        <v>0.18168187931994687</v>
      </c>
      <c r="D35" s="28">
        <v>3.48829208294298E-2</v>
      </c>
    </row>
    <row r="36" spans="2:4" x14ac:dyDescent="0.2">
      <c r="B36" s="38">
        <v>79.70323244611734</v>
      </c>
      <c r="C36" s="28">
        <v>5.7774837623743108E-2</v>
      </c>
      <c r="D36" s="28">
        <v>1.1092768823758677E-2</v>
      </c>
    </row>
    <row r="37" spans="2:4" x14ac:dyDescent="0.2">
      <c r="B37" s="38">
        <v>134.06083697436935</v>
      </c>
      <c r="C37" s="28">
        <v>3.4348892760846086E-2</v>
      </c>
      <c r="D37" s="28">
        <v>6.5949874100824481E-3</v>
      </c>
    </row>
    <row r="38" spans="2:4" x14ac:dyDescent="0.2">
      <c r="B38" s="297" t="s">
        <v>231</v>
      </c>
      <c r="C38" s="297"/>
      <c r="D38" s="297"/>
    </row>
    <row r="39" spans="2:4" x14ac:dyDescent="0.2">
      <c r="B39" s="38">
        <v>39.400039835261964</v>
      </c>
      <c r="C39" s="28">
        <v>0.45501320930324063</v>
      </c>
      <c r="D39" s="28">
        <v>8.7362536186222195E-2</v>
      </c>
    </row>
    <row r="40" spans="2:4" x14ac:dyDescent="0.2">
      <c r="B40" s="38">
        <v>123.89949633730177</v>
      </c>
      <c r="C40" s="28">
        <v>0.14469420055843052</v>
      </c>
      <c r="D40" s="28">
        <v>2.7781286507218662E-2</v>
      </c>
    </row>
    <row r="41" spans="2:4" x14ac:dyDescent="0.2">
      <c r="B41" s="38">
        <v>208.39895283934155</v>
      </c>
      <c r="C41" s="28">
        <v>8.602508951155205E-2</v>
      </c>
      <c r="D41" s="28">
        <v>1.6516817186217992E-2</v>
      </c>
    </row>
    <row r="42" spans="2:4" x14ac:dyDescent="0.2">
      <c r="B42" s="297" t="s">
        <v>232</v>
      </c>
      <c r="C42" s="297"/>
      <c r="D42" s="297"/>
    </row>
    <row r="43" spans="2:4" x14ac:dyDescent="0.2">
      <c r="B43" s="38">
        <v>83.605369867958473</v>
      </c>
      <c r="C43" s="28">
        <v>0.32239213973004072</v>
      </c>
      <c r="D43" s="28">
        <v>6.1899290828167815E-2</v>
      </c>
    </row>
    <row r="44" spans="2:4" x14ac:dyDescent="0.2">
      <c r="B44" s="38">
        <v>262.90996813823421</v>
      </c>
      <c r="C44" s="28">
        <v>0.10252070043415294</v>
      </c>
      <c r="D44" s="28">
        <v>1.9683974483357364E-2</v>
      </c>
    </row>
    <row r="45" spans="2:4" x14ac:dyDescent="0.2">
      <c r="B45" s="38">
        <v>442.21456640850994</v>
      </c>
      <c r="C45" s="28">
        <v>6.0951664943016015E-2</v>
      </c>
      <c r="D45" s="28">
        <v>1.1702719669059076E-2</v>
      </c>
    </row>
    <row r="46" spans="2:4" x14ac:dyDescent="0.2">
      <c r="B46" s="297" t="s">
        <v>233</v>
      </c>
      <c r="C46" s="297"/>
      <c r="D46" s="297"/>
    </row>
    <row r="47" spans="2:4" x14ac:dyDescent="0.2">
      <c r="B47" s="38">
        <v>39.400039835261964</v>
      </c>
      <c r="C47" s="28">
        <v>0.70983820663168784</v>
      </c>
      <c r="D47" s="28">
        <v>0.18935644000106905</v>
      </c>
    </row>
    <row r="48" spans="2:4" x14ac:dyDescent="0.2">
      <c r="B48" s="38">
        <v>123.89949633730177</v>
      </c>
      <c r="C48" s="28">
        <v>0.22572854970887674</v>
      </c>
      <c r="D48" s="28">
        <v>6.0215347920339959E-2</v>
      </c>
    </row>
    <row r="49" spans="2:6" x14ac:dyDescent="0.2">
      <c r="B49" s="38">
        <v>208.39895283934155</v>
      </c>
      <c r="C49" s="28">
        <v>0.13420246712775075</v>
      </c>
      <c r="D49" s="28">
        <v>3.5799850130998789E-2</v>
      </c>
      <c r="F49" s="44"/>
    </row>
    <row r="50" spans="2:6" x14ac:dyDescent="0.2">
      <c r="B50" s="304" t="s">
        <v>234</v>
      </c>
      <c r="C50" s="304"/>
      <c r="D50" s="304"/>
      <c r="F50" s="44"/>
    </row>
    <row r="51" spans="2:6" ht="14.5" customHeight="1" x14ac:dyDescent="0.2">
      <c r="B51" s="21"/>
      <c r="C51" s="120" t="s">
        <v>250</v>
      </c>
      <c r="D51" s="121" t="s">
        <v>251</v>
      </c>
    </row>
    <row r="52" spans="2:6" ht="14.5" customHeight="1" x14ac:dyDescent="0.2">
      <c r="B52" s="301" t="s">
        <v>247</v>
      </c>
      <c r="C52" s="301"/>
      <c r="D52" s="301"/>
    </row>
    <row r="54" spans="2:6" x14ac:dyDescent="0.2">
      <c r="B54" s="302" t="s">
        <v>248</v>
      </c>
      <c r="C54" s="303"/>
      <c r="D54" s="303"/>
    </row>
    <row r="55" spans="2:6" x14ac:dyDescent="0.2">
      <c r="C55">
        <v>0.67629342514175617</v>
      </c>
      <c r="D55">
        <v>0.1750451047550089</v>
      </c>
    </row>
    <row r="56" spans="2:6" x14ac:dyDescent="0.2">
      <c r="B56" s="301" t="s">
        <v>249</v>
      </c>
      <c r="C56" s="301"/>
      <c r="D56" s="301"/>
    </row>
    <row r="57" spans="2:6" x14ac:dyDescent="0.2">
      <c r="C57">
        <v>0.31652191677744007</v>
      </c>
      <c r="D57">
        <v>8.1925404003372879E-2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9168-2D44-4912-A19A-17C58F3EFDAB}">
  <dimension ref="A1:T57"/>
  <sheetViews>
    <sheetView zoomScale="80" zoomScaleNormal="80" workbookViewId="0">
      <selection activeCell="B50" sqref="B50:D57"/>
    </sheetView>
  </sheetViews>
  <sheetFormatPr baseColWidth="10" defaultColWidth="11.5" defaultRowHeight="15" x14ac:dyDescent="0.2"/>
  <cols>
    <col min="1" max="1" width="13"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94</v>
      </c>
    </row>
    <row r="2" spans="1:20" ht="16" thickBot="1" x14ac:dyDescent="0.25">
      <c r="C2" t="s">
        <v>235</v>
      </c>
      <c r="G2" t="s">
        <v>236</v>
      </c>
    </row>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ht="14.5" customHeight="1" x14ac:dyDescent="0.2">
      <c r="B4" s="288" t="s">
        <v>201</v>
      </c>
      <c r="C4" s="290" t="s">
        <v>202</v>
      </c>
      <c r="D4" s="292" t="s">
        <v>203</v>
      </c>
      <c r="E4" s="3"/>
      <c r="F4" s="4"/>
      <c r="G4" s="290" t="s">
        <v>201</v>
      </c>
      <c r="H4" s="290" t="s">
        <v>204</v>
      </c>
      <c r="I4" s="290" t="s">
        <v>203</v>
      </c>
      <c r="K4" s="62" t="s">
        <v>205</v>
      </c>
      <c r="L4" s="68">
        <f>P4*0.5</f>
        <v>301.5</v>
      </c>
      <c r="M4" s="70">
        <f>P4*0.75</f>
        <v>452.25</v>
      </c>
      <c r="N4" s="72">
        <f>P4*0.9</f>
        <v>542.70000000000005</v>
      </c>
      <c r="O4" s="74">
        <f>P4*0.95</f>
        <v>572.85</v>
      </c>
      <c r="P4" s="63">
        <v>603</v>
      </c>
      <c r="Q4" s="64">
        <f>P4*1.05</f>
        <v>633.15</v>
      </c>
      <c r="R4" s="76">
        <f>P4*1.25</f>
        <v>753.75</v>
      </c>
      <c r="S4" s="78" t="s">
        <v>206</v>
      </c>
      <c r="T4" s="56" t="s">
        <v>86</v>
      </c>
    </row>
    <row r="5" spans="1:20" ht="16" thickBot="1" x14ac:dyDescent="0.25">
      <c r="B5" s="289"/>
      <c r="C5" s="291"/>
      <c r="D5" s="293"/>
      <c r="E5" s="3"/>
      <c r="F5" s="4"/>
      <c r="G5" s="291"/>
      <c r="H5" s="291"/>
      <c r="I5" s="291"/>
      <c r="K5" s="62" t="s">
        <v>87</v>
      </c>
      <c r="L5" s="68">
        <f>P5*0.5</f>
        <v>1246</v>
      </c>
      <c r="M5" s="70">
        <f>P5*0.75</f>
        <v>1869</v>
      </c>
      <c r="N5" s="72">
        <f>P5*0.9</f>
        <v>2242.8000000000002</v>
      </c>
      <c r="O5" s="74">
        <f>P5*0.95</f>
        <v>2367.4</v>
      </c>
      <c r="P5" s="63">
        <v>2492</v>
      </c>
      <c r="Q5" s="64">
        <f>P5*1.05</f>
        <v>2616.6</v>
      </c>
      <c r="R5" s="76">
        <f>P5*1.25</f>
        <v>3115</v>
      </c>
      <c r="S5" s="78"/>
      <c r="T5" s="56" t="s">
        <v>86</v>
      </c>
    </row>
    <row r="6" spans="1:20" x14ac:dyDescent="0.2">
      <c r="B6" s="294" t="s">
        <v>207</v>
      </c>
      <c r="C6" s="295"/>
      <c r="D6" s="296"/>
      <c r="G6" s="297" t="s">
        <v>208</v>
      </c>
      <c r="H6" s="297"/>
      <c r="I6" s="297"/>
      <c r="K6" s="62" t="s">
        <v>209</v>
      </c>
      <c r="L6" s="68">
        <f t="shared" ref="L6:N6" si="0">L4+L5</f>
        <v>1547.5</v>
      </c>
      <c r="M6" s="70">
        <f t="shared" si="0"/>
        <v>2321.25</v>
      </c>
      <c r="N6" s="72">
        <f t="shared" si="0"/>
        <v>2785.5</v>
      </c>
      <c r="O6" s="74">
        <f>O4+O5</f>
        <v>2940.25</v>
      </c>
      <c r="P6" s="63">
        <f>P5+P4</f>
        <v>3095</v>
      </c>
      <c r="Q6" s="64">
        <f t="shared" ref="Q6:R6" si="1">Q4+Q5</f>
        <v>3249.75</v>
      </c>
      <c r="R6" s="76">
        <f t="shared" si="1"/>
        <v>3868.75</v>
      </c>
      <c r="S6" s="78"/>
      <c r="T6" s="56" t="s">
        <v>86</v>
      </c>
    </row>
    <row r="7" spans="1:20" x14ac:dyDescent="0.2">
      <c r="B7" s="28">
        <v>1</v>
      </c>
      <c r="C7" s="39">
        <v>0.79961334316700261</v>
      </c>
      <c r="D7" s="39">
        <v>194.21985315804037</v>
      </c>
      <c r="G7" s="38">
        <v>6</v>
      </c>
      <c r="H7" s="28">
        <v>0.99004999999999999</v>
      </c>
      <c r="I7" s="28">
        <v>0.22375100000000001</v>
      </c>
      <c r="K7" s="62" t="s">
        <v>210</v>
      </c>
      <c r="L7" s="68">
        <f>P7*0.5</f>
        <v>1991.5</v>
      </c>
      <c r="M7" s="70">
        <f>P7*0.84</f>
        <v>3345.72</v>
      </c>
      <c r="N7" s="72">
        <f>P7*0.91</f>
        <v>3624.53</v>
      </c>
      <c r="O7" s="74">
        <f>P7*0.95</f>
        <v>3783.85</v>
      </c>
      <c r="P7" s="63">
        <v>3983</v>
      </c>
      <c r="Q7" s="64">
        <f>P7*1.05</f>
        <v>4182.1500000000005</v>
      </c>
      <c r="R7" s="76">
        <f>P7*1.16</f>
        <v>4620.28</v>
      </c>
      <c r="S7" s="78"/>
      <c r="T7" s="56" t="s">
        <v>86</v>
      </c>
    </row>
    <row r="8" spans="1:20" x14ac:dyDescent="0.2">
      <c r="B8" s="28">
        <v>2</v>
      </c>
      <c r="C8" s="39">
        <v>0.41580667158350132</v>
      </c>
      <c r="D8" s="39">
        <v>84.084364069749157</v>
      </c>
      <c r="G8" s="38">
        <v>19</v>
      </c>
      <c r="H8" s="28">
        <v>0.31484000000000001</v>
      </c>
      <c r="I8" s="28">
        <v>7.1196700000000002E-2</v>
      </c>
      <c r="K8" s="79" t="s">
        <v>211</v>
      </c>
      <c r="L8" s="80">
        <f t="shared" ref="L8:O8" si="2">L7+L6</f>
        <v>3539</v>
      </c>
      <c r="M8" s="81">
        <f t="shared" si="2"/>
        <v>5666.9699999999993</v>
      </c>
      <c r="N8" s="82">
        <f t="shared" si="2"/>
        <v>6410.0300000000007</v>
      </c>
      <c r="O8" s="83">
        <f t="shared" si="2"/>
        <v>6724.1</v>
      </c>
      <c r="P8" s="84">
        <f>P7+P6</f>
        <v>7078</v>
      </c>
      <c r="Q8" s="85">
        <f t="shared" ref="Q8:R8" si="3">Q7+Q6</f>
        <v>7431.9000000000005</v>
      </c>
      <c r="R8" s="86">
        <f t="shared" si="3"/>
        <v>8489.0299999999988</v>
      </c>
      <c r="S8" s="87"/>
      <c r="T8" s="88" t="s">
        <v>86</v>
      </c>
    </row>
    <row r="9" spans="1:20" x14ac:dyDescent="0.2">
      <c r="B9" s="28">
        <v>3</v>
      </c>
      <c r="C9" s="39">
        <v>0.28787111438900087</v>
      </c>
      <c r="D9" s="39">
        <v>60.516223395297203</v>
      </c>
      <c r="G9" s="38">
        <v>32</v>
      </c>
      <c r="H9" s="28">
        <v>0.18718000000000001</v>
      </c>
      <c r="I9" s="28">
        <v>4.2303E-2</v>
      </c>
      <c r="K9" s="62" t="s">
        <v>212</v>
      </c>
      <c r="L9" s="68">
        <f>P9*0.5</f>
        <v>146.5</v>
      </c>
      <c r="M9" s="70">
        <f>P9*0.75</f>
        <v>219.75</v>
      </c>
      <c r="N9" s="72">
        <f>P9*0.9</f>
        <v>263.7</v>
      </c>
      <c r="O9" s="74">
        <f>P9*0.95</f>
        <v>278.34999999999997</v>
      </c>
      <c r="P9" s="63">
        <v>293</v>
      </c>
      <c r="Q9" s="64">
        <f>P9*1.05</f>
        <v>307.65000000000003</v>
      </c>
      <c r="R9" s="76">
        <f>P9*1.25</f>
        <v>366.25</v>
      </c>
      <c r="S9" s="78"/>
      <c r="T9" s="56" t="s">
        <v>91</v>
      </c>
    </row>
    <row r="10" spans="1:20" x14ac:dyDescent="0.2">
      <c r="B10" s="28">
        <v>4</v>
      </c>
      <c r="C10" s="39">
        <v>0.22390333579175065</v>
      </c>
      <c r="D10" s="39">
        <v>48.860153058071226</v>
      </c>
      <c r="G10" s="297" t="s">
        <v>213</v>
      </c>
      <c r="H10" s="297"/>
      <c r="I10" s="297"/>
      <c r="K10" s="62" t="s">
        <v>214</v>
      </c>
      <c r="L10" s="68">
        <f>P10*0.5</f>
        <v>297</v>
      </c>
      <c r="M10" s="70">
        <f>P10*0.75</f>
        <v>445.5</v>
      </c>
      <c r="N10" s="72">
        <f>P10*0.9</f>
        <v>534.6</v>
      </c>
      <c r="O10" s="74">
        <f>P10*0.95</f>
        <v>564.29999999999995</v>
      </c>
      <c r="P10" s="63">
        <v>594</v>
      </c>
      <c r="Q10" s="64">
        <f>P10*1.05</f>
        <v>623.70000000000005</v>
      </c>
      <c r="R10" s="76">
        <f>P10*1.25</f>
        <v>742.5</v>
      </c>
      <c r="S10" s="78"/>
      <c r="T10" s="56" t="s">
        <v>91</v>
      </c>
    </row>
    <row r="11" spans="1:20" x14ac:dyDescent="0.2">
      <c r="B11" s="28">
        <v>5</v>
      </c>
      <c r="C11" s="39">
        <v>0.18552266863340053</v>
      </c>
      <c r="D11" s="39">
        <v>41.968910855735643</v>
      </c>
      <c r="G11" s="38">
        <v>6</v>
      </c>
      <c r="H11" s="28">
        <v>0.99004999999999999</v>
      </c>
      <c r="I11" s="28">
        <v>0.23658970000000001</v>
      </c>
      <c r="K11" s="62" t="s">
        <v>215</v>
      </c>
      <c r="L11" s="68">
        <f t="shared" ref="L11:N11" si="4">L9+L10</f>
        <v>443.5</v>
      </c>
      <c r="M11" s="70">
        <f t="shared" si="4"/>
        <v>665.25</v>
      </c>
      <c r="N11" s="72">
        <f t="shared" si="4"/>
        <v>798.3</v>
      </c>
      <c r="O11" s="74">
        <f>O9+O10</f>
        <v>842.64999999999986</v>
      </c>
      <c r="P11" s="63">
        <f>P9+P10</f>
        <v>887</v>
      </c>
      <c r="Q11" s="64">
        <f t="shared" ref="Q11:R11" si="5">Q9+Q10</f>
        <v>931.35000000000014</v>
      </c>
      <c r="R11" s="76">
        <f t="shared" si="5"/>
        <v>1108.75</v>
      </c>
      <c r="S11" s="78"/>
      <c r="T11" s="56" t="s">
        <v>91</v>
      </c>
    </row>
    <row r="12" spans="1:20" x14ac:dyDescent="0.2">
      <c r="B12" s="298" t="s">
        <v>216</v>
      </c>
      <c r="C12" s="299"/>
      <c r="D12" s="300"/>
      <c r="G12" s="38">
        <v>19</v>
      </c>
      <c r="H12" s="28">
        <v>0.31484000000000001</v>
      </c>
      <c r="I12" s="28">
        <v>7.5235499999999997E-2</v>
      </c>
      <c r="K12" s="62" t="s">
        <v>217</v>
      </c>
      <c r="L12" s="68">
        <f>P12*0.5</f>
        <v>477.5</v>
      </c>
      <c r="M12" s="70">
        <f>P12*0.84</f>
        <v>802.19999999999993</v>
      </c>
      <c r="N12" s="72">
        <f>P12*0.91</f>
        <v>869.05000000000007</v>
      </c>
      <c r="O12" s="74">
        <f>P12*0.95</f>
        <v>907.25</v>
      </c>
      <c r="P12" s="63">
        <v>955</v>
      </c>
      <c r="Q12" s="64">
        <f>P12*1.05</f>
        <v>1002.75</v>
      </c>
      <c r="R12" s="76">
        <f>P12*1.16</f>
        <v>1107.8</v>
      </c>
      <c r="S12" s="78"/>
      <c r="T12" s="56" t="s">
        <v>91</v>
      </c>
    </row>
    <row r="13" spans="1:20" ht="16" thickBot="1" x14ac:dyDescent="0.25">
      <c r="B13" s="28">
        <v>1</v>
      </c>
      <c r="C13" s="39">
        <v>0.44700954716488972</v>
      </c>
      <c r="D13" s="39">
        <v>108.57513741172609</v>
      </c>
      <c r="G13" s="38">
        <v>32</v>
      </c>
      <c r="H13" s="28">
        <v>0.18718000000000001</v>
      </c>
      <c r="I13" s="28">
        <v>4.47298E-2</v>
      </c>
      <c r="K13" s="89" t="s">
        <v>218</v>
      </c>
      <c r="L13" s="90">
        <f t="shared" ref="L13:O13" si="6">L12+L11</f>
        <v>921</v>
      </c>
      <c r="M13" s="91">
        <f t="shared" si="6"/>
        <v>1467.4499999999998</v>
      </c>
      <c r="N13" s="92">
        <f t="shared" si="6"/>
        <v>1667.35</v>
      </c>
      <c r="O13" s="93">
        <f t="shared" si="6"/>
        <v>1749.8999999999999</v>
      </c>
      <c r="P13" s="94">
        <f>P12+P11</f>
        <v>1842</v>
      </c>
      <c r="Q13" s="95">
        <f t="shared" ref="Q13:R13" si="7">Q12+Q11</f>
        <v>1934.1000000000001</v>
      </c>
      <c r="R13" s="96">
        <f t="shared" si="7"/>
        <v>2216.5500000000002</v>
      </c>
      <c r="S13" s="97"/>
      <c r="T13" s="98" t="s">
        <v>91</v>
      </c>
    </row>
    <row r="14" spans="1:20" x14ac:dyDescent="0.2">
      <c r="B14" s="28">
        <v>2</v>
      </c>
      <c r="C14" s="39">
        <v>0.23950477358244487</v>
      </c>
      <c r="D14" s="39">
        <v>27.920301891137857</v>
      </c>
      <c r="G14" s="297" t="s">
        <v>219</v>
      </c>
      <c r="H14" s="297"/>
      <c r="I14" s="297"/>
      <c r="L14" s="59"/>
      <c r="M14" s="59"/>
      <c r="N14" s="59"/>
      <c r="O14" s="59"/>
      <c r="P14" s="59"/>
      <c r="Q14" s="59"/>
      <c r="R14" s="59"/>
      <c r="S14" s="59"/>
    </row>
    <row r="15" spans="1:20" x14ac:dyDescent="0.2">
      <c r="B15" s="298" t="s">
        <v>220</v>
      </c>
      <c r="C15" s="299"/>
      <c r="D15" s="300"/>
      <c r="G15" s="38">
        <v>6</v>
      </c>
      <c r="H15" s="28">
        <v>0.99004999999999999</v>
      </c>
      <c r="I15" s="28">
        <v>0.22573099999999999</v>
      </c>
      <c r="K15" t="s">
        <v>221</v>
      </c>
      <c r="L15" s="60">
        <v>-0.5</v>
      </c>
      <c r="M15" s="60">
        <v>-0.25</v>
      </c>
      <c r="N15" s="60">
        <v>-0.1</v>
      </c>
      <c r="O15" s="60">
        <v>-0.05</v>
      </c>
      <c r="P15" t="s">
        <v>222</v>
      </c>
      <c r="Q15" s="60">
        <v>0.05</v>
      </c>
      <c r="R15" s="60">
        <v>0.25</v>
      </c>
      <c r="S15" s="60"/>
    </row>
    <row r="16" spans="1:20" x14ac:dyDescent="0.2">
      <c r="B16" s="28">
        <v>1</v>
      </c>
      <c r="C16" s="39">
        <v>0.33610000000000001</v>
      </c>
      <c r="D16" s="39">
        <v>7.5999999999999998E-2</v>
      </c>
      <c r="G16" s="38">
        <v>19</v>
      </c>
      <c r="H16" s="28">
        <v>0.31484000000000001</v>
      </c>
      <c r="I16" s="28">
        <v>7.1783E-2</v>
      </c>
      <c r="K16" t="s">
        <v>223</v>
      </c>
      <c r="L16" s="60">
        <v>-0.5</v>
      </c>
      <c r="M16" s="60">
        <v>-0.16</v>
      </c>
      <c r="N16" s="60">
        <v>-0.09</v>
      </c>
      <c r="O16" s="60">
        <v>-0.05</v>
      </c>
      <c r="P16" t="s">
        <v>222</v>
      </c>
      <c r="Q16" s="60">
        <v>0.05</v>
      </c>
      <c r="R16" s="60">
        <v>0.16</v>
      </c>
      <c r="S16" s="60"/>
    </row>
    <row r="17" spans="2:9" x14ac:dyDescent="0.2">
      <c r="B17" s="28">
        <v>2</v>
      </c>
      <c r="C17" s="39">
        <v>0.17100000000000001</v>
      </c>
      <c r="D17" s="39">
        <v>1.3299999999999999E-2</v>
      </c>
      <c r="G17" s="38">
        <v>32</v>
      </c>
      <c r="H17" s="28">
        <v>0.18718000000000001</v>
      </c>
      <c r="I17" s="28">
        <v>4.2677E-2</v>
      </c>
    </row>
    <row r="18" spans="2:9" x14ac:dyDescent="0.2">
      <c r="B18" s="28">
        <v>3</v>
      </c>
      <c r="C18" s="39">
        <v>0.11600000000000001</v>
      </c>
      <c r="D18" s="39">
        <v>9.2999999999999992E-3</v>
      </c>
      <c r="G18" s="297" t="s">
        <v>224</v>
      </c>
      <c r="H18" s="297"/>
      <c r="I18" s="297"/>
    </row>
    <row r="19" spans="2:9" x14ac:dyDescent="0.2">
      <c r="B19" s="28">
        <v>4</v>
      </c>
      <c r="C19" s="39">
        <v>8.8499999999999995E-2</v>
      </c>
      <c r="D19" s="39">
        <v>7.1999999999999998E-3</v>
      </c>
      <c r="G19" s="38">
        <v>6</v>
      </c>
      <c r="H19" s="28">
        <v>0.99004999999999999</v>
      </c>
      <c r="I19" s="28">
        <v>0.24942800000000001</v>
      </c>
    </row>
    <row r="20" spans="2:9" x14ac:dyDescent="0.2">
      <c r="B20" s="28">
        <v>5</v>
      </c>
      <c r="C20" s="39">
        <v>7.1999999999999995E-2</v>
      </c>
      <c r="D20" s="39">
        <v>6.0000000000000001E-3</v>
      </c>
      <c r="G20" s="38">
        <v>19</v>
      </c>
      <c r="H20" s="28">
        <v>0.31484000000000001</v>
      </c>
      <c r="I20" s="28">
        <v>7.1152900000000005E-2</v>
      </c>
    </row>
    <row r="21" spans="2:9" x14ac:dyDescent="0.2">
      <c r="B21" s="298" t="s">
        <v>225</v>
      </c>
      <c r="C21" s="299"/>
      <c r="D21" s="299"/>
      <c r="G21" s="38">
        <v>32</v>
      </c>
      <c r="H21" s="28">
        <v>0.18718000000000001</v>
      </c>
      <c r="I21" s="28">
        <v>4.2302600000000003E-2</v>
      </c>
    </row>
    <row r="22" spans="2:9" x14ac:dyDescent="0.2">
      <c r="B22" s="28">
        <v>1</v>
      </c>
      <c r="C22" s="39">
        <v>0.45240000000000002</v>
      </c>
      <c r="D22" s="39">
        <v>0.10730000000000001</v>
      </c>
      <c r="G22" s="297" t="s">
        <v>226</v>
      </c>
      <c r="H22" s="297"/>
      <c r="I22" s="297"/>
    </row>
    <row r="23" spans="2:9" x14ac:dyDescent="0.2">
      <c r="B23" s="28">
        <v>2</v>
      </c>
      <c r="C23" s="39">
        <v>0.23469999999999999</v>
      </c>
      <c r="D23" s="39">
        <v>2.52E-2</v>
      </c>
      <c r="G23" s="38">
        <v>6</v>
      </c>
      <c r="H23" s="28">
        <v>0.99004999999999999</v>
      </c>
      <c r="I23" s="28">
        <v>0.24276</v>
      </c>
    </row>
    <row r="24" spans="2:9" x14ac:dyDescent="0.2">
      <c r="B24" s="28">
        <v>3</v>
      </c>
      <c r="C24" s="39">
        <v>0.16209999999999999</v>
      </c>
      <c r="D24" s="39">
        <v>1.7399999999999999E-2</v>
      </c>
      <c r="G24" s="38">
        <v>19</v>
      </c>
      <c r="H24" s="28">
        <v>0.31484000000000001</v>
      </c>
      <c r="I24" s="28">
        <v>7.7200000000000005E-2</v>
      </c>
    </row>
    <row r="25" spans="2:9" x14ac:dyDescent="0.2">
      <c r="B25" s="28">
        <v>4</v>
      </c>
      <c r="C25" s="39">
        <v>0.1258</v>
      </c>
      <c r="D25" s="39">
        <v>1.35E-2</v>
      </c>
      <c r="G25" s="38">
        <v>32</v>
      </c>
      <c r="H25" s="28">
        <v>0.18718000000000001</v>
      </c>
      <c r="I25" s="28">
        <v>4.5895999999999999E-2</v>
      </c>
    </row>
    <row r="26" spans="2:9" x14ac:dyDescent="0.2">
      <c r="B26" s="28">
        <v>5</v>
      </c>
      <c r="C26" s="39">
        <v>0.1041</v>
      </c>
      <c r="D26" s="39">
        <v>1.12E-2</v>
      </c>
    </row>
    <row r="27" spans="2:9" x14ac:dyDescent="0.2">
      <c r="B27" s="298" t="s">
        <v>227</v>
      </c>
      <c r="C27" s="299"/>
      <c r="D27" s="300"/>
    </row>
    <row r="28" spans="2:9" x14ac:dyDescent="0.2">
      <c r="B28" s="28">
        <v>1</v>
      </c>
      <c r="C28" s="39">
        <v>0.13600000000000001</v>
      </c>
      <c r="D28" s="39">
        <v>3.0700000000000002E-2</v>
      </c>
    </row>
    <row r="29" spans="2:9" x14ac:dyDescent="0.2">
      <c r="B29" s="28">
        <v>2</v>
      </c>
      <c r="C29" s="39">
        <v>6.8000000000000005E-2</v>
      </c>
      <c r="D29" s="39">
        <v>2.2000000000000001E-3</v>
      </c>
    </row>
    <row r="30" spans="2:9" x14ac:dyDescent="0.2">
      <c r="B30" s="298" t="s">
        <v>228</v>
      </c>
      <c r="C30" s="299"/>
      <c r="D30" s="299"/>
    </row>
    <row r="31" spans="2:9" x14ac:dyDescent="0.2">
      <c r="B31" s="28">
        <v>1</v>
      </c>
      <c r="C31" s="39">
        <v>1.2200000000000001E-2</v>
      </c>
      <c r="D31" s="39">
        <v>2.8E-3</v>
      </c>
    </row>
    <row r="32" spans="2:9" x14ac:dyDescent="0.2">
      <c r="B32" s="298" t="s">
        <v>229</v>
      </c>
      <c r="C32" s="299"/>
      <c r="D32" s="299"/>
    </row>
    <row r="33" spans="2:4" x14ac:dyDescent="0.2">
      <c r="B33" s="28">
        <v>1</v>
      </c>
      <c r="C33" s="39">
        <v>2.6499999999999999E-2</v>
      </c>
      <c r="D33" s="39">
        <v>6.0000000000000001E-3</v>
      </c>
    </row>
    <row r="34" spans="2:4" x14ac:dyDescent="0.2">
      <c r="B34" s="298" t="s">
        <v>230</v>
      </c>
      <c r="C34" s="299"/>
      <c r="D34" s="299"/>
    </row>
    <row r="35" spans="2:4" x14ac:dyDescent="0.2">
      <c r="B35" s="38">
        <v>26.715192258639863</v>
      </c>
      <c r="C35" s="28">
        <v>0.13430248057527788</v>
      </c>
      <c r="D35" s="28">
        <v>4.7274473162497811E-2</v>
      </c>
    </row>
    <row r="36" spans="2:4" x14ac:dyDescent="0.2">
      <c r="B36" s="38">
        <v>84.010038549181957</v>
      </c>
      <c r="C36" s="28">
        <v>4.2708188822938371E-2</v>
      </c>
      <c r="D36" s="28">
        <v>1.5033282465674303E-2</v>
      </c>
    </row>
    <row r="37" spans="2:4" x14ac:dyDescent="0.2">
      <c r="B37" s="38">
        <v>141.30488483972402</v>
      </c>
      <c r="C37" s="28">
        <v>2.5391313212210689E-2</v>
      </c>
      <c r="D37" s="28">
        <v>8.9377422506981604E-3</v>
      </c>
    </row>
    <row r="38" spans="2:4" x14ac:dyDescent="0.2">
      <c r="B38" s="298" t="s">
        <v>231</v>
      </c>
      <c r="C38" s="299"/>
      <c r="D38" s="299"/>
    </row>
    <row r="39" spans="2:4" x14ac:dyDescent="0.2">
      <c r="B39" s="38">
        <v>33.393990323299825</v>
      </c>
      <c r="C39" s="28">
        <v>0.39954909710173275</v>
      </c>
      <c r="D39" s="28">
        <v>0.14064128217980992</v>
      </c>
    </row>
    <row r="40" spans="2:4" x14ac:dyDescent="0.2">
      <c r="B40" s="38">
        <v>105.01254818647745</v>
      </c>
      <c r="C40" s="28">
        <v>0.12705661287835102</v>
      </c>
      <c r="D40" s="28">
        <v>4.4723927733179548E-2</v>
      </c>
    </row>
    <row r="41" spans="2:4" x14ac:dyDescent="0.2">
      <c r="B41" s="38">
        <v>176.63110604965507</v>
      </c>
      <c r="C41" s="28">
        <v>7.5539008845630806E-2</v>
      </c>
      <c r="D41" s="28">
        <v>2.6589731113662037E-2</v>
      </c>
    </row>
    <row r="42" spans="2:4" x14ac:dyDescent="0.2">
      <c r="B42" s="298" t="s">
        <v>232</v>
      </c>
      <c r="C42" s="299"/>
      <c r="D42" s="300"/>
    </row>
    <row r="43" spans="2:4" x14ac:dyDescent="0.2">
      <c r="B43" s="38"/>
      <c r="C43" s="39"/>
      <c r="D43" s="39"/>
    </row>
    <row r="44" spans="2:4" x14ac:dyDescent="0.2">
      <c r="B44" s="38"/>
      <c r="C44" s="39"/>
      <c r="D44" s="39"/>
    </row>
    <row r="45" spans="2:4" x14ac:dyDescent="0.2">
      <c r="B45" s="38"/>
      <c r="C45" s="39"/>
      <c r="D45" s="39"/>
    </row>
    <row r="46" spans="2:4" x14ac:dyDescent="0.2">
      <c r="B46" s="298" t="s">
        <v>233</v>
      </c>
      <c r="C46" s="299"/>
      <c r="D46" s="299"/>
    </row>
    <row r="47" spans="2:4" x14ac:dyDescent="0.2">
      <c r="B47" s="38">
        <v>33.393990323299825</v>
      </c>
      <c r="C47" s="28">
        <v>0.86008016562209411</v>
      </c>
      <c r="D47" s="28">
        <v>56.661383694419747</v>
      </c>
    </row>
    <row r="48" spans="2:4" x14ac:dyDescent="0.2">
      <c r="B48" s="38">
        <v>105.01254818647745</v>
      </c>
      <c r="C48" s="28">
        <v>0.27350549266782587</v>
      </c>
      <c r="D48" s="28">
        <v>18.018320014825477</v>
      </c>
    </row>
    <row r="49" spans="2:4" x14ac:dyDescent="0.2">
      <c r="B49" s="38">
        <v>176.63110604965507</v>
      </c>
      <c r="C49" s="28">
        <v>0.16260730836374904</v>
      </c>
      <c r="D49" s="28">
        <v>10.712437583130486</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1.0599842766505649</v>
      </c>
      <c r="D53">
        <v>0.27432623353663393</v>
      </c>
    </row>
    <row r="54" spans="2:4" x14ac:dyDescent="0.2">
      <c r="B54" s="302" t="s">
        <v>248</v>
      </c>
      <c r="C54" s="303"/>
      <c r="D54" s="303"/>
    </row>
    <row r="55" spans="2:4" x14ac:dyDescent="0.2">
      <c r="C55">
        <v>0.31743025970227445</v>
      </c>
      <c r="D55">
        <v>8.2151640805316575E-2</v>
      </c>
    </row>
    <row r="56" spans="2:4" x14ac:dyDescent="0.2">
      <c r="B56" s="301" t="s">
        <v>249</v>
      </c>
      <c r="C56" s="301"/>
      <c r="D56" s="301"/>
    </row>
    <row r="57" spans="2:4" x14ac:dyDescent="0.2">
      <c r="C57">
        <v>0.30727865155945211</v>
      </c>
      <c r="D57">
        <v>7.9524382564316876E-2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75B4-218F-4D46-BAED-DDBFDB0AF9F3}">
  <dimension ref="A1:T57"/>
  <sheetViews>
    <sheetView zoomScale="80" zoomScaleNormal="80" workbookViewId="0">
      <selection activeCell="B50" sqref="B50: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95</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320.5</v>
      </c>
      <c r="M4" s="70">
        <f>P4*0.75</f>
        <v>480.75</v>
      </c>
      <c r="N4" s="72">
        <f>P4*0.9</f>
        <v>576.9</v>
      </c>
      <c r="O4" s="74">
        <f>P4*0.95</f>
        <v>608.94999999999993</v>
      </c>
      <c r="P4" s="63">
        <v>641</v>
      </c>
      <c r="Q4" s="64">
        <f>P4*1.05</f>
        <v>673.05000000000007</v>
      </c>
      <c r="R4" s="76">
        <f>P4*1.25</f>
        <v>801.25</v>
      </c>
      <c r="S4" s="78" t="s">
        <v>206</v>
      </c>
      <c r="T4" s="56" t="s">
        <v>86</v>
      </c>
    </row>
    <row r="5" spans="1:20" ht="16" thickBot="1" x14ac:dyDescent="0.25">
      <c r="B5" s="289"/>
      <c r="C5" s="291"/>
      <c r="D5" s="293"/>
      <c r="E5" s="3"/>
      <c r="F5" s="4"/>
      <c r="G5" s="291"/>
      <c r="H5" s="291"/>
      <c r="I5" s="291"/>
      <c r="K5" s="62" t="s">
        <v>87</v>
      </c>
      <c r="L5" s="68">
        <f>P5*0.5</f>
        <v>3006.5</v>
      </c>
      <c r="M5" s="70">
        <f>P5*0.75</f>
        <v>4509.75</v>
      </c>
      <c r="N5" s="72">
        <f>P5*0.9</f>
        <v>5411.7</v>
      </c>
      <c r="O5" s="74">
        <f>P5*0.95</f>
        <v>5712.3499999999995</v>
      </c>
      <c r="P5" s="63">
        <v>6013</v>
      </c>
      <c r="Q5" s="64">
        <f>P5*1.05</f>
        <v>6313.6500000000005</v>
      </c>
      <c r="R5" s="76">
        <f>P5*1.25</f>
        <v>7516.25</v>
      </c>
      <c r="S5" s="78"/>
      <c r="T5" s="56" t="s">
        <v>86</v>
      </c>
    </row>
    <row r="6" spans="1:20" x14ac:dyDescent="0.2">
      <c r="B6" s="294" t="s">
        <v>207</v>
      </c>
      <c r="C6" s="295"/>
      <c r="D6" s="296"/>
      <c r="G6" s="297" t="s">
        <v>208</v>
      </c>
      <c r="H6" s="297"/>
      <c r="I6" s="297"/>
      <c r="K6" s="62" t="s">
        <v>209</v>
      </c>
      <c r="L6" s="68">
        <f t="shared" ref="L6:N6" si="0">L4+L5</f>
        <v>3327</v>
      </c>
      <c r="M6" s="70">
        <f t="shared" si="0"/>
        <v>4990.5</v>
      </c>
      <c r="N6" s="72">
        <f t="shared" si="0"/>
        <v>5988.5999999999995</v>
      </c>
      <c r="O6" s="74">
        <f>O4+O5</f>
        <v>6321.2999999999993</v>
      </c>
      <c r="P6" s="63">
        <f>P5+P4</f>
        <v>6654</v>
      </c>
      <c r="Q6" s="64">
        <f t="shared" ref="Q6:R6" si="1">Q4+Q5</f>
        <v>6986.7000000000007</v>
      </c>
      <c r="R6" s="76">
        <f t="shared" si="1"/>
        <v>8317.5</v>
      </c>
      <c r="S6" s="78"/>
      <c r="T6" s="56" t="s">
        <v>86</v>
      </c>
    </row>
    <row r="7" spans="1:20" x14ac:dyDescent="0.2">
      <c r="B7" s="28">
        <v>1</v>
      </c>
      <c r="C7" s="39">
        <v>0.71987947416370457</v>
      </c>
      <c r="D7" s="39">
        <v>183.97420145444303</v>
      </c>
      <c r="G7" s="38">
        <v>3.5796199999999998</v>
      </c>
      <c r="H7" s="28">
        <v>1.7947742914035432</v>
      </c>
      <c r="I7" s="28">
        <v>0.29434298379018109</v>
      </c>
      <c r="K7" s="62" t="s">
        <v>210</v>
      </c>
      <c r="L7" s="68">
        <f>P7*0.5</f>
        <v>2164</v>
      </c>
      <c r="M7" s="70">
        <f>P7*0.84</f>
        <v>3635.52</v>
      </c>
      <c r="N7" s="72">
        <f>P7*0.91</f>
        <v>3938.48</v>
      </c>
      <c r="O7" s="74">
        <f>P7*0.95</f>
        <v>4111.5999999999995</v>
      </c>
      <c r="P7" s="63">
        <v>4328</v>
      </c>
      <c r="Q7" s="64">
        <f>P7*1.05</f>
        <v>4544.4000000000005</v>
      </c>
      <c r="R7" s="76">
        <f>P7*1.16</f>
        <v>5020.4799999999996</v>
      </c>
      <c r="S7" s="78"/>
      <c r="T7" s="56" t="s">
        <v>86</v>
      </c>
    </row>
    <row r="8" spans="1:20" x14ac:dyDescent="0.2">
      <c r="B8" s="28">
        <v>2</v>
      </c>
      <c r="C8" s="39">
        <v>0.3759397370818523</v>
      </c>
      <c r="D8" s="39">
        <v>72.170730821281865</v>
      </c>
      <c r="G8" s="38">
        <v>11.256666666666666</v>
      </c>
      <c r="H8" s="28">
        <v>0.57073822466632673</v>
      </c>
      <c r="I8" s="28">
        <v>9.360106884527758E-2</v>
      </c>
      <c r="K8" s="79" t="s">
        <v>211</v>
      </c>
      <c r="L8" s="80">
        <f t="shared" ref="L8:O8" si="2">L7+L6</f>
        <v>5491</v>
      </c>
      <c r="M8" s="81">
        <f t="shared" si="2"/>
        <v>8626.02</v>
      </c>
      <c r="N8" s="82">
        <f t="shared" si="2"/>
        <v>9927.08</v>
      </c>
      <c r="O8" s="83">
        <f t="shared" si="2"/>
        <v>10432.899999999998</v>
      </c>
      <c r="P8" s="84">
        <f>P7+P6</f>
        <v>10982</v>
      </c>
      <c r="Q8" s="85">
        <f t="shared" ref="Q8:R8" si="3">Q7+Q6</f>
        <v>11531.100000000002</v>
      </c>
      <c r="R8" s="86">
        <f t="shared" si="3"/>
        <v>13337.98</v>
      </c>
      <c r="S8" s="87"/>
      <c r="T8" s="88" t="s">
        <v>86</v>
      </c>
    </row>
    <row r="9" spans="1:20" x14ac:dyDescent="0.2">
      <c r="B9" s="28">
        <v>3</v>
      </c>
      <c r="C9" s="39">
        <v>0.26129315805456815</v>
      </c>
      <c r="D9" s="39">
        <v>52.251890627471845</v>
      </c>
      <c r="G9" s="38">
        <v>18.93371333333333</v>
      </c>
      <c r="H9" s="28">
        <v>0.33932117994430844</v>
      </c>
      <c r="I9" s="28">
        <v>5.5648673510866588E-2</v>
      </c>
      <c r="K9" s="62" t="s">
        <v>212</v>
      </c>
      <c r="L9" s="68">
        <f>P9*0.5</f>
        <v>68</v>
      </c>
      <c r="M9" s="70">
        <f>P9*0.75</f>
        <v>102</v>
      </c>
      <c r="N9" s="72">
        <f>P9*0.9</f>
        <v>122.4</v>
      </c>
      <c r="O9" s="74">
        <f>P9*0.95</f>
        <v>129.19999999999999</v>
      </c>
      <c r="P9" s="63">
        <v>136</v>
      </c>
      <c r="Q9" s="64">
        <f>P9*1.05</f>
        <v>142.80000000000001</v>
      </c>
      <c r="R9" s="76">
        <f>P9*1.25</f>
        <v>170</v>
      </c>
      <c r="S9" s="78"/>
      <c r="T9" s="56" t="s">
        <v>91</v>
      </c>
    </row>
    <row r="10" spans="1:20" x14ac:dyDescent="0.2">
      <c r="B10" s="28">
        <v>4</v>
      </c>
      <c r="C10" s="39">
        <v>0.20396986854092614</v>
      </c>
      <c r="D10" s="39">
        <v>42.420470530566831</v>
      </c>
      <c r="G10" s="297" t="s">
        <v>213</v>
      </c>
      <c r="H10" s="297"/>
      <c r="I10" s="297"/>
      <c r="K10" s="62" t="s">
        <v>214</v>
      </c>
      <c r="L10" s="68">
        <f>P10*0.5</f>
        <v>607.5</v>
      </c>
      <c r="M10" s="70">
        <f>P10*0.75</f>
        <v>911.25</v>
      </c>
      <c r="N10" s="72">
        <f>P10*0.9</f>
        <v>1093.5</v>
      </c>
      <c r="O10" s="74">
        <f>P10*0.95</f>
        <v>1154.25</v>
      </c>
      <c r="P10" s="63">
        <v>1215</v>
      </c>
      <c r="Q10" s="64">
        <f>P10*1.05</f>
        <v>1275.75</v>
      </c>
      <c r="R10" s="76">
        <f>P10*1.25</f>
        <v>1518.75</v>
      </c>
      <c r="S10" s="78"/>
      <c r="T10" s="56" t="s">
        <v>91</v>
      </c>
    </row>
    <row r="11" spans="1:20" x14ac:dyDescent="0.2">
      <c r="B11" s="28">
        <v>5</v>
      </c>
      <c r="C11" s="39">
        <v>0.16957589483274091</v>
      </c>
      <c r="D11" s="39">
        <v>36.624018472423828</v>
      </c>
      <c r="G11" s="38"/>
      <c r="H11" s="28"/>
      <c r="I11" s="28"/>
      <c r="K11" s="62" t="s">
        <v>215</v>
      </c>
      <c r="L11" s="68">
        <f t="shared" ref="L11:N11" si="4">L9+L10</f>
        <v>675.5</v>
      </c>
      <c r="M11" s="70">
        <f t="shared" si="4"/>
        <v>1013.25</v>
      </c>
      <c r="N11" s="72">
        <f t="shared" si="4"/>
        <v>1215.9000000000001</v>
      </c>
      <c r="O11" s="74">
        <f>O9+O10</f>
        <v>1283.45</v>
      </c>
      <c r="P11" s="63">
        <f>P9+P10</f>
        <v>1351</v>
      </c>
      <c r="Q11" s="64">
        <f t="shared" ref="Q11:R11" si="5">Q9+Q10</f>
        <v>1418.55</v>
      </c>
      <c r="R11" s="76">
        <f t="shared" si="5"/>
        <v>1688.75</v>
      </c>
      <c r="S11" s="78"/>
      <c r="T11" s="56" t="s">
        <v>91</v>
      </c>
    </row>
    <row r="12" spans="1:20" x14ac:dyDescent="0.2">
      <c r="B12" s="298" t="s">
        <v>216</v>
      </c>
      <c r="C12" s="299"/>
      <c r="D12" s="300"/>
      <c r="G12" s="38"/>
      <c r="H12" s="28"/>
      <c r="I12" s="28"/>
      <c r="K12" s="62" t="s">
        <v>217</v>
      </c>
      <c r="L12" s="68">
        <f>P12*0.5</f>
        <v>548</v>
      </c>
      <c r="M12" s="70">
        <f>P12*0.84</f>
        <v>920.64</v>
      </c>
      <c r="N12" s="72">
        <f>P12*0.91</f>
        <v>997.36</v>
      </c>
      <c r="O12" s="74">
        <f>P12*0.95</f>
        <v>1041.2</v>
      </c>
      <c r="P12" s="63">
        <v>1096</v>
      </c>
      <c r="Q12" s="64">
        <f>P12*1.05</f>
        <v>1150.8</v>
      </c>
      <c r="R12" s="76">
        <f>P12*1.16</f>
        <v>1271.3599999999999</v>
      </c>
      <c r="S12" s="78"/>
      <c r="T12" s="56" t="s">
        <v>91</v>
      </c>
    </row>
    <row r="13" spans="1:20" ht="16" thickBot="1" x14ac:dyDescent="0.25">
      <c r="B13" s="28">
        <v>1</v>
      </c>
      <c r="C13" s="39">
        <v>0.41969655674365042</v>
      </c>
      <c r="D13" s="39">
        <v>107.25870322916539</v>
      </c>
      <c r="G13" s="38"/>
      <c r="H13" s="28"/>
      <c r="I13" s="28"/>
      <c r="K13" s="89" t="s">
        <v>218</v>
      </c>
      <c r="L13" s="90">
        <f t="shared" ref="L13:O13" si="6">L12+L11</f>
        <v>1223.5</v>
      </c>
      <c r="M13" s="91">
        <f t="shared" si="6"/>
        <v>1933.8899999999999</v>
      </c>
      <c r="N13" s="92">
        <f t="shared" si="6"/>
        <v>2213.2600000000002</v>
      </c>
      <c r="O13" s="93">
        <f t="shared" si="6"/>
        <v>2324.65</v>
      </c>
      <c r="P13" s="94">
        <f>P12+P11</f>
        <v>2447</v>
      </c>
      <c r="Q13" s="95">
        <f t="shared" ref="Q13:R13" si="7">Q12+Q11</f>
        <v>2569.35</v>
      </c>
      <c r="R13" s="96">
        <f t="shared" si="7"/>
        <v>2960.1099999999997</v>
      </c>
      <c r="S13" s="97"/>
      <c r="T13" s="98" t="s">
        <v>91</v>
      </c>
    </row>
    <row r="14" spans="1:20" x14ac:dyDescent="0.2">
      <c r="B14" s="28">
        <v>2</v>
      </c>
      <c r="C14" s="39">
        <v>0.2258482783718252</v>
      </c>
      <c r="D14" s="39">
        <v>26.030979691676134</v>
      </c>
      <c r="G14" s="297" t="s">
        <v>219</v>
      </c>
      <c r="H14" s="297"/>
      <c r="I14" s="297"/>
      <c r="L14" s="59"/>
      <c r="M14" s="59"/>
      <c r="N14" s="59"/>
      <c r="O14" s="59"/>
      <c r="P14" s="59"/>
      <c r="Q14" s="59"/>
      <c r="R14" s="59"/>
      <c r="S14" s="59"/>
    </row>
    <row r="15" spans="1:20" x14ac:dyDescent="0.2">
      <c r="B15" s="298" t="s">
        <v>220</v>
      </c>
      <c r="C15" s="299"/>
      <c r="D15" s="300"/>
      <c r="G15" s="38">
        <v>3.5796199999999998</v>
      </c>
      <c r="H15" s="28">
        <v>1.7947742914035432</v>
      </c>
      <c r="I15" s="28">
        <v>0.40920853844000793</v>
      </c>
      <c r="K15" t="s">
        <v>221</v>
      </c>
      <c r="L15" s="60">
        <v>-0.5</v>
      </c>
      <c r="M15" s="60">
        <v>-0.25</v>
      </c>
      <c r="N15" s="60">
        <v>-0.1</v>
      </c>
      <c r="O15" s="60">
        <v>-0.05</v>
      </c>
      <c r="P15" t="s">
        <v>222</v>
      </c>
      <c r="Q15" s="60">
        <v>0.05</v>
      </c>
      <c r="R15" s="60">
        <v>0.25</v>
      </c>
      <c r="S15" s="60"/>
    </row>
    <row r="16" spans="1:20" x14ac:dyDescent="0.2">
      <c r="B16" s="28">
        <v>1</v>
      </c>
      <c r="C16" s="39">
        <v>0.3028405358940543</v>
      </c>
      <c r="D16" s="39">
        <v>49.665847886624903</v>
      </c>
      <c r="G16" s="38">
        <v>11.256666666666666</v>
      </c>
      <c r="H16" s="28">
        <v>0.57073822466632673</v>
      </c>
      <c r="I16" s="28">
        <v>0.13012831522392251</v>
      </c>
      <c r="K16" t="s">
        <v>223</v>
      </c>
      <c r="L16" s="60">
        <v>-0.5</v>
      </c>
      <c r="M16" s="60">
        <v>-0.16</v>
      </c>
      <c r="N16" s="60">
        <v>-0.09</v>
      </c>
      <c r="O16" s="60">
        <v>-0.05</v>
      </c>
      <c r="P16" t="s">
        <v>222</v>
      </c>
      <c r="Q16" s="60">
        <v>0.05</v>
      </c>
      <c r="R16" s="60">
        <v>0.16</v>
      </c>
      <c r="S16" s="60"/>
    </row>
    <row r="17" spans="2:9" x14ac:dyDescent="0.2">
      <c r="B17" s="28">
        <v>2</v>
      </c>
      <c r="C17" s="39">
        <v>0.15439526794702715</v>
      </c>
      <c r="D17" s="39">
        <v>7.9707866174479172</v>
      </c>
      <c r="G17" s="38">
        <v>18.93371333333333</v>
      </c>
      <c r="H17" s="28">
        <v>0.33932117994430844</v>
      </c>
      <c r="I17" s="28">
        <v>7.7365229027302335E-2</v>
      </c>
    </row>
    <row r="18" spans="2:9" x14ac:dyDescent="0.2">
      <c r="B18" s="28">
        <v>3</v>
      </c>
      <c r="C18" s="39">
        <v>0.10491351196468478</v>
      </c>
      <c r="D18" s="39">
        <v>5.6218794933912006</v>
      </c>
      <c r="G18" s="297" t="s">
        <v>224</v>
      </c>
      <c r="H18" s="297"/>
      <c r="I18" s="297"/>
    </row>
    <row r="19" spans="2:9" x14ac:dyDescent="0.2">
      <c r="B19" s="28">
        <v>4</v>
      </c>
      <c r="C19" s="39">
        <v>8.0172633973513568E-2</v>
      </c>
      <c r="D19" s="39">
        <v>4.4532569313628398</v>
      </c>
      <c r="G19" s="38">
        <v>3.5796199999999998</v>
      </c>
      <c r="H19" s="28">
        <v>1.7947742914035432</v>
      </c>
      <c r="I19" s="28">
        <v>0.46914134530238788</v>
      </c>
    </row>
    <row r="20" spans="2:9" x14ac:dyDescent="0.2">
      <c r="B20" s="28">
        <v>5</v>
      </c>
      <c r="C20" s="39">
        <v>6.5328107178810851E-2</v>
      </c>
      <c r="D20" s="39">
        <v>3.7567481941458256</v>
      </c>
      <c r="G20" s="38">
        <v>11.256666666666666</v>
      </c>
      <c r="H20" s="28">
        <v>0.57073822466632673</v>
      </c>
      <c r="I20" s="28">
        <v>0.14918694780615935</v>
      </c>
    </row>
    <row r="21" spans="2:9" x14ac:dyDescent="0.2">
      <c r="B21" s="298" t="s">
        <v>225</v>
      </c>
      <c r="C21" s="299"/>
      <c r="D21" s="299"/>
      <c r="G21" s="38">
        <v>18.93371333333333</v>
      </c>
      <c r="H21" s="28">
        <v>0.33932117994430844</v>
      </c>
      <c r="I21" s="28">
        <v>8.8696163975124476E-2</v>
      </c>
    </row>
    <row r="22" spans="2:9" x14ac:dyDescent="0.2">
      <c r="B22" s="28">
        <v>1</v>
      </c>
      <c r="C22" s="39">
        <v>0.42286253033299104</v>
      </c>
      <c r="D22" s="39">
        <v>88.708631171942088</v>
      </c>
      <c r="G22" s="297" t="s">
        <v>226</v>
      </c>
      <c r="H22" s="297"/>
      <c r="I22" s="297"/>
    </row>
    <row r="23" spans="2:9" x14ac:dyDescent="0.2">
      <c r="B23" s="28">
        <v>2</v>
      </c>
      <c r="C23" s="39">
        <v>0.21991876516649553</v>
      </c>
      <c r="D23" s="39">
        <v>19.518544987623056</v>
      </c>
      <c r="G23" s="38">
        <v>3.5796199999999998</v>
      </c>
      <c r="H23" s="28">
        <v>1.7947742914035432</v>
      </c>
      <c r="I23" s="28">
        <v>0.45322428687440636</v>
      </c>
    </row>
    <row r="24" spans="2:9" x14ac:dyDescent="0.2">
      <c r="B24" s="28">
        <v>3</v>
      </c>
      <c r="C24" s="39">
        <v>0.15227084344433034</v>
      </c>
      <c r="D24" s="39">
        <v>13.521381556916248</v>
      </c>
      <c r="G24" s="38">
        <v>11.256666666666666</v>
      </c>
      <c r="H24" s="28">
        <v>0.57073822466632673</v>
      </c>
      <c r="I24" s="28">
        <v>0.14412532322606122</v>
      </c>
    </row>
    <row r="25" spans="2:9" x14ac:dyDescent="0.2">
      <c r="B25" s="28">
        <v>4</v>
      </c>
      <c r="C25" s="39">
        <v>0.11844688258324776</v>
      </c>
      <c r="D25" s="39">
        <v>10.523180081562845</v>
      </c>
      <c r="G25" s="38">
        <v>18.93371333333333</v>
      </c>
      <c r="H25" s="28">
        <v>0.33932117994430844</v>
      </c>
      <c r="I25" s="28">
        <v>8.5686874688502515E-2</v>
      </c>
    </row>
    <row r="26" spans="2:9" x14ac:dyDescent="0.2">
      <c r="B26" s="28">
        <v>5</v>
      </c>
      <c r="C26" s="39">
        <v>9.8152506066598214E-2</v>
      </c>
      <c r="D26" s="39">
        <v>8.7245633883508038</v>
      </c>
    </row>
    <row r="27" spans="2:9" x14ac:dyDescent="0.2">
      <c r="B27" s="298" t="s">
        <v>227</v>
      </c>
      <c r="C27" s="299"/>
      <c r="D27" s="300"/>
    </row>
    <row r="28" spans="2:9" x14ac:dyDescent="0.2">
      <c r="B28" s="28">
        <v>1</v>
      </c>
      <c r="C28" s="39">
        <v>0.12254477498968709</v>
      </c>
      <c r="D28" s="39">
        <v>20.097343098308684</v>
      </c>
    </row>
    <row r="29" spans="2:9" x14ac:dyDescent="0.2">
      <c r="B29" s="28">
        <v>2</v>
      </c>
      <c r="C29" s="39">
        <v>6.1272387494843546E-2</v>
      </c>
      <c r="D29" s="39">
        <v>1.3515060734262827</v>
      </c>
    </row>
    <row r="30" spans="2:9" x14ac:dyDescent="0.2">
      <c r="B30" s="298" t="s">
        <v>228</v>
      </c>
      <c r="C30" s="299"/>
      <c r="D30" s="299"/>
    </row>
    <row r="31" spans="2:9" x14ac:dyDescent="0.2">
      <c r="B31" s="28">
        <v>1</v>
      </c>
      <c r="C31" s="39">
        <v>1.0999999999999999E-2</v>
      </c>
      <c r="D31" s="39">
        <v>1.8047</v>
      </c>
    </row>
    <row r="32" spans="2:9" x14ac:dyDescent="0.2">
      <c r="B32" s="298" t="s">
        <v>229</v>
      </c>
      <c r="C32" s="299"/>
      <c r="D32" s="299"/>
    </row>
    <row r="33" spans="2:4" x14ac:dyDescent="0.2">
      <c r="B33" s="28">
        <v>1</v>
      </c>
      <c r="C33" s="39">
        <v>2.3900000000000001E-2</v>
      </c>
      <c r="D33" s="39">
        <v>3.9125999999999999</v>
      </c>
    </row>
    <row r="34" spans="2:4" x14ac:dyDescent="0.2">
      <c r="B34" s="297" t="s">
        <v>230</v>
      </c>
      <c r="C34" s="297"/>
      <c r="D34" s="297"/>
    </row>
    <row r="35" spans="2:4" x14ac:dyDescent="0.2">
      <c r="B35" s="38">
        <v>22.11662971175166</v>
      </c>
      <c r="C35" s="28">
        <v>0.20504982865821592</v>
      </c>
      <c r="D35" s="28">
        <v>3.3628171899947414E-2</v>
      </c>
    </row>
    <row r="36" spans="2:4" x14ac:dyDescent="0.2">
      <c r="B36" s="38">
        <v>69.549150036954913</v>
      </c>
      <c r="C36" s="28">
        <v>6.5205845513312655E-2</v>
      </c>
      <c r="D36" s="28">
        <v>1.0693758664183275E-2</v>
      </c>
    </row>
    <row r="37" spans="2:4" x14ac:dyDescent="0.2">
      <c r="B37" s="38">
        <v>116.98167036215814</v>
      </c>
      <c r="C37" s="28">
        <v>3.8766852267130003E-2</v>
      </c>
      <c r="D37" s="28">
        <v>6.3577637718093211E-3</v>
      </c>
    </row>
    <row r="38" spans="2:4" x14ac:dyDescent="0.2">
      <c r="B38" s="297" t="s">
        <v>231</v>
      </c>
      <c r="C38" s="297"/>
      <c r="D38" s="297"/>
    </row>
    <row r="39" spans="2:4" x14ac:dyDescent="0.2">
      <c r="B39" s="38">
        <v>20.106027010683331</v>
      </c>
      <c r="C39" s="28">
        <v>0.69771458706974265</v>
      </c>
      <c r="D39" s="28">
        <v>0.1144251922794378</v>
      </c>
    </row>
    <row r="40" spans="2:4" x14ac:dyDescent="0.2">
      <c r="B40" s="38">
        <v>63.226500033595379</v>
      </c>
      <c r="C40" s="28">
        <v>0.22187323868817815</v>
      </c>
      <c r="D40" s="28">
        <v>3.6387211144861223E-2</v>
      </c>
    </row>
    <row r="41" spans="2:4" x14ac:dyDescent="0.2">
      <c r="B41" s="38">
        <v>106.34697305650741</v>
      </c>
      <c r="C41" s="28">
        <v>0.13191036782888121</v>
      </c>
      <c r="D41" s="28">
        <v>2.1633300323936521E-2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20.106027010683331</v>
      </c>
      <c r="C47" s="28">
        <v>1.0158169030208117</v>
      </c>
      <c r="D47" s="28">
        <v>0.27076804809669103</v>
      </c>
    </row>
    <row r="48" spans="2:4" x14ac:dyDescent="0.2">
      <c r="B48" s="38">
        <v>63.226500033595379</v>
      </c>
      <c r="C48" s="28">
        <v>0.32302977516061815</v>
      </c>
      <c r="D48" s="28">
        <v>8.6104239294747753E-2</v>
      </c>
    </row>
    <row r="49" spans="2:4" x14ac:dyDescent="0.2">
      <c r="B49" s="38">
        <v>106.34697305650741</v>
      </c>
      <c r="C49" s="28">
        <v>0.19205099593378014</v>
      </c>
      <c r="D49" s="28">
        <v>5.1191581031360144E-2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1.3701138107831454</v>
      </c>
      <c r="D53">
        <v>0.35464025878310956</v>
      </c>
    </row>
    <row r="54" spans="2:4" x14ac:dyDescent="0.2">
      <c r="B54" s="302" t="s">
        <v>248</v>
      </c>
      <c r="C54" s="303"/>
      <c r="D54" s="303"/>
    </row>
    <row r="55" spans="2:4" x14ac:dyDescent="0.2">
      <c r="C55">
        <v>0.47913029333544638</v>
      </c>
      <c r="D55">
        <v>0.12401808512694697</v>
      </c>
    </row>
    <row r="56" spans="2:4" x14ac:dyDescent="0.2">
      <c r="B56" s="301" t="s">
        <v>249</v>
      </c>
      <c r="C56" s="301"/>
      <c r="D56" s="301"/>
    </row>
    <row r="57" spans="2:4" x14ac:dyDescent="0.2">
      <c r="C57">
        <v>0.47731671791413932</v>
      </c>
      <c r="D57">
        <v>0.12354865926489586</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A08D-1009-4390-9C91-441E9D299745}">
  <dimension ref="A1:T57"/>
  <sheetViews>
    <sheetView zoomScale="80" zoomScaleNormal="80" workbookViewId="0">
      <selection activeCell="B50" sqref="B50: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96</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515.5</v>
      </c>
      <c r="M4" s="70">
        <f>P4*0.75</f>
        <v>773.25</v>
      </c>
      <c r="N4" s="72">
        <f>P4*0.9</f>
        <v>927.9</v>
      </c>
      <c r="O4" s="74">
        <f>P4*0.95</f>
        <v>979.44999999999993</v>
      </c>
      <c r="P4" s="63">
        <v>1031</v>
      </c>
      <c r="Q4" s="64">
        <f>P4*1.05</f>
        <v>1082.55</v>
      </c>
      <c r="R4" s="76">
        <f>P4*1.25</f>
        <v>1288.75</v>
      </c>
      <c r="S4" s="78" t="s">
        <v>206</v>
      </c>
      <c r="T4" s="56" t="s">
        <v>86</v>
      </c>
    </row>
    <row r="5" spans="1:20" ht="16" thickBot="1" x14ac:dyDescent="0.25">
      <c r="B5" s="289"/>
      <c r="C5" s="291"/>
      <c r="D5" s="293"/>
      <c r="E5" s="3"/>
      <c r="F5" s="4"/>
      <c r="G5" s="291"/>
      <c r="H5" s="291"/>
      <c r="I5" s="291"/>
      <c r="K5" s="62" t="s">
        <v>87</v>
      </c>
      <c r="L5" s="68">
        <f>P5*0.5</f>
        <v>1727.5</v>
      </c>
      <c r="M5" s="70">
        <f>P5*0.75</f>
        <v>2591.25</v>
      </c>
      <c r="N5" s="72">
        <f>P5*0.9</f>
        <v>3109.5</v>
      </c>
      <c r="O5" s="74">
        <f>P5*0.95</f>
        <v>3282.25</v>
      </c>
      <c r="P5" s="63">
        <v>3455</v>
      </c>
      <c r="Q5" s="64">
        <f>P5*1.05</f>
        <v>3627.75</v>
      </c>
      <c r="R5" s="76">
        <f>P5*1.25</f>
        <v>4318.75</v>
      </c>
      <c r="S5" s="78"/>
      <c r="T5" s="56" t="s">
        <v>86</v>
      </c>
    </row>
    <row r="6" spans="1:20" x14ac:dyDescent="0.2">
      <c r="B6" s="294" t="s">
        <v>207</v>
      </c>
      <c r="C6" s="295"/>
      <c r="D6" s="296"/>
      <c r="G6" s="297" t="s">
        <v>208</v>
      </c>
      <c r="H6" s="297"/>
      <c r="I6" s="297"/>
      <c r="K6" s="62" t="s">
        <v>209</v>
      </c>
      <c r="L6" s="68">
        <f t="shared" ref="L6:N6" si="0">L4+L5</f>
        <v>2243</v>
      </c>
      <c r="M6" s="70">
        <f t="shared" si="0"/>
        <v>3364.5</v>
      </c>
      <c r="N6" s="72">
        <f t="shared" si="0"/>
        <v>4037.4</v>
      </c>
      <c r="O6" s="74">
        <f>O4+O5</f>
        <v>4261.7</v>
      </c>
      <c r="P6" s="63">
        <f>P5+P4</f>
        <v>4486</v>
      </c>
      <c r="Q6" s="64">
        <f t="shared" ref="Q6:R6" si="1">Q4+Q5</f>
        <v>4710.3</v>
      </c>
      <c r="R6" s="76">
        <f t="shared" si="1"/>
        <v>5607.5</v>
      </c>
      <c r="S6" s="78"/>
      <c r="T6" s="56" t="s">
        <v>86</v>
      </c>
    </row>
    <row r="7" spans="1:20" x14ac:dyDescent="0.2">
      <c r="B7" s="28">
        <v>1</v>
      </c>
      <c r="C7" s="39">
        <v>0.86682202008268616</v>
      </c>
      <c r="D7" s="39">
        <v>219.36692717166738</v>
      </c>
      <c r="G7" s="38">
        <v>2.8830723864370178</v>
      </c>
      <c r="H7" s="28">
        <v>2.2894992673986576</v>
      </c>
      <c r="I7" s="28">
        <v>0.58664727573929487</v>
      </c>
      <c r="K7" s="62" t="s">
        <v>210</v>
      </c>
      <c r="L7" s="68">
        <f>P7*0.5</f>
        <v>5054.5</v>
      </c>
      <c r="M7" s="70">
        <f>P7*0.84</f>
        <v>8491.56</v>
      </c>
      <c r="N7" s="72">
        <f>P7*0.91</f>
        <v>9199.19</v>
      </c>
      <c r="O7" s="74">
        <f>P7*0.95</f>
        <v>9603.5499999999993</v>
      </c>
      <c r="P7" s="63">
        <v>10109</v>
      </c>
      <c r="Q7" s="64">
        <f>P7*1.05</f>
        <v>10614.45</v>
      </c>
      <c r="R7" s="76">
        <f>P7*1.16</f>
        <v>11726.439999999999</v>
      </c>
      <c r="S7" s="78"/>
      <c r="T7" s="56" t="s">
        <v>86</v>
      </c>
    </row>
    <row r="8" spans="1:20" x14ac:dyDescent="0.2">
      <c r="B8" s="28">
        <v>2</v>
      </c>
      <c r="C8" s="39">
        <v>0.4494110100413431</v>
      </c>
      <c r="D8" s="39">
        <v>102.18120039021554</v>
      </c>
      <c r="G8" s="38">
        <v>9.0662653661541448</v>
      </c>
      <c r="H8" s="28">
        <v>0.728060767032773</v>
      </c>
      <c r="I8" s="28">
        <v>0.18655383368509576</v>
      </c>
      <c r="K8" s="79" t="s">
        <v>211</v>
      </c>
      <c r="L8" s="80">
        <f t="shared" ref="L8:O8" si="2">L7+L6</f>
        <v>7297.5</v>
      </c>
      <c r="M8" s="81">
        <f t="shared" si="2"/>
        <v>11856.06</v>
      </c>
      <c r="N8" s="82">
        <f t="shared" si="2"/>
        <v>13236.59</v>
      </c>
      <c r="O8" s="83">
        <f t="shared" si="2"/>
        <v>13865.25</v>
      </c>
      <c r="P8" s="84">
        <f>P7+P6</f>
        <v>14595</v>
      </c>
      <c r="Q8" s="85">
        <f t="shared" ref="Q8:R8" si="3">Q7+Q6</f>
        <v>15324.75</v>
      </c>
      <c r="R8" s="86">
        <f t="shared" si="3"/>
        <v>17333.939999999999</v>
      </c>
      <c r="S8" s="87"/>
      <c r="T8" s="88" t="s">
        <v>86</v>
      </c>
    </row>
    <row r="9" spans="1:20" x14ac:dyDescent="0.2">
      <c r="B9" s="28">
        <v>3</v>
      </c>
      <c r="C9" s="39">
        <v>0.31027400669422872</v>
      </c>
      <c r="D9" s="39">
        <v>73.028239536861975</v>
      </c>
      <c r="G9" s="38">
        <v>15.249458345871272</v>
      </c>
      <c r="H9" s="28">
        <v>0.43285420156526339</v>
      </c>
      <c r="I9" s="28">
        <v>0.11091191063323172</v>
      </c>
      <c r="K9" s="62" t="s">
        <v>212</v>
      </c>
      <c r="L9" s="68">
        <f>P9*0.5</f>
        <v>345.5</v>
      </c>
      <c r="M9" s="70">
        <f>P9*0.75</f>
        <v>518.25</v>
      </c>
      <c r="N9" s="72">
        <f>P9*0.9</f>
        <v>621.9</v>
      </c>
      <c r="O9" s="74">
        <f>P9*0.95</f>
        <v>656.44999999999993</v>
      </c>
      <c r="P9" s="63">
        <v>691</v>
      </c>
      <c r="Q9" s="64">
        <f>P9*1.05</f>
        <v>725.55000000000007</v>
      </c>
      <c r="R9" s="76">
        <f>P9*1.25</f>
        <v>863.75</v>
      </c>
      <c r="S9" s="78"/>
      <c r="T9" s="56" t="s">
        <v>91</v>
      </c>
    </row>
    <row r="10" spans="1:20" x14ac:dyDescent="0.2">
      <c r="B10" s="28">
        <v>4</v>
      </c>
      <c r="C10" s="39">
        <v>0.24070550502067153</v>
      </c>
      <c r="D10" s="39">
        <v>58.579759110185186</v>
      </c>
      <c r="G10" s="297" t="s">
        <v>213</v>
      </c>
      <c r="H10" s="297"/>
      <c r="I10" s="297"/>
      <c r="K10" s="62" t="s">
        <v>214</v>
      </c>
      <c r="L10" s="68">
        <f>P10*0.5</f>
        <v>349</v>
      </c>
      <c r="M10" s="70">
        <f>P10*0.75</f>
        <v>523.5</v>
      </c>
      <c r="N10" s="72">
        <f>P10*0.9</f>
        <v>628.20000000000005</v>
      </c>
      <c r="O10" s="74">
        <f>P10*0.95</f>
        <v>663.1</v>
      </c>
      <c r="P10" s="63">
        <v>698</v>
      </c>
      <c r="Q10" s="64">
        <f>P10*1.05</f>
        <v>732.9</v>
      </c>
      <c r="R10" s="76">
        <f>P10*1.25</f>
        <v>872.5</v>
      </c>
      <c r="S10" s="78"/>
      <c r="T10" s="56" t="s">
        <v>91</v>
      </c>
    </row>
    <row r="11" spans="1:20" x14ac:dyDescent="0.2">
      <c r="B11" s="28">
        <v>5</v>
      </c>
      <c r="C11" s="39">
        <v>0.19896440401653723</v>
      </c>
      <c r="D11" s="39">
        <v>50.013070854179119</v>
      </c>
      <c r="G11" s="38"/>
      <c r="H11" s="28"/>
      <c r="I11" s="28"/>
      <c r="K11" s="62" t="s">
        <v>215</v>
      </c>
      <c r="L11" s="68">
        <f t="shared" ref="L11:N11" si="4">L9+L10</f>
        <v>694.5</v>
      </c>
      <c r="M11" s="70">
        <f t="shared" si="4"/>
        <v>1041.75</v>
      </c>
      <c r="N11" s="72">
        <f t="shared" si="4"/>
        <v>1250.0999999999999</v>
      </c>
      <c r="O11" s="74">
        <f>O9+O10</f>
        <v>1319.55</v>
      </c>
      <c r="P11" s="63">
        <f>P9+P10</f>
        <v>1389</v>
      </c>
      <c r="Q11" s="64">
        <f t="shared" ref="Q11:R11" si="5">Q9+Q10</f>
        <v>1458.45</v>
      </c>
      <c r="R11" s="76">
        <f t="shared" si="5"/>
        <v>1736.25</v>
      </c>
      <c r="S11" s="78"/>
      <c r="T11" s="56" t="s">
        <v>91</v>
      </c>
    </row>
    <row r="12" spans="1:20" x14ac:dyDescent="0.2">
      <c r="B12" s="298" t="s">
        <v>216</v>
      </c>
      <c r="C12" s="299"/>
      <c r="D12" s="300"/>
      <c r="G12" s="38"/>
      <c r="H12" s="28"/>
      <c r="I12" s="28"/>
      <c r="K12" s="62" t="s">
        <v>217</v>
      </c>
      <c r="L12" s="68">
        <f>P12*0.5</f>
        <v>1283</v>
      </c>
      <c r="M12" s="70">
        <f>P12*0.84</f>
        <v>2155.44</v>
      </c>
      <c r="N12" s="72">
        <f>P12*0.91</f>
        <v>2335.06</v>
      </c>
      <c r="O12" s="74">
        <f>P12*0.95</f>
        <v>2437.6999999999998</v>
      </c>
      <c r="P12" s="63">
        <v>2566</v>
      </c>
      <c r="Q12" s="64">
        <f>P12*1.05</f>
        <v>2694.3</v>
      </c>
      <c r="R12" s="76">
        <f>P12*1.16</f>
        <v>2976.56</v>
      </c>
      <c r="S12" s="78"/>
      <c r="T12" s="56" t="s">
        <v>91</v>
      </c>
    </row>
    <row r="13" spans="1:20" ht="16" thickBot="1" x14ac:dyDescent="0.25">
      <c r="B13" s="28">
        <v>1</v>
      </c>
      <c r="C13" s="39">
        <v>0.45899335631762356</v>
      </c>
      <c r="D13" s="39">
        <v>116.15759617874345</v>
      </c>
      <c r="G13" s="38"/>
      <c r="H13" s="28"/>
      <c r="I13" s="28"/>
      <c r="K13" s="89" t="s">
        <v>218</v>
      </c>
      <c r="L13" s="90">
        <f t="shared" ref="L13:O13" si="6">L12+L11</f>
        <v>1977.5</v>
      </c>
      <c r="M13" s="91">
        <f t="shared" si="6"/>
        <v>3197.19</v>
      </c>
      <c r="N13" s="92">
        <f t="shared" si="6"/>
        <v>3585.16</v>
      </c>
      <c r="O13" s="93">
        <f t="shared" si="6"/>
        <v>3757.25</v>
      </c>
      <c r="P13" s="94">
        <f>P12+P11</f>
        <v>3955</v>
      </c>
      <c r="Q13" s="95">
        <f t="shared" ref="Q13:R13" si="7">Q12+Q11</f>
        <v>4152.75</v>
      </c>
      <c r="R13" s="96">
        <f t="shared" si="7"/>
        <v>4712.8099999999995</v>
      </c>
      <c r="S13" s="97"/>
      <c r="T13" s="98" t="s">
        <v>91</v>
      </c>
    </row>
    <row r="14" spans="1:20" x14ac:dyDescent="0.2">
      <c r="B14" s="28">
        <v>2</v>
      </c>
      <c r="C14" s="39">
        <v>0.24549667815881177</v>
      </c>
      <c r="D14" s="39">
        <v>30.480277430064696</v>
      </c>
      <c r="G14" s="297" t="s">
        <v>219</v>
      </c>
      <c r="H14" s="297"/>
      <c r="I14" s="29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0.33747317659065251</v>
      </c>
      <c r="D16" s="39">
        <v>220.36998431369608</v>
      </c>
      <c r="G16" s="38"/>
      <c r="H16" s="28"/>
      <c r="I16" s="28"/>
      <c r="K16" t="s">
        <v>223</v>
      </c>
      <c r="L16" s="60">
        <v>-0.5</v>
      </c>
      <c r="M16" s="60">
        <v>-0.16</v>
      </c>
      <c r="N16" s="60">
        <v>-0.09</v>
      </c>
      <c r="O16" s="60">
        <v>-0.05</v>
      </c>
      <c r="P16" t="s">
        <v>222</v>
      </c>
      <c r="Q16" s="60">
        <v>0.05</v>
      </c>
      <c r="R16" s="60">
        <v>0.16</v>
      </c>
      <c r="S16" s="60"/>
    </row>
    <row r="17" spans="2:9" x14ac:dyDescent="0.2">
      <c r="B17" s="28">
        <v>2</v>
      </c>
      <c r="C17" s="39">
        <v>0.17171158829532626</v>
      </c>
      <c r="D17" s="39">
        <v>38.176634732179728</v>
      </c>
      <c r="G17" s="38"/>
      <c r="H17" s="28"/>
      <c r="I17" s="28"/>
    </row>
    <row r="18" spans="2:9" x14ac:dyDescent="0.2">
      <c r="B18" s="28">
        <v>3</v>
      </c>
      <c r="C18" s="39">
        <v>0.11645772553021751</v>
      </c>
      <c r="D18" s="39">
        <v>26.120301432381208</v>
      </c>
      <c r="G18" s="297" t="s">
        <v>224</v>
      </c>
      <c r="H18" s="297"/>
      <c r="I18" s="297"/>
    </row>
    <row r="19" spans="2:9" x14ac:dyDescent="0.2">
      <c r="B19" s="28">
        <v>4</v>
      </c>
      <c r="C19" s="39">
        <v>8.8830794147663122E-2</v>
      </c>
      <c r="D19" s="39">
        <v>20.097965782481946</v>
      </c>
      <c r="G19" s="38"/>
      <c r="H19" s="28"/>
      <c r="I19" s="28"/>
    </row>
    <row r="20" spans="2:9" x14ac:dyDescent="0.2">
      <c r="B20" s="28">
        <v>5</v>
      </c>
      <c r="C20" s="39">
        <v>7.2254635318130506E-2</v>
      </c>
      <c r="D20" s="39">
        <v>16.489229192542393</v>
      </c>
      <c r="G20" s="38"/>
      <c r="H20" s="28"/>
      <c r="I20" s="28"/>
    </row>
    <row r="21" spans="2:9" x14ac:dyDescent="0.2">
      <c r="B21" s="298" t="s">
        <v>225</v>
      </c>
      <c r="C21" s="299"/>
      <c r="D21" s="299"/>
      <c r="G21" s="38"/>
      <c r="H21" s="28"/>
      <c r="I21" s="28"/>
    </row>
    <row r="22" spans="2:9" x14ac:dyDescent="0.2">
      <c r="B22" s="28">
        <v>1</v>
      </c>
      <c r="C22" s="39">
        <v>0.43352026787831127</v>
      </c>
      <c r="D22" s="39">
        <v>196.39992421314099</v>
      </c>
      <c r="G22" s="297" t="s">
        <v>226</v>
      </c>
      <c r="H22" s="297"/>
      <c r="I22" s="297"/>
    </row>
    <row r="23" spans="2:9" x14ac:dyDescent="0.2">
      <c r="B23" s="28">
        <v>2</v>
      </c>
      <c r="C23" s="39">
        <v>0.22524763393915564</v>
      </c>
      <c r="D23" s="39">
        <v>44.248709328839972</v>
      </c>
      <c r="G23" s="38">
        <v>2.8830723864370178</v>
      </c>
      <c r="H23" s="28">
        <v>2.2894992673986576</v>
      </c>
      <c r="I23" s="28">
        <v>0.58664727573929487</v>
      </c>
    </row>
    <row r="24" spans="2:9" x14ac:dyDescent="0.2">
      <c r="B24" s="28">
        <v>3</v>
      </c>
      <c r="C24" s="39">
        <v>0.15582342262610374</v>
      </c>
      <c r="D24" s="39">
        <v>30.617670173066315</v>
      </c>
      <c r="G24" s="38">
        <v>9.0662653661541448</v>
      </c>
      <c r="H24" s="28">
        <v>0.728060767032773</v>
      </c>
      <c r="I24" s="28">
        <v>0.18655383368509576</v>
      </c>
    </row>
    <row r="25" spans="2:9" x14ac:dyDescent="0.2">
      <c r="B25" s="28">
        <v>4</v>
      </c>
      <c r="C25" s="39">
        <v>0.12111131696957782</v>
      </c>
      <c r="D25" s="39">
        <v>23.802530835179493</v>
      </c>
      <c r="G25" s="38">
        <v>15.249458345871272</v>
      </c>
      <c r="H25" s="28">
        <v>0.43285420156526339</v>
      </c>
      <c r="I25" s="28">
        <v>0.11091191063323172</v>
      </c>
    </row>
    <row r="26" spans="2:9" x14ac:dyDescent="0.2">
      <c r="B26" s="28">
        <v>5</v>
      </c>
      <c r="C26" s="39">
        <v>0.10028405357566225</v>
      </c>
      <c r="D26" s="39">
        <v>19.713751424447398</v>
      </c>
    </row>
    <row r="27" spans="2:9" x14ac:dyDescent="0.2">
      <c r="B27" s="298" t="s">
        <v>227</v>
      </c>
      <c r="C27" s="299"/>
      <c r="D27" s="300"/>
    </row>
    <row r="28" spans="2:9" x14ac:dyDescent="0.2">
      <c r="B28" s="28">
        <v>1</v>
      </c>
      <c r="C28" s="39">
        <v>0.13655891331807798</v>
      </c>
      <c r="D28" s="39">
        <v>89.172970396704926</v>
      </c>
    </row>
    <row r="29" spans="2:9" x14ac:dyDescent="0.2">
      <c r="B29" s="28">
        <v>2</v>
      </c>
      <c r="C29" s="39">
        <v>6.8279456659038992E-2</v>
      </c>
      <c r="D29" s="39">
        <v>6.2225097024112968</v>
      </c>
    </row>
    <row r="30" spans="2:9" x14ac:dyDescent="0.2">
      <c r="B30" s="298" t="s">
        <v>228</v>
      </c>
      <c r="C30" s="299"/>
      <c r="D30" s="299"/>
    </row>
    <row r="31" spans="2:9" x14ac:dyDescent="0.2">
      <c r="B31" s="28">
        <v>1</v>
      </c>
      <c r="C31" s="39">
        <v>1.23E-2</v>
      </c>
      <c r="D31" s="39">
        <v>8.0076000000000001</v>
      </c>
    </row>
    <row r="32" spans="2:9" x14ac:dyDescent="0.2">
      <c r="B32" s="298" t="s">
        <v>229</v>
      </c>
      <c r="C32" s="299"/>
      <c r="D32" s="299"/>
    </row>
    <row r="33" spans="2:4" x14ac:dyDescent="0.2">
      <c r="B33" s="28">
        <v>1</v>
      </c>
      <c r="C33" s="39">
        <v>2.6599999999999999E-2</v>
      </c>
      <c r="D33" s="39">
        <v>17.330500000000001</v>
      </c>
    </row>
    <row r="34" spans="2:4" x14ac:dyDescent="0.2">
      <c r="B34" s="298" t="s">
        <v>230</v>
      </c>
      <c r="C34" s="299"/>
      <c r="D34" s="299"/>
    </row>
    <row r="35" spans="2:4" x14ac:dyDescent="0.2">
      <c r="B35" s="38"/>
      <c r="C35" s="39"/>
      <c r="D35" s="39"/>
    </row>
    <row r="36" spans="2:4" x14ac:dyDescent="0.2">
      <c r="B36" s="38"/>
      <c r="C36" s="39"/>
      <c r="D36" s="39"/>
    </row>
    <row r="37" spans="2:4" x14ac:dyDescent="0.2">
      <c r="B37" s="38"/>
      <c r="C37" s="39"/>
      <c r="D37" s="39"/>
    </row>
    <row r="38" spans="2:4" x14ac:dyDescent="0.2">
      <c r="B38" s="298" t="s">
        <v>231</v>
      </c>
      <c r="C38" s="299"/>
      <c r="D38" s="299"/>
    </row>
    <row r="39" spans="2:4" x14ac:dyDescent="0.2">
      <c r="B39" s="38"/>
      <c r="C39" s="39"/>
      <c r="D39" s="39"/>
    </row>
    <row r="40" spans="2:4" x14ac:dyDescent="0.2">
      <c r="B40" s="38"/>
      <c r="C40" s="39"/>
      <c r="D40" s="39"/>
    </row>
    <row r="41" spans="2:4" x14ac:dyDescent="0.2">
      <c r="B41" s="38"/>
      <c r="C41" s="39"/>
      <c r="D41" s="39"/>
    </row>
    <row r="42" spans="2:4" x14ac:dyDescent="0.2">
      <c r="B42" s="298" t="s">
        <v>232</v>
      </c>
      <c r="C42" s="299"/>
      <c r="D42" s="300"/>
    </row>
    <row r="43" spans="2:4" x14ac:dyDescent="0.2">
      <c r="B43" s="38"/>
      <c r="C43" s="39"/>
      <c r="D43" s="39"/>
    </row>
    <row r="44" spans="2:4" x14ac:dyDescent="0.2">
      <c r="B44" s="38"/>
      <c r="C44" s="39"/>
      <c r="D44" s="39"/>
    </row>
    <row r="45" spans="2:4" x14ac:dyDescent="0.2">
      <c r="B45" s="38"/>
      <c r="C45" s="39"/>
      <c r="D45" s="39"/>
    </row>
    <row r="46" spans="2:4" x14ac:dyDescent="0.2">
      <c r="B46" s="298" t="s">
        <v>233</v>
      </c>
      <c r="C46" s="299"/>
      <c r="D46" s="299"/>
    </row>
    <row r="47" spans="2:4" x14ac:dyDescent="0.2">
      <c r="B47" s="38"/>
      <c r="C47" s="39"/>
      <c r="D47" s="39"/>
    </row>
    <row r="48" spans="2:4" x14ac:dyDescent="0.2">
      <c r="B48" s="38"/>
      <c r="C48" s="39"/>
      <c r="D48" s="39"/>
    </row>
    <row r="49" spans="2:6" x14ac:dyDescent="0.2">
      <c r="B49" s="38"/>
      <c r="C49" s="39"/>
      <c r="D49" s="39"/>
    </row>
    <row r="50" spans="2:6" x14ac:dyDescent="0.2">
      <c r="B50" s="304" t="s">
        <v>234</v>
      </c>
      <c r="C50" s="304"/>
      <c r="D50" s="304"/>
      <c r="F50" s="44"/>
    </row>
    <row r="51" spans="2:6" ht="14.5" customHeight="1" x14ac:dyDescent="0.2">
      <c r="B51" s="21"/>
      <c r="C51" s="120" t="s">
        <v>250</v>
      </c>
      <c r="D51" s="121" t="s">
        <v>251</v>
      </c>
    </row>
    <row r="52" spans="2:6" ht="14.5" customHeight="1" x14ac:dyDescent="0.2">
      <c r="B52" s="301" t="s">
        <v>247</v>
      </c>
      <c r="C52" s="301"/>
      <c r="D52" s="301"/>
    </row>
    <row r="54" spans="2:6" x14ac:dyDescent="0.2">
      <c r="B54" s="302" t="s">
        <v>248</v>
      </c>
      <c r="C54" s="303"/>
      <c r="D54" s="303"/>
    </row>
    <row r="55" spans="2:6" x14ac:dyDescent="0.2">
      <c r="C55">
        <v>0.27280497305930484</v>
      </c>
      <c r="D55">
        <v>7.0612839226670485E-2</v>
      </c>
    </row>
    <row r="56" spans="2:6" x14ac:dyDescent="0.2">
      <c r="B56" s="301" t="s">
        <v>249</v>
      </c>
      <c r="C56" s="301"/>
      <c r="D56" s="301"/>
    </row>
    <row r="57" spans="2:6" x14ac:dyDescent="0.2">
      <c r="C57">
        <v>0.32175180676057263</v>
      </c>
      <c r="D57">
        <v>8.328223766190665E-2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637A8-5CCE-4272-83DF-CFD510BBAC99}">
  <dimension ref="A1:T57"/>
  <sheetViews>
    <sheetView zoomScale="80" zoomScaleNormal="80" workbookViewId="0">
      <selection activeCell="B50" sqref="B50: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19" x14ac:dyDescent="0.25">
      <c r="A1" s="305" t="s">
        <v>97</v>
      </c>
      <c r="B1" s="306"/>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260</v>
      </c>
      <c r="M4" s="70">
        <f>P4*0.75</f>
        <v>390</v>
      </c>
      <c r="N4" s="72">
        <f>P4*0.9</f>
        <v>468</v>
      </c>
      <c r="O4" s="74">
        <f>P4*0.95</f>
        <v>494</v>
      </c>
      <c r="P4" s="63">
        <v>520</v>
      </c>
      <c r="Q4" s="64">
        <f>P4*1.05</f>
        <v>546</v>
      </c>
      <c r="R4" s="76">
        <f>P4*1.25</f>
        <v>650</v>
      </c>
      <c r="S4" s="78" t="s">
        <v>206</v>
      </c>
      <c r="T4" s="56" t="s">
        <v>86</v>
      </c>
    </row>
    <row r="5" spans="1:20" ht="16" thickBot="1" x14ac:dyDescent="0.25">
      <c r="B5" s="289"/>
      <c r="C5" s="291"/>
      <c r="D5" s="293"/>
      <c r="E5" s="3"/>
      <c r="F5" s="4"/>
      <c r="G5" s="291"/>
      <c r="H5" s="291"/>
      <c r="I5" s="291"/>
      <c r="K5" s="62" t="s">
        <v>87</v>
      </c>
      <c r="L5" s="68">
        <f>P5*0.5</f>
        <v>3436</v>
      </c>
      <c r="M5" s="70">
        <f>P5*0.75</f>
        <v>5154</v>
      </c>
      <c r="N5" s="72">
        <f>P5*0.9</f>
        <v>6184.8</v>
      </c>
      <c r="O5" s="74">
        <f>P5*0.95</f>
        <v>6528.4</v>
      </c>
      <c r="P5" s="63">
        <v>6872</v>
      </c>
      <c r="Q5" s="64">
        <f>P5*1.05</f>
        <v>7215.6</v>
      </c>
      <c r="R5" s="76">
        <f>P5*1.25</f>
        <v>8590</v>
      </c>
      <c r="S5" s="78"/>
      <c r="T5" s="56" t="s">
        <v>86</v>
      </c>
    </row>
    <row r="6" spans="1:20" x14ac:dyDescent="0.2">
      <c r="B6" s="294" t="s">
        <v>207</v>
      </c>
      <c r="C6" s="295"/>
      <c r="D6" s="296"/>
      <c r="G6" s="297" t="s">
        <v>208</v>
      </c>
      <c r="H6" s="297"/>
      <c r="I6" s="297"/>
      <c r="K6" s="62" t="s">
        <v>209</v>
      </c>
      <c r="L6" s="68">
        <f t="shared" ref="L6:N6" si="0">L4+L5</f>
        <v>3696</v>
      </c>
      <c r="M6" s="70">
        <f t="shared" si="0"/>
        <v>5544</v>
      </c>
      <c r="N6" s="72">
        <f t="shared" si="0"/>
        <v>6652.8</v>
      </c>
      <c r="O6" s="74">
        <f>O4+O5</f>
        <v>7022.4</v>
      </c>
      <c r="P6" s="63">
        <f>P5+P4</f>
        <v>7392</v>
      </c>
      <c r="Q6" s="64">
        <f t="shared" ref="Q6:R6" si="1">Q4+Q5</f>
        <v>7761.6</v>
      </c>
      <c r="R6" s="76">
        <f t="shared" si="1"/>
        <v>9240</v>
      </c>
      <c r="S6" s="78"/>
      <c r="T6" s="56" t="s">
        <v>86</v>
      </c>
    </row>
    <row r="7" spans="1:20" x14ac:dyDescent="0.2">
      <c r="B7" s="28">
        <v>1</v>
      </c>
      <c r="C7" s="39">
        <v>0.70882201775510223</v>
      </c>
      <c r="D7" s="39">
        <v>174.19302280228604</v>
      </c>
      <c r="G7" s="38">
        <v>7.6122880756104738</v>
      </c>
      <c r="H7" s="28">
        <v>0.76162122646425356</v>
      </c>
      <c r="I7" s="28">
        <v>0.29398579341520187</v>
      </c>
      <c r="K7" s="62" t="s">
        <v>210</v>
      </c>
      <c r="L7" s="68">
        <f>P7*0.5</f>
        <v>2048</v>
      </c>
      <c r="M7" s="70">
        <f>P7*0.84</f>
        <v>3440.64</v>
      </c>
      <c r="N7" s="72">
        <f>P7*0.91</f>
        <v>3727.36</v>
      </c>
      <c r="O7" s="74">
        <f>P7*0.95</f>
        <v>3891.2</v>
      </c>
      <c r="P7" s="63">
        <v>4096</v>
      </c>
      <c r="Q7" s="64">
        <f>P7*1.05</f>
        <v>4300.8</v>
      </c>
      <c r="R7" s="76">
        <f>P7*1.16</f>
        <v>4751.3599999999997</v>
      </c>
      <c r="S7" s="78"/>
      <c r="T7" s="56" t="s">
        <v>86</v>
      </c>
    </row>
    <row r="8" spans="1:20" x14ac:dyDescent="0.2">
      <c r="B8" s="28">
        <v>2</v>
      </c>
      <c r="C8" s="39">
        <v>0.37041100887755113</v>
      </c>
      <c r="D8" s="39">
        <v>67.486301386645451</v>
      </c>
      <c r="G8" s="38">
        <v>23.938012816385136</v>
      </c>
      <c r="H8" s="28">
        <v>0.24219555001563264</v>
      </c>
      <c r="I8" s="28">
        <v>9.3487482306034195E-2</v>
      </c>
      <c r="K8" s="79" t="s">
        <v>211</v>
      </c>
      <c r="L8" s="80">
        <f t="shared" ref="L8:O8" si="2">L7+L6</f>
        <v>5744</v>
      </c>
      <c r="M8" s="81">
        <f t="shared" si="2"/>
        <v>8984.64</v>
      </c>
      <c r="N8" s="82">
        <f t="shared" si="2"/>
        <v>10380.16</v>
      </c>
      <c r="O8" s="83">
        <f t="shared" si="2"/>
        <v>10913.599999999999</v>
      </c>
      <c r="P8" s="84">
        <f>P7+P6</f>
        <v>11488</v>
      </c>
      <c r="Q8" s="85">
        <f t="shared" ref="Q8:R8" si="3">Q7+Q6</f>
        <v>12062.400000000001</v>
      </c>
      <c r="R8" s="86">
        <f t="shared" si="3"/>
        <v>13991.36</v>
      </c>
      <c r="S8" s="87"/>
      <c r="T8" s="88" t="s">
        <v>86</v>
      </c>
    </row>
    <row r="9" spans="1:20" x14ac:dyDescent="0.2">
      <c r="B9" s="28">
        <v>3</v>
      </c>
      <c r="C9" s="39">
        <v>0.25760733925170071</v>
      </c>
      <c r="D9" s="39">
        <v>48.995118548334951</v>
      </c>
      <c r="G9" s="38">
        <v>40.2637375571598</v>
      </c>
      <c r="H9" s="28">
        <v>0.14399259810679704</v>
      </c>
      <c r="I9" s="28">
        <v>5.5581142869223658E-2</v>
      </c>
      <c r="K9" s="62" t="s">
        <v>212</v>
      </c>
      <c r="L9" s="68">
        <f>P9*0.5</f>
        <v>128.5</v>
      </c>
      <c r="M9" s="70">
        <f>P9*0.75</f>
        <v>192.75</v>
      </c>
      <c r="N9" s="72">
        <f>P9*0.9</f>
        <v>231.3</v>
      </c>
      <c r="O9" s="74">
        <f>P9*0.95</f>
        <v>244.14999999999998</v>
      </c>
      <c r="P9" s="63">
        <v>257</v>
      </c>
      <c r="Q9" s="64">
        <f>P9*1.05</f>
        <v>269.85000000000002</v>
      </c>
      <c r="R9" s="76">
        <f>P9*1.25</f>
        <v>321.25</v>
      </c>
      <c r="S9" s="78"/>
      <c r="T9" s="56" t="s">
        <v>91</v>
      </c>
    </row>
    <row r="10" spans="1:20" x14ac:dyDescent="0.2">
      <c r="B10" s="28">
        <v>4</v>
      </c>
      <c r="C10" s="39">
        <v>0.20120550443877555</v>
      </c>
      <c r="D10" s="39">
        <v>39.877527129179704</v>
      </c>
      <c r="G10" s="297" t="s">
        <v>213</v>
      </c>
      <c r="H10" s="297"/>
      <c r="I10" s="297"/>
      <c r="K10" s="62" t="s">
        <v>214</v>
      </c>
      <c r="L10" s="68">
        <f>P10*0.5</f>
        <v>694</v>
      </c>
      <c r="M10" s="70">
        <f>P10*0.75</f>
        <v>1041</v>
      </c>
      <c r="N10" s="72">
        <f>P10*0.9</f>
        <v>1249.2</v>
      </c>
      <c r="O10" s="74">
        <f>P10*0.95</f>
        <v>1318.6</v>
      </c>
      <c r="P10" s="63">
        <v>1388</v>
      </c>
      <c r="Q10" s="64">
        <f>P10*1.05</f>
        <v>1457.4</v>
      </c>
      <c r="R10" s="76">
        <f>P10*1.25</f>
        <v>1735</v>
      </c>
      <c r="S10" s="78"/>
      <c r="T10" s="56" t="s">
        <v>91</v>
      </c>
    </row>
    <row r="11" spans="1:20" x14ac:dyDescent="0.2">
      <c r="B11" s="28">
        <v>5</v>
      </c>
      <c r="C11" s="39">
        <v>0.16736440355102045</v>
      </c>
      <c r="D11" s="39">
        <v>34.509372277686559</v>
      </c>
      <c r="G11" s="38">
        <v>7.6122880756104738</v>
      </c>
      <c r="H11" s="28">
        <v>0.76162122646425356</v>
      </c>
      <c r="I11" s="28">
        <v>0.24293228593977045</v>
      </c>
      <c r="K11" s="62" t="s">
        <v>215</v>
      </c>
      <c r="L11" s="68">
        <f t="shared" ref="L11:N11" si="4">L9+L10</f>
        <v>822.5</v>
      </c>
      <c r="M11" s="70">
        <f t="shared" si="4"/>
        <v>1233.75</v>
      </c>
      <c r="N11" s="72">
        <f t="shared" si="4"/>
        <v>1480.5</v>
      </c>
      <c r="O11" s="74">
        <f>O9+O10</f>
        <v>1562.75</v>
      </c>
      <c r="P11" s="63">
        <f>P9+P10</f>
        <v>1645</v>
      </c>
      <c r="Q11" s="64">
        <f t="shared" ref="Q11:R11" si="5">Q9+Q10</f>
        <v>1727.25</v>
      </c>
      <c r="R11" s="76">
        <f t="shared" si="5"/>
        <v>2056.25</v>
      </c>
      <c r="S11" s="78"/>
      <c r="T11" s="56" t="s">
        <v>91</v>
      </c>
    </row>
    <row r="12" spans="1:20" x14ac:dyDescent="0.2">
      <c r="B12" s="298" t="s">
        <v>216</v>
      </c>
      <c r="C12" s="299"/>
      <c r="D12" s="300"/>
      <c r="G12" s="38">
        <v>23.938012816385136</v>
      </c>
      <c r="H12" s="28">
        <v>0.24219555001563264</v>
      </c>
      <c r="I12" s="28">
        <v>7.7252466928847019E-2</v>
      </c>
      <c r="K12" s="62" t="s">
        <v>217</v>
      </c>
      <c r="L12" s="68">
        <f>P12*0.5</f>
        <v>490.5</v>
      </c>
      <c r="M12" s="70">
        <f>P12*0.84</f>
        <v>824.04</v>
      </c>
      <c r="N12" s="72">
        <f>P12*0.91</f>
        <v>892.71</v>
      </c>
      <c r="O12" s="74">
        <f>P12*0.95</f>
        <v>931.94999999999993</v>
      </c>
      <c r="P12" s="63">
        <v>981</v>
      </c>
      <c r="Q12" s="64">
        <f>P12*1.05</f>
        <v>1030.05</v>
      </c>
      <c r="R12" s="76">
        <f>P12*1.16</f>
        <v>1137.9599999999998</v>
      </c>
      <c r="S12" s="78"/>
      <c r="T12" s="56" t="s">
        <v>91</v>
      </c>
    </row>
    <row r="13" spans="1:20" ht="16" thickBot="1" x14ac:dyDescent="0.25">
      <c r="B13" s="28">
        <v>1</v>
      </c>
      <c r="C13" s="39">
        <v>0.45398557851149285</v>
      </c>
      <c r="D13" s="39">
        <v>111.56696356585806</v>
      </c>
      <c r="G13" s="38">
        <v>40.2637375571598</v>
      </c>
      <c r="H13" s="28">
        <v>0.14399259810679704</v>
      </c>
      <c r="I13" s="28">
        <v>4.5928933964831754E-2</v>
      </c>
      <c r="K13" s="89" t="s">
        <v>218</v>
      </c>
      <c r="L13" s="90">
        <f t="shared" ref="L13:O13" si="6">L12+L11</f>
        <v>1313</v>
      </c>
      <c r="M13" s="91">
        <f t="shared" si="6"/>
        <v>2057.79</v>
      </c>
      <c r="N13" s="92">
        <f t="shared" si="6"/>
        <v>2373.21</v>
      </c>
      <c r="O13" s="93">
        <f t="shared" si="6"/>
        <v>2494.6999999999998</v>
      </c>
      <c r="P13" s="94">
        <f>P12+P11</f>
        <v>2626</v>
      </c>
      <c r="Q13" s="95">
        <f t="shared" ref="Q13:R13" si="7">Q12+Q11</f>
        <v>2757.3</v>
      </c>
      <c r="R13" s="96">
        <f t="shared" si="7"/>
        <v>3194.21</v>
      </c>
      <c r="S13" s="97"/>
      <c r="T13" s="98" t="s">
        <v>91</v>
      </c>
    </row>
    <row r="14" spans="1:20" x14ac:dyDescent="0.2">
      <c r="B14" s="28">
        <v>2</v>
      </c>
      <c r="C14" s="39">
        <v>0.24299278925574641</v>
      </c>
      <c r="D14" s="39">
        <v>29.053909979708056</v>
      </c>
      <c r="G14" s="297" t="s">
        <v>219</v>
      </c>
      <c r="H14" s="297"/>
      <c r="I14" s="297"/>
      <c r="L14" s="59"/>
      <c r="M14" s="59"/>
      <c r="N14" s="59"/>
      <c r="O14" s="59"/>
      <c r="P14" s="59"/>
      <c r="Q14" s="59"/>
      <c r="R14" s="59"/>
      <c r="S14" s="59"/>
    </row>
    <row r="15" spans="1:20" x14ac:dyDescent="0.2">
      <c r="B15" s="298" t="s">
        <v>220</v>
      </c>
      <c r="C15" s="299"/>
      <c r="D15" s="300"/>
      <c r="G15" s="38">
        <v>7.6122880756104738</v>
      </c>
      <c r="H15" s="28">
        <v>0.76162122646425356</v>
      </c>
      <c r="I15" s="28">
        <v>0.17364963963384983</v>
      </c>
      <c r="K15" t="s">
        <v>221</v>
      </c>
      <c r="L15" s="60">
        <v>-0.5</v>
      </c>
      <c r="M15" s="60">
        <v>-0.25</v>
      </c>
      <c r="N15" s="60">
        <v>-0.1</v>
      </c>
      <c r="O15" s="60">
        <v>-0.05</v>
      </c>
      <c r="P15" t="s">
        <v>222</v>
      </c>
      <c r="Q15" s="60">
        <v>0.05</v>
      </c>
      <c r="R15" s="60">
        <v>0.25</v>
      </c>
      <c r="S15" s="60"/>
    </row>
    <row r="16" spans="1:20" x14ac:dyDescent="0.2">
      <c r="B16" s="28">
        <v>1</v>
      </c>
      <c r="C16" s="39">
        <v>0.32361937571124905</v>
      </c>
      <c r="D16" s="39">
        <v>124.91707902454213</v>
      </c>
      <c r="G16" s="38">
        <v>23.938012816385136</v>
      </c>
      <c r="H16" s="28">
        <v>0.24219555001563264</v>
      </c>
      <c r="I16" s="28">
        <v>5.5220585403564254E-2</v>
      </c>
      <c r="K16" t="s">
        <v>223</v>
      </c>
      <c r="L16" s="60">
        <v>-0.5</v>
      </c>
      <c r="M16" s="60">
        <v>-0.16</v>
      </c>
      <c r="N16" s="60">
        <v>-0.09</v>
      </c>
      <c r="O16" s="60">
        <v>-0.05</v>
      </c>
      <c r="P16" t="s">
        <v>222</v>
      </c>
      <c r="Q16" s="60">
        <v>0.05</v>
      </c>
      <c r="R16" s="60">
        <v>0.16</v>
      </c>
      <c r="S16" s="60"/>
    </row>
    <row r="17" spans="2:9" x14ac:dyDescent="0.2">
      <c r="B17" s="28">
        <v>2</v>
      </c>
      <c r="C17" s="39">
        <v>0.16478468785562453</v>
      </c>
      <c r="D17" s="39">
        <v>20.907399863092582</v>
      </c>
      <c r="G17" s="38">
        <v>40.2637375571598</v>
      </c>
      <c r="H17" s="28">
        <v>0.14399259810679704</v>
      </c>
      <c r="I17" s="28">
        <v>3.2830312368349733E-2</v>
      </c>
    </row>
    <row r="18" spans="2:9" x14ac:dyDescent="0.2">
      <c r="B18" s="28">
        <v>3</v>
      </c>
      <c r="C18" s="39">
        <v>0.11183979190374969</v>
      </c>
      <c r="D18" s="39">
        <v>14.409112107591746</v>
      </c>
      <c r="G18" s="297" t="s">
        <v>224</v>
      </c>
      <c r="H18" s="297"/>
      <c r="I18" s="297"/>
    </row>
    <row r="19" spans="2:9" x14ac:dyDescent="0.2">
      <c r="B19" s="28">
        <v>4</v>
      </c>
      <c r="C19" s="39">
        <v>8.5367343927812256E-2</v>
      </c>
      <c r="D19" s="39">
        <v>11.165799229841328</v>
      </c>
      <c r="G19" s="38">
        <v>7.6122880756104738</v>
      </c>
      <c r="H19" s="28">
        <v>0.76162122646425356</v>
      </c>
      <c r="I19" s="28">
        <v>0.19187877846433904</v>
      </c>
    </row>
    <row r="20" spans="2:9" x14ac:dyDescent="0.2">
      <c r="B20" s="28">
        <v>5</v>
      </c>
      <c r="C20" s="39">
        <v>6.948387514224981E-2</v>
      </c>
      <c r="D20" s="39">
        <v>9.224476303191075</v>
      </c>
      <c r="G20" s="38">
        <v>23.938012816385136</v>
      </c>
      <c r="H20" s="28">
        <v>0.24219555001563264</v>
      </c>
      <c r="I20" s="28">
        <v>6.1017451551659815E-2</v>
      </c>
    </row>
    <row r="21" spans="2:9" x14ac:dyDescent="0.2">
      <c r="B21" s="298" t="s">
        <v>225</v>
      </c>
      <c r="C21" s="299"/>
      <c r="D21" s="299"/>
      <c r="G21" s="38">
        <v>40.2637375571598</v>
      </c>
      <c r="H21" s="28">
        <v>0.14399259810679704</v>
      </c>
      <c r="I21" s="28">
        <v>3.6276725060439843E-2</v>
      </c>
    </row>
    <row r="22" spans="2:9" x14ac:dyDescent="0.2">
      <c r="B22" s="28">
        <v>1</v>
      </c>
      <c r="C22" s="39">
        <v>0.45273262637114697</v>
      </c>
      <c r="D22" s="39">
        <v>143.00692216776341</v>
      </c>
      <c r="G22" s="297" t="s">
        <v>226</v>
      </c>
      <c r="H22" s="297"/>
      <c r="I22" s="297"/>
    </row>
    <row r="23" spans="2:9" x14ac:dyDescent="0.2">
      <c r="B23" s="28">
        <v>2</v>
      </c>
      <c r="C23" s="39">
        <v>0.2348538131855735</v>
      </c>
      <c r="D23" s="39">
        <v>33.596242433862471</v>
      </c>
      <c r="G23" s="38">
        <v>7.6122880756104738</v>
      </c>
      <c r="H23" s="28">
        <v>0.76162122646425356</v>
      </c>
      <c r="I23" s="28">
        <v>0.28247621535296225</v>
      </c>
    </row>
    <row r="24" spans="2:9" x14ac:dyDescent="0.2">
      <c r="B24" s="28">
        <v>3</v>
      </c>
      <c r="C24" s="39">
        <v>0.16222754212371565</v>
      </c>
      <c r="D24" s="39">
        <v>23.214197077728045</v>
      </c>
      <c r="G24" s="38">
        <v>23.938012816385136</v>
      </c>
      <c r="H24" s="28">
        <v>0.24219555001563264</v>
      </c>
      <c r="I24" s="28">
        <v>8.9827436482241993E-2</v>
      </c>
    </row>
    <row r="25" spans="2:9" x14ac:dyDescent="0.2">
      <c r="B25" s="28">
        <v>4</v>
      </c>
      <c r="C25" s="39">
        <v>0.12591440659278674</v>
      </c>
      <c r="D25" s="39">
        <v>18.023554639660841</v>
      </c>
      <c r="G25" s="38">
        <v>40.2637375571598</v>
      </c>
      <c r="H25" s="28">
        <v>0.14399259810679704</v>
      </c>
      <c r="I25" s="28">
        <v>5.3405134650560043E-2</v>
      </c>
    </row>
    <row r="26" spans="2:9" x14ac:dyDescent="0.2">
      <c r="B26" s="28">
        <v>5</v>
      </c>
      <c r="C26" s="39">
        <v>0.10412652527422939</v>
      </c>
      <c r="D26" s="39">
        <v>14.909473368820514</v>
      </c>
    </row>
    <row r="27" spans="2:9" x14ac:dyDescent="0.2">
      <c r="B27" s="298" t="s">
        <v>227</v>
      </c>
      <c r="C27" s="299"/>
      <c r="D27" s="300"/>
    </row>
    <row r="28" spans="2:9" x14ac:dyDescent="0.2">
      <c r="B28" s="28">
        <v>1</v>
      </c>
      <c r="C28" s="39">
        <v>0.1309529566831566</v>
      </c>
      <c r="D28" s="39">
        <v>50.547841279698446</v>
      </c>
    </row>
    <row r="29" spans="2:9" x14ac:dyDescent="0.2">
      <c r="B29" s="28">
        <v>2</v>
      </c>
      <c r="C29" s="39">
        <v>6.5476478341578298E-2</v>
      </c>
      <c r="D29" s="39">
        <v>3.438028532313206</v>
      </c>
    </row>
    <row r="30" spans="2:9" x14ac:dyDescent="0.2">
      <c r="B30" s="298" t="s">
        <v>228</v>
      </c>
      <c r="C30" s="299"/>
      <c r="D30" s="299"/>
    </row>
    <row r="31" spans="2:9" x14ac:dyDescent="0.2">
      <c r="B31" s="28">
        <v>1</v>
      </c>
      <c r="C31" s="39">
        <v>1.18E-2</v>
      </c>
      <c r="D31" s="39">
        <v>4.5391000000000004</v>
      </c>
    </row>
    <row r="32" spans="2:9" x14ac:dyDescent="0.2">
      <c r="B32" s="298" t="s">
        <v>229</v>
      </c>
      <c r="C32" s="299"/>
      <c r="D32" s="299"/>
    </row>
    <row r="33" spans="2:4" x14ac:dyDescent="0.2">
      <c r="B33" s="28">
        <v>1</v>
      </c>
      <c r="C33" s="39">
        <v>2.5499999999999998E-2</v>
      </c>
      <c r="D33" s="39">
        <v>9.8408999999999995</v>
      </c>
    </row>
    <row r="34" spans="2:4" x14ac:dyDescent="0.2">
      <c r="B34" s="298" t="s">
        <v>230</v>
      </c>
      <c r="C34" s="299"/>
      <c r="D34" s="299"/>
    </row>
    <row r="35" spans="2:4" x14ac:dyDescent="0.2">
      <c r="B35" s="38">
        <v>21.576457816377175</v>
      </c>
      <c r="C35" s="28">
        <v>0.19054815522924393</v>
      </c>
      <c r="D35" s="28">
        <v>7.3551587918488148E-2</v>
      </c>
    </row>
    <row r="36" spans="2:4" x14ac:dyDescent="0.2">
      <c r="B36" s="38">
        <v>67.850496277915639</v>
      </c>
      <c r="C36" s="28">
        <v>6.0594313362899568E-2</v>
      </c>
      <c r="D36" s="28">
        <v>2.3389404958079233E-2</v>
      </c>
    </row>
    <row r="37" spans="2:4" x14ac:dyDescent="0.2">
      <c r="B37" s="38">
        <v>114.12453473945411</v>
      </c>
      <c r="C37" s="28">
        <v>3.6025156577229232E-2</v>
      </c>
      <c r="D37" s="28">
        <v>1.3905710438810484E-2</v>
      </c>
    </row>
    <row r="38" spans="2:4" x14ac:dyDescent="0.2">
      <c r="B38" s="297" t="s">
        <v>231</v>
      </c>
      <c r="C38" s="297"/>
      <c r="D38" s="297"/>
    </row>
    <row r="39" spans="2:4" x14ac:dyDescent="0.2">
      <c r="B39" s="38">
        <v>32.161166523760379</v>
      </c>
      <c r="C39" s="28">
        <v>0.41775692167079209</v>
      </c>
      <c r="D39" s="28">
        <v>0.16125417176492576</v>
      </c>
    </row>
    <row r="40" spans="2:4" x14ac:dyDescent="0.2">
      <c r="B40" s="38">
        <v>101.13574378540999</v>
      </c>
      <c r="C40" s="28">
        <v>0.13284670109131191</v>
      </c>
      <c r="D40" s="28">
        <v>5.1278826621246394E-2</v>
      </c>
    </row>
    <row r="41" spans="2:4" x14ac:dyDescent="0.2">
      <c r="B41" s="38">
        <v>170.11032104705959</v>
      </c>
      <c r="C41" s="28">
        <v>7.8981391849769267E-2</v>
      </c>
      <c r="D41" s="28">
        <v>3.048681725401094E-2</v>
      </c>
    </row>
    <row r="42" spans="2:4" x14ac:dyDescent="0.2">
      <c r="B42" s="297" t="s">
        <v>232</v>
      </c>
      <c r="C42" s="297"/>
      <c r="D42" s="297"/>
    </row>
    <row r="43" spans="2:4" x14ac:dyDescent="0.2">
      <c r="B43" s="38">
        <v>71.921526054590572</v>
      </c>
      <c r="C43" s="28">
        <v>0.35004631327470914</v>
      </c>
      <c r="D43" s="28">
        <v>0.13511787692403771</v>
      </c>
    </row>
    <row r="44" spans="2:4" x14ac:dyDescent="0.2">
      <c r="B44" s="38">
        <v>226.16832092638543</v>
      </c>
      <c r="C44" s="28">
        <v>0.11131472762135751</v>
      </c>
      <c r="D44" s="28">
        <v>4.2967484861843992E-2</v>
      </c>
    </row>
    <row r="45" spans="2:4" x14ac:dyDescent="0.2">
      <c r="B45" s="38">
        <v>380.4151157981803</v>
      </c>
      <c r="C45" s="28">
        <v>6.6179980749915282E-2</v>
      </c>
      <c r="D45" s="28">
        <v>2.5545472569467299E-2</v>
      </c>
    </row>
    <row r="46" spans="2:4" x14ac:dyDescent="0.2">
      <c r="B46" s="297" t="s">
        <v>233</v>
      </c>
      <c r="C46" s="297"/>
      <c r="D46" s="297"/>
    </row>
    <row r="47" spans="2:4" x14ac:dyDescent="0.2">
      <c r="B47" s="38">
        <v>32.161166523760379</v>
      </c>
      <c r="C47" s="28">
        <v>0.67633674148575007</v>
      </c>
      <c r="D47" s="28">
        <v>0.18107592748881404</v>
      </c>
    </row>
    <row r="48" spans="2:4" x14ac:dyDescent="0.2">
      <c r="B48" s="38">
        <v>101.13574378540999</v>
      </c>
      <c r="C48" s="28">
        <v>0.21507508379246854</v>
      </c>
      <c r="D48" s="28">
        <v>5.758214494144287E-2</v>
      </c>
    </row>
    <row r="49" spans="2:4" x14ac:dyDescent="0.2">
      <c r="B49" s="38">
        <v>170.11032104705959</v>
      </c>
      <c r="C49" s="28">
        <v>0.12786865861621199</v>
      </c>
      <c r="D49" s="28">
        <v>3.4234331118574837E-2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1.612702334975628</v>
      </c>
      <c r="D53">
        <v>0.4173282402995902</v>
      </c>
    </row>
    <row r="54" spans="2:4" x14ac:dyDescent="0.2">
      <c r="B54" s="302" t="s">
        <v>248</v>
      </c>
      <c r="C54" s="303"/>
      <c r="D54" s="303"/>
    </row>
    <row r="55" spans="2:4" x14ac:dyDescent="0.2">
      <c r="C55">
        <v>0.26560207999641444</v>
      </c>
      <c r="D55">
        <v>6.873137482404014E-2</v>
      </c>
    </row>
    <row r="56" spans="2:4" x14ac:dyDescent="0.2">
      <c r="B56" s="301" t="s">
        <v>249</v>
      </c>
      <c r="C56" s="301"/>
      <c r="D56" s="301"/>
    </row>
    <row r="57" spans="2:4" x14ac:dyDescent="0.2">
      <c r="C57">
        <v>0.21140207616379486</v>
      </c>
      <c r="D57">
        <v>5.4705728718653909E-2</v>
      </c>
    </row>
  </sheetData>
  <mergeCells count="29">
    <mergeCell ref="B52:D52"/>
    <mergeCell ref="B34:D34"/>
    <mergeCell ref="B38:D38"/>
    <mergeCell ref="B42:D42"/>
    <mergeCell ref="B46:D46"/>
    <mergeCell ref="B50:D50"/>
    <mergeCell ref="G22:I22"/>
    <mergeCell ref="B27:D27"/>
    <mergeCell ref="B30:D30"/>
    <mergeCell ref="A1:B1"/>
    <mergeCell ref="B32:D32"/>
    <mergeCell ref="B6:D6"/>
    <mergeCell ref="B3:D3"/>
    <mergeCell ref="B54:D54"/>
    <mergeCell ref="B56:D56"/>
    <mergeCell ref="G3:I3"/>
    <mergeCell ref="B4:B5"/>
    <mergeCell ref="C4:C5"/>
    <mergeCell ref="D4:D5"/>
    <mergeCell ref="G4:G5"/>
    <mergeCell ref="H4:H5"/>
    <mergeCell ref="I4:I5"/>
    <mergeCell ref="G6:I6"/>
    <mergeCell ref="G10:I10"/>
    <mergeCell ref="B12:D12"/>
    <mergeCell ref="G14:I14"/>
    <mergeCell ref="B15:D15"/>
    <mergeCell ref="G18:I18"/>
    <mergeCell ref="B21:D2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807E-B118-4238-A0C1-9FA6593F505F}">
  <dimension ref="A1:T57"/>
  <sheetViews>
    <sheetView zoomScale="80" zoomScaleNormal="80" workbookViewId="0">
      <selection activeCell="G56" sqref="G56"/>
    </sheetView>
  </sheetViews>
  <sheetFormatPr baseColWidth="10" defaultColWidth="11.5" defaultRowHeight="15" x14ac:dyDescent="0.2"/>
  <cols>
    <col min="1" max="1" width="14.1640625"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103</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476.5</v>
      </c>
      <c r="M4" s="70">
        <f>P4*0.75</f>
        <v>714.75</v>
      </c>
      <c r="N4" s="72">
        <f>P4*0.9</f>
        <v>857.7</v>
      </c>
      <c r="O4" s="74">
        <f>P4*0.95</f>
        <v>905.34999999999991</v>
      </c>
      <c r="P4" s="63">
        <v>953</v>
      </c>
      <c r="Q4" s="64">
        <f>P4*1.05</f>
        <v>1000.6500000000001</v>
      </c>
      <c r="R4" s="76">
        <f>P4*1.25</f>
        <v>1191.25</v>
      </c>
      <c r="S4" s="78" t="s">
        <v>206</v>
      </c>
      <c r="T4" s="56" t="s">
        <v>86</v>
      </c>
    </row>
    <row r="5" spans="1:20" ht="16" thickBot="1" x14ac:dyDescent="0.25">
      <c r="B5" s="289"/>
      <c r="C5" s="291"/>
      <c r="D5" s="293"/>
      <c r="E5" s="3"/>
      <c r="F5" s="4"/>
      <c r="G5" s="291"/>
      <c r="H5" s="291"/>
      <c r="I5" s="291"/>
      <c r="K5" s="62" t="s">
        <v>87</v>
      </c>
      <c r="L5" s="68">
        <f>P5*0.5</f>
        <v>3330.5</v>
      </c>
      <c r="M5" s="70">
        <f>P5*0.75</f>
        <v>4995.75</v>
      </c>
      <c r="N5" s="72">
        <f>P5*0.9</f>
        <v>5994.9000000000005</v>
      </c>
      <c r="O5" s="74">
        <f>P5*0.95</f>
        <v>6327.95</v>
      </c>
      <c r="P5" s="63">
        <v>6661</v>
      </c>
      <c r="Q5" s="64">
        <f>P5*1.05</f>
        <v>6994.05</v>
      </c>
      <c r="R5" s="76">
        <f>P5*1.25</f>
        <v>8326.25</v>
      </c>
      <c r="S5" s="78"/>
      <c r="T5" s="56" t="s">
        <v>86</v>
      </c>
    </row>
    <row r="6" spans="1:20" x14ac:dyDescent="0.2">
      <c r="B6" s="294" t="s">
        <v>207</v>
      </c>
      <c r="C6" s="295"/>
      <c r="D6" s="296"/>
      <c r="G6" s="297" t="s">
        <v>208</v>
      </c>
      <c r="H6" s="297"/>
      <c r="I6" s="297"/>
      <c r="K6" s="62" t="s">
        <v>209</v>
      </c>
      <c r="L6" s="68">
        <f t="shared" ref="L6:N6" si="0">L4+L5</f>
        <v>3807</v>
      </c>
      <c r="M6" s="70">
        <f t="shared" si="0"/>
        <v>5710.5</v>
      </c>
      <c r="N6" s="72">
        <f t="shared" si="0"/>
        <v>6852.6</v>
      </c>
      <c r="O6" s="74">
        <f>O4+O5</f>
        <v>7233.2999999999993</v>
      </c>
      <c r="P6" s="63">
        <f>P5+P4</f>
        <v>7614</v>
      </c>
      <c r="Q6" s="64">
        <f t="shared" ref="Q6:R6" si="1">Q4+Q5</f>
        <v>7994.7000000000007</v>
      </c>
      <c r="R6" s="76">
        <f t="shared" si="1"/>
        <v>9517.5</v>
      </c>
      <c r="S6" s="78"/>
      <c r="T6" s="56" t="s">
        <v>86</v>
      </c>
    </row>
    <row r="7" spans="1:20" x14ac:dyDescent="0.2">
      <c r="B7" s="28">
        <v>1</v>
      </c>
      <c r="C7" s="39">
        <v>0.72691823989654092</v>
      </c>
      <c r="D7" s="39">
        <v>178.76070072814761</v>
      </c>
      <c r="G7" s="38">
        <v>6.2019425539672817</v>
      </c>
      <c r="H7" s="28">
        <v>0.98137204335487593</v>
      </c>
      <c r="I7" s="28">
        <v>0.29539298504981765</v>
      </c>
      <c r="K7" s="62" t="s">
        <v>210</v>
      </c>
      <c r="L7" s="68">
        <f>P7*0.5</f>
        <v>3168.5</v>
      </c>
      <c r="M7" s="70">
        <f>P7*0.84</f>
        <v>5323.08</v>
      </c>
      <c r="N7" s="72">
        <f>P7*0.91</f>
        <v>5766.67</v>
      </c>
      <c r="O7" s="74">
        <f>P7*0.95</f>
        <v>6020.15</v>
      </c>
      <c r="P7" s="63">
        <v>6337</v>
      </c>
      <c r="Q7" s="64">
        <f>P7*1.05</f>
        <v>6653.85</v>
      </c>
      <c r="R7" s="76">
        <f>P7*1.16</f>
        <v>7350.9199999999992</v>
      </c>
      <c r="S7" s="78"/>
      <c r="T7" s="56" t="s">
        <v>86</v>
      </c>
    </row>
    <row r="8" spans="1:20" x14ac:dyDescent="0.2">
      <c r="B8" s="28">
        <v>2</v>
      </c>
      <c r="C8" s="39">
        <v>0.37945911994827047</v>
      </c>
      <c r="D8" s="39">
        <v>70.868051139225216</v>
      </c>
      <c r="G8" s="38">
        <v>19.502964006186421</v>
      </c>
      <c r="H8" s="28">
        <v>0.31207630978685053</v>
      </c>
      <c r="I8" s="28">
        <v>9.393496924584202E-2</v>
      </c>
      <c r="K8" s="79" t="s">
        <v>211</v>
      </c>
      <c r="L8" s="80">
        <f t="shared" ref="L8:O8" si="2">L7+L6</f>
        <v>6975.5</v>
      </c>
      <c r="M8" s="81">
        <f t="shared" si="2"/>
        <v>11033.58</v>
      </c>
      <c r="N8" s="82">
        <f t="shared" si="2"/>
        <v>12619.27</v>
      </c>
      <c r="O8" s="83">
        <f t="shared" si="2"/>
        <v>13253.449999999999</v>
      </c>
      <c r="P8" s="84">
        <f>P7+P6</f>
        <v>13951</v>
      </c>
      <c r="Q8" s="85">
        <f t="shared" ref="Q8:R8" si="3">Q7+Q6</f>
        <v>14648.550000000001</v>
      </c>
      <c r="R8" s="86">
        <f t="shared" si="3"/>
        <v>16868.419999999998</v>
      </c>
      <c r="S8" s="87"/>
      <c r="T8" s="88" t="s">
        <v>86</v>
      </c>
    </row>
    <row r="9" spans="1:20" x14ac:dyDescent="0.2">
      <c r="B9" s="28">
        <v>3</v>
      </c>
      <c r="C9" s="39">
        <v>0.26363941329884694</v>
      </c>
      <c r="D9" s="39">
        <v>51.346596873641147</v>
      </c>
      <c r="G9" s="38">
        <v>32.803985458405556</v>
      </c>
      <c r="H9" s="28">
        <v>0.18553882864854374</v>
      </c>
      <c r="I9" s="28">
        <v>5.5847187423211667E-2</v>
      </c>
      <c r="K9" s="62" t="s">
        <v>212</v>
      </c>
      <c r="L9" s="68">
        <f>P9*0.5</f>
        <v>219.5</v>
      </c>
      <c r="M9" s="70">
        <f>P9*0.75</f>
        <v>329.25</v>
      </c>
      <c r="N9" s="72">
        <f>P9*0.9</f>
        <v>395.1</v>
      </c>
      <c r="O9" s="74">
        <f>P9*0.95</f>
        <v>417.04999999999995</v>
      </c>
      <c r="P9" s="63">
        <v>439</v>
      </c>
      <c r="Q9" s="64">
        <f>P9*1.05</f>
        <v>460.95000000000005</v>
      </c>
      <c r="R9" s="76">
        <f>P9*1.25</f>
        <v>548.75</v>
      </c>
      <c r="S9" s="78"/>
      <c r="T9" s="56" t="s">
        <v>91</v>
      </c>
    </row>
    <row r="10" spans="1:20" x14ac:dyDescent="0.2">
      <c r="B10" s="28">
        <v>4</v>
      </c>
      <c r="C10" s="39">
        <v>0.20572955997413522</v>
      </c>
      <c r="D10" s="39">
        <v>41.713869740849127</v>
      </c>
      <c r="G10" s="297" t="s">
        <v>213</v>
      </c>
      <c r="H10" s="297"/>
      <c r="I10" s="297"/>
      <c r="K10" s="62" t="s">
        <v>214</v>
      </c>
      <c r="L10" s="68">
        <f>P10*0.5</f>
        <v>673</v>
      </c>
      <c r="M10" s="70">
        <f>P10*0.75</f>
        <v>1009.5</v>
      </c>
      <c r="N10" s="72">
        <f>P10*0.9</f>
        <v>1211.4000000000001</v>
      </c>
      <c r="O10" s="74">
        <f>P10*0.95</f>
        <v>1278.7</v>
      </c>
      <c r="P10" s="63">
        <v>1346</v>
      </c>
      <c r="Q10" s="64">
        <f>P10*1.05</f>
        <v>1413.3</v>
      </c>
      <c r="R10" s="76">
        <f>P10*1.25</f>
        <v>1682.5</v>
      </c>
      <c r="S10" s="78"/>
      <c r="T10" s="56" t="s">
        <v>91</v>
      </c>
    </row>
    <row r="11" spans="1:20" x14ac:dyDescent="0.2">
      <c r="B11" s="28">
        <v>5</v>
      </c>
      <c r="C11" s="39">
        <v>0.17098364797930818</v>
      </c>
      <c r="D11" s="39">
        <v>36.036633461173913</v>
      </c>
      <c r="G11" s="38">
        <v>6.2019425539672817</v>
      </c>
      <c r="H11" s="28">
        <v>0.98137204335487593</v>
      </c>
      <c r="I11" s="28">
        <v>0.27173921855514682</v>
      </c>
      <c r="K11" s="62" t="s">
        <v>215</v>
      </c>
      <c r="L11" s="68">
        <f t="shared" ref="L11:N11" si="4">L9+L10</f>
        <v>892.5</v>
      </c>
      <c r="M11" s="70">
        <f t="shared" si="4"/>
        <v>1338.75</v>
      </c>
      <c r="N11" s="72">
        <f t="shared" si="4"/>
        <v>1606.5</v>
      </c>
      <c r="O11" s="74">
        <f>O9+O10</f>
        <v>1695.75</v>
      </c>
      <c r="P11" s="63">
        <f>P9+P10</f>
        <v>1785</v>
      </c>
      <c r="Q11" s="64">
        <f t="shared" ref="Q11:R11" si="5">Q9+Q10</f>
        <v>1874.25</v>
      </c>
      <c r="R11" s="76">
        <f t="shared" si="5"/>
        <v>2231.25</v>
      </c>
      <c r="S11" s="78"/>
      <c r="T11" s="56" t="s">
        <v>91</v>
      </c>
    </row>
    <row r="12" spans="1:20" x14ac:dyDescent="0.2">
      <c r="B12" s="298" t="s">
        <v>216</v>
      </c>
      <c r="C12" s="299"/>
      <c r="D12" s="300"/>
      <c r="G12" s="38">
        <v>19.502964006186421</v>
      </c>
      <c r="H12" s="28">
        <v>0.31207630978685053</v>
      </c>
      <c r="I12" s="28">
        <v>8.6413071500536676E-2</v>
      </c>
      <c r="K12" s="62" t="s">
        <v>217</v>
      </c>
      <c r="L12" s="68">
        <f>P12*0.5</f>
        <v>772.5</v>
      </c>
      <c r="M12" s="70">
        <f>P12*0.84</f>
        <v>1297.8</v>
      </c>
      <c r="N12" s="72">
        <f>P12*0.91</f>
        <v>1405.95</v>
      </c>
      <c r="O12" s="74">
        <f>P12*0.95</f>
        <v>1467.75</v>
      </c>
      <c r="P12" s="63">
        <v>1545</v>
      </c>
      <c r="Q12" s="64">
        <f>P12*1.05</f>
        <v>1622.25</v>
      </c>
      <c r="R12" s="76">
        <f>P12*1.16</f>
        <v>1792.1999999999998</v>
      </c>
      <c r="S12" s="78"/>
      <c r="T12" s="56" t="s">
        <v>91</v>
      </c>
    </row>
    <row r="13" spans="1:20" ht="16" thickBot="1" x14ac:dyDescent="0.25">
      <c r="B13" s="28">
        <v>1</v>
      </c>
      <c r="C13" s="39">
        <v>0.47942292805265879</v>
      </c>
      <c r="D13" s="39">
        <v>117.8976862322662</v>
      </c>
      <c r="G13" s="38">
        <v>32.803985458405556</v>
      </c>
      <c r="H13" s="28">
        <v>0.18553882864854374</v>
      </c>
      <c r="I13" s="28">
        <v>5.1375191141817295E-2</v>
      </c>
      <c r="K13" s="89" t="s">
        <v>218</v>
      </c>
      <c r="L13" s="90">
        <f t="shared" ref="L13:O13" si="6">L12+L11</f>
        <v>1665</v>
      </c>
      <c r="M13" s="91">
        <f t="shared" si="6"/>
        <v>2636.55</v>
      </c>
      <c r="N13" s="92">
        <f t="shared" si="6"/>
        <v>3012.45</v>
      </c>
      <c r="O13" s="93">
        <f t="shared" si="6"/>
        <v>3163.5</v>
      </c>
      <c r="P13" s="94">
        <f>P12+P11</f>
        <v>3330</v>
      </c>
      <c r="Q13" s="95">
        <f t="shared" ref="Q13:R13" si="7">Q12+Q11</f>
        <v>3496.5</v>
      </c>
      <c r="R13" s="96">
        <f t="shared" si="7"/>
        <v>4023.45</v>
      </c>
      <c r="S13" s="97"/>
      <c r="T13" s="98" t="s">
        <v>91</v>
      </c>
    </row>
    <row r="14" spans="1:20" x14ac:dyDescent="0.2">
      <c r="B14" s="28">
        <v>2</v>
      </c>
      <c r="C14" s="39">
        <v>0.25571146402632938</v>
      </c>
      <c r="D14" s="39">
        <v>32.193481663980243</v>
      </c>
      <c r="G14" s="297" t="s">
        <v>219</v>
      </c>
      <c r="H14" s="297"/>
      <c r="I14" s="297"/>
      <c r="L14" s="59"/>
      <c r="M14" s="59"/>
      <c r="N14" s="59"/>
      <c r="O14" s="59"/>
      <c r="P14" s="59"/>
      <c r="Q14" s="59"/>
      <c r="R14" s="59"/>
      <c r="S14" s="59"/>
    </row>
    <row r="15" spans="1:20" x14ac:dyDescent="0.2">
      <c r="B15" s="298" t="s">
        <v>220</v>
      </c>
      <c r="C15" s="299"/>
      <c r="D15" s="300"/>
      <c r="G15" s="38">
        <v>6.2019425539672817</v>
      </c>
      <c r="H15" s="28">
        <v>0.98137204335487593</v>
      </c>
      <c r="I15" s="28">
        <v>0.22375282588491172</v>
      </c>
      <c r="K15" t="s">
        <v>221</v>
      </c>
      <c r="L15" s="60">
        <v>-0.5</v>
      </c>
      <c r="M15" s="60">
        <v>-0.25</v>
      </c>
      <c r="N15" s="60">
        <v>-0.1</v>
      </c>
      <c r="O15" s="60">
        <v>-0.05</v>
      </c>
      <c r="P15" t="s">
        <v>222</v>
      </c>
      <c r="Q15" s="60">
        <v>0.05</v>
      </c>
      <c r="R15" s="60">
        <v>0.25</v>
      </c>
      <c r="S15" s="60"/>
    </row>
    <row r="16" spans="1:20" x14ac:dyDescent="0.2">
      <c r="B16" s="28">
        <v>1</v>
      </c>
      <c r="C16" s="39">
        <v>0.35523188079617291</v>
      </c>
      <c r="D16" s="39">
        <v>106.92479611964805</v>
      </c>
      <c r="G16" s="38">
        <v>19.502964006186421</v>
      </c>
      <c r="H16" s="28">
        <v>0.31207630978685053</v>
      </c>
      <c r="I16" s="28">
        <v>7.1153398631401923E-2</v>
      </c>
      <c r="K16" t="s">
        <v>223</v>
      </c>
      <c r="L16" s="60">
        <v>-0.5</v>
      </c>
      <c r="M16" s="60">
        <v>-0.16</v>
      </c>
      <c r="N16" s="60">
        <v>-0.09</v>
      </c>
      <c r="O16" s="60">
        <v>-0.05</v>
      </c>
      <c r="P16" t="s">
        <v>222</v>
      </c>
      <c r="Q16" s="60">
        <v>0.05</v>
      </c>
      <c r="R16" s="60">
        <v>0.16</v>
      </c>
      <c r="S16" s="60"/>
    </row>
    <row r="17" spans="2:9" x14ac:dyDescent="0.2">
      <c r="B17" s="28">
        <v>2</v>
      </c>
      <c r="C17" s="39">
        <v>0.18059094039808646</v>
      </c>
      <c r="D17" s="39">
        <v>19.663607726301155</v>
      </c>
      <c r="G17" s="38">
        <v>32.803985458405556</v>
      </c>
      <c r="H17" s="28">
        <v>0.18553882864854374</v>
      </c>
      <c r="I17" s="28">
        <v>4.2302852931867974E-2</v>
      </c>
    </row>
    <row r="18" spans="2:9" x14ac:dyDescent="0.2">
      <c r="B18" s="28">
        <v>3</v>
      </c>
      <c r="C18" s="39">
        <v>0.1223772935987243</v>
      </c>
      <c r="D18" s="39">
        <v>13.564886158624907</v>
      </c>
      <c r="G18" s="297" t="s">
        <v>224</v>
      </c>
      <c r="H18" s="297"/>
      <c r="I18" s="297"/>
    </row>
    <row r="19" spans="2:9" x14ac:dyDescent="0.2">
      <c r="B19" s="28">
        <v>4</v>
      </c>
      <c r="C19" s="39">
        <v>9.3270470199043221E-2</v>
      </c>
      <c r="D19" s="39">
        <v>10.52135637478678</v>
      </c>
      <c r="G19" s="38">
        <v>6.2019425539672817</v>
      </c>
      <c r="H19" s="28">
        <v>0.98137204335487593</v>
      </c>
      <c r="I19" s="28">
        <v>0.24808545206047594</v>
      </c>
    </row>
    <row r="20" spans="2:9" x14ac:dyDescent="0.2">
      <c r="B20" s="28">
        <v>5</v>
      </c>
      <c r="C20" s="39">
        <v>7.5806376159234579E-2</v>
      </c>
      <c r="D20" s="39">
        <v>8.6999033044839056</v>
      </c>
      <c r="G20" s="38">
        <v>19.502964006186421</v>
      </c>
      <c r="H20" s="28">
        <v>0.31207630978685053</v>
      </c>
      <c r="I20" s="28">
        <v>7.8891173755231345E-2</v>
      </c>
    </row>
    <row r="21" spans="2:9" x14ac:dyDescent="0.2">
      <c r="B21" s="298" t="s">
        <v>225</v>
      </c>
      <c r="C21" s="299"/>
      <c r="D21" s="299"/>
      <c r="G21" s="38">
        <v>32.803985458405556</v>
      </c>
      <c r="H21" s="28">
        <v>0.18553882864854374</v>
      </c>
      <c r="I21" s="28">
        <v>4.6903194860422923E-2</v>
      </c>
    </row>
    <row r="22" spans="2:9" x14ac:dyDescent="0.2">
      <c r="B22" s="28">
        <v>1</v>
      </c>
      <c r="C22" s="39">
        <v>0.39886085311519276</v>
      </c>
      <c r="D22" s="39">
        <v>109.07165683503571</v>
      </c>
      <c r="G22" s="297" t="s">
        <v>226</v>
      </c>
      <c r="H22" s="297"/>
      <c r="I22" s="297"/>
    </row>
    <row r="23" spans="2:9" x14ac:dyDescent="0.2">
      <c r="B23" s="28">
        <v>2</v>
      </c>
      <c r="C23" s="39">
        <v>0.20791792655759639</v>
      </c>
      <c r="D23" s="39">
        <v>22.687267458452091</v>
      </c>
      <c r="G23" s="38">
        <v>6.2019425539672817</v>
      </c>
      <c r="H23" s="28">
        <v>0.98137204335487593</v>
      </c>
      <c r="I23" s="28">
        <v>0.2570600972873861</v>
      </c>
    </row>
    <row r="24" spans="2:9" x14ac:dyDescent="0.2">
      <c r="B24" s="28">
        <v>3</v>
      </c>
      <c r="C24" s="39">
        <v>0.14427028437173092</v>
      </c>
      <c r="D24" s="39">
        <v>15.748725565966156</v>
      </c>
      <c r="G24" s="38">
        <v>19.502964006186421</v>
      </c>
      <c r="H24" s="28">
        <v>0.31207630978685053</v>
      </c>
      <c r="I24" s="28">
        <v>8.1745110937388774E-2</v>
      </c>
    </row>
    <row r="25" spans="2:9" x14ac:dyDescent="0.2">
      <c r="B25" s="28">
        <v>4</v>
      </c>
      <c r="C25" s="39">
        <v>0.11244646327879819</v>
      </c>
      <c r="D25" s="39">
        <v>12.279834859723191</v>
      </c>
      <c r="G25" s="38">
        <v>32.803985458405556</v>
      </c>
      <c r="H25" s="28">
        <v>0.18553882864854374</v>
      </c>
      <c r="I25" s="28">
        <v>4.8599947049577159E-2</v>
      </c>
    </row>
    <row r="26" spans="2:9" x14ac:dyDescent="0.2">
      <c r="B26" s="28">
        <v>5</v>
      </c>
      <c r="C26" s="39">
        <v>9.335217062303855E-2</v>
      </c>
      <c r="D26" s="39">
        <v>10.198804627977411</v>
      </c>
    </row>
    <row r="27" spans="2:9" x14ac:dyDescent="0.2">
      <c r="B27" s="298" t="s">
        <v>227</v>
      </c>
      <c r="C27" s="299"/>
      <c r="D27" s="300"/>
    </row>
    <row r="28" spans="2:9" x14ac:dyDescent="0.2">
      <c r="B28" s="28">
        <v>1</v>
      </c>
      <c r="C28" s="39">
        <v>0.14374499362449789</v>
      </c>
      <c r="D28" s="39">
        <v>43.267243080973863</v>
      </c>
    </row>
    <row r="29" spans="2:9" x14ac:dyDescent="0.2">
      <c r="B29" s="28">
        <v>2</v>
      </c>
      <c r="C29" s="39">
        <v>7.1872496812248943E-2</v>
      </c>
      <c r="D29" s="39">
        <v>3.2505948841641019</v>
      </c>
    </row>
    <row r="30" spans="2:9" x14ac:dyDescent="0.2">
      <c r="B30" s="298" t="s">
        <v>228</v>
      </c>
      <c r="C30" s="299"/>
      <c r="D30" s="299"/>
    </row>
    <row r="31" spans="2:9" x14ac:dyDescent="0.2">
      <c r="B31" s="28">
        <v>1</v>
      </c>
      <c r="C31" s="39">
        <v>1.29E-2</v>
      </c>
      <c r="D31" s="39">
        <v>3.8853</v>
      </c>
    </row>
    <row r="32" spans="2:9" x14ac:dyDescent="0.2">
      <c r="B32" s="298" t="s">
        <v>229</v>
      </c>
      <c r="C32" s="299"/>
      <c r="D32" s="299"/>
    </row>
    <row r="33" spans="2:4" x14ac:dyDescent="0.2">
      <c r="B33" s="28">
        <v>1</v>
      </c>
      <c r="C33" s="39">
        <v>2.8000000000000001E-2</v>
      </c>
      <c r="D33" s="39">
        <v>8.4234000000000009</v>
      </c>
    </row>
    <row r="34" spans="2:4" x14ac:dyDescent="0.2">
      <c r="B34" s="298" t="s">
        <v>230</v>
      </c>
      <c r="C34" s="299"/>
      <c r="D34" s="299"/>
    </row>
    <row r="35" spans="2:4" x14ac:dyDescent="0.2">
      <c r="B35" s="38">
        <v>24.677019429377829</v>
      </c>
      <c r="C35" s="28">
        <v>0.14515842640260196</v>
      </c>
      <c r="D35" s="28">
        <v>4.3692686347183193E-2</v>
      </c>
    </row>
    <row r="36" spans="2:4" x14ac:dyDescent="0.2">
      <c r="B36" s="38">
        <v>77.600690029490025</v>
      </c>
      <c r="C36" s="28">
        <v>4.6160379596027423E-2</v>
      </c>
      <c r="D36" s="28">
        <v>1.3894274258404256E-2</v>
      </c>
    </row>
    <row r="37" spans="2:4" x14ac:dyDescent="0.2">
      <c r="B37" s="38">
        <v>130.52436062960223</v>
      </c>
      <c r="C37" s="28">
        <v>2.7443745300848647E-2</v>
      </c>
      <c r="D37" s="28">
        <v>8.2605673355554427E-3</v>
      </c>
    </row>
    <row r="38" spans="2:4" x14ac:dyDescent="0.2">
      <c r="B38" s="297" t="s">
        <v>231</v>
      </c>
      <c r="C38" s="297"/>
      <c r="D38" s="297"/>
    </row>
    <row r="39" spans="2:4" x14ac:dyDescent="0.2">
      <c r="B39" s="38">
        <v>31.173496023997924</v>
      </c>
      <c r="C39" s="28">
        <v>0.35259576453522584</v>
      </c>
      <c r="D39" s="28">
        <v>0.10613132512510298</v>
      </c>
    </row>
    <row r="40" spans="2:4" x14ac:dyDescent="0.2">
      <c r="B40" s="38">
        <v>98.029861710685296</v>
      </c>
      <c r="C40" s="28">
        <v>0.11212545312220182</v>
      </c>
      <c r="D40" s="28">
        <v>3.3749761389782751E-2</v>
      </c>
    </row>
    <row r="41" spans="2:4" x14ac:dyDescent="0.2">
      <c r="B41" s="38">
        <v>164.88622739737264</v>
      </c>
      <c r="C41" s="28">
        <v>6.666198164221275E-2</v>
      </c>
      <c r="D41" s="28">
        <v>2.0065256474306039E-2</v>
      </c>
    </row>
    <row r="42" spans="2:4" x14ac:dyDescent="0.2">
      <c r="B42" s="297" t="s">
        <v>232</v>
      </c>
      <c r="C42" s="297"/>
      <c r="D42" s="297"/>
    </row>
    <row r="43" spans="2:4" x14ac:dyDescent="0.2">
      <c r="B43" s="38">
        <v>69.979607337041585</v>
      </c>
      <c r="C43" s="28">
        <v>0.25467500752503774</v>
      </c>
      <c r="D43" s="28">
        <v>7.6657177265036361E-2</v>
      </c>
    </row>
    <row r="44" spans="2:4" x14ac:dyDescent="0.2">
      <c r="B44" s="38">
        <v>220.06165829258362</v>
      </c>
      <c r="C44" s="28">
        <v>8.0986652392961989E-2</v>
      </c>
      <c r="D44" s="28">
        <v>2.4376982370281561E-2</v>
      </c>
    </row>
    <row r="45" spans="2:4" x14ac:dyDescent="0.2">
      <c r="B45" s="38">
        <v>370.14370924812562</v>
      </c>
      <c r="C45" s="28">
        <v>4.8149020447658737E-2</v>
      </c>
      <c r="D45" s="28">
        <v>1.4492855154745281E-2</v>
      </c>
    </row>
    <row r="46" spans="2:4" x14ac:dyDescent="0.2">
      <c r="B46" s="297" t="s">
        <v>233</v>
      </c>
      <c r="C46" s="297"/>
      <c r="D46" s="297"/>
    </row>
    <row r="47" spans="2:4" x14ac:dyDescent="0.2">
      <c r="B47" s="38">
        <v>31.173496023997924</v>
      </c>
      <c r="C47" s="28">
        <v>0.4087588675255775</v>
      </c>
      <c r="D47" s="28">
        <v>0.10351529140418417</v>
      </c>
    </row>
    <row r="48" spans="2:4" x14ac:dyDescent="0.2">
      <c r="B48" s="38">
        <v>98.029861710685296</v>
      </c>
      <c r="C48" s="28">
        <v>0.12998531987313364</v>
      </c>
      <c r="D48" s="28">
        <v>3.2917862666530566E-2</v>
      </c>
    </row>
    <row r="49" spans="2:4" x14ac:dyDescent="0.2">
      <c r="B49" s="38">
        <v>164.88622739737264</v>
      </c>
      <c r="C49" s="28">
        <v>7.7280213955489702E-2</v>
      </c>
      <c r="D49" s="28">
        <v>1.957066745929285E-2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0.84167184675689921</v>
      </c>
      <c r="D53">
        <v>0.21784943665693582</v>
      </c>
    </row>
    <row r="54" spans="2:4" x14ac:dyDescent="0.2">
      <c r="B54" s="302" t="s">
        <v>248</v>
      </c>
      <c r="C54" s="303"/>
      <c r="D54" s="303"/>
    </row>
    <row r="55" spans="2:4" x14ac:dyDescent="0.2">
      <c r="C55">
        <v>0.53729424737296838</v>
      </c>
      <c r="D55">
        <v>0.13906755888321987</v>
      </c>
    </row>
    <row r="56" spans="2:4" x14ac:dyDescent="0.2">
      <c r="B56" s="301" t="s">
        <v>249</v>
      </c>
      <c r="C56" s="301"/>
      <c r="D56" s="301"/>
    </row>
    <row r="57" spans="2:4" x14ac:dyDescent="0.2">
      <c r="C57">
        <v>0.26568981342743353</v>
      </c>
      <c r="D57">
        <v>6.8768340539933068E-2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A9F3-EFCC-459A-A8AC-2DB176D581B9}">
  <dimension ref="A1:T53"/>
  <sheetViews>
    <sheetView zoomScale="80" zoomScaleNormal="80" workbookViewId="0">
      <selection activeCell="C53" sqref="C53:D53"/>
    </sheetView>
  </sheetViews>
  <sheetFormatPr baseColWidth="10" defaultColWidth="11.5" defaultRowHeight="15" x14ac:dyDescent="0.2"/>
  <cols>
    <col min="1" max="1" width="13.5" customWidth="1"/>
    <col min="2" max="2" width="16.6640625" customWidth="1"/>
    <col min="3" max="3" width="20.1640625" customWidth="1"/>
    <col min="4" max="4" width="22" customWidth="1"/>
    <col min="5" max="6" width="2.6640625" customWidth="1"/>
    <col min="7" max="7" width="16" customWidth="1"/>
    <col min="8" max="8" width="20.5" customWidth="1"/>
    <col min="9" max="9" width="22.6640625" customWidth="1"/>
    <col min="10" max="10" width="2.6640625" customWidth="1"/>
    <col min="11" max="11" width="20.6640625" customWidth="1"/>
    <col min="12" max="20" width="7.6640625" customWidth="1"/>
  </cols>
  <sheetData>
    <row r="1" spans="1:20" ht="20" thickBot="1" x14ac:dyDescent="0.3">
      <c r="A1" s="40" t="s">
        <v>98</v>
      </c>
    </row>
    <row r="2" spans="1:20" ht="16" thickBot="1" x14ac:dyDescent="0.25"/>
    <row r="3" spans="1:20" ht="16" thickBot="1" x14ac:dyDescent="0.25">
      <c r="B3" s="285" t="s">
        <v>66</v>
      </c>
      <c r="C3" s="286"/>
      <c r="D3" s="287"/>
      <c r="G3" s="285" t="s">
        <v>190</v>
      </c>
      <c r="H3" s="286"/>
      <c r="I3" s="287"/>
      <c r="K3" s="61" t="s">
        <v>191</v>
      </c>
      <c r="L3" s="67" t="s">
        <v>192</v>
      </c>
      <c r="M3" s="69" t="s">
        <v>193</v>
      </c>
      <c r="N3" s="71" t="s">
        <v>194</v>
      </c>
      <c r="O3" s="73" t="s">
        <v>195</v>
      </c>
      <c r="P3" s="65" t="s">
        <v>196</v>
      </c>
      <c r="Q3" s="66" t="s">
        <v>197</v>
      </c>
      <c r="R3" s="75" t="s">
        <v>198</v>
      </c>
      <c r="S3" s="77" t="s">
        <v>199</v>
      </c>
      <c r="T3" s="55" t="s">
        <v>200</v>
      </c>
    </row>
    <row r="4" spans="1:20" ht="14.5" customHeight="1" x14ac:dyDescent="0.2">
      <c r="B4" s="290" t="s">
        <v>201</v>
      </c>
      <c r="C4" s="290" t="s">
        <v>204</v>
      </c>
      <c r="D4" s="290" t="s">
        <v>203</v>
      </c>
      <c r="G4" s="290" t="s">
        <v>201</v>
      </c>
      <c r="H4" s="290" t="s">
        <v>204</v>
      </c>
      <c r="I4" s="290" t="s">
        <v>203</v>
      </c>
      <c r="K4" s="62" t="s">
        <v>205</v>
      </c>
      <c r="L4" s="68">
        <f>P4*0.5</f>
        <v>509.5</v>
      </c>
      <c r="M4" s="70">
        <f>P4*0.75</f>
        <v>764.25</v>
      </c>
      <c r="N4" s="72">
        <f>P4*0.9</f>
        <v>917.1</v>
      </c>
      <c r="O4" s="74">
        <f>P4*0.95</f>
        <v>968.05</v>
      </c>
      <c r="P4" s="63">
        <v>1019</v>
      </c>
      <c r="Q4" s="64">
        <f>P4*1.05</f>
        <v>1069.95</v>
      </c>
      <c r="R4" s="76">
        <f>P4*1.25</f>
        <v>1273.75</v>
      </c>
      <c r="S4" s="78" t="s">
        <v>206</v>
      </c>
      <c r="T4" s="56" t="s">
        <v>86</v>
      </c>
    </row>
    <row r="5" spans="1:20" ht="14.5" customHeight="1" thickBot="1" x14ac:dyDescent="0.25">
      <c r="B5" s="291"/>
      <c r="C5" s="291"/>
      <c r="D5" s="291"/>
      <c r="G5" s="291"/>
      <c r="H5" s="291"/>
      <c r="I5" s="291"/>
      <c r="K5" s="62" t="s">
        <v>87</v>
      </c>
      <c r="L5" s="68">
        <f>P5*0.5</f>
        <v>3861</v>
      </c>
      <c r="M5" s="70">
        <f>P5*0.75</f>
        <v>5791.5</v>
      </c>
      <c r="N5" s="72">
        <f>P5*0.9</f>
        <v>6949.8</v>
      </c>
      <c r="O5" s="74">
        <f>P5*0.95</f>
        <v>7335.9</v>
      </c>
      <c r="P5" s="63">
        <v>7722</v>
      </c>
      <c r="Q5" s="64">
        <f>P5*1.05</f>
        <v>8108.1</v>
      </c>
      <c r="R5" s="76">
        <f>P5*1.25</f>
        <v>9652.5</v>
      </c>
      <c r="S5" s="78"/>
      <c r="T5" s="56" t="s">
        <v>86</v>
      </c>
    </row>
    <row r="6" spans="1:20" x14ac:dyDescent="0.2">
      <c r="B6" s="307" t="s">
        <v>207</v>
      </c>
      <c r="C6" s="307"/>
      <c r="D6" s="307"/>
      <c r="G6" s="297" t="s">
        <v>208</v>
      </c>
      <c r="H6" s="297"/>
      <c r="I6" s="297"/>
      <c r="K6" s="62" t="s">
        <v>209</v>
      </c>
      <c r="L6" s="68">
        <f t="shared" ref="L6:N6" si="0">L4+L5</f>
        <v>4370.5</v>
      </c>
      <c r="M6" s="70">
        <f t="shared" si="0"/>
        <v>6555.75</v>
      </c>
      <c r="N6" s="72">
        <f t="shared" si="0"/>
        <v>7866.9000000000005</v>
      </c>
      <c r="O6" s="74">
        <f>O4+O5</f>
        <v>8303.9499999999989</v>
      </c>
      <c r="P6" s="63">
        <f>P5+P4</f>
        <v>8741</v>
      </c>
      <c r="Q6" s="64">
        <f t="shared" ref="Q6:R6" si="1">Q4+Q5</f>
        <v>9178.0500000000011</v>
      </c>
      <c r="R6" s="76">
        <f t="shared" si="1"/>
        <v>10926.25</v>
      </c>
      <c r="S6" s="78"/>
      <c r="T6" s="56" t="s">
        <v>86</v>
      </c>
    </row>
    <row r="7" spans="1:20" x14ac:dyDescent="0.2">
      <c r="B7" s="28">
        <v>1</v>
      </c>
      <c r="C7" s="28">
        <v>0.77339500000000005</v>
      </c>
      <c r="D7" s="28">
        <v>0.18886</v>
      </c>
      <c r="G7" s="38">
        <v>3</v>
      </c>
      <c r="H7" s="28">
        <v>1.8647</v>
      </c>
      <c r="I7" s="28">
        <v>0.21629699999999999</v>
      </c>
      <c r="K7" s="62" t="s">
        <v>210</v>
      </c>
      <c r="L7" s="68">
        <f>P7*0.5</f>
        <v>3572.5</v>
      </c>
      <c r="M7" s="70">
        <f>P7*0.84</f>
        <v>6001.8</v>
      </c>
      <c r="N7" s="72">
        <f>P7*0.91</f>
        <v>6501.95</v>
      </c>
      <c r="O7" s="74">
        <f>P7*0.95</f>
        <v>6787.75</v>
      </c>
      <c r="P7" s="63">
        <v>7145</v>
      </c>
      <c r="Q7" s="64">
        <f>P7*1.05</f>
        <v>7502.25</v>
      </c>
      <c r="R7" s="76">
        <f>P7*1.16</f>
        <v>8288.1999999999989</v>
      </c>
      <c r="S7" s="78"/>
      <c r="T7" s="56" t="s">
        <v>86</v>
      </c>
    </row>
    <row r="8" spans="1:20" x14ac:dyDescent="0.2">
      <c r="B8" s="28">
        <v>2</v>
      </c>
      <c r="C8" s="28">
        <v>0.40269749999999999</v>
      </c>
      <c r="D8" s="28">
        <v>7.9275029999999996E-2</v>
      </c>
      <c r="G8" s="38">
        <v>10</v>
      </c>
      <c r="H8" s="28">
        <v>0.59299999999999997</v>
      </c>
      <c r="I8" s="28">
        <v>6.8781999999999996E-2</v>
      </c>
      <c r="K8" s="79" t="s">
        <v>211</v>
      </c>
      <c r="L8" s="80">
        <f t="shared" ref="L8:O8" si="2">L7+L6</f>
        <v>7943</v>
      </c>
      <c r="M8" s="81">
        <f t="shared" si="2"/>
        <v>12557.55</v>
      </c>
      <c r="N8" s="82">
        <f t="shared" si="2"/>
        <v>14368.85</v>
      </c>
      <c r="O8" s="83">
        <f t="shared" si="2"/>
        <v>15091.699999999999</v>
      </c>
      <c r="P8" s="84">
        <f>P7+P6</f>
        <v>15886</v>
      </c>
      <c r="Q8" s="85">
        <f t="shared" ref="Q8:R8" si="3">Q7+Q6</f>
        <v>16680.300000000003</v>
      </c>
      <c r="R8" s="86">
        <f t="shared" si="3"/>
        <v>19214.449999999997</v>
      </c>
      <c r="S8" s="87"/>
      <c r="T8" s="88" t="s">
        <v>86</v>
      </c>
    </row>
    <row r="9" spans="1:20" x14ac:dyDescent="0.2">
      <c r="B9" s="28">
        <v>3</v>
      </c>
      <c r="C9" s="28">
        <v>0.27913166700000003</v>
      </c>
      <c r="D9" s="28">
        <v>5.7182913000000002E-2</v>
      </c>
      <c r="G9" s="38">
        <v>18</v>
      </c>
      <c r="H9" s="28">
        <v>0.35249999999999998</v>
      </c>
      <c r="I9" s="28">
        <v>4.0892999999999999E-2</v>
      </c>
      <c r="K9" s="62" t="s">
        <v>212</v>
      </c>
      <c r="L9" s="68">
        <f>P9*0.5</f>
        <v>98</v>
      </c>
      <c r="M9" s="70">
        <f>P9*0.75</f>
        <v>147</v>
      </c>
      <c r="N9" s="72">
        <f>P9*0.9</f>
        <v>176.4</v>
      </c>
      <c r="O9" s="74">
        <f>P9*0.95</f>
        <v>186.2</v>
      </c>
      <c r="P9" s="63">
        <v>196</v>
      </c>
      <c r="Q9" s="64">
        <f>P9*1.05</f>
        <v>205.8</v>
      </c>
      <c r="R9" s="76">
        <f>P9*1.25</f>
        <v>245</v>
      </c>
      <c r="S9" s="78"/>
      <c r="T9" s="56" t="s">
        <v>91</v>
      </c>
    </row>
    <row r="10" spans="1:20" x14ac:dyDescent="0.2">
      <c r="B10" s="28">
        <v>4</v>
      </c>
      <c r="C10" s="28">
        <v>0.21734875000000001</v>
      </c>
      <c r="D10" s="28">
        <v>4.6264855000000001E-2</v>
      </c>
      <c r="G10" s="297"/>
      <c r="H10" s="297"/>
      <c r="I10" s="297"/>
      <c r="K10" s="62" t="s">
        <v>214</v>
      </c>
      <c r="L10" s="68">
        <f>P10*0.5</f>
        <v>1034.5</v>
      </c>
      <c r="M10" s="70">
        <f>P10*0.75</f>
        <v>1551.75</v>
      </c>
      <c r="N10" s="72">
        <f>P10*0.9</f>
        <v>1862.1000000000001</v>
      </c>
      <c r="O10" s="74">
        <f>P10*0.95</f>
        <v>1965.55</v>
      </c>
      <c r="P10" s="63">
        <v>2069</v>
      </c>
      <c r="Q10" s="64">
        <f>P10*1.05</f>
        <v>2172.4500000000003</v>
      </c>
      <c r="R10" s="76">
        <f>P10*1.25</f>
        <v>2586.25</v>
      </c>
      <c r="S10" s="78"/>
      <c r="T10" s="56" t="s">
        <v>91</v>
      </c>
    </row>
    <row r="11" spans="1:20" x14ac:dyDescent="0.2">
      <c r="B11" s="28">
        <v>5</v>
      </c>
      <c r="C11" s="28">
        <v>0.18027899999999999</v>
      </c>
      <c r="D11" s="28">
        <v>3.9816419999999998E-2</v>
      </c>
      <c r="G11" s="38"/>
      <c r="H11" s="28"/>
      <c r="I11" s="28"/>
      <c r="K11" s="62" t="s">
        <v>215</v>
      </c>
      <c r="L11" s="68">
        <f t="shared" ref="L11:N11" si="4">L9+L10</f>
        <v>1132.5</v>
      </c>
      <c r="M11" s="70">
        <f t="shared" si="4"/>
        <v>1698.75</v>
      </c>
      <c r="N11" s="72">
        <f t="shared" si="4"/>
        <v>2038.5000000000002</v>
      </c>
      <c r="O11" s="74">
        <f>O9+O10</f>
        <v>2151.75</v>
      </c>
      <c r="P11" s="63">
        <f>P9+P10</f>
        <v>2265</v>
      </c>
      <c r="Q11" s="64">
        <f t="shared" ref="Q11:R11" si="5">Q9+Q10</f>
        <v>2378.2500000000005</v>
      </c>
      <c r="R11" s="76">
        <f t="shared" si="5"/>
        <v>2831.25</v>
      </c>
      <c r="S11" s="78"/>
      <c r="T11" s="56" t="s">
        <v>91</v>
      </c>
    </row>
    <row r="12" spans="1:20" x14ac:dyDescent="0.2">
      <c r="B12" s="297" t="s">
        <v>216</v>
      </c>
      <c r="C12" s="297"/>
      <c r="D12" s="297"/>
      <c r="G12" s="38"/>
      <c r="H12" s="28"/>
      <c r="I12" s="28"/>
      <c r="K12" s="62" t="s">
        <v>217</v>
      </c>
      <c r="L12" s="68">
        <f>P12*0.5</f>
        <v>882</v>
      </c>
      <c r="M12" s="70">
        <f>P12*0.84</f>
        <v>1481.76</v>
      </c>
      <c r="N12" s="72">
        <f>P12*0.91</f>
        <v>1605.24</v>
      </c>
      <c r="O12" s="74">
        <f>P12*0.95</f>
        <v>1675.8</v>
      </c>
      <c r="P12" s="63">
        <v>1764</v>
      </c>
      <c r="Q12" s="64">
        <f>P12*1.05</f>
        <v>1852.2</v>
      </c>
      <c r="R12" s="76">
        <f>P12*1.16</f>
        <v>2046.2399999999998</v>
      </c>
      <c r="S12" s="78"/>
      <c r="T12" s="56" t="s">
        <v>91</v>
      </c>
    </row>
    <row r="13" spans="1:20" ht="16" thickBot="1" x14ac:dyDescent="0.25">
      <c r="B13" s="28">
        <v>1</v>
      </c>
      <c r="C13" s="28">
        <v>0.41984300000000002</v>
      </c>
      <c r="D13" s="28">
        <v>0.102524</v>
      </c>
      <c r="G13" s="38"/>
      <c r="H13" s="28"/>
      <c r="I13" s="28"/>
      <c r="K13" s="89" t="s">
        <v>218</v>
      </c>
      <c r="L13" s="90">
        <f t="shared" ref="L13:O13" si="6">L12+L11</f>
        <v>2014.5</v>
      </c>
      <c r="M13" s="91">
        <f t="shared" si="6"/>
        <v>3180.51</v>
      </c>
      <c r="N13" s="92">
        <f t="shared" si="6"/>
        <v>3643.7400000000002</v>
      </c>
      <c r="O13" s="93">
        <f t="shared" si="6"/>
        <v>3827.55</v>
      </c>
      <c r="P13" s="94">
        <f>P12+P11</f>
        <v>4029</v>
      </c>
      <c r="Q13" s="95">
        <f t="shared" ref="Q13:R13" si="7">Q12+Q11</f>
        <v>4230.4500000000007</v>
      </c>
      <c r="R13" s="96">
        <f t="shared" si="7"/>
        <v>4877.49</v>
      </c>
      <c r="S13" s="97"/>
      <c r="T13" s="98" t="s">
        <v>91</v>
      </c>
    </row>
    <row r="14" spans="1:20" x14ac:dyDescent="0.2">
      <c r="B14" s="28">
        <v>2</v>
      </c>
      <c r="C14" s="28">
        <v>0.2259215</v>
      </c>
      <c r="D14" s="28">
        <v>2.4969748E-2</v>
      </c>
      <c r="G14" s="297"/>
      <c r="H14" s="297"/>
      <c r="I14" s="297"/>
      <c r="L14" s="59"/>
      <c r="M14" s="59"/>
      <c r="N14" s="59"/>
      <c r="O14" s="59"/>
      <c r="P14" s="59"/>
      <c r="Q14" s="59"/>
      <c r="R14" s="59"/>
      <c r="S14" s="59"/>
    </row>
    <row r="15" spans="1:20" x14ac:dyDescent="0.2">
      <c r="B15" s="298" t="s">
        <v>220</v>
      </c>
      <c r="C15" s="299"/>
      <c r="D15" s="299"/>
      <c r="G15" s="38"/>
      <c r="H15" s="28"/>
      <c r="I15" s="28"/>
      <c r="K15" t="s">
        <v>221</v>
      </c>
      <c r="L15" s="60">
        <v>-0.5</v>
      </c>
      <c r="M15" s="60">
        <v>-0.25</v>
      </c>
      <c r="N15" s="60">
        <v>-0.1</v>
      </c>
      <c r="O15" s="60">
        <v>-0.05</v>
      </c>
      <c r="P15" t="s">
        <v>222</v>
      </c>
      <c r="Q15" s="60">
        <v>0.05</v>
      </c>
      <c r="R15" s="60">
        <v>0.25</v>
      </c>
      <c r="S15" s="60"/>
    </row>
    <row r="16" spans="1:20" x14ac:dyDescent="0.2">
      <c r="B16" s="28">
        <v>1</v>
      </c>
      <c r="C16" s="39">
        <v>0.33960000000000001</v>
      </c>
      <c r="D16" s="39">
        <v>3.9399999999999998E-2</v>
      </c>
      <c r="G16" s="38"/>
      <c r="H16" s="28"/>
      <c r="I16" s="28"/>
      <c r="K16" t="s">
        <v>223</v>
      </c>
      <c r="L16" s="60">
        <v>-0.5</v>
      </c>
      <c r="M16" s="60">
        <v>-0.16</v>
      </c>
      <c r="N16" s="60">
        <v>-0.09</v>
      </c>
      <c r="O16" s="60">
        <v>-0.05</v>
      </c>
      <c r="P16" t="s">
        <v>222</v>
      </c>
      <c r="Q16" s="60">
        <v>0.05</v>
      </c>
      <c r="R16" s="60">
        <v>0.16</v>
      </c>
      <c r="S16" s="60"/>
    </row>
    <row r="17" spans="2:9" x14ac:dyDescent="0.2">
      <c r="B17" s="28">
        <v>2</v>
      </c>
      <c r="C17" s="39">
        <v>0.17280000000000001</v>
      </c>
      <c r="D17" s="39">
        <v>7.1000000000000004E-3</v>
      </c>
      <c r="G17" s="38"/>
      <c r="H17" s="28"/>
      <c r="I17" s="28"/>
    </row>
    <row r="18" spans="2:9" x14ac:dyDescent="0.2">
      <c r="B18" s="28">
        <v>3</v>
      </c>
      <c r="C18" s="39">
        <v>0.1172</v>
      </c>
      <c r="D18" s="39">
        <v>5.1000000000000004E-3</v>
      </c>
      <c r="G18" s="297" t="s">
        <v>224</v>
      </c>
      <c r="H18" s="297"/>
      <c r="I18" s="297"/>
    </row>
    <row r="19" spans="2:9" x14ac:dyDescent="0.2">
      <c r="B19" s="28">
        <v>4</v>
      </c>
      <c r="C19" s="39">
        <v>8.9399999999999993E-2</v>
      </c>
      <c r="D19" s="39">
        <v>4.0000000000000001E-3</v>
      </c>
      <c r="G19" s="38">
        <v>3</v>
      </c>
      <c r="H19" s="28">
        <v>1.8647</v>
      </c>
      <c r="I19" s="28">
        <v>0.45052500000000001</v>
      </c>
    </row>
    <row r="20" spans="2:9" x14ac:dyDescent="0.2">
      <c r="B20" s="28">
        <v>5</v>
      </c>
      <c r="C20" s="39">
        <v>7.2700000000000001E-2</v>
      </c>
      <c r="D20" s="39">
        <v>3.3999999999999998E-3</v>
      </c>
      <c r="G20" s="38">
        <v>10</v>
      </c>
      <c r="H20" s="28">
        <v>0.59299999999999997</v>
      </c>
      <c r="I20" s="28">
        <v>1.1779299999999999E-2</v>
      </c>
    </row>
    <row r="21" spans="2:9" ht="14.5" customHeight="1" x14ac:dyDescent="0.2">
      <c r="B21" s="298" t="s">
        <v>225</v>
      </c>
      <c r="C21" s="299"/>
      <c r="D21" s="299"/>
      <c r="G21" s="38">
        <v>18</v>
      </c>
      <c r="H21" s="28">
        <v>0.35249999999999998</v>
      </c>
      <c r="I21" s="28">
        <v>8.5176600000000005E-2</v>
      </c>
    </row>
    <row r="22" spans="2:9" x14ac:dyDescent="0.2">
      <c r="B22" s="28">
        <v>1</v>
      </c>
      <c r="C22" s="39">
        <v>0.67220000000000002</v>
      </c>
      <c r="D22" s="39">
        <v>0.1211</v>
      </c>
      <c r="G22" s="297" t="s">
        <v>226</v>
      </c>
      <c r="H22" s="297"/>
      <c r="I22" s="297"/>
    </row>
    <row r="23" spans="2:9" x14ac:dyDescent="0.2">
      <c r="B23" s="28">
        <v>2</v>
      </c>
      <c r="C23" s="39">
        <v>0.34460000000000002</v>
      </c>
      <c r="D23" s="39">
        <v>4.1700000000000001E-2</v>
      </c>
      <c r="G23" s="38">
        <v>3</v>
      </c>
      <c r="H23" s="28">
        <v>1.8647</v>
      </c>
      <c r="I23" s="28">
        <v>0.42969000000000002</v>
      </c>
    </row>
    <row r="24" spans="2:9" ht="14.5" customHeight="1" x14ac:dyDescent="0.2">
      <c r="B24" s="28">
        <v>3</v>
      </c>
      <c r="C24" s="39">
        <v>0.2354</v>
      </c>
      <c r="D24" s="39">
        <v>2.8500000000000001E-2</v>
      </c>
      <c r="G24" s="38">
        <v>10</v>
      </c>
      <c r="H24" s="28">
        <v>0.59299999999999997</v>
      </c>
      <c r="I24" s="28">
        <v>0.13664000000000001</v>
      </c>
    </row>
    <row r="25" spans="2:9" ht="15" customHeight="1" x14ac:dyDescent="0.2">
      <c r="B25" s="28">
        <v>4</v>
      </c>
      <c r="C25" s="39">
        <v>0.18079999999999999</v>
      </c>
      <c r="D25" s="39">
        <v>2.1899999999999999E-2</v>
      </c>
      <c r="G25" s="38">
        <v>18</v>
      </c>
      <c r="H25" s="28">
        <v>0.35249999999999998</v>
      </c>
      <c r="I25" s="28">
        <v>8.1240000000000007E-2</v>
      </c>
    </row>
    <row r="26" spans="2:9" x14ac:dyDescent="0.2">
      <c r="B26" s="28">
        <v>5</v>
      </c>
      <c r="C26" s="39">
        <v>0.14799999999999999</v>
      </c>
      <c r="D26" s="39">
        <v>1.7899999999999999E-2</v>
      </c>
    </row>
    <row r="27" spans="2:9" x14ac:dyDescent="0.2">
      <c r="B27" s="298" t="s">
        <v>227</v>
      </c>
      <c r="C27" s="299"/>
      <c r="D27" s="299"/>
    </row>
    <row r="28" spans="2:9" x14ac:dyDescent="0.2">
      <c r="B28" s="28">
        <v>1</v>
      </c>
      <c r="C28" s="39">
        <v>0.13739999999999999</v>
      </c>
      <c r="D28" s="39">
        <v>1.5900000000000001E-2</v>
      </c>
    </row>
    <row r="29" spans="2:9" x14ac:dyDescent="0.2">
      <c r="B29" s="28">
        <v>2</v>
      </c>
      <c r="C29" s="39">
        <v>6.8699999999999997E-2</v>
      </c>
      <c r="D29" s="39">
        <v>1.1999999999999999E-3</v>
      </c>
    </row>
    <row r="30" spans="2:9" x14ac:dyDescent="0.2">
      <c r="B30" s="298" t="s">
        <v>228</v>
      </c>
      <c r="C30" s="299"/>
      <c r="D30" s="299"/>
    </row>
    <row r="31" spans="2:9" x14ac:dyDescent="0.2">
      <c r="B31" s="28">
        <v>1</v>
      </c>
      <c r="C31" s="39">
        <v>1.23E-2</v>
      </c>
      <c r="D31" s="39">
        <v>1.4E-3</v>
      </c>
    </row>
    <row r="32" spans="2:9" x14ac:dyDescent="0.2">
      <c r="B32" s="298" t="s">
        <v>229</v>
      </c>
      <c r="C32" s="299"/>
      <c r="D32" s="299"/>
      <c r="G32" s="5"/>
      <c r="H32" s="5"/>
      <c r="I32" s="5"/>
    </row>
    <row r="33" spans="2:10" x14ac:dyDescent="0.2">
      <c r="B33" s="28">
        <v>1</v>
      </c>
      <c r="C33" s="39">
        <v>2.6800000000000001E-2</v>
      </c>
      <c r="D33" s="39">
        <v>3.0999999999999999E-3</v>
      </c>
    </row>
    <row r="34" spans="2:10" x14ac:dyDescent="0.2">
      <c r="B34" s="298" t="s">
        <v>230</v>
      </c>
      <c r="C34" s="299"/>
      <c r="D34" s="299"/>
    </row>
    <row r="35" spans="2:10" x14ac:dyDescent="0.2">
      <c r="B35" s="38">
        <v>23</v>
      </c>
      <c r="C35" s="39">
        <v>0.17315800000000001</v>
      </c>
      <c r="D35" s="39">
        <v>2.0086E-2</v>
      </c>
    </row>
    <row r="36" spans="2:10" x14ac:dyDescent="0.2">
      <c r="B36" s="38">
        <v>74</v>
      </c>
      <c r="C36" s="39">
        <v>5.5059999999999998E-2</v>
      </c>
      <c r="D36" s="39">
        <v>6.3874800000000001E-3</v>
      </c>
      <c r="E36" s="5"/>
      <c r="F36" s="5"/>
      <c r="J36" s="5"/>
    </row>
    <row r="37" spans="2:10" x14ac:dyDescent="0.2">
      <c r="B37" s="38">
        <v>124</v>
      </c>
      <c r="C37" s="39">
        <v>3.2737500000000002E-3</v>
      </c>
      <c r="D37" s="39">
        <v>3.7975510000000001E-3</v>
      </c>
    </row>
    <row r="38" spans="2:10" x14ac:dyDescent="0.2">
      <c r="B38" s="298" t="s">
        <v>231</v>
      </c>
      <c r="C38" s="299"/>
      <c r="D38" s="299"/>
    </row>
    <row r="39" spans="2:10" x14ac:dyDescent="0.2">
      <c r="B39" s="38">
        <v>38</v>
      </c>
      <c r="C39" s="39">
        <v>0.31933</v>
      </c>
      <c r="D39" s="39">
        <v>3.7039999999999997E-2</v>
      </c>
    </row>
    <row r="40" spans="2:10" x14ac:dyDescent="0.2">
      <c r="B40" s="38">
        <v>121</v>
      </c>
      <c r="C40" s="39">
        <v>0.10155</v>
      </c>
      <c r="D40" s="39">
        <v>1.1779E-2</v>
      </c>
    </row>
    <row r="41" spans="2:10" x14ac:dyDescent="0.2">
      <c r="B41" s="38">
        <v>203</v>
      </c>
      <c r="C41" s="39">
        <v>6.037E-2</v>
      </c>
      <c r="D41" s="39">
        <v>7.0029999999999997E-3</v>
      </c>
    </row>
    <row r="42" spans="2:10" x14ac:dyDescent="0.2">
      <c r="B42" s="298" t="s">
        <v>233</v>
      </c>
      <c r="C42" s="299"/>
      <c r="D42" s="299"/>
    </row>
    <row r="43" spans="2:10" x14ac:dyDescent="0.2">
      <c r="B43" s="38">
        <v>38</v>
      </c>
      <c r="C43" s="39">
        <v>0.48095900000000003</v>
      </c>
      <c r="D43" s="39">
        <v>0.128</v>
      </c>
    </row>
    <row r="44" spans="2:10" x14ac:dyDescent="0.2">
      <c r="B44" s="38">
        <v>121</v>
      </c>
      <c r="C44" s="39">
        <v>0.152945</v>
      </c>
      <c r="D44" s="39">
        <v>4.0766999999999998E-2</v>
      </c>
    </row>
    <row r="45" spans="2:10" x14ac:dyDescent="0.2">
      <c r="B45" s="38">
        <v>203</v>
      </c>
      <c r="C45" s="39">
        <v>9.0929999999999997E-2</v>
      </c>
      <c r="D45" s="39">
        <v>2.4237000000000002E-2</v>
      </c>
    </row>
    <row r="46" spans="2:10" x14ac:dyDescent="0.2">
      <c r="B46" s="304" t="s">
        <v>234</v>
      </c>
      <c r="C46" s="304"/>
      <c r="D46" s="304"/>
    </row>
    <row r="47" spans="2:10" ht="14.5" customHeight="1" x14ac:dyDescent="0.2">
      <c r="B47" s="21"/>
      <c r="C47" s="120" t="s">
        <v>250</v>
      </c>
      <c r="D47" s="121" t="s">
        <v>251</v>
      </c>
    </row>
    <row r="48" spans="2:10" ht="14.5" customHeight="1" x14ac:dyDescent="0.2">
      <c r="B48" s="301" t="s">
        <v>247</v>
      </c>
      <c r="C48" s="301"/>
      <c r="D48" s="301"/>
    </row>
    <row r="49" spans="2:4" x14ac:dyDescent="0.2">
      <c r="C49">
        <v>1.4990614624742182</v>
      </c>
      <c r="D49">
        <v>0.38836226542640928</v>
      </c>
    </row>
    <row r="50" spans="2:4" x14ac:dyDescent="0.2">
      <c r="B50" s="302" t="s">
        <v>248</v>
      </c>
      <c r="C50" s="303"/>
      <c r="D50" s="303"/>
    </row>
    <row r="51" spans="2:4" ht="23.5" customHeight="1" x14ac:dyDescent="0.2">
      <c r="C51">
        <v>0.35820269195594173</v>
      </c>
      <c r="D51">
        <v>0.11199146177209177</v>
      </c>
    </row>
    <row r="52" spans="2:4" ht="19.25" customHeight="1" x14ac:dyDescent="0.2">
      <c r="B52" s="301" t="s">
        <v>249</v>
      </c>
      <c r="C52" s="301"/>
      <c r="D52" s="301"/>
    </row>
    <row r="53" spans="2:4" x14ac:dyDescent="0.2">
      <c r="C53">
        <v>0.2560506314257221</v>
      </c>
      <c r="D53">
        <v>8.0053793969143985E-2</v>
      </c>
    </row>
  </sheetData>
  <mergeCells count="27">
    <mergeCell ref="B48:D48"/>
    <mergeCell ref="B32:D32"/>
    <mergeCell ref="B34:D34"/>
    <mergeCell ref="B38:D38"/>
    <mergeCell ref="B42:D42"/>
    <mergeCell ref="B46:D46"/>
    <mergeCell ref="G18:I18"/>
    <mergeCell ref="B21:D21"/>
    <mergeCell ref="G22:I22"/>
    <mergeCell ref="B27:D27"/>
    <mergeCell ref="B30:D30"/>
    <mergeCell ref="B50:D50"/>
    <mergeCell ref="B52:D52"/>
    <mergeCell ref="B3:D3"/>
    <mergeCell ref="G3:I3"/>
    <mergeCell ref="B4:B5"/>
    <mergeCell ref="C4:C5"/>
    <mergeCell ref="D4:D5"/>
    <mergeCell ref="G4:G5"/>
    <mergeCell ref="H4:H5"/>
    <mergeCell ref="I4:I5"/>
    <mergeCell ref="B6:D6"/>
    <mergeCell ref="G6:I6"/>
    <mergeCell ref="G10:I10"/>
    <mergeCell ref="B12:D12"/>
    <mergeCell ref="G14:I14"/>
    <mergeCell ref="B15:D1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FFD6C-46C8-4FD5-8EAF-E404F6CD5624}">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99</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369</v>
      </c>
      <c r="M4" s="70">
        <f>P4*0.75</f>
        <v>553.5</v>
      </c>
      <c r="N4" s="72">
        <f>P4*0.9</f>
        <v>664.2</v>
      </c>
      <c r="O4" s="74">
        <f>P4*0.95</f>
        <v>701.1</v>
      </c>
      <c r="P4" s="63">
        <v>738</v>
      </c>
      <c r="Q4" s="64">
        <f>P4*1.05</f>
        <v>774.9</v>
      </c>
      <c r="R4" s="76">
        <f>P4*1.25</f>
        <v>922.5</v>
      </c>
      <c r="S4" s="78" t="s">
        <v>206</v>
      </c>
      <c r="T4" s="56" t="s">
        <v>86</v>
      </c>
    </row>
    <row r="5" spans="1:20" ht="16" thickBot="1" x14ac:dyDescent="0.25">
      <c r="B5" s="289"/>
      <c r="C5" s="291"/>
      <c r="D5" s="293"/>
      <c r="E5" s="3"/>
      <c r="F5" s="4"/>
      <c r="G5" s="291"/>
      <c r="H5" s="291"/>
      <c r="I5" s="291"/>
      <c r="K5" s="62" t="s">
        <v>87</v>
      </c>
      <c r="L5" s="68">
        <f>P5*0.5</f>
        <v>3426</v>
      </c>
      <c r="M5" s="70">
        <f>P5*0.75</f>
        <v>5139</v>
      </c>
      <c r="N5" s="72">
        <f>P5*0.9</f>
        <v>6166.8</v>
      </c>
      <c r="O5" s="74">
        <f>P5*0.95</f>
        <v>6509.4</v>
      </c>
      <c r="P5" s="63">
        <v>6852</v>
      </c>
      <c r="Q5" s="64">
        <f>P5*1.05</f>
        <v>7194.6</v>
      </c>
      <c r="R5" s="76">
        <f>P5*1.25</f>
        <v>8565</v>
      </c>
      <c r="S5" s="78"/>
      <c r="T5" s="56" t="s">
        <v>86</v>
      </c>
    </row>
    <row r="6" spans="1:20" x14ac:dyDescent="0.2">
      <c r="B6" s="294" t="s">
        <v>207</v>
      </c>
      <c r="C6" s="295"/>
      <c r="D6" s="296"/>
      <c r="G6" s="297" t="s">
        <v>208</v>
      </c>
      <c r="H6" s="297"/>
      <c r="I6" s="297"/>
      <c r="K6" s="62" t="s">
        <v>209</v>
      </c>
      <c r="L6" s="68">
        <f t="shared" ref="L6:N6" si="0">L4+L5</f>
        <v>3795</v>
      </c>
      <c r="M6" s="70">
        <f t="shared" si="0"/>
        <v>5692.5</v>
      </c>
      <c r="N6" s="72">
        <f t="shared" si="0"/>
        <v>6831</v>
      </c>
      <c r="O6" s="74">
        <f>O4+O5</f>
        <v>7210.5</v>
      </c>
      <c r="P6" s="63">
        <f>P5+P4</f>
        <v>7590</v>
      </c>
      <c r="Q6" s="64">
        <f t="shared" ref="Q6:R6" si="1">Q4+Q5</f>
        <v>7969.5</v>
      </c>
      <c r="R6" s="76">
        <f t="shared" si="1"/>
        <v>9487.5</v>
      </c>
      <c r="S6" s="78"/>
      <c r="T6" s="56" t="s">
        <v>86</v>
      </c>
    </row>
    <row r="7" spans="1:20" x14ac:dyDescent="0.2">
      <c r="B7" s="28">
        <v>1</v>
      </c>
      <c r="C7" s="39">
        <v>0.8077618158032166</v>
      </c>
      <c r="D7" s="39">
        <v>207.17703601807474</v>
      </c>
      <c r="G7" s="38"/>
      <c r="H7" s="28"/>
      <c r="I7" s="28"/>
      <c r="K7" s="62" t="s">
        <v>210</v>
      </c>
      <c r="L7" s="68">
        <f>P7*0.5</f>
        <v>2621.5</v>
      </c>
      <c r="M7" s="70">
        <f>P7*0.84</f>
        <v>4404.12</v>
      </c>
      <c r="N7" s="72">
        <f>P7*0.91</f>
        <v>4771.13</v>
      </c>
      <c r="O7" s="74">
        <f>P7*0.95</f>
        <v>4980.8499999999995</v>
      </c>
      <c r="P7" s="63">
        <v>5243</v>
      </c>
      <c r="Q7" s="64">
        <f>P7*1.05</f>
        <v>5505.1500000000005</v>
      </c>
      <c r="R7" s="76">
        <f>P7*1.16</f>
        <v>6081.8799999999992</v>
      </c>
      <c r="S7" s="78"/>
      <c r="T7" s="56" t="s">
        <v>86</v>
      </c>
    </row>
    <row r="8" spans="1:20" x14ac:dyDescent="0.2">
      <c r="B8" s="28">
        <v>2</v>
      </c>
      <c r="C8" s="39">
        <v>0.41988090790160831</v>
      </c>
      <c r="D8" s="39">
        <v>90.348729242846304</v>
      </c>
      <c r="G8" s="38"/>
      <c r="H8" s="28"/>
      <c r="I8" s="28"/>
      <c r="K8" s="79" t="s">
        <v>211</v>
      </c>
      <c r="L8" s="80">
        <f t="shared" ref="L8:O8" si="2">L7+L6</f>
        <v>6416.5</v>
      </c>
      <c r="M8" s="81">
        <f t="shared" si="2"/>
        <v>10096.619999999999</v>
      </c>
      <c r="N8" s="82">
        <f t="shared" si="2"/>
        <v>11602.130000000001</v>
      </c>
      <c r="O8" s="83">
        <f t="shared" si="2"/>
        <v>12191.349999999999</v>
      </c>
      <c r="P8" s="84">
        <f>P7+P6</f>
        <v>12833</v>
      </c>
      <c r="Q8" s="85">
        <f t="shared" ref="Q8:R8" si="3">Q7+Q6</f>
        <v>13474.650000000001</v>
      </c>
      <c r="R8" s="86">
        <f t="shared" si="3"/>
        <v>15569.38</v>
      </c>
      <c r="S8" s="87"/>
      <c r="T8" s="88" t="s">
        <v>86</v>
      </c>
    </row>
    <row r="9" spans="1:20" x14ac:dyDescent="0.2">
      <c r="B9" s="28">
        <v>3</v>
      </c>
      <c r="C9" s="39">
        <v>0.29058727193440553</v>
      </c>
      <c r="D9" s="39">
        <v>64.852406054898907</v>
      </c>
      <c r="G9" s="38"/>
      <c r="H9" s="28"/>
      <c r="I9" s="28"/>
      <c r="K9" s="62" t="s">
        <v>212</v>
      </c>
      <c r="L9" s="68">
        <f>P9*0.5</f>
        <v>348</v>
      </c>
      <c r="M9" s="70">
        <f>P9*0.75</f>
        <v>522</v>
      </c>
      <c r="N9" s="72">
        <f>P9*0.9</f>
        <v>626.4</v>
      </c>
      <c r="O9" s="74">
        <f>P9*0.95</f>
        <v>661.19999999999993</v>
      </c>
      <c r="P9" s="63">
        <v>696</v>
      </c>
      <c r="Q9" s="64">
        <f>P9*1.05</f>
        <v>730.80000000000007</v>
      </c>
      <c r="R9" s="76">
        <f>P9*1.25</f>
        <v>870</v>
      </c>
      <c r="S9" s="78"/>
      <c r="T9" s="56" t="s">
        <v>91</v>
      </c>
    </row>
    <row r="10" spans="1:20" x14ac:dyDescent="0.2">
      <c r="B10" s="28">
        <v>4</v>
      </c>
      <c r="C10" s="39">
        <v>0.22594045395080414</v>
      </c>
      <c r="D10" s="39">
        <v>52.232244460925209</v>
      </c>
      <c r="G10" s="297" t="s">
        <v>213</v>
      </c>
      <c r="H10" s="297"/>
      <c r="I10" s="297"/>
      <c r="K10" s="62" t="s">
        <v>214</v>
      </c>
      <c r="L10" s="68">
        <f>P10*0.5</f>
        <v>692</v>
      </c>
      <c r="M10" s="70">
        <f>P10*0.75</f>
        <v>1038</v>
      </c>
      <c r="N10" s="72">
        <f>P10*0.9</f>
        <v>1245.6000000000001</v>
      </c>
      <c r="O10" s="74">
        <f>P10*0.95</f>
        <v>1314.8</v>
      </c>
      <c r="P10" s="63">
        <v>1384</v>
      </c>
      <c r="Q10" s="64">
        <f>P10*1.05</f>
        <v>1453.2</v>
      </c>
      <c r="R10" s="76">
        <f>P10*1.25</f>
        <v>1730</v>
      </c>
      <c r="S10" s="78"/>
      <c r="T10" s="56" t="s">
        <v>91</v>
      </c>
    </row>
    <row r="11" spans="1:20" x14ac:dyDescent="0.2">
      <c r="B11" s="28">
        <v>5</v>
      </c>
      <c r="C11" s="39">
        <v>0.18715236316064332</v>
      </c>
      <c r="D11" s="39">
        <v>44.76254750454099</v>
      </c>
      <c r="G11" s="38"/>
      <c r="H11" s="28"/>
      <c r="I11" s="28"/>
      <c r="K11" s="62" t="s">
        <v>215</v>
      </c>
      <c r="L11" s="68">
        <f t="shared" ref="L11:N11" si="4">L9+L10</f>
        <v>1040</v>
      </c>
      <c r="M11" s="70">
        <f t="shared" si="4"/>
        <v>1560</v>
      </c>
      <c r="N11" s="72">
        <f t="shared" si="4"/>
        <v>1872</v>
      </c>
      <c r="O11" s="74">
        <f>O9+O10</f>
        <v>1976</v>
      </c>
      <c r="P11" s="63">
        <f>P9+P10</f>
        <v>2080</v>
      </c>
      <c r="Q11" s="64">
        <f t="shared" ref="Q11:R11" si="5">Q9+Q10</f>
        <v>2184</v>
      </c>
      <c r="R11" s="76">
        <f t="shared" si="5"/>
        <v>2600</v>
      </c>
      <c r="S11" s="78"/>
      <c r="T11" s="56" t="s">
        <v>91</v>
      </c>
    </row>
    <row r="12" spans="1:20" x14ac:dyDescent="0.2">
      <c r="B12" s="298" t="s">
        <v>216</v>
      </c>
      <c r="C12" s="299"/>
      <c r="D12" s="300"/>
      <c r="G12" s="38"/>
      <c r="H12" s="28"/>
      <c r="I12" s="28"/>
      <c r="K12" s="62" t="s">
        <v>217</v>
      </c>
      <c r="L12" s="68">
        <f>P12*0.5</f>
        <v>671</v>
      </c>
      <c r="M12" s="70">
        <f>P12*0.84</f>
        <v>1127.28</v>
      </c>
      <c r="N12" s="72">
        <f>P12*0.91</f>
        <v>1221.22</v>
      </c>
      <c r="O12" s="74">
        <f>P12*0.95</f>
        <v>1274.8999999999999</v>
      </c>
      <c r="P12" s="63">
        <v>1342</v>
      </c>
      <c r="Q12" s="64">
        <f>P12*1.05</f>
        <v>1409.1000000000001</v>
      </c>
      <c r="R12" s="76">
        <f>P12*1.16</f>
        <v>1556.7199999999998</v>
      </c>
      <c r="S12" s="78"/>
      <c r="T12" s="56" t="s">
        <v>91</v>
      </c>
    </row>
    <row r="13" spans="1:20" ht="16" thickBot="1" x14ac:dyDescent="0.25">
      <c r="B13" s="28">
        <v>1</v>
      </c>
      <c r="C13" s="39">
        <v>0.4862755792141219</v>
      </c>
      <c r="D13" s="39">
        <v>124.72133643675153</v>
      </c>
      <c r="G13" s="38"/>
      <c r="H13" s="28"/>
      <c r="I13" s="28"/>
      <c r="K13" s="89" t="s">
        <v>218</v>
      </c>
      <c r="L13" s="90">
        <f t="shared" ref="L13:O13" si="6">L12+L11</f>
        <v>1711</v>
      </c>
      <c r="M13" s="91">
        <f t="shared" si="6"/>
        <v>2687.2799999999997</v>
      </c>
      <c r="N13" s="92">
        <f t="shared" si="6"/>
        <v>3093.2200000000003</v>
      </c>
      <c r="O13" s="93">
        <f t="shared" si="6"/>
        <v>3250.8999999999996</v>
      </c>
      <c r="P13" s="94">
        <f>P12+P11</f>
        <v>3422</v>
      </c>
      <c r="Q13" s="95">
        <f t="shared" ref="Q13:R13" si="7">Q12+Q11</f>
        <v>3593.1000000000004</v>
      </c>
      <c r="R13" s="96">
        <f t="shared" si="7"/>
        <v>4156.7199999999993</v>
      </c>
      <c r="S13" s="97"/>
      <c r="T13" s="98" t="s">
        <v>91</v>
      </c>
    </row>
    <row r="14" spans="1:20" x14ac:dyDescent="0.2">
      <c r="B14" s="28">
        <v>2</v>
      </c>
      <c r="C14" s="39">
        <v>0.25913778960706096</v>
      </c>
      <c r="D14" s="39">
        <v>34.393113757914875</v>
      </c>
      <c r="G14" s="297" t="s">
        <v>219</v>
      </c>
      <c r="H14" s="297"/>
      <c r="I14" s="297"/>
      <c r="L14" s="59"/>
      <c r="M14" s="59"/>
      <c r="N14" s="59"/>
      <c r="O14" s="59"/>
      <c r="P14" s="59"/>
      <c r="Q14" s="59"/>
      <c r="R14" s="59"/>
      <c r="S14" s="59"/>
    </row>
    <row r="15" spans="1:20" x14ac:dyDescent="0.2">
      <c r="B15" s="298" t="s">
        <v>220</v>
      </c>
      <c r="C15" s="299"/>
      <c r="D15" s="300"/>
      <c r="G15" s="38">
        <v>0.70505993722392746</v>
      </c>
      <c r="H15" s="28">
        <v>8.4849995950212946</v>
      </c>
      <c r="I15" s="28">
        <v>1.9345799076648553</v>
      </c>
      <c r="K15" t="s">
        <v>221</v>
      </c>
      <c r="L15" s="60">
        <v>-0.5</v>
      </c>
      <c r="M15" s="60">
        <v>-0.25</v>
      </c>
      <c r="N15" s="60">
        <v>-0.1</v>
      </c>
      <c r="O15" s="60">
        <v>-0.05</v>
      </c>
      <c r="P15" t="s">
        <v>222</v>
      </c>
      <c r="Q15" s="60">
        <v>0.05</v>
      </c>
      <c r="R15" s="60">
        <v>0.25</v>
      </c>
      <c r="S15" s="60"/>
    </row>
    <row r="16" spans="1:20" x14ac:dyDescent="0.2">
      <c r="B16" s="28">
        <v>1</v>
      </c>
      <c r="C16" s="39">
        <v>0.33754227360444</v>
      </c>
      <c r="D16" s="39">
        <v>225.81578104137037</v>
      </c>
      <c r="G16" s="38">
        <v>2.2171696139117216</v>
      </c>
      <c r="H16" s="28">
        <v>2.698229871216772</v>
      </c>
      <c r="I16" s="28">
        <v>0.61519641063742392</v>
      </c>
      <c r="K16" t="s">
        <v>223</v>
      </c>
      <c r="L16" s="60">
        <v>-0.5</v>
      </c>
      <c r="M16" s="60">
        <v>-0.16</v>
      </c>
      <c r="N16" s="60">
        <v>-0.09</v>
      </c>
      <c r="O16" s="60">
        <v>-0.05</v>
      </c>
      <c r="P16" t="s">
        <v>222</v>
      </c>
      <c r="Q16" s="60">
        <v>0.05</v>
      </c>
      <c r="R16" s="60">
        <v>0.16</v>
      </c>
      <c r="S16" s="60"/>
    </row>
    <row r="17" spans="2:9" x14ac:dyDescent="0.2">
      <c r="B17" s="28">
        <v>2</v>
      </c>
      <c r="C17" s="39">
        <v>0.17174613680222001</v>
      </c>
      <c r="D17" s="39">
        <v>39.119610450963705</v>
      </c>
      <c r="G17" s="38">
        <v>3.7292792905995156</v>
      </c>
      <c r="H17" s="28">
        <v>1.6041794715914222</v>
      </c>
      <c r="I17" s="28">
        <v>0.36575291952284422</v>
      </c>
    </row>
    <row r="18" spans="2:9" x14ac:dyDescent="0.2">
      <c r="B18" s="28">
        <v>3</v>
      </c>
      <c r="C18" s="39">
        <v>0.11648075786814667</v>
      </c>
      <c r="D18" s="39">
        <v>26.759797885129419</v>
      </c>
      <c r="G18" s="297" t="s">
        <v>224</v>
      </c>
      <c r="H18" s="297"/>
      <c r="I18" s="297"/>
    </row>
    <row r="19" spans="2:9" x14ac:dyDescent="0.2">
      <c r="B19" s="28">
        <v>4</v>
      </c>
      <c r="C19" s="39">
        <v>8.8848068401109995E-2</v>
      </c>
      <c r="D19" s="39">
        <v>20.585722602212279</v>
      </c>
      <c r="G19" s="38">
        <v>0.70505993722392746</v>
      </c>
      <c r="H19" s="28">
        <v>8.4849995950212946</v>
      </c>
      <c r="I19" s="28">
        <v>2.2616937871509899</v>
      </c>
    </row>
    <row r="20" spans="2:9" x14ac:dyDescent="0.2">
      <c r="B20" s="28">
        <v>5</v>
      </c>
      <c r="C20" s="39">
        <v>7.2268454720887998E-2</v>
      </c>
      <c r="D20" s="39">
        <v>16.885942232461993</v>
      </c>
      <c r="G20" s="38">
        <v>2.2171696139117216</v>
      </c>
      <c r="H20" s="28">
        <v>2.698229871216772</v>
      </c>
      <c r="I20" s="28">
        <v>0.71921862431401484</v>
      </c>
    </row>
    <row r="21" spans="2:9" x14ac:dyDescent="0.2">
      <c r="B21" s="298" t="s">
        <v>225</v>
      </c>
      <c r="C21" s="299"/>
      <c r="D21" s="299"/>
      <c r="G21" s="38">
        <v>3.7292792905995156</v>
      </c>
      <c r="H21" s="28">
        <v>1.6041794715914222</v>
      </c>
      <c r="I21" s="28">
        <v>0.42759727961594224</v>
      </c>
    </row>
    <row r="22" spans="2:9" x14ac:dyDescent="0.2">
      <c r="B22" s="28">
        <v>1</v>
      </c>
      <c r="C22" s="39">
        <v>0.44761936229959964</v>
      </c>
      <c r="D22" s="39">
        <v>207.13201696305484</v>
      </c>
      <c r="G22" s="297" t="s">
        <v>226</v>
      </c>
      <c r="H22" s="297"/>
      <c r="I22" s="297"/>
    </row>
    <row r="23" spans="2:9" x14ac:dyDescent="0.2">
      <c r="B23" s="28">
        <v>2</v>
      </c>
      <c r="C23" s="39">
        <v>0.23229718114979983</v>
      </c>
      <c r="D23" s="39">
        <v>48.126590580105677</v>
      </c>
      <c r="G23" s="38">
        <v>0.70505993722392746</v>
      </c>
      <c r="H23" s="28">
        <v>8.4849995950212946</v>
      </c>
      <c r="I23" s="28">
        <v>2.0895857188048796</v>
      </c>
    </row>
    <row r="24" spans="2:9" x14ac:dyDescent="0.2">
      <c r="B24" s="28">
        <v>3</v>
      </c>
      <c r="C24" s="39">
        <v>0.16052312076653322</v>
      </c>
      <c r="D24" s="39">
        <v>33.263860645196736</v>
      </c>
      <c r="G24" s="38">
        <v>2.2171696139117216</v>
      </c>
      <c r="H24" s="28">
        <v>2.698229871216772</v>
      </c>
      <c r="I24" s="28">
        <v>0.66448825857995175</v>
      </c>
    </row>
    <row r="25" spans="2:9" x14ac:dyDescent="0.2">
      <c r="B25" s="28">
        <v>4</v>
      </c>
      <c r="C25" s="39">
        <v>0.12463609057489991</v>
      </c>
      <c r="D25" s="39">
        <v>25.832875917742275</v>
      </c>
      <c r="G25" s="38">
        <v>3.7292792905995156</v>
      </c>
      <c r="H25" s="28">
        <v>1.6041794715914222</v>
      </c>
      <c r="I25" s="28">
        <v>0.39505841770508432</v>
      </c>
    </row>
    <row r="26" spans="2:9" x14ac:dyDescent="0.2">
      <c r="B26" s="28">
        <v>5</v>
      </c>
      <c r="C26" s="39">
        <v>0.10310387245991992</v>
      </c>
      <c r="D26" s="39">
        <v>21.374589273269596</v>
      </c>
    </row>
    <row r="27" spans="2:9" x14ac:dyDescent="0.2">
      <c r="B27" s="298" t="s">
        <v>227</v>
      </c>
      <c r="C27" s="299"/>
      <c r="D27" s="300"/>
    </row>
    <row r="28" spans="2:9" x14ac:dyDescent="0.2">
      <c r="B28" s="28">
        <v>1</v>
      </c>
      <c r="C28" s="39">
        <v>0.13658687350505247</v>
      </c>
      <c r="D28" s="39">
        <v>91.376618374880096</v>
      </c>
    </row>
    <row r="29" spans="2:9" x14ac:dyDescent="0.2">
      <c r="B29" s="28">
        <v>2</v>
      </c>
      <c r="C29" s="39">
        <v>6.8293436752526235E-2</v>
      </c>
      <c r="D29" s="39">
        <v>6.3742784436795512</v>
      </c>
    </row>
    <row r="30" spans="2:9" x14ac:dyDescent="0.2">
      <c r="B30" s="298" t="s">
        <v>228</v>
      </c>
      <c r="C30" s="299"/>
      <c r="D30" s="299"/>
    </row>
    <row r="31" spans="2:9" x14ac:dyDescent="0.2">
      <c r="B31" s="28">
        <v>1</v>
      </c>
      <c r="C31" s="39">
        <v>1.23E-2</v>
      </c>
      <c r="D31" s="39">
        <v>8.2055000000000007</v>
      </c>
    </row>
    <row r="32" spans="2:9" x14ac:dyDescent="0.2">
      <c r="B32" s="298" t="s">
        <v>229</v>
      </c>
      <c r="C32" s="299"/>
      <c r="D32" s="299"/>
    </row>
    <row r="33" spans="2:4" x14ac:dyDescent="0.2">
      <c r="B33" s="28">
        <v>1</v>
      </c>
      <c r="C33" s="39">
        <v>2.6591266321745129E-2</v>
      </c>
      <c r="D33" s="39">
        <v>17.789557169247491</v>
      </c>
    </row>
    <row r="34" spans="2:4" x14ac:dyDescent="0.2">
      <c r="B34" s="298" t="s">
        <v>230</v>
      </c>
      <c r="C34" s="299"/>
      <c r="D34" s="299"/>
    </row>
    <row r="35" spans="2:4" x14ac:dyDescent="0.2">
      <c r="B35" s="38">
        <v>22.675949367088606</v>
      </c>
      <c r="C35" s="28">
        <v>0.22103119939654781</v>
      </c>
      <c r="D35" s="28">
        <v>0.14786987239629051</v>
      </c>
    </row>
    <row r="36" spans="2:4" x14ac:dyDescent="0.2">
      <c r="B36" s="38">
        <v>71.308016877637129</v>
      </c>
      <c r="C36" s="28">
        <v>7.0287921408102208E-2</v>
      </c>
      <c r="D36" s="28">
        <v>4.7022619422020379E-2</v>
      </c>
    </row>
    <row r="37" spans="2:4" x14ac:dyDescent="0.2">
      <c r="B37" s="38">
        <v>119.94008438818564</v>
      </c>
      <c r="C37" s="28">
        <v>4.1788300480441264E-2</v>
      </c>
      <c r="D37" s="28">
        <v>2.795637302141521E-2</v>
      </c>
    </row>
    <row r="38" spans="2:4" x14ac:dyDescent="0.2">
      <c r="B38" s="297" t="s">
        <v>231</v>
      </c>
      <c r="C38" s="297"/>
      <c r="D38" s="297"/>
    </row>
    <row r="39" spans="2:4" x14ac:dyDescent="0.2">
      <c r="B39" s="38">
        <v>17.443037974683545</v>
      </c>
      <c r="C39" s="28">
        <v>0.88280816151430352</v>
      </c>
      <c r="D39" s="28">
        <v>0.59059866005306905</v>
      </c>
    </row>
    <row r="40" spans="2:4" x14ac:dyDescent="0.2">
      <c r="B40" s="38">
        <v>54.852320675105481</v>
      </c>
      <c r="C40" s="28">
        <v>0.28073299536154855</v>
      </c>
      <c r="D40" s="28">
        <v>0.18781037389687599</v>
      </c>
    </row>
    <row r="41" spans="2:4" x14ac:dyDescent="0.2">
      <c r="B41" s="38">
        <v>92.261603375527415</v>
      </c>
      <c r="C41" s="28">
        <v>0.16690427786061152</v>
      </c>
      <c r="D41" s="28">
        <v>0.1116589618887491</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17.443037974683545</v>
      </c>
      <c r="C47" s="28">
        <v>1.1528637794085284</v>
      </c>
      <c r="D47" s="28">
        <v>0.30753794179501903</v>
      </c>
    </row>
    <row r="48" spans="2:4" x14ac:dyDescent="0.2">
      <c r="B48" s="38">
        <v>54.852320675105481</v>
      </c>
      <c r="C48" s="28">
        <v>0.36661068185191203</v>
      </c>
      <c r="D48" s="28">
        <v>9.7797065490816057E-2</v>
      </c>
    </row>
    <row r="49" spans="2:4" x14ac:dyDescent="0.2">
      <c r="B49" s="38">
        <v>92.261603375527415</v>
      </c>
      <c r="C49" s="28">
        <v>0.21796116638044713</v>
      </c>
      <c r="D49" s="28">
        <v>5.8143320743648072E-2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0.24640156178548495</v>
      </c>
      <c r="D55">
        <v>6.3778580252554937E-2</v>
      </c>
    </row>
    <row r="56" spans="2:4" x14ac:dyDescent="0.2">
      <c r="B56" s="301" t="s">
        <v>249</v>
      </c>
      <c r="C56" s="301"/>
      <c r="D56" s="301"/>
    </row>
    <row r="57" spans="2:4" x14ac:dyDescent="0.2">
      <c r="C57">
        <v>0.24287067840969292</v>
      </c>
      <c r="D57">
        <v>6.2864646399564919E-2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8573F-B0E1-4B46-A7FE-448F35BFD48D}">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104</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274.5</v>
      </c>
      <c r="M4" s="70">
        <f>P4*0.75</f>
        <v>411.75</v>
      </c>
      <c r="N4" s="72">
        <f>P4*0.9</f>
        <v>494.1</v>
      </c>
      <c r="O4" s="74">
        <f>P4*0.95</f>
        <v>521.54999999999995</v>
      </c>
      <c r="P4" s="63">
        <v>549</v>
      </c>
      <c r="Q4" s="64">
        <f>P4*1.05</f>
        <v>576.45000000000005</v>
      </c>
      <c r="R4" s="76">
        <f>P4*1.25</f>
        <v>686.25</v>
      </c>
      <c r="S4" s="78" t="s">
        <v>206</v>
      </c>
      <c r="T4" s="56" t="s">
        <v>86</v>
      </c>
    </row>
    <row r="5" spans="1:20" ht="16" thickBot="1" x14ac:dyDescent="0.25">
      <c r="B5" s="289"/>
      <c r="C5" s="291"/>
      <c r="D5" s="293"/>
      <c r="E5" s="3"/>
      <c r="F5" s="4"/>
      <c r="G5" s="291"/>
      <c r="H5" s="291"/>
      <c r="I5" s="291"/>
      <c r="K5" s="62" t="s">
        <v>87</v>
      </c>
      <c r="L5" s="68">
        <f>P5*0.5</f>
        <v>2079.5</v>
      </c>
      <c r="M5" s="70">
        <f>P5*0.75</f>
        <v>3119.25</v>
      </c>
      <c r="N5" s="72">
        <f>P5*0.9</f>
        <v>3743.1</v>
      </c>
      <c r="O5" s="74">
        <f>P5*0.95</f>
        <v>3951.0499999999997</v>
      </c>
      <c r="P5" s="63">
        <v>4159</v>
      </c>
      <c r="Q5" s="64">
        <f>P5*1.05</f>
        <v>4366.95</v>
      </c>
      <c r="R5" s="76">
        <f>P5*1.25</f>
        <v>5198.75</v>
      </c>
      <c r="S5" s="78"/>
      <c r="T5" s="56" t="s">
        <v>86</v>
      </c>
    </row>
    <row r="6" spans="1:20" x14ac:dyDescent="0.2">
      <c r="B6" s="294" t="s">
        <v>207</v>
      </c>
      <c r="C6" s="295"/>
      <c r="D6" s="296"/>
      <c r="G6" s="297" t="s">
        <v>208</v>
      </c>
      <c r="H6" s="297"/>
      <c r="I6" s="297"/>
      <c r="K6" s="62" t="s">
        <v>209</v>
      </c>
      <c r="L6" s="68">
        <f t="shared" ref="L6:N6" si="0">L4+L5</f>
        <v>2354</v>
      </c>
      <c r="M6" s="70">
        <f t="shared" si="0"/>
        <v>3531</v>
      </c>
      <c r="N6" s="72">
        <f t="shared" si="0"/>
        <v>4237.2</v>
      </c>
      <c r="O6" s="74">
        <f>O4+O5</f>
        <v>4472.5999999999995</v>
      </c>
      <c r="P6" s="63">
        <f>P5+P4</f>
        <v>4708</v>
      </c>
      <c r="Q6" s="64">
        <f t="shared" ref="Q6:R6" si="1">Q4+Q5</f>
        <v>4943.3999999999996</v>
      </c>
      <c r="R6" s="76">
        <f t="shared" si="1"/>
        <v>5885</v>
      </c>
      <c r="S6" s="78"/>
      <c r="T6" s="56" t="s">
        <v>86</v>
      </c>
    </row>
    <row r="7" spans="1:20" x14ac:dyDescent="0.2">
      <c r="B7" s="28">
        <v>1</v>
      </c>
      <c r="C7" s="39">
        <v>0.67007018397024665</v>
      </c>
      <c r="D7" s="39">
        <v>167.1283161896354</v>
      </c>
      <c r="G7" s="38"/>
      <c r="H7" s="28"/>
      <c r="I7" s="28"/>
      <c r="K7" s="62" t="s">
        <v>210</v>
      </c>
      <c r="L7" s="68">
        <f>P7*0.5</f>
        <v>2254</v>
      </c>
      <c r="M7" s="70">
        <f>P7*0.84</f>
        <v>3786.72</v>
      </c>
      <c r="N7" s="72">
        <f>P7*0.91</f>
        <v>4102.28</v>
      </c>
      <c r="O7" s="74">
        <f>P7*0.95</f>
        <v>4282.5999999999995</v>
      </c>
      <c r="P7" s="63">
        <v>4508</v>
      </c>
      <c r="Q7" s="64">
        <f>P7*1.05</f>
        <v>4733.4000000000005</v>
      </c>
      <c r="R7" s="76">
        <f>P7*1.16</f>
        <v>5229.28</v>
      </c>
      <c r="S7" s="78"/>
      <c r="T7" s="56" t="s">
        <v>86</v>
      </c>
    </row>
    <row r="8" spans="1:20" x14ac:dyDescent="0.2">
      <c r="B8" s="28">
        <v>2</v>
      </c>
      <c r="C8" s="39">
        <v>0.35103509198512334</v>
      </c>
      <c r="D8" s="39">
        <v>61.476184582828424</v>
      </c>
      <c r="G8" s="38"/>
      <c r="H8" s="28"/>
      <c r="I8" s="28"/>
      <c r="K8" s="79" t="s">
        <v>211</v>
      </c>
      <c r="L8" s="80">
        <f t="shared" ref="L8:O8" si="2">L7+L6</f>
        <v>4608</v>
      </c>
      <c r="M8" s="81">
        <f t="shared" si="2"/>
        <v>7317.7199999999993</v>
      </c>
      <c r="N8" s="82">
        <f t="shared" si="2"/>
        <v>8339.48</v>
      </c>
      <c r="O8" s="83">
        <f t="shared" si="2"/>
        <v>8755.1999999999989</v>
      </c>
      <c r="P8" s="84">
        <f>P7+P6</f>
        <v>9216</v>
      </c>
      <c r="Q8" s="85">
        <f t="shared" ref="Q8:R8" si="3">Q7+Q6</f>
        <v>9676.7999999999993</v>
      </c>
      <c r="R8" s="86">
        <f t="shared" si="3"/>
        <v>11114.279999999999</v>
      </c>
      <c r="S8" s="87"/>
      <c r="T8" s="88" t="s">
        <v>86</v>
      </c>
    </row>
    <row r="9" spans="1:20" x14ac:dyDescent="0.2">
      <c r="B9" s="28">
        <v>3</v>
      </c>
      <c r="C9" s="39">
        <v>0.24469006132341553</v>
      </c>
      <c r="D9" s="39">
        <v>44.809678918495713</v>
      </c>
      <c r="G9" s="38"/>
      <c r="H9" s="28"/>
      <c r="I9" s="28"/>
      <c r="K9" s="62" t="s">
        <v>212</v>
      </c>
      <c r="L9" s="68">
        <f>P9*0.5</f>
        <v>203</v>
      </c>
      <c r="M9" s="70">
        <f>P9*0.75</f>
        <v>304.5</v>
      </c>
      <c r="N9" s="72">
        <f>P9*0.9</f>
        <v>365.40000000000003</v>
      </c>
      <c r="O9" s="74">
        <f>P9*0.95</f>
        <v>385.7</v>
      </c>
      <c r="P9" s="63">
        <v>406</v>
      </c>
      <c r="Q9" s="64">
        <f>P9*1.05</f>
        <v>426.3</v>
      </c>
      <c r="R9" s="76">
        <f>P9*1.25</f>
        <v>507.5</v>
      </c>
      <c r="S9" s="78"/>
      <c r="T9" s="56" t="s">
        <v>91</v>
      </c>
    </row>
    <row r="10" spans="1:20" x14ac:dyDescent="0.2">
      <c r="B10" s="28">
        <v>4</v>
      </c>
      <c r="C10" s="39">
        <v>0.19151754599256166</v>
      </c>
      <c r="D10" s="39">
        <v>36.604426086329362</v>
      </c>
      <c r="G10" s="297" t="s">
        <v>213</v>
      </c>
      <c r="H10" s="297"/>
      <c r="I10" s="297"/>
      <c r="K10" s="62" t="s">
        <v>214</v>
      </c>
      <c r="L10" s="68">
        <f>P10*0.5</f>
        <v>420</v>
      </c>
      <c r="M10" s="70">
        <f>P10*0.75</f>
        <v>630</v>
      </c>
      <c r="N10" s="72">
        <f>P10*0.9</f>
        <v>756</v>
      </c>
      <c r="O10" s="74">
        <f>P10*0.95</f>
        <v>798</v>
      </c>
      <c r="P10" s="63">
        <v>840</v>
      </c>
      <c r="Q10" s="64">
        <f>P10*1.05</f>
        <v>882</v>
      </c>
      <c r="R10" s="76">
        <f>P10*1.25</f>
        <v>1050</v>
      </c>
      <c r="S10" s="78"/>
      <c r="T10" s="56" t="s">
        <v>91</v>
      </c>
    </row>
    <row r="11" spans="1:20" x14ac:dyDescent="0.2">
      <c r="B11" s="28">
        <v>5</v>
      </c>
      <c r="C11" s="39">
        <v>0.15961403679404934</v>
      </c>
      <c r="D11" s="39">
        <v>31.783674387029556</v>
      </c>
      <c r="G11" s="38"/>
      <c r="H11" s="28"/>
      <c r="I11" s="28"/>
      <c r="K11" s="62" t="s">
        <v>215</v>
      </c>
      <c r="L11" s="68">
        <f t="shared" ref="L11:N11" si="4">L9+L10</f>
        <v>623</v>
      </c>
      <c r="M11" s="70">
        <f t="shared" si="4"/>
        <v>934.5</v>
      </c>
      <c r="N11" s="72">
        <f t="shared" si="4"/>
        <v>1121.4000000000001</v>
      </c>
      <c r="O11" s="74">
        <f>O9+O10</f>
        <v>1183.7</v>
      </c>
      <c r="P11" s="63">
        <f>P9+P10</f>
        <v>1246</v>
      </c>
      <c r="Q11" s="64">
        <f t="shared" ref="Q11:R11" si="5">Q9+Q10</f>
        <v>1308.3</v>
      </c>
      <c r="R11" s="76">
        <f t="shared" si="5"/>
        <v>1557.5</v>
      </c>
      <c r="S11" s="78"/>
      <c r="T11" s="56" t="s">
        <v>91</v>
      </c>
    </row>
    <row r="12" spans="1:20" x14ac:dyDescent="0.2">
      <c r="B12" s="298" t="s">
        <v>216</v>
      </c>
      <c r="C12" s="299"/>
      <c r="D12" s="300"/>
      <c r="G12" s="38"/>
      <c r="H12" s="28"/>
      <c r="I12" s="28"/>
      <c r="K12" s="62" t="s">
        <v>217</v>
      </c>
      <c r="L12" s="68">
        <f>P12*0.5</f>
        <v>559.5</v>
      </c>
      <c r="M12" s="70">
        <f>P12*0.84</f>
        <v>939.95999999999992</v>
      </c>
      <c r="N12" s="72">
        <f>P12*0.91</f>
        <v>1018.2900000000001</v>
      </c>
      <c r="O12" s="74">
        <f>P12*0.95</f>
        <v>1063.05</v>
      </c>
      <c r="P12" s="63">
        <v>1119</v>
      </c>
      <c r="Q12" s="64">
        <f>P12*1.05</f>
        <v>1174.95</v>
      </c>
      <c r="R12" s="76">
        <f>P12*1.16</f>
        <v>1298.04</v>
      </c>
      <c r="S12" s="78"/>
      <c r="T12" s="56" t="s">
        <v>91</v>
      </c>
    </row>
    <row r="13" spans="1:20" ht="16" thickBot="1" x14ac:dyDescent="0.25">
      <c r="B13" s="28">
        <v>1</v>
      </c>
      <c r="C13" s="39">
        <v>0.45367100741830063</v>
      </c>
      <c r="D13" s="39">
        <v>113.15422382268376</v>
      </c>
      <c r="G13" s="38"/>
      <c r="H13" s="28"/>
      <c r="I13" s="28"/>
      <c r="K13" s="89" t="s">
        <v>218</v>
      </c>
      <c r="L13" s="90">
        <f t="shared" ref="L13:O13" si="6">L12+L11</f>
        <v>1182.5</v>
      </c>
      <c r="M13" s="91">
        <f t="shared" si="6"/>
        <v>1874.46</v>
      </c>
      <c r="N13" s="92">
        <f t="shared" si="6"/>
        <v>2139.69</v>
      </c>
      <c r="O13" s="93">
        <f t="shared" si="6"/>
        <v>2246.75</v>
      </c>
      <c r="P13" s="94">
        <f>P12+P11</f>
        <v>2365</v>
      </c>
      <c r="Q13" s="95">
        <f t="shared" ref="Q13:R13" si="7">Q12+Q11</f>
        <v>2483.25</v>
      </c>
      <c r="R13" s="96">
        <f t="shared" si="7"/>
        <v>2855.54</v>
      </c>
      <c r="S13" s="97"/>
      <c r="T13" s="98" t="s">
        <v>91</v>
      </c>
    </row>
    <row r="14" spans="1:20" x14ac:dyDescent="0.2">
      <c r="B14" s="28">
        <v>2</v>
      </c>
      <c r="C14" s="39">
        <v>0.2428355037091503</v>
      </c>
      <c r="D14" s="39">
        <v>29.42054696847255</v>
      </c>
      <c r="G14" s="297" t="s">
        <v>219</v>
      </c>
      <c r="H14" s="297"/>
      <c r="I14" s="29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0.34798927633856247</v>
      </c>
      <c r="D16" s="39">
        <v>181.65040224872962</v>
      </c>
      <c r="G16" s="38"/>
      <c r="H16" s="28"/>
      <c r="I16" s="28"/>
      <c r="K16" t="s">
        <v>223</v>
      </c>
      <c r="L16" s="60">
        <v>-0.5</v>
      </c>
      <c r="M16" s="60">
        <v>-0.16</v>
      </c>
      <c r="N16" s="60">
        <v>-0.09</v>
      </c>
      <c r="O16" s="60">
        <v>-0.05</v>
      </c>
      <c r="P16" t="s">
        <v>222</v>
      </c>
      <c r="Q16" s="60">
        <v>0.05</v>
      </c>
      <c r="R16" s="60">
        <v>0.16</v>
      </c>
      <c r="S16" s="60"/>
    </row>
    <row r="17" spans="2:9" x14ac:dyDescent="0.2">
      <c r="B17" s="28">
        <v>2</v>
      </c>
      <c r="C17" s="39">
        <v>0.17696963816928124</v>
      </c>
      <c r="D17" s="39">
        <v>32.493466450073868</v>
      </c>
      <c r="G17" s="38"/>
      <c r="H17" s="28"/>
      <c r="I17" s="28"/>
    </row>
    <row r="18" spans="2:9" x14ac:dyDescent="0.2">
      <c r="B18" s="28">
        <v>3</v>
      </c>
      <c r="C18" s="39">
        <v>0.11996309211285416</v>
      </c>
      <c r="D18" s="39">
        <v>22.26159925838375</v>
      </c>
      <c r="G18" s="297" t="s">
        <v>224</v>
      </c>
      <c r="H18" s="297"/>
      <c r="I18" s="297"/>
    </row>
    <row r="19" spans="2:9" x14ac:dyDescent="0.2">
      <c r="B19" s="28">
        <v>4</v>
      </c>
      <c r="C19" s="39">
        <v>9.1459819084640612E-2</v>
      </c>
      <c r="D19" s="39">
        <v>17.15149666253869</v>
      </c>
      <c r="G19" s="38">
        <v>8.2763352851738414</v>
      </c>
      <c r="H19" s="28">
        <v>0.75250481358241139</v>
      </c>
      <c r="I19" s="28">
        <v>0.18764092514092803</v>
      </c>
    </row>
    <row r="20" spans="2:9" x14ac:dyDescent="0.2">
      <c r="B20" s="28">
        <v>5</v>
      </c>
      <c r="C20" s="39">
        <v>7.4357855267712492E-2</v>
      </c>
      <c r="D20" s="39">
        <v>14.090099905031659</v>
      </c>
      <c r="G20" s="38">
        <v>26.026211588596983</v>
      </c>
      <c r="H20" s="28">
        <v>0.23929653071920684</v>
      </c>
      <c r="I20" s="28">
        <v>5.9669814194815124E-2</v>
      </c>
    </row>
    <row r="21" spans="2:9" x14ac:dyDescent="0.2">
      <c r="B21" s="298" t="s">
        <v>225</v>
      </c>
      <c r="C21" s="299"/>
      <c r="D21" s="299"/>
      <c r="G21" s="38">
        <v>43.776087892020122</v>
      </c>
      <c r="H21" s="28">
        <v>0.1422690432337734</v>
      </c>
      <c r="I21" s="28">
        <v>3.5475513790020882E-2</v>
      </c>
    </row>
    <row r="22" spans="2:9" x14ac:dyDescent="0.2">
      <c r="B22" s="28">
        <v>1</v>
      </c>
      <c r="C22" s="39">
        <v>0.30579948974846816</v>
      </c>
      <c r="D22" s="39">
        <v>117.94978676815334</v>
      </c>
      <c r="G22" s="297" t="s">
        <v>226</v>
      </c>
      <c r="H22" s="297"/>
      <c r="I22" s="297"/>
    </row>
    <row r="23" spans="2:9" x14ac:dyDescent="0.2">
      <c r="B23" s="28">
        <v>2</v>
      </c>
      <c r="C23" s="39">
        <v>0.16138724487423409</v>
      </c>
      <c r="D23" s="39">
        <v>19.042821268586025</v>
      </c>
      <c r="G23" s="38">
        <v>8.2763352851738414</v>
      </c>
      <c r="H23" s="28">
        <v>0.75250481358241139</v>
      </c>
      <c r="I23" s="28">
        <v>0.18764092514092803</v>
      </c>
    </row>
    <row r="24" spans="2:9" x14ac:dyDescent="0.2">
      <c r="B24" s="28">
        <v>3</v>
      </c>
      <c r="C24" s="39">
        <v>0.11324982991615605</v>
      </c>
      <c r="D24" s="39">
        <v>13.367940474900728</v>
      </c>
      <c r="G24" s="38">
        <v>26.026211588596983</v>
      </c>
      <c r="H24" s="28">
        <v>0.23929653071920684</v>
      </c>
      <c r="I24" s="28">
        <v>5.9669814194815124E-2</v>
      </c>
    </row>
    <row r="25" spans="2:9" x14ac:dyDescent="0.2">
      <c r="B25" s="28">
        <v>4</v>
      </c>
      <c r="C25" s="39">
        <v>8.9181122437117039E-2</v>
      </c>
      <c r="D25" s="39">
        <v>10.530880318058079</v>
      </c>
      <c r="G25" s="38">
        <v>43.776087892020122</v>
      </c>
      <c r="H25" s="28">
        <v>0.1422690432337734</v>
      </c>
      <c r="I25" s="28">
        <v>3.5475513790020882E-2</v>
      </c>
    </row>
    <row r="26" spans="2:9" x14ac:dyDescent="0.2">
      <c r="B26" s="28">
        <v>5</v>
      </c>
      <c r="C26" s="39">
        <v>7.4739897949693629E-2</v>
      </c>
      <c r="D26" s="39">
        <v>8.8289484159524907</v>
      </c>
      <c r="G26" s="28"/>
      <c r="H26" s="28"/>
      <c r="I26" s="28"/>
    </row>
    <row r="27" spans="2:9" x14ac:dyDescent="0.2">
      <c r="B27" s="298" t="s">
        <v>227</v>
      </c>
      <c r="C27" s="299"/>
      <c r="D27" s="300"/>
    </row>
    <row r="28" spans="2:9" x14ac:dyDescent="0.2">
      <c r="B28" s="28">
        <v>1</v>
      </c>
      <c r="C28" s="39">
        <v>0.14081426530909272</v>
      </c>
      <c r="D28" s="39">
        <v>73.505046491346405</v>
      </c>
    </row>
    <row r="29" spans="2:9" x14ac:dyDescent="0.2">
      <c r="B29" s="28">
        <v>2</v>
      </c>
      <c r="C29" s="39">
        <v>7.0407132654546359E-2</v>
      </c>
      <c r="D29" s="39">
        <v>5.3132775390977338</v>
      </c>
    </row>
    <row r="30" spans="2:9" x14ac:dyDescent="0.2">
      <c r="B30" s="298" t="s">
        <v>228</v>
      </c>
      <c r="C30" s="299"/>
      <c r="D30" s="299"/>
    </row>
    <row r="31" spans="2:9" x14ac:dyDescent="0.2">
      <c r="B31" s="28">
        <v>1</v>
      </c>
      <c r="C31" s="39">
        <v>1.26E-2</v>
      </c>
      <c r="D31" s="39">
        <v>6.6006999999999998</v>
      </c>
    </row>
    <row r="32" spans="2:9" x14ac:dyDescent="0.2">
      <c r="B32" s="298" t="s">
        <v>229</v>
      </c>
      <c r="C32" s="299"/>
      <c r="D32" s="299"/>
    </row>
    <row r="33" spans="2:4" x14ac:dyDescent="0.2">
      <c r="B33" s="28">
        <v>1</v>
      </c>
      <c r="C33" s="39">
        <v>2.7400000000000001E-2</v>
      </c>
      <c r="D33" s="39">
        <v>14.3102</v>
      </c>
    </row>
    <row r="34" spans="2:4" x14ac:dyDescent="0.2">
      <c r="B34" s="297" t="s">
        <v>230</v>
      </c>
      <c r="C34" s="297"/>
      <c r="D34" s="297"/>
    </row>
    <row r="35" spans="2:4" x14ac:dyDescent="0.2">
      <c r="B35" s="38">
        <v>26.510495049504954</v>
      </c>
      <c r="C35" s="28">
        <v>0.20404478360515668</v>
      </c>
      <c r="D35" s="28">
        <v>0.10651137704189179</v>
      </c>
    </row>
    <row r="36" spans="2:4" x14ac:dyDescent="0.2">
      <c r="B36" s="38">
        <v>83.366336633663366</v>
      </c>
      <c r="C36" s="28">
        <v>6.4886241186439833E-2</v>
      </c>
      <c r="D36" s="28">
        <v>3.3870617899321595E-2</v>
      </c>
    </row>
    <row r="37" spans="2:4" x14ac:dyDescent="0.2">
      <c r="B37" s="38">
        <v>140.22217821782178</v>
      </c>
      <c r="C37" s="28">
        <v>3.857683780406649E-2</v>
      </c>
      <c r="D37" s="28">
        <v>2.0137109333722706E-2</v>
      </c>
    </row>
    <row r="38" spans="2:4" x14ac:dyDescent="0.2">
      <c r="B38" s="297" t="s">
        <v>231</v>
      </c>
      <c r="C38" s="297"/>
      <c r="D38" s="297"/>
    </row>
    <row r="39" spans="2:4" x14ac:dyDescent="0.2">
      <c r="B39" s="38">
        <v>26.108820882088207</v>
      </c>
      <c r="C39" s="28">
        <v>1.0877897059157033</v>
      </c>
      <c r="D39" s="28">
        <v>0.56782622648799719</v>
      </c>
    </row>
    <row r="40" spans="2:4" x14ac:dyDescent="0.2">
      <c r="B40" s="38">
        <v>82.103210321032094</v>
      </c>
      <c r="C40" s="28">
        <v>0.34591712648119366</v>
      </c>
      <c r="D40" s="28">
        <v>0.1805687400231831</v>
      </c>
    </row>
    <row r="41" spans="2:4" x14ac:dyDescent="0.2">
      <c r="B41" s="38">
        <v>138.09759975997596</v>
      </c>
      <c r="C41" s="28">
        <v>0.20565822026230304</v>
      </c>
      <c r="D41" s="28">
        <v>0.10735359097692218</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26.108820882088207</v>
      </c>
      <c r="C47" s="28">
        <v>2.5269212324859867</v>
      </c>
      <c r="D47" s="28">
        <v>0.67355596050787259</v>
      </c>
    </row>
    <row r="48" spans="2:4" x14ac:dyDescent="0.2">
      <c r="B48" s="38">
        <v>82.103210321032094</v>
      </c>
      <c r="C48" s="28">
        <v>0.80356095193054378</v>
      </c>
      <c r="D48" s="28">
        <v>0.21419079544150349</v>
      </c>
    </row>
    <row r="49" spans="2:4" x14ac:dyDescent="0.2">
      <c r="B49" s="38">
        <v>138.09759975997596</v>
      </c>
      <c r="C49" s="28">
        <v>0.47774135073159568</v>
      </c>
      <c r="D49" s="28">
        <v>0.12734292237901518</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0.85327903180119657</v>
      </c>
      <c r="D53">
        <v>0.22085655597506168</v>
      </c>
    </row>
    <row r="54" spans="2:4" x14ac:dyDescent="0.2">
      <c r="B54" s="302" t="s">
        <v>248</v>
      </c>
      <c r="C54" s="303"/>
      <c r="D54" s="303"/>
    </row>
    <row r="55" spans="2:4" x14ac:dyDescent="0.2">
      <c r="C55">
        <v>0.23125195281434213</v>
      </c>
      <c r="D55">
        <v>5.985557825471393E-2</v>
      </c>
    </row>
    <row r="56" spans="2:4" x14ac:dyDescent="0.2">
      <c r="B56" s="301" t="s">
        <v>249</v>
      </c>
      <c r="C56" s="301"/>
      <c r="D56" s="301"/>
    </row>
    <row r="57" spans="2:4" x14ac:dyDescent="0.2">
      <c r="C57">
        <v>0.2849780147592631</v>
      </c>
      <c r="D57">
        <v>7.3761642467039076E-2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FD86E-59AA-4B9D-BB04-134AC95A91D2}">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118</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468</v>
      </c>
      <c r="M4" s="70">
        <f>P4*0.75</f>
        <v>702</v>
      </c>
      <c r="N4" s="72">
        <f>P4*0.9</f>
        <v>842.4</v>
      </c>
      <c r="O4" s="74">
        <f>P4*0.95</f>
        <v>889.19999999999993</v>
      </c>
      <c r="P4" s="63">
        <v>936</v>
      </c>
      <c r="Q4" s="64">
        <f>P4*1.05</f>
        <v>982.80000000000007</v>
      </c>
      <c r="R4" s="76">
        <f>P4*1.25</f>
        <v>1170</v>
      </c>
      <c r="S4" s="78" t="s">
        <v>206</v>
      </c>
      <c r="T4" s="56" t="s">
        <v>86</v>
      </c>
    </row>
    <row r="5" spans="1:20" ht="16" thickBot="1" x14ac:dyDescent="0.25">
      <c r="B5" s="289"/>
      <c r="C5" s="291"/>
      <c r="D5" s="293"/>
      <c r="E5" s="3"/>
      <c r="F5" s="4"/>
      <c r="G5" s="291"/>
      <c r="H5" s="291"/>
      <c r="I5" s="291"/>
      <c r="K5" s="62" t="s">
        <v>87</v>
      </c>
      <c r="L5" s="68">
        <f>P5*0.5</f>
        <v>1420</v>
      </c>
      <c r="M5" s="70">
        <f>P5*0.75</f>
        <v>2130</v>
      </c>
      <c r="N5" s="72">
        <f>P5*0.9</f>
        <v>2556</v>
      </c>
      <c r="O5" s="74">
        <f>P5*0.95</f>
        <v>2698</v>
      </c>
      <c r="P5" s="63">
        <v>2840</v>
      </c>
      <c r="Q5" s="64">
        <f>P5*1.05</f>
        <v>2982</v>
      </c>
      <c r="R5" s="76">
        <f>P5*1.25</f>
        <v>3550</v>
      </c>
      <c r="S5" s="78"/>
      <c r="T5" s="56" t="s">
        <v>86</v>
      </c>
    </row>
    <row r="6" spans="1:20" x14ac:dyDescent="0.2">
      <c r="B6" s="294" t="s">
        <v>207</v>
      </c>
      <c r="C6" s="295"/>
      <c r="D6" s="296"/>
      <c r="G6" s="297" t="s">
        <v>208</v>
      </c>
      <c r="H6" s="297"/>
      <c r="I6" s="297"/>
      <c r="K6" s="62" t="s">
        <v>209</v>
      </c>
      <c r="L6" s="68">
        <f t="shared" ref="L6:N6" si="0">L4+L5</f>
        <v>1888</v>
      </c>
      <c r="M6" s="70">
        <f t="shared" si="0"/>
        <v>2832</v>
      </c>
      <c r="N6" s="72">
        <f t="shared" si="0"/>
        <v>3398.4</v>
      </c>
      <c r="O6" s="74">
        <f>O4+O5</f>
        <v>3587.2</v>
      </c>
      <c r="P6" s="63">
        <f>P5+P4</f>
        <v>3776</v>
      </c>
      <c r="Q6" s="64">
        <f t="shared" ref="Q6:R6" si="1">Q4+Q5</f>
        <v>3964.8</v>
      </c>
      <c r="R6" s="76">
        <f t="shared" si="1"/>
        <v>4720</v>
      </c>
      <c r="S6" s="78"/>
      <c r="T6" s="56" t="s">
        <v>86</v>
      </c>
    </row>
    <row r="7" spans="1:20" x14ac:dyDescent="0.2">
      <c r="B7" s="28">
        <v>1</v>
      </c>
      <c r="C7" s="39">
        <v>0.74780000000000002</v>
      </c>
      <c r="D7" s="39">
        <v>0.18970000000000001</v>
      </c>
      <c r="G7" s="38">
        <v>8</v>
      </c>
      <c r="H7" s="28">
        <v>0.80554999999999999</v>
      </c>
      <c r="I7" s="28">
        <v>0.153054</v>
      </c>
      <c r="K7" s="62" t="s">
        <v>210</v>
      </c>
      <c r="L7" s="68">
        <f>P7*0.5</f>
        <v>3011.5</v>
      </c>
      <c r="M7" s="70">
        <f>P7*0.84</f>
        <v>5059.32</v>
      </c>
      <c r="N7" s="72">
        <f>P7*0.91</f>
        <v>5480.93</v>
      </c>
      <c r="O7" s="74">
        <f>P7*0.95</f>
        <v>5721.8499999999995</v>
      </c>
      <c r="P7" s="63">
        <v>6023</v>
      </c>
      <c r="Q7" s="64">
        <f>P7*1.05</f>
        <v>6324.1500000000005</v>
      </c>
      <c r="R7" s="76">
        <f>P7*1.16</f>
        <v>6986.6799999999994</v>
      </c>
      <c r="S7" s="78"/>
      <c r="T7" s="56" t="s">
        <v>86</v>
      </c>
    </row>
    <row r="8" spans="1:20" x14ac:dyDescent="0.2">
      <c r="B8" s="28">
        <v>2</v>
      </c>
      <c r="C8" s="39">
        <v>0.38990000000000002</v>
      </c>
      <c r="D8" s="39">
        <v>7.7100000000000002E-2</v>
      </c>
      <c r="G8" s="38">
        <v>24</v>
      </c>
      <c r="H8" s="28">
        <v>0.25616</v>
      </c>
      <c r="I8" s="28">
        <v>4.8671000000000001E-3</v>
      </c>
      <c r="K8" s="79" t="s">
        <v>211</v>
      </c>
      <c r="L8" s="80">
        <f t="shared" ref="L8:O8" si="2">L7+L6</f>
        <v>4899.5</v>
      </c>
      <c r="M8" s="81">
        <f t="shared" si="2"/>
        <v>7891.32</v>
      </c>
      <c r="N8" s="82">
        <f t="shared" si="2"/>
        <v>8879.33</v>
      </c>
      <c r="O8" s="83">
        <f t="shared" si="2"/>
        <v>9309.0499999999993</v>
      </c>
      <c r="P8" s="84">
        <f>P7+P6</f>
        <v>9799</v>
      </c>
      <c r="Q8" s="85">
        <f t="shared" ref="Q8:R8" si="3">Q7+Q6</f>
        <v>10288.950000000001</v>
      </c>
      <c r="R8" s="86">
        <f t="shared" si="3"/>
        <v>11706.68</v>
      </c>
      <c r="S8" s="87"/>
      <c r="T8" s="88" t="s">
        <v>86</v>
      </c>
    </row>
    <row r="9" spans="1:20" x14ac:dyDescent="0.2">
      <c r="B9" s="28">
        <v>3</v>
      </c>
      <c r="C9" s="39">
        <v>0.27060000000000001</v>
      </c>
      <c r="D9" s="39">
        <v>5.57E-2</v>
      </c>
      <c r="G9" s="38">
        <v>40</v>
      </c>
      <c r="H9" s="28">
        <v>0.15229699999999999</v>
      </c>
      <c r="I9" s="28">
        <v>2.8937000000000001E-2</v>
      </c>
      <c r="K9" s="62" t="s">
        <v>212</v>
      </c>
      <c r="L9" s="68">
        <f>P9*0.5</f>
        <v>149</v>
      </c>
      <c r="M9" s="70">
        <f>P9*0.75</f>
        <v>223.5</v>
      </c>
      <c r="N9" s="72">
        <f>P9*0.9</f>
        <v>268.2</v>
      </c>
      <c r="O9" s="74">
        <f>P9*0.95</f>
        <v>283.09999999999997</v>
      </c>
      <c r="P9" s="63">
        <v>298</v>
      </c>
      <c r="Q9" s="64">
        <f>P9*1.05</f>
        <v>312.90000000000003</v>
      </c>
      <c r="R9" s="76">
        <f>P9*1.25</f>
        <v>372.5</v>
      </c>
      <c r="S9" s="78"/>
      <c r="T9" s="56" t="s">
        <v>91</v>
      </c>
    </row>
    <row r="10" spans="1:20" x14ac:dyDescent="0.2">
      <c r="B10" s="28">
        <v>4</v>
      </c>
      <c r="C10" s="39">
        <v>0.21099999999999999</v>
      </c>
      <c r="D10" s="39">
        <v>4.5100000000000001E-2</v>
      </c>
      <c r="G10" s="297" t="s">
        <v>213</v>
      </c>
      <c r="H10" s="297"/>
      <c r="I10" s="297"/>
      <c r="K10" s="62" t="s">
        <v>214</v>
      </c>
      <c r="L10" s="68">
        <f>P10*0.5</f>
        <v>287</v>
      </c>
      <c r="M10" s="70">
        <f>P10*0.75</f>
        <v>430.5</v>
      </c>
      <c r="N10" s="72">
        <f>P10*0.9</f>
        <v>516.6</v>
      </c>
      <c r="O10" s="74">
        <f>P10*0.95</f>
        <v>545.29999999999995</v>
      </c>
      <c r="P10" s="63">
        <v>574</v>
      </c>
      <c r="Q10" s="64">
        <f>P10*1.05</f>
        <v>602.70000000000005</v>
      </c>
      <c r="R10" s="76">
        <f>P10*1.25</f>
        <v>717.5</v>
      </c>
      <c r="S10" s="78"/>
      <c r="T10" s="56" t="s">
        <v>91</v>
      </c>
    </row>
    <row r="11" spans="1:20" x14ac:dyDescent="0.2">
      <c r="B11" s="28">
        <v>5</v>
      </c>
      <c r="C11" s="39">
        <v>0.17519999999999999</v>
      </c>
      <c r="D11" s="39">
        <v>3.8800000000000001E-2</v>
      </c>
      <c r="G11" s="38">
        <v>8</v>
      </c>
      <c r="H11" s="28">
        <v>0.80554999999999999</v>
      </c>
      <c r="I11" s="28">
        <v>0.1800774</v>
      </c>
      <c r="K11" s="62" t="s">
        <v>215</v>
      </c>
      <c r="L11" s="68">
        <f t="shared" ref="L11:N11" si="4">L9+L10</f>
        <v>436</v>
      </c>
      <c r="M11" s="70">
        <f t="shared" si="4"/>
        <v>654</v>
      </c>
      <c r="N11" s="72">
        <f t="shared" si="4"/>
        <v>784.8</v>
      </c>
      <c r="O11" s="74">
        <f>O9+O10</f>
        <v>828.39999999999986</v>
      </c>
      <c r="P11" s="63">
        <f>P9+P10</f>
        <v>872</v>
      </c>
      <c r="Q11" s="64">
        <f t="shared" ref="Q11:R11" si="5">Q9+Q10</f>
        <v>915.60000000000014</v>
      </c>
      <c r="R11" s="76">
        <f t="shared" si="5"/>
        <v>1090</v>
      </c>
      <c r="S11" s="78"/>
      <c r="T11" s="56" t="s">
        <v>91</v>
      </c>
    </row>
    <row r="12" spans="1:20" x14ac:dyDescent="0.2">
      <c r="B12" s="298" t="s">
        <v>216</v>
      </c>
      <c r="C12" s="299"/>
      <c r="D12" s="300"/>
      <c r="G12" s="38">
        <v>24</v>
      </c>
      <c r="H12" s="28">
        <v>0.25616</v>
      </c>
      <c r="I12" s="28">
        <v>5.7265000000000003E-2</v>
      </c>
      <c r="K12" s="62" t="s">
        <v>217</v>
      </c>
      <c r="L12" s="68">
        <f>P12*0.5</f>
        <v>751</v>
      </c>
      <c r="M12" s="70">
        <f>P12*0.84</f>
        <v>1261.68</v>
      </c>
      <c r="N12" s="72">
        <f>P12*0.91</f>
        <v>1366.82</v>
      </c>
      <c r="O12" s="74">
        <f>P12*0.95</f>
        <v>1426.8999999999999</v>
      </c>
      <c r="P12" s="63">
        <v>1502</v>
      </c>
      <c r="Q12" s="64">
        <f>P12*1.05</f>
        <v>1577.1000000000001</v>
      </c>
      <c r="R12" s="76">
        <f>P12*1.16</f>
        <v>1742.32</v>
      </c>
      <c r="S12" s="78"/>
      <c r="T12" s="56" t="s">
        <v>91</v>
      </c>
    </row>
    <row r="13" spans="1:20" ht="16" thickBot="1" x14ac:dyDescent="0.25">
      <c r="B13" s="28">
        <v>1</v>
      </c>
      <c r="C13" s="39">
        <v>0.4385</v>
      </c>
      <c r="D13" s="39">
        <v>0.11119999999999999</v>
      </c>
      <c r="G13" s="38">
        <v>40</v>
      </c>
      <c r="H13" s="28">
        <v>0.15229699999999999</v>
      </c>
      <c r="I13" s="28">
        <v>3.4724000000000001E-3</v>
      </c>
      <c r="K13" s="89" t="s">
        <v>218</v>
      </c>
      <c r="L13" s="90">
        <f t="shared" ref="L13:O13" si="6">L12+L11</f>
        <v>1187</v>
      </c>
      <c r="M13" s="91">
        <f t="shared" si="6"/>
        <v>1915.68</v>
      </c>
      <c r="N13" s="92">
        <f t="shared" si="6"/>
        <v>2151.62</v>
      </c>
      <c r="O13" s="93">
        <f t="shared" si="6"/>
        <v>2255.2999999999997</v>
      </c>
      <c r="P13" s="94">
        <f>P12+P11</f>
        <v>2374</v>
      </c>
      <c r="Q13" s="95">
        <f t="shared" ref="Q13:R13" si="7">Q12+Q11</f>
        <v>2492.7000000000003</v>
      </c>
      <c r="R13" s="96">
        <f t="shared" si="7"/>
        <v>2832.3199999999997</v>
      </c>
      <c r="S13" s="97"/>
      <c r="T13" s="98" t="s">
        <v>91</v>
      </c>
    </row>
    <row r="14" spans="1:20" x14ac:dyDescent="0.2">
      <c r="B14" s="28">
        <v>2</v>
      </c>
      <c r="C14" s="39">
        <v>0.23519999999999999</v>
      </c>
      <c r="D14" s="39">
        <v>2.8000000000000001E-2</v>
      </c>
      <c r="G14" s="297" t="s">
        <v>219</v>
      </c>
      <c r="H14" s="297"/>
      <c r="I14" s="297"/>
      <c r="L14" s="59"/>
      <c r="M14" s="59"/>
      <c r="N14" s="59"/>
      <c r="O14" s="59"/>
      <c r="P14" s="59"/>
      <c r="Q14" s="59"/>
      <c r="R14" s="59"/>
      <c r="S14" s="59"/>
    </row>
    <row r="15" spans="1:20" x14ac:dyDescent="0.2">
      <c r="B15" s="298" t="s">
        <v>220</v>
      </c>
      <c r="C15" s="299"/>
      <c r="D15" s="300"/>
      <c r="G15" s="38">
        <v>8</v>
      </c>
      <c r="H15" s="28">
        <v>0.80554999999999999</v>
      </c>
      <c r="I15" s="28">
        <v>0.18366499999999999</v>
      </c>
      <c r="K15" t="s">
        <v>221</v>
      </c>
      <c r="L15" s="60">
        <v>-0.5</v>
      </c>
      <c r="M15" s="60">
        <v>-0.25</v>
      </c>
      <c r="N15" s="60">
        <v>-0.1</v>
      </c>
      <c r="O15" s="60">
        <v>-0.05</v>
      </c>
      <c r="P15" t="s">
        <v>222</v>
      </c>
      <c r="Q15" s="60">
        <v>0.05</v>
      </c>
      <c r="R15" s="60">
        <v>0.25</v>
      </c>
      <c r="S15" s="60"/>
    </row>
    <row r="16" spans="1:20" x14ac:dyDescent="0.2">
      <c r="B16" s="28">
        <v>1</v>
      </c>
      <c r="C16" s="39">
        <v>0.32679999999999998</v>
      </c>
      <c r="D16" s="39">
        <v>6.2100000000000002E-2</v>
      </c>
      <c r="G16" s="38">
        <v>24</v>
      </c>
      <c r="H16" s="28">
        <v>0.25616</v>
      </c>
      <c r="I16" s="28">
        <v>5.8404999999999999E-2</v>
      </c>
      <c r="K16" t="s">
        <v>223</v>
      </c>
      <c r="L16" s="60">
        <v>-0.5</v>
      </c>
      <c r="M16" s="60">
        <v>-0.16</v>
      </c>
      <c r="N16" s="60">
        <v>-0.09</v>
      </c>
      <c r="O16" s="60">
        <v>-0.05</v>
      </c>
      <c r="P16" t="s">
        <v>222</v>
      </c>
      <c r="Q16" s="60">
        <v>0.05</v>
      </c>
      <c r="R16" s="60">
        <v>0.16</v>
      </c>
      <c r="S16" s="60"/>
    </row>
    <row r="17" spans="2:9" x14ac:dyDescent="0.2">
      <c r="B17" s="28">
        <v>2</v>
      </c>
      <c r="C17" s="39">
        <v>0.16639999999999999</v>
      </c>
      <c r="D17" s="39">
        <v>1.0699999999999999E-2</v>
      </c>
      <c r="G17" s="38">
        <v>40</v>
      </c>
      <c r="H17" s="28">
        <v>0.15229699999999999</v>
      </c>
      <c r="I17" s="28">
        <v>3.4723700000000003E-2</v>
      </c>
    </row>
    <row r="18" spans="2:9" x14ac:dyDescent="0.2">
      <c r="B18" s="28">
        <v>3</v>
      </c>
      <c r="C18" s="39">
        <v>0.1129</v>
      </c>
      <c r="D18" s="39">
        <v>7.4999999999999997E-3</v>
      </c>
      <c r="G18" s="297" t="s">
        <v>224</v>
      </c>
      <c r="H18" s="297"/>
      <c r="I18" s="297"/>
    </row>
    <row r="19" spans="2:9" x14ac:dyDescent="0.2">
      <c r="B19" s="28">
        <v>4</v>
      </c>
      <c r="C19" s="39">
        <v>8.6199999999999999E-2</v>
      </c>
      <c r="D19" s="39">
        <v>5.8999999999999999E-3</v>
      </c>
      <c r="G19" s="38">
        <v>8</v>
      </c>
      <c r="H19" s="28">
        <v>0.80554999999999999</v>
      </c>
      <c r="I19" s="28">
        <v>0.2071009</v>
      </c>
    </row>
    <row r="20" spans="2:9" x14ac:dyDescent="0.2">
      <c r="B20" s="28">
        <v>5</v>
      </c>
      <c r="C20" s="39">
        <v>7.0099999999999996E-2</v>
      </c>
      <c r="D20" s="39">
        <v>4.8999999999999998E-3</v>
      </c>
      <c r="G20" s="38">
        <v>24</v>
      </c>
      <c r="H20" s="28">
        <v>0.25616</v>
      </c>
      <c r="I20" s="28">
        <v>6.5858100000000003E-2</v>
      </c>
    </row>
    <row r="21" spans="2:9" x14ac:dyDescent="0.2">
      <c r="B21" s="298" t="s">
        <v>225</v>
      </c>
      <c r="C21" s="299"/>
      <c r="D21" s="299"/>
      <c r="G21" s="38">
        <v>40</v>
      </c>
      <c r="H21" s="28">
        <v>0.15229699999999999</v>
      </c>
      <c r="I21" s="28">
        <v>3.9154599999999998E-2</v>
      </c>
    </row>
    <row r="22" spans="2:9" x14ac:dyDescent="0.2">
      <c r="B22" s="28">
        <v>1</v>
      </c>
      <c r="C22" s="39">
        <v>0.3826</v>
      </c>
      <c r="D22" s="39">
        <v>8.4900000000000003E-2</v>
      </c>
      <c r="G22" s="297" t="s">
        <v>226</v>
      </c>
      <c r="H22" s="297"/>
      <c r="I22" s="297"/>
    </row>
    <row r="23" spans="2:9" x14ac:dyDescent="0.2">
      <c r="B23" s="28">
        <v>2</v>
      </c>
      <c r="C23" s="39">
        <v>0.19980000000000001</v>
      </c>
      <c r="D23" s="39">
        <v>1.7000000000000001E-2</v>
      </c>
      <c r="G23" s="38">
        <v>8</v>
      </c>
      <c r="H23" s="28">
        <v>0.80554999999999999</v>
      </c>
      <c r="I23" s="28">
        <v>0.19179499999999999</v>
      </c>
    </row>
    <row r="24" spans="2:9" x14ac:dyDescent="0.2">
      <c r="B24" s="28">
        <v>3</v>
      </c>
      <c r="C24" s="39">
        <v>0.13980000000000001</v>
      </c>
      <c r="D24" s="39">
        <v>1.18E-2</v>
      </c>
      <c r="G24" s="38">
        <v>24</v>
      </c>
      <c r="H24" s="28">
        <v>0.25616</v>
      </c>
      <c r="I24" s="28">
        <v>6.0990999999999997E-2</v>
      </c>
    </row>
    <row r="25" spans="2:9" x14ac:dyDescent="0.2">
      <c r="B25" s="28">
        <v>4</v>
      </c>
      <c r="C25" s="39">
        <v>0.1084</v>
      </c>
      <c r="D25" s="39">
        <v>9.1999999999999998E-3</v>
      </c>
      <c r="G25" s="38">
        <v>40</v>
      </c>
      <c r="H25" s="28">
        <v>0.15229699999999999</v>
      </c>
      <c r="I25" s="28">
        <v>3.6260899999999999E-2</v>
      </c>
    </row>
    <row r="26" spans="2:9" x14ac:dyDescent="0.2">
      <c r="B26" s="28">
        <v>5</v>
      </c>
      <c r="C26" s="39">
        <v>9.01E-2</v>
      </c>
      <c r="D26" s="39">
        <v>7.7000000000000002E-3</v>
      </c>
    </row>
    <row r="27" spans="2:9" x14ac:dyDescent="0.2">
      <c r="B27" s="298" t="s">
        <v>237</v>
      </c>
      <c r="C27" s="299"/>
      <c r="D27" s="300"/>
    </row>
    <row r="28" spans="2:9" x14ac:dyDescent="0.2">
      <c r="B28" s="28">
        <v>1</v>
      </c>
      <c r="C28" s="39">
        <v>0.13220000000000001</v>
      </c>
      <c r="D28" s="39">
        <v>2.5100000000000001E-2</v>
      </c>
    </row>
    <row r="29" spans="2:9" x14ac:dyDescent="0.2">
      <c r="B29" s="28">
        <v>2</v>
      </c>
      <c r="C29" s="39">
        <v>6.6100000000000006E-2</v>
      </c>
      <c r="D29" s="39">
        <v>1.8E-3</v>
      </c>
    </row>
    <row r="30" spans="2:9" x14ac:dyDescent="0.2">
      <c r="B30" s="298" t="s">
        <v>228</v>
      </c>
      <c r="C30" s="299"/>
      <c r="D30" s="299"/>
    </row>
    <row r="31" spans="2:9" x14ac:dyDescent="0.2">
      <c r="B31" s="28">
        <v>1</v>
      </c>
      <c r="C31" s="39">
        <v>1.1900000000000001E-2</v>
      </c>
      <c r="D31" s="39">
        <v>2.3E-3</v>
      </c>
    </row>
    <row r="32" spans="2:9" x14ac:dyDescent="0.2">
      <c r="B32" s="298" t="s">
        <v>229</v>
      </c>
      <c r="C32" s="299"/>
      <c r="D32" s="299"/>
    </row>
    <row r="33" spans="2:4" x14ac:dyDescent="0.2">
      <c r="B33" s="28">
        <v>1</v>
      </c>
      <c r="C33" s="39">
        <v>2.5700000000000001E-2</v>
      </c>
      <c r="D33" s="39">
        <v>4.8999999999999998E-3</v>
      </c>
    </row>
    <row r="34" spans="2:4" x14ac:dyDescent="0.2">
      <c r="B34" s="298" t="s">
        <v>230</v>
      </c>
      <c r="C34" s="299"/>
      <c r="D34" s="299"/>
    </row>
    <row r="35" spans="2:4" x14ac:dyDescent="0.2">
      <c r="B35" s="38">
        <v>22</v>
      </c>
      <c r="C35" s="39">
        <v>0.22433800000000001</v>
      </c>
      <c r="D35" s="39">
        <v>4.2619999999999998E-2</v>
      </c>
    </row>
    <row r="36" spans="2:4" x14ac:dyDescent="0.2">
      <c r="B36" s="38">
        <v>70</v>
      </c>
      <c r="C36" s="39">
        <v>7.13395E-2</v>
      </c>
      <c r="D36" s="39">
        <v>1.3554500000000001E-2</v>
      </c>
    </row>
    <row r="37" spans="2:4" x14ac:dyDescent="0.2">
      <c r="B37" s="38">
        <v>118</v>
      </c>
      <c r="C37" s="39">
        <v>4.24135E-2</v>
      </c>
      <c r="D37" s="39">
        <v>8.0584999999999997E-3</v>
      </c>
    </row>
    <row r="38" spans="2:4" x14ac:dyDescent="0.2">
      <c r="B38" s="298" t="s">
        <v>231</v>
      </c>
      <c r="C38" s="299"/>
      <c r="D38" s="299"/>
    </row>
    <row r="39" spans="2:4" x14ac:dyDescent="0.2">
      <c r="B39" s="38">
        <v>21</v>
      </c>
      <c r="C39" s="39">
        <v>0.90260059999999998</v>
      </c>
      <c r="D39" s="39">
        <v>0.17149</v>
      </c>
    </row>
    <row r="40" spans="2:4" x14ac:dyDescent="0.2">
      <c r="B40" s="38">
        <v>66</v>
      </c>
      <c r="C40" s="39">
        <v>0.28702699999999998</v>
      </c>
      <c r="D40" s="39">
        <v>5.4535E-2</v>
      </c>
    </row>
    <row r="41" spans="2:4" x14ac:dyDescent="0.2">
      <c r="B41" s="38">
        <v>110</v>
      </c>
      <c r="C41" s="39">
        <v>0.17064599999999999</v>
      </c>
      <c r="D41" s="39">
        <v>3.2422800000000002E-2</v>
      </c>
    </row>
    <row r="42" spans="2:4" x14ac:dyDescent="0.2">
      <c r="B42" s="298" t="s">
        <v>232</v>
      </c>
      <c r="C42" s="299"/>
      <c r="D42" s="300"/>
    </row>
    <row r="43" spans="2:4" x14ac:dyDescent="0.2">
      <c r="B43" s="38">
        <v>87</v>
      </c>
      <c r="C43" s="39">
        <v>0.28678900000000002</v>
      </c>
      <c r="D43" s="39">
        <v>5.4489950000000002E-2</v>
      </c>
    </row>
    <row r="44" spans="2:4" x14ac:dyDescent="0.2">
      <c r="B44" s="38">
        <v>273</v>
      </c>
      <c r="C44" s="39">
        <v>9.1198970000000004E-2</v>
      </c>
      <c r="D44" s="39">
        <v>1.7328E-2</v>
      </c>
    </row>
    <row r="45" spans="2:4" x14ac:dyDescent="0.2">
      <c r="B45" s="38">
        <v>459</v>
      </c>
      <c r="C45" s="39">
        <v>5.4220554999999997E-2</v>
      </c>
      <c r="D45" s="39">
        <v>1.0301899999999999E-2</v>
      </c>
    </row>
    <row r="46" spans="2:4" x14ac:dyDescent="0.2">
      <c r="B46" s="298" t="s">
        <v>233</v>
      </c>
      <c r="C46" s="299"/>
      <c r="D46" s="299"/>
    </row>
    <row r="47" spans="2:4" x14ac:dyDescent="0.2">
      <c r="B47" s="38">
        <v>21</v>
      </c>
      <c r="C47" s="39">
        <v>1.3302099999999999</v>
      </c>
      <c r="D47" s="39">
        <v>0.35457</v>
      </c>
    </row>
    <row r="48" spans="2:4" x14ac:dyDescent="0.2">
      <c r="B48" s="38">
        <v>66</v>
      </c>
      <c r="C48" s="39">
        <v>0.42300599999999999</v>
      </c>
      <c r="D48" s="39">
        <v>0.11275300000000001</v>
      </c>
    </row>
    <row r="49" spans="2:4" x14ac:dyDescent="0.2">
      <c r="B49" s="38">
        <v>110</v>
      </c>
      <c r="C49" s="39">
        <v>0.25148999999999999</v>
      </c>
      <c r="D49" s="39">
        <v>6.7034999999999997E-2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0.72939423336476883</v>
      </c>
      <c r="D53">
        <v>0.18879268658603551</v>
      </c>
    </row>
    <row r="54" spans="2:4" x14ac:dyDescent="0.2">
      <c r="B54" s="302" t="s">
        <v>248</v>
      </c>
      <c r="C54" s="303"/>
      <c r="D54" s="303"/>
    </row>
    <row r="55" spans="2:4" x14ac:dyDescent="0.2">
      <c r="C55">
        <v>0.29351578784449789</v>
      </c>
      <c r="D55">
        <v>7.5972130855697775E-2</v>
      </c>
    </row>
    <row r="56" spans="2:4" x14ac:dyDescent="0.2">
      <c r="B56" s="301" t="s">
        <v>249</v>
      </c>
      <c r="C56" s="301"/>
      <c r="D56" s="301"/>
    </row>
    <row r="57" spans="2:4" x14ac:dyDescent="0.2">
      <c r="C57">
        <v>0.23219363652743299</v>
      </c>
      <c r="D57">
        <v>6.0099817688403591E-2</v>
      </c>
    </row>
  </sheetData>
  <mergeCells count="28">
    <mergeCell ref="B52:D52"/>
    <mergeCell ref="G18:I18"/>
    <mergeCell ref="B21:D21"/>
    <mergeCell ref="G22:I22"/>
    <mergeCell ref="B27:D27"/>
    <mergeCell ref="B50:D50"/>
    <mergeCell ref="B30:D30"/>
    <mergeCell ref="B32:D32"/>
    <mergeCell ref="B34:D34"/>
    <mergeCell ref="B38:D38"/>
    <mergeCell ref="B42:D42"/>
    <mergeCell ref="B46:D46"/>
    <mergeCell ref="B54:D54"/>
    <mergeCell ref="B56:D56"/>
    <mergeCell ref="B3:D3"/>
    <mergeCell ref="G3:I3"/>
    <mergeCell ref="B4:B5"/>
    <mergeCell ref="C4:C5"/>
    <mergeCell ref="D4:D5"/>
    <mergeCell ref="G4:G5"/>
    <mergeCell ref="H4:H5"/>
    <mergeCell ref="I4:I5"/>
    <mergeCell ref="B6:D6"/>
    <mergeCell ref="G6:I6"/>
    <mergeCell ref="G10:I10"/>
    <mergeCell ref="B12:D12"/>
    <mergeCell ref="G14:I14"/>
    <mergeCell ref="B15:D1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D75C-F5A6-45C9-97A1-19292AEC4255}">
  <dimension ref="A1:T57"/>
  <sheetViews>
    <sheetView topLeftCell="A6" zoomScale="80" zoomScaleNormal="80" workbookViewId="0">
      <selection activeCell="C57" sqref="C57:D57"/>
    </sheetView>
  </sheetViews>
  <sheetFormatPr baseColWidth="10" defaultColWidth="11.5" defaultRowHeight="15" x14ac:dyDescent="0.2"/>
  <cols>
    <col min="3" max="3" width="22.33203125" customWidth="1"/>
    <col min="4" max="4" width="23.16406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238</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204</v>
      </c>
      <c r="D4" s="292" t="s">
        <v>203</v>
      </c>
      <c r="E4" s="3"/>
      <c r="F4" s="4"/>
      <c r="G4" s="290" t="s">
        <v>201</v>
      </c>
      <c r="H4" s="290" t="s">
        <v>204</v>
      </c>
      <c r="I4" s="290" t="s">
        <v>203</v>
      </c>
      <c r="K4" s="62" t="s">
        <v>205</v>
      </c>
      <c r="L4" s="68">
        <f>P4*0.5</f>
        <v>428</v>
      </c>
      <c r="M4" s="70">
        <f>P4*0.75</f>
        <v>642</v>
      </c>
      <c r="N4" s="72">
        <f>P4*0.9</f>
        <v>770.4</v>
      </c>
      <c r="O4" s="74">
        <f>P4*0.95</f>
        <v>813.19999999999993</v>
      </c>
      <c r="P4" s="63">
        <v>856</v>
      </c>
      <c r="Q4" s="64">
        <f>P4*1.05</f>
        <v>898.80000000000007</v>
      </c>
      <c r="R4" s="76">
        <f>P4*1.25</f>
        <v>1070</v>
      </c>
      <c r="S4" s="78" t="s">
        <v>206</v>
      </c>
      <c r="T4" s="56" t="s">
        <v>86</v>
      </c>
    </row>
    <row r="5" spans="1:20" ht="16" thickBot="1" x14ac:dyDescent="0.25">
      <c r="B5" s="289"/>
      <c r="C5" s="291"/>
      <c r="D5" s="293"/>
      <c r="E5" s="3"/>
      <c r="F5" s="4"/>
      <c r="G5" s="291"/>
      <c r="H5" s="291"/>
      <c r="I5" s="291"/>
      <c r="K5" s="62" t="s">
        <v>87</v>
      </c>
      <c r="L5" s="68">
        <f>P5*0.5</f>
        <v>2723</v>
      </c>
      <c r="M5" s="70">
        <f>P5*0.75</f>
        <v>4084.5</v>
      </c>
      <c r="N5" s="72">
        <f>P5*0.9</f>
        <v>4901.4000000000005</v>
      </c>
      <c r="O5" s="74">
        <f>P5*0.95</f>
        <v>5173.7</v>
      </c>
      <c r="P5" s="63">
        <v>5446</v>
      </c>
      <c r="Q5" s="64">
        <f>P5*1.05</f>
        <v>5718.3</v>
      </c>
      <c r="R5" s="76">
        <f>P5*1.25</f>
        <v>6807.5</v>
      </c>
      <c r="S5" s="78"/>
      <c r="T5" s="56" t="s">
        <v>86</v>
      </c>
    </row>
    <row r="6" spans="1:20" x14ac:dyDescent="0.2">
      <c r="B6" s="294" t="s">
        <v>207</v>
      </c>
      <c r="C6" s="295"/>
      <c r="D6" s="296"/>
      <c r="G6" s="297" t="s">
        <v>208</v>
      </c>
      <c r="H6" s="297"/>
      <c r="I6" s="297"/>
      <c r="K6" s="62" t="s">
        <v>209</v>
      </c>
      <c r="L6" s="68">
        <f t="shared" ref="L6:N6" si="0">L4+L5</f>
        <v>3151</v>
      </c>
      <c r="M6" s="70">
        <f t="shared" si="0"/>
        <v>4726.5</v>
      </c>
      <c r="N6" s="72">
        <f t="shared" si="0"/>
        <v>5671.8</v>
      </c>
      <c r="O6" s="74">
        <f>O4+O5</f>
        <v>5986.9</v>
      </c>
      <c r="P6" s="63">
        <f>P5+P4</f>
        <v>6302</v>
      </c>
      <c r="Q6" s="64">
        <f t="shared" ref="Q6:R6" si="1">Q4+Q5</f>
        <v>6617.1</v>
      </c>
      <c r="R6" s="76">
        <f t="shared" si="1"/>
        <v>7877.5</v>
      </c>
      <c r="S6" s="78"/>
      <c r="T6" s="56" t="s">
        <v>86</v>
      </c>
    </row>
    <row r="7" spans="1:20" x14ac:dyDescent="0.2">
      <c r="B7" s="28">
        <v>1</v>
      </c>
      <c r="C7" s="39">
        <v>0.69310000000000005</v>
      </c>
      <c r="D7" s="39">
        <v>0.17219999999999999</v>
      </c>
      <c r="G7" s="38">
        <v>6</v>
      </c>
      <c r="H7" s="28">
        <v>0.99004999999999999</v>
      </c>
      <c r="I7" s="28">
        <v>0.22375100000000001</v>
      </c>
      <c r="K7" s="62" t="s">
        <v>210</v>
      </c>
      <c r="L7" s="68">
        <f>P7*0.5</f>
        <v>2798</v>
      </c>
      <c r="M7" s="70">
        <f>P7*0.84</f>
        <v>4700.6399999999994</v>
      </c>
      <c r="N7" s="72">
        <f>P7*0.91</f>
        <v>5092.3600000000006</v>
      </c>
      <c r="O7" s="74">
        <f>P7*0.95</f>
        <v>5316.2</v>
      </c>
      <c r="P7" s="63">
        <v>5596</v>
      </c>
      <c r="Q7" s="64">
        <f>P7*1.05</f>
        <v>5875.8</v>
      </c>
      <c r="R7" s="76">
        <f>P7*1.16</f>
        <v>6491.36</v>
      </c>
      <c r="S7" s="78"/>
      <c r="T7" s="56" t="s">
        <v>86</v>
      </c>
    </row>
    <row r="8" spans="1:20" x14ac:dyDescent="0.2">
      <c r="B8" s="28">
        <v>2</v>
      </c>
      <c r="C8" s="39">
        <v>0.36259999999999998</v>
      </c>
      <c r="D8" s="39">
        <v>6.54E-2</v>
      </c>
      <c r="G8" s="38">
        <v>19</v>
      </c>
      <c r="H8" s="28">
        <v>0.31484000000000001</v>
      </c>
      <c r="I8" s="28">
        <v>7.1196700000000002E-2</v>
      </c>
      <c r="K8" s="79" t="s">
        <v>211</v>
      </c>
      <c r="L8" s="80">
        <f t="shared" ref="L8:O8" si="2">L7+L6</f>
        <v>5949</v>
      </c>
      <c r="M8" s="81">
        <f t="shared" si="2"/>
        <v>9427.14</v>
      </c>
      <c r="N8" s="82">
        <f t="shared" si="2"/>
        <v>10764.16</v>
      </c>
      <c r="O8" s="83">
        <f t="shared" si="2"/>
        <v>11303.099999999999</v>
      </c>
      <c r="P8" s="84">
        <f>P7+P6</f>
        <v>11898</v>
      </c>
      <c r="Q8" s="85">
        <f t="shared" ref="Q8:R8" si="3">Q7+Q6</f>
        <v>12492.900000000001</v>
      </c>
      <c r="R8" s="86">
        <f t="shared" si="3"/>
        <v>14368.86</v>
      </c>
      <c r="S8" s="87"/>
      <c r="T8" s="88" t="s">
        <v>86</v>
      </c>
    </row>
    <row r="9" spans="1:20" x14ac:dyDescent="0.2">
      <c r="B9" s="28">
        <v>3</v>
      </c>
      <c r="C9" s="39">
        <v>0.25240000000000001</v>
      </c>
      <c r="D9" s="39">
        <v>4.7500000000000001E-2</v>
      </c>
      <c r="G9" s="38">
        <v>32</v>
      </c>
      <c r="H9" s="28">
        <v>0.18718000000000001</v>
      </c>
      <c r="I9" s="28">
        <v>4.2303E-2</v>
      </c>
      <c r="K9" s="62" t="s">
        <v>212</v>
      </c>
      <c r="L9" s="68">
        <f>P9*0.5</f>
        <v>135.5</v>
      </c>
      <c r="M9" s="70">
        <f>P9*0.75</f>
        <v>203.25</v>
      </c>
      <c r="N9" s="72">
        <f>P9*0.9</f>
        <v>243.9</v>
      </c>
      <c r="O9" s="74">
        <f>P9*0.95</f>
        <v>257.45</v>
      </c>
      <c r="P9" s="63">
        <v>271</v>
      </c>
      <c r="Q9" s="64">
        <f>P9*1.05</f>
        <v>284.55</v>
      </c>
      <c r="R9" s="76">
        <f>P9*1.25</f>
        <v>338.75</v>
      </c>
      <c r="S9" s="78"/>
      <c r="T9" s="56" t="s">
        <v>91</v>
      </c>
    </row>
    <row r="10" spans="1:20" x14ac:dyDescent="0.2">
      <c r="B10" s="28">
        <v>4</v>
      </c>
      <c r="C10" s="39">
        <v>0.1973</v>
      </c>
      <c r="D10" s="39">
        <v>3.8699999999999998E-2</v>
      </c>
      <c r="G10" s="297" t="s">
        <v>213</v>
      </c>
      <c r="H10" s="297"/>
      <c r="I10" s="297"/>
      <c r="K10" s="62" t="s">
        <v>214</v>
      </c>
      <c r="L10" s="68">
        <f>P10*0.5</f>
        <v>550</v>
      </c>
      <c r="M10" s="70">
        <f>P10*0.75</f>
        <v>825</v>
      </c>
      <c r="N10" s="72">
        <f>P10*0.9</f>
        <v>990</v>
      </c>
      <c r="O10" s="74">
        <f>P10*0.95</f>
        <v>1045</v>
      </c>
      <c r="P10" s="63">
        <v>1100</v>
      </c>
      <c r="Q10" s="64">
        <f>P10*1.05</f>
        <v>1155</v>
      </c>
      <c r="R10" s="76">
        <f>P10*1.25</f>
        <v>1375</v>
      </c>
      <c r="S10" s="78"/>
      <c r="T10" s="56" t="s">
        <v>91</v>
      </c>
    </row>
    <row r="11" spans="1:20" x14ac:dyDescent="0.2">
      <c r="B11" s="28">
        <v>5</v>
      </c>
      <c r="C11" s="39">
        <v>0.16420000000000001</v>
      </c>
      <c r="D11" s="39">
        <v>3.3500000000000002E-2</v>
      </c>
      <c r="G11" s="38">
        <v>6</v>
      </c>
      <c r="H11" s="28">
        <v>0.99004999999999999</v>
      </c>
      <c r="I11" s="28">
        <v>0.23658970000000001</v>
      </c>
      <c r="K11" s="62" t="s">
        <v>215</v>
      </c>
      <c r="L11" s="68">
        <f t="shared" ref="L11:N11" si="4">L9+L10</f>
        <v>685.5</v>
      </c>
      <c r="M11" s="70">
        <f t="shared" si="4"/>
        <v>1028.25</v>
      </c>
      <c r="N11" s="72">
        <f t="shared" si="4"/>
        <v>1233.9000000000001</v>
      </c>
      <c r="O11" s="74">
        <f>O9+O10</f>
        <v>1302.45</v>
      </c>
      <c r="P11" s="63">
        <f>P9+P10</f>
        <v>1371</v>
      </c>
      <c r="Q11" s="64">
        <f t="shared" ref="Q11:R11" si="5">Q9+Q10</f>
        <v>1439.55</v>
      </c>
      <c r="R11" s="76">
        <f t="shared" si="5"/>
        <v>1713.75</v>
      </c>
      <c r="S11" s="78"/>
      <c r="T11" s="56" t="s">
        <v>91</v>
      </c>
    </row>
    <row r="12" spans="1:20" x14ac:dyDescent="0.2">
      <c r="B12" s="298" t="s">
        <v>216</v>
      </c>
      <c r="C12" s="299"/>
      <c r="D12" s="300"/>
      <c r="G12" s="38">
        <v>19</v>
      </c>
      <c r="H12" s="28">
        <v>0.31484000000000001</v>
      </c>
      <c r="I12" s="28">
        <v>7.5235499999999997E-2</v>
      </c>
      <c r="K12" s="62" t="s">
        <v>217</v>
      </c>
      <c r="L12" s="68">
        <f>P12*0.5</f>
        <v>684</v>
      </c>
      <c r="M12" s="70">
        <f>P12*0.84</f>
        <v>1149.1199999999999</v>
      </c>
      <c r="N12" s="72">
        <f>P12*0.91</f>
        <v>1244.8800000000001</v>
      </c>
      <c r="O12" s="74">
        <f>P12*0.95</f>
        <v>1299.5999999999999</v>
      </c>
      <c r="P12" s="63">
        <v>1368</v>
      </c>
      <c r="Q12" s="64">
        <f>P12*1.05</f>
        <v>1436.4</v>
      </c>
      <c r="R12" s="76">
        <f>P12*1.16</f>
        <v>1586.8799999999999</v>
      </c>
      <c r="S12" s="78"/>
      <c r="T12" s="56" t="s">
        <v>91</v>
      </c>
    </row>
    <row r="13" spans="1:20" ht="16" thickBot="1" x14ac:dyDescent="0.25">
      <c r="B13" s="28">
        <v>1</v>
      </c>
      <c r="C13" s="39">
        <v>0.42570000000000002</v>
      </c>
      <c r="D13" s="39">
        <v>0.10580000000000001</v>
      </c>
      <c r="G13" s="38">
        <v>32</v>
      </c>
      <c r="H13" s="28">
        <v>0.18718000000000001</v>
      </c>
      <c r="I13" s="28">
        <v>4.47298E-2</v>
      </c>
      <c r="K13" s="89" t="s">
        <v>218</v>
      </c>
      <c r="L13" s="90">
        <f t="shared" ref="L13:O13" si="6">L12+L11</f>
        <v>1369.5</v>
      </c>
      <c r="M13" s="91">
        <f t="shared" si="6"/>
        <v>2177.37</v>
      </c>
      <c r="N13" s="92">
        <f t="shared" si="6"/>
        <v>2478.7800000000002</v>
      </c>
      <c r="O13" s="93">
        <f t="shared" si="6"/>
        <v>2602.0500000000002</v>
      </c>
      <c r="P13" s="94">
        <f>P12+P11</f>
        <v>2739</v>
      </c>
      <c r="Q13" s="95">
        <f t="shared" ref="Q13:R13" si="7">Q12+Q11</f>
        <v>2875.95</v>
      </c>
      <c r="R13" s="96">
        <f t="shared" si="7"/>
        <v>3300.63</v>
      </c>
      <c r="S13" s="97"/>
      <c r="T13" s="98" t="s">
        <v>91</v>
      </c>
    </row>
    <row r="14" spans="1:20" x14ac:dyDescent="0.2">
      <c r="B14" s="28">
        <v>2</v>
      </c>
      <c r="C14" s="39">
        <v>0.2288</v>
      </c>
      <c r="D14" s="39">
        <v>2.5999999999999999E-2</v>
      </c>
      <c r="G14" s="297" t="s">
        <v>219</v>
      </c>
      <c r="H14" s="297"/>
      <c r="I14" s="297"/>
      <c r="L14" s="59"/>
      <c r="M14" s="59"/>
      <c r="N14" s="59"/>
      <c r="O14" s="59"/>
      <c r="P14" s="59"/>
      <c r="Q14" s="59"/>
      <c r="R14" s="59"/>
      <c r="S14" s="59"/>
    </row>
    <row r="15" spans="1:20" x14ac:dyDescent="0.2">
      <c r="B15" s="298" t="s">
        <v>220</v>
      </c>
      <c r="C15" s="299"/>
      <c r="D15" s="300"/>
      <c r="G15" s="38">
        <v>6</v>
      </c>
      <c r="H15" s="28">
        <v>0.99004999999999999</v>
      </c>
      <c r="I15" s="28">
        <v>0.22573099999999999</v>
      </c>
      <c r="K15" t="s">
        <v>221</v>
      </c>
      <c r="L15" s="60">
        <v>-0.5</v>
      </c>
      <c r="M15" s="60">
        <v>-0.25</v>
      </c>
      <c r="N15" s="60">
        <v>-0.1</v>
      </c>
      <c r="O15" s="60">
        <v>-0.05</v>
      </c>
      <c r="P15" t="s">
        <v>222</v>
      </c>
      <c r="Q15" s="60">
        <v>0.05</v>
      </c>
      <c r="R15" s="60">
        <v>0.25</v>
      </c>
      <c r="S15" s="60"/>
    </row>
    <row r="16" spans="1:20" x14ac:dyDescent="0.2">
      <c r="B16" s="28">
        <v>1</v>
      </c>
      <c r="C16" s="39">
        <v>0.33610000000000001</v>
      </c>
      <c r="D16" s="39">
        <v>7.5999999999999998E-2</v>
      </c>
      <c r="G16" s="38">
        <v>19</v>
      </c>
      <c r="H16" s="28">
        <v>0.31484000000000001</v>
      </c>
      <c r="I16" s="28">
        <v>7.1783E-2</v>
      </c>
      <c r="K16" t="s">
        <v>223</v>
      </c>
      <c r="L16" s="60">
        <v>-0.5</v>
      </c>
      <c r="M16" s="60">
        <v>-0.16</v>
      </c>
      <c r="N16" s="60">
        <v>-0.09</v>
      </c>
      <c r="O16" s="60">
        <v>-0.05</v>
      </c>
      <c r="P16" t="s">
        <v>222</v>
      </c>
      <c r="Q16" s="60">
        <v>0.05</v>
      </c>
      <c r="R16" s="60">
        <v>0.16</v>
      </c>
      <c r="S16" s="60"/>
    </row>
    <row r="17" spans="2:9" x14ac:dyDescent="0.2">
      <c r="B17" s="28">
        <v>2</v>
      </c>
      <c r="C17" s="39">
        <v>0.17100000000000001</v>
      </c>
      <c r="D17" s="39">
        <v>1.3299999999999999E-2</v>
      </c>
      <c r="G17" s="38">
        <v>32</v>
      </c>
      <c r="H17" s="28">
        <v>0.18718000000000001</v>
      </c>
      <c r="I17" s="28">
        <v>4.2677E-2</v>
      </c>
    </row>
    <row r="18" spans="2:9" x14ac:dyDescent="0.2">
      <c r="B18" s="28">
        <v>3</v>
      </c>
      <c r="C18" s="39">
        <v>0.11600000000000001</v>
      </c>
      <c r="D18" s="39">
        <v>9.2999999999999992E-3</v>
      </c>
      <c r="G18" s="297" t="s">
        <v>224</v>
      </c>
      <c r="H18" s="297"/>
      <c r="I18" s="297"/>
    </row>
    <row r="19" spans="2:9" x14ac:dyDescent="0.2">
      <c r="B19" s="28">
        <v>4</v>
      </c>
      <c r="C19" s="39">
        <v>8.8499999999999995E-2</v>
      </c>
      <c r="D19" s="39">
        <v>7.1999999999999998E-3</v>
      </c>
      <c r="G19" s="38">
        <v>6</v>
      </c>
      <c r="H19" s="28">
        <v>0.99004999999999999</v>
      </c>
      <c r="I19" s="28">
        <v>0.24942800000000001</v>
      </c>
    </row>
    <row r="20" spans="2:9" x14ac:dyDescent="0.2">
      <c r="B20" s="28">
        <v>5</v>
      </c>
      <c r="C20" s="39">
        <v>7.1999999999999995E-2</v>
      </c>
      <c r="D20" s="39">
        <v>6.0000000000000001E-3</v>
      </c>
      <c r="G20" s="38">
        <v>19</v>
      </c>
      <c r="H20" s="28">
        <v>0.31484000000000001</v>
      </c>
      <c r="I20" s="28">
        <v>7.1152900000000005E-2</v>
      </c>
    </row>
    <row r="21" spans="2:9" x14ac:dyDescent="0.2">
      <c r="B21" s="298" t="s">
        <v>225</v>
      </c>
      <c r="C21" s="299"/>
      <c r="D21" s="300"/>
      <c r="G21" s="38">
        <v>32</v>
      </c>
      <c r="H21" s="28">
        <v>0.18718000000000001</v>
      </c>
      <c r="I21" s="28">
        <v>4.2302600000000003E-2</v>
      </c>
    </row>
    <row r="22" spans="2:9" x14ac:dyDescent="0.2">
      <c r="B22" s="28">
        <v>1</v>
      </c>
      <c r="C22" s="39">
        <v>0.45240000000000002</v>
      </c>
      <c r="D22" s="39">
        <v>0.10730000000000001</v>
      </c>
      <c r="G22" s="297" t="s">
        <v>226</v>
      </c>
      <c r="H22" s="297"/>
      <c r="I22" s="297"/>
    </row>
    <row r="23" spans="2:9" x14ac:dyDescent="0.2">
      <c r="B23" s="28">
        <v>2</v>
      </c>
      <c r="C23" s="39">
        <v>0.23469999999999999</v>
      </c>
      <c r="D23" s="39">
        <v>2.52E-2</v>
      </c>
      <c r="G23" s="38">
        <v>6</v>
      </c>
      <c r="H23" s="28">
        <v>0.99004999999999999</v>
      </c>
      <c r="I23" s="28">
        <v>0.24276</v>
      </c>
    </row>
    <row r="24" spans="2:9" x14ac:dyDescent="0.2">
      <c r="B24" s="28">
        <v>3</v>
      </c>
      <c r="C24" s="39">
        <v>0.16209999999999999</v>
      </c>
      <c r="D24" s="39">
        <v>1.7399999999999999E-2</v>
      </c>
      <c r="G24" s="38">
        <v>19</v>
      </c>
      <c r="H24" s="28">
        <v>0.31484000000000001</v>
      </c>
      <c r="I24" s="28">
        <v>7.7200000000000005E-2</v>
      </c>
    </row>
    <row r="25" spans="2:9" x14ac:dyDescent="0.2">
      <c r="B25" s="28">
        <v>4</v>
      </c>
      <c r="C25" s="39">
        <v>0.1258</v>
      </c>
      <c r="D25" s="39">
        <v>1.35E-2</v>
      </c>
      <c r="G25" s="38">
        <v>32</v>
      </c>
      <c r="H25" s="28">
        <v>0.18718000000000001</v>
      </c>
      <c r="I25" s="28">
        <v>4.5895999999999999E-2</v>
      </c>
    </row>
    <row r="26" spans="2:9" x14ac:dyDescent="0.2">
      <c r="B26" s="28">
        <v>5</v>
      </c>
      <c r="C26" s="39">
        <v>0.1041</v>
      </c>
      <c r="D26" s="39">
        <v>1.12E-2</v>
      </c>
    </row>
    <row r="27" spans="2:9" x14ac:dyDescent="0.2">
      <c r="B27" s="298" t="s">
        <v>227</v>
      </c>
      <c r="C27" s="299"/>
      <c r="D27" s="300"/>
    </row>
    <row r="28" spans="2:9" x14ac:dyDescent="0.2">
      <c r="B28" s="28">
        <v>1</v>
      </c>
      <c r="C28" s="39">
        <v>0.13600000000000001</v>
      </c>
      <c r="D28" s="39">
        <v>3.0700000000000002E-2</v>
      </c>
    </row>
    <row r="29" spans="2:9" x14ac:dyDescent="0.2">
      <c r="B29" s="28">
        <v>2</v>
      </c>
      <c r="C29" s="39">
        <v>6.8000000000000005E-2</v>
      </c>
      <c r="D29" s="39">
        <v>2.2000000000000001E-3</v>
      </c>
    </row>
    <row r="30" spans="2:9" x14ac:dyDescent="0.2">
      <c r="B30" s="298" t="s">
        <v>228</v>
      </c>
      <c r="C30" s="299"/>
      <c r="D30" s="300"/>
    </row>
    <row r="31" spans="2:9" x14ac:dyDescent="0.2">
      <c r="B31" s="28">
        <v>1</v>
      </c>
      <c r="C31" s="39">
        <v>1.2200000000000001E-2</v>
      </c>
      <c r="D31" s="39">
        <v>2.8E-3</v>
      </c>
    </row>
    <row r="32" spans="2:9" x14ac:dyDescent="0.2">
      <c r="B32" s="298" t="s">
        <v>229</v>
      </c>
      <c r="C32" s="299"/>
      <c r="D32" s="300"/>
    </row>
    <row r="33" spans="2:4" x14ac:dyDescent="0.2">
      <c r="B33" s="28">
        <v>1</v>
      </c>
      <c r="C33" s="39">
        <v>2.6499999999999999E-2</v>
      </c>
      <c r="D33" s="39">
        <v>6.0000000000000001E-3</v>
      </c>
    </row>
    <row r="34" spans="2:4" x14ac:dyDescent="0.2">
      <c r="B34" s="298" t="s">
        <v>230</v>
      </c>
      <c r="C34" s="299"/>
      <c r="D34" s="300"/>
    </row>
    <row r="35" spans="2:4" x14ac:dyDescent="0.2">
      <c r="B35" s="38">
        <v>24</v>
      </c>
      <c r="C35" s="39">
        <v>0.19559699999999999</v>
      </c>
      <c r="D35" s="39">
        <v>4.4205000000000001E-2</v>
      </c>
    </row>
    <row r="36" spans="2:4" x14ac:dyDescent="0.2">
      <c r="B36" s="38">
        <v>76</v>
      </c>
      <c r="C36" s="39">
        <v>6.2199900000000002E-2</v>
      </c>
      <c r="D36" s="39">
        <v>1.4057E-2</v>
      </c>
    </row>
    <row r="37" spans="2:4" x14ac:dyDescent="0.2">
      <c r="B37" s="38">
        <v>128</v>
      </c>
      <c r="C37" s="39">
        <v>3.6979699999999997E-2</v>
      </c>
      <c r="D37" s="39">
        <v>8.3573999999999992E-3</v>
      </c>
    </row>
    <row r="38" spans="2:4" x14ac:dyDescent="0.2">
      <c r="B38" s="298" t="s">
        <v>231</v>
      </c>
      <c r="C38" s="299"/>
      <c r="D38" s="300"/>
    </row>
    <row r="39" spans="2:4" x14ac:dyDescent="0.2">
      <c r="B39" s="38">
        <v>35</v>
      </c>
      <c r="C39" s="39">
        <v>0.44744</v>
      </c>
      <c r="D39" s="39">
        <v>0.101121</v>
      </c>
    </row>
    <row r="40" spans="2:4" x14ac:dyDescent="0.2">
      <c r="B40" s="38">
        <v>110</v>
      </c>
      <c r="C40" s="39">
        <v>0.14228499999999999</v>
      </c>
      <c r="D40" s="39">
        <v>3.2156499999999998E-2</v>
      </c>
    </row>
    <row r="41" spans="2:4" x14ac:dyDescent="0.2">
      <c r="B41" s="38">
        <v>185</v>
      </c>
      <c r="C41" s="39">
        <v>8.4593000000000002E-2</v>
      </c>
      <c r="D41" s="39">
        <v>1.9118E-2</v>
      </c>
    </row>
    <row r="42" spans="2:4" x14ac:dyDescent="0.2">
      <c r="B42" s="298" t="s">
        <v>232</v>
      </c>
      <c r="C42" s="299"/>
      <c r="D42" s="300"/>
    </row>
    <row r="43" spans="2:4" x14ac:dyDescent="0.2">
      <c r="B43" s="38">
        <v>90</v>
      </c>
      <c r="C43" s="39">
        <v>0.27371000000000001</v>
      </c>
      <c r="D43" s="39">
        <v>6.1858999999999997E-2</v>
      </c>
    </row>
    <row r="44" spans="2:4" x14ac:dyDescent="0.2">
      <c r="B44" s="38">
        <v>283</v>
      </c>
      <c r="C44" s="39">
        <v>8.7040000000000006E-2</v>
      </c>
      <c r="D44" s="39">
        <v>1.9671000000000001E-2</v>
      </c>
    </row>
    <row r="45" spans="2:4" x14ac:dyDescent="0.2">
      <c r="B45" s="38">
        <v>476</v>
      </c>
      <c r="C45" s="39">
        <v>5.1748000000000002E-2</v>
      </c>
      <c r="D45" s="39">
        <v>1.1695000000000001E-2</v>
      </c>
    </row>
    <row r="46" spans="2:4" x14ac:dyDescent="0.2">
      <c r="B46" s="298" t="s">
        <v>233</v>
      </c>
      <c r="C46" s="299"/>
      <c r="D46" s="300"/>
    </row>
    <row r="47" spans="2:4" x14ac:dyDescent="0.2">
      <c r="B47" s="38">
        <v>35</v>
      </c>
      <c r="C47" s="39">
        <v>0.54908000000000001</v>
      </c>
      <c r="D47" s="39">
        <v>0.14494000000000001</v>
      </c>
    </row>
    <row r="48" spans="2:4" x14ac:dyDescent="0.2">
      <c r="B48" s="38">
        <v>110</v>
      </c>
      <c r="C48" s="39">
        <v>0.17460899999999999</v>
      </c>
      <c r="D48" s="39">
        <v>4.6092000000000001E-2</v>
      </c>
    </row>
    <row r="49" spans="2:4" x14ac:dyDescent="0.2">
      <c r="B49" s="38">
        <v>185</v>
      </c>
      <c r="C49" s="39">
        <v>1.0381E-2</v>
      </c>
      <c r="D49" s="39">
        <v>2.7403E-2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0.81199244378682789</v>
      </c>
      <c r="D53">
        <v>0.21016764266487178</v>
      </c>
    </row>
    <row r="54" spans="2:4" x14ac:dyDescent="0.2">
      <c r="B54" s="302" t="s">
        <v>248</v>
      </c>
      <c r="C54" s="303"/>
      <c r="D54" s="303"/>
    </row>
    <row r="55" spans="2:4" x14ac:dyDescent="0.2">
      <c r="C55">
        <v>0.41161906359977851</v>
      </c>
      <c r="D55">
        <v>0.10653917894757969</v>
      </c>
    </row>
    <row r="56" spans="2:4" x14ac:dyDescent="0.2">
      <c r="B56" s="301" t="s">
        <v>249</v>
      </c>
      <c r="C56" s="301"/>
      <c r="D56" s="301"/>
    </row>
    <row r="57" spans="2:4" x14ac:dyDescent="0.2">
      <c r="C57">
        <v>0.23849288200575736</v>
      </c>
      <c r="D57">
        <v>6.1729006454474288E-2</v>
      </c>
    </row>
  </sheetData>
  <mergeCells count="28">
    <mergeCell ref="B52:D52"/>
    <mergeCell ref="G18:I18"/>
    <mergeCell ref="B21:D21"/>
    <mergeCell ref="G22:I22"/>
    <mergeCell ref="B27:D27"/>
    <mergeCell ref="B50:D50"/>
    <mergeCell ref="B30:D30"/>
    <mergeCell ref="B32:D32"/>
    <mergeCell ref="B34:D34"/>
    <mergeCell ref="B38:D38"/>
    <mergeCell ref="B42:D42"/>
    <mergeCell ref="B46:D46"/>
    <mergeCell ref="B54:D54"/>
    <mergeCell ref="B56:D56"/>
    <mergeCell ref="B3:D3"/>
    <mergeCell ref="G3:I3"/>
    <mergeCell ref="B4:B5"/>
    <mergeCell ref="C4:C5"/>
    <mergeCell ref="D4:D5"/>
    <mergeCell ref="G4:G5"/>
    <mergeCell ref="H4:H5"/>
    <mergeCell ref="I4:I5"/>
    <mergeCell ref="B6:D6"/>
    <mergeCell ref="G6:I6"/>
    <mergeCell ref="G10:I10"/>
    <mergeCell ref="B12:D12"/>
    <mergeCell ref="G14:I14"/>
    <mergeCell ref="B15:D1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4EEFB-6F42-49AD-8ABF-C062AA700FB3}">
  <dimension ref="A1:T57"/>
  <sheetViews>
    <sheetView zoomScale="80" zoomScaleNormal="80" workbookViewId="0">
      <selection activeCell="D64" sqref="D64"/>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101</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598</v>
      </c>
      <c r="M4" s="70">
        <f>P4*0.75</f>
        <v>897</v>
      </c>
      <c r="N4" s="72">
        <f>P4*0.9</f>
        <v>1076.4000000000001</v>
      </c>
      <c r="O4" s="74">
        <f>P4*0.95</f>
        <v>1136.2</v>
      </c>
      <c r="P4" s="63">
        <v>1196</v>
      </c>
      <c r="Q4" s="64">
        <f>P4*1.05</f>
        <v>1255.8</v>
      </c>
      <c r="R4" s="76">
        <f>P4*1.25</f>
        <v>1495</v>
      </c>
      <c r="S4" s="78" t="s">
        <v>206</v>
      </c>
      <c r="T4" s="56" t="s">
        <v>86</v>
      </c>
    </row>
    <row r="5" spans="1:20" ht="16" thickBot="1" x14ac:dyDescent="0.25">
      <c r="B5" s="289"/>
      <c r="C5" s="291"/>
      <c r="D5" s="293"/>
      <c r="E5" s="3"/>
      <c r="F5" s="4"/>
      <c r="G5" s="291"/>
      <c r="H5" s="291"/>
      <c r="I5" s="291"/>
      <c r="K5" s="62" t="s">
        <v>87</v>
      </c>
      <c r="L5" s="68">
        <f>P5*0.5</f>
        <v>4730.5</v>
      </c>
      <c r="M5" s="70">
        <f>P5*0.75</f>
        <v>7095.75</v>
      </c>
      <c r="N5" s="72">
        <f>P5*0.9</f>
        <v>8514.9</v>
      </c>
      <c r="O5" s="74">
        <f>P5*0.95</f>
        <v>8987.9499999999989</v>
      </c>
      <c r="P5" s="63">
        <v>9461</v>
      </c>
      <c r="Q5" s="64">
        <f>P5*1.05</f>
        <v>9934.0500000000011</v>
      </c>
      <c r="R5" s="76">
        <f>P5*1.25</f>
        <v>11826.25</v>
      </c>
      <c r="S5" s="78"/>
      <c r="T5" s="56" t="s">
        <v>86</v>
      </c>
    </row>
    <row r="6" spans="1:20" x14ac:dyDescent="0.2">
      <c r="B6" s="294" t="s">
        <v>207</v>
      </c>
      <c r="C6" s="295"/>
      <c r="D6" s="296"/>
      <c r="G6" s="297" t="s">
        <v>208</v>
      </c>
      <c r="H6" s="297"/>
      <c r="I6" s="297"/>
      <c r="K6" s="62" t="s">
        <v>209</v>
      </c>
      <c r="L6" s="68">
        <f t="shared" ref="L6:N6" si="0">L4+L5</f>
        <v>5328.5</v>
      </c>
      <c r="M6" s="70">
        <f t="shared" si="0"/>
        <v>7992.75</v>
      </c>
      <c r="N6" s="72">
        <f t="shared" si="0"/>
        <v>9591.2999999999993</v>
      </c>
      <c r="O6" s="74">
        <f>O4+O5</f>
        <v>10124.15</v>
      </c>
      <c r="P6" s="63">
        <f>P5+P4</f>
        <v>10657</v>
      </c>
      <c r="Q6" s="64">
        <f t="shared" ref="Q6:R6" si="1">Q4+Q5</f>
        <v>11189.85</v>
      </c>
      <c r="R6" s="76">
        <f t="shared" si="1"/>
        <v>13321.25</v>
      </c>
      <c r="S6" s="78"/>
      <c r="T6" s="56" t="s">
        <v>86</v>
      </c>
    </row>
    <row r="7" spans="1:20" x14ac:dyDescent="0.2">
      <c r="B7" s="28">
        <v>1</v>
      </c>
      <c r="C7" s="39">
        <v>0.65945788588025533</v>
      </c>
      <c r="D7" s="39">
        <v>151.14504439720261</v>
      </c>
      <c r="G7" s="38">
        <v>4.1339999999999995</v>
      </c>
      <c r="H7" s="28">
        <v>1.4754271494951907</v>
      </c>
      <c r="I7" s="28">
        <v>9.8853619016177785E-2</v>
      </c>
      <c r="K7" s="62" t="s">
        <v>210</v>
      </c>
      <c r="L7" s="68">
        <f>P7*0.5</f>
        <v>3547</v>
      </c>
      <c r="M7" s="70">
        <f>P7*0.84</f>
        <v>5958.96</v>
      </c>
      <c r="N7" s="72">
        <f>P7*0.91</f>
        <v>6455.54</v>
      </c>
      <c r="O7" s="74">
        <f>P7*0.95</f>
        <v>6739.2999999999993</v>
      </c>
      <c r="P7" s="63">
        <v>7094</v>
      </c>
      <c r="Q7" s="64">
        <f>P7*1.05</f>
        <v>7448.7000000000007</v>
      </c>
      <c r="R7" s="76">
        <f>P7*1.16</f>
        <v>8229.0399999999991</v>
      </c>
      <c r="S7" s="78"/>
      <c r="T7" s="56" t="s">
        <v>86</v>
      </c>
    </row>
    <row r="8" spans="1:20" x14ac:dyDescent="0.2">
      <c r="B8" s="28">
        <v>2</v>
      </c>
      <c r="C8" s="39">
        <v>0.34572894294012768</v>
      </c>
      <c r="D8" s="39">
        <v>55.021047973604546</v>
      </c>
      <c r="G8" s="38">
        <v>12.999999999999998</v>
      </c>
      <c r="H8" s="28">
        <v>0.46918583353947069</v>
      </c>
      <c r="I8" s="28">
        <v>3.1435450847144539E-2</v>
      </c>
      <c r="K8" s="79" t="s">
        <v>211</v>
      </c>
      <c r="L8" s="80">
        <f t="shared" ref="L8:O8" si="2">L7+L6</f>
        <v>8875.5</v>
      </c>
      <c r="M8" s="81">
        <f t="shared" si="2"/>
        <v>13951.71</v>
      </c>
      <c r="N8" s="82">
        <f t="shared" si="2"/>
        <v>16046.84</v>
      </c>
      <c r="O8" s="83">
        <f t="shared" si="2"/>
        <v>16863.449999999997</v>
      </c>
      <c r="P8" s="84">
        <f>P7+P6</f>
        <v>17751</v>
      </c>
      <c r="Q8" s="85">
        <f t="shared" ref="Q8:R8" si="3">Q7+Q6</f>
        <v>18638.550000000003</v>
      </c>
      <c r="R8" s="86">
        <f t="shared" si="3"/>
        <v>21550.29</v>
      </c>
      <c r="S8" s="87"/>
      <c r="T8" s="88" t="s">
        <v>86</v>
      </c>
    </row>
    <row r="9" spans="1:20" x14ac:dyDescent="0.2">
      <c r="B9" s="28">
        <v>3</v>
      </c>
      <c r="C9" s="39">
        <v>0.2411526286267518</v>
      </c>
      <c r="D9" s="39">
        <v>40.307466818320542</v>
      </c>
      <c r="G9" s="38">
        <v>21.865999999999996</v>
      </c>
      <c r="H9" s="28">
        <v>0.27894520424463182</v>
      </c>
      <c r="I9" s="28">
        <v>1.8689328684390331E-2</v>
      </c>
      <c r="K9" s="62" t="s">
        <v>212</v>
      </c>
      <c r="L9" s="68">
        <f>P9*0.5</f>
        <v>61.5</v>
      </c>
      <c r="M9" s="70">
        <f>P9*0.75</f>
        <v>92.25</v>
      </c>
      <c r="N9" s="72">
        <f>P9*0.9</f>
        <v>110.7</v>
      </c>
      <c r="O9" s="74">
        <f>P9*0.95</f>
        <v>116.85</v>
      </c>
      <c r="P9" s="63">
        <v>123</v>
      </c>
      <c r="Q9" s="64">
        <f>P9*1.05</f>
        <v>129.15</v>
      </c>
      <c r="R9" s="76">
        <f>P9*1.25</f>
        <v>153.75</v>
      </c>
      <c r="S9" s="78"/>
      <c r="T9" s="56" t="s">
        <v>91</v>
      </c>
    </row>
    <row r="10" spans="1:20" x14ac:dyDescent="0.2">
      <c r="B10" s="28">
        <v>4</v>
      </c>
      <c r="C10" s="39">
        <v>0.18886447147006383</v>
      </c>
      <c r="D10" s="39">
        <v>33.078676240678533</v>
      </c>
      <c r="G10" s="297" t="s">
        <v>213</v>
      </c>
      <c r="H10" s="297"/>
      <c r="I10" s="297"/>
      <c r="K10" s="62" t="s">
        <v>214</v>
      </c>
      <c r="L10" s="68">
        <f>P10*0.5</f>
        <v>955.5</v>
      </c>
      <c r="M10" s="70">
        <f>P10*0.75</f>
        <v>1433.25</v>
      </c>
      <c r="N10" s="72">
        <f>P10*0.9</f>
        <v>1719.9</v>
      </c>
      <c r="O10" s="74">
        <f>P10*0.95</f>
        <v>1815.4499999999998</v>
      </c>
      <c r="P10" s="63">
        <v>1911</v>
      </c>
      <c r="Q10" s="64">
        <f>P10*1.05</f>
        <v>2006.5500000000002</v>
      </c>
      <c r="R10" s="76">
        <f>P10*1.25</f>
        <v>2388.75</v>
      </c>
      <c r="S10" s="78"/>
      <c r="T10" s="56" t="s">
        <v>91</v>
      </c>
    </row>
    <row r="11" spans="1:20" x14ac:dyDescent="0.2">
      <c r="B11" s="28">
        <v>5</v>
      </c>
      <c r="C11" s="39">
        <v>0.15749157717605106</v>
      </c>
      <c r="D11" s="39">
        <v>28.843801894093332</v>
      </c>
      <c r="G11" s="28"/>
      <c r="H11" s="28"/>
      <c r="I11" s="28"/>
      <c r="K11" s="62" t="s">
        <v>215</v>
      </c>
      <c r="L11" s="68">
        <f t="shared" ref="L11:N11" si="4">L9+L10</f>
        <v>1017</v>
      </c>
      <c r="M11" s="70">
        <f t="shared" si="4"/>
        <v>1525.5</v>
      </c>
      <c r="N11" s="72">
        <f t="shared" si="4"/>
        <v>1830.6000000000001</v>
      </c>
      <c r="O11" s="74">
        <f>O9+O10</f>
        <v>1932.2999999999997</v>
      </c>
      <c r="P11" s="63">
        <f>P9+P10</f>
        <v>2034</v>
      </c>
      <c r="Q11" s="64">
        <f t="shared" ref="Q11:R11" si="5">Q9+Q10</f>
        <v>2135.7000000000003</v>
      </c>
      <c r="R11" s="76">
        <f t="shared" si="5"/>
        <v>2542.5</v>
      </c>
      <c r="S11" s="78"/>
      <c r="T11" s="56" t="s">
        <v>91</v>
      </c>
    </row>
    <row r="12" spans="1:20" x14ac:dyDescent="0.2">
      <c r="B12" s="297" t="s">
        <v>216</v>
      </c>
      <c r="C12" s="297"/>
      <c r="D12" s="297"/>
      <c r="G12" s="28"/>
      <c r="H12" s="28"/>
      <c r="I12" s="28"/>
      <c r="K12" s="62" t="s">
        <v>217</v>
      </c>
      <c r="L12" s="68">
        <f>P12*0.5</f>
        <v>1017</v>
      </c>
      <c r="M12" s="70">
        <f>P12*0.84</f>
        <v>1708.56</v>
      </c>
      <c r="N12" s="72">
        <f>P12*0.91</f>
        <v>1850.94</v>
      </c>
      <c r="O12" s="74">
        <f>P12*0.95</f>
        <v>1932.3</v>
      </c>
      <c r="P12" s="63">
        <v>2034</v>
      </c>
      <c r="Q12" s="64">
        <f>P12*1.05</f>
        <v>2135.7000000000003</v>
      </c>
      <c r="R12" s="76">
        <f>P12*1.16</f>
        <v>2359.44</v>
      </c>
      <c r="S12" s="78"/>
      <c r="T12" s="56" t="s">
        <v>91</v>
      </c>
    </row>
    <row r="13" spans="1:20" ht="16" thickBot="1" x14ac:dyDescent="0.25">
      <c r="B13" s="28">
        <v>1</v>
      </c>
      <c r="C13" s="39">
        <v>0.45721817164511125</v>
      </c>
      <c r="D13" s="39">
        <v>104.79253085322341</v>
      </c>
      <c r="G13" s="28"/>
      <c r="H13" s="28"/>
      <c r="I13" s="28"/>
      <c r="K13" s="89" t="s">
        <v>218</v>
      </c>
      <c r="L13" s="90">
        <f t="shared" ref="L13:O13" si="6">L12+L11</f>
        <v>2034</v>
      </c>
      <c r="M13" s="91">
        <f t="shared" si="6"/>
        <v>3234.06</v>
      </c>
      <c r="N13" s="92">
        <f t="shared" si="6"/>
        <v>3681.54</v>
      </c>
      <c r="O13" s="93">
        <f t="shared" si="6"/>
        <v>3864.5999999999995</v>
      </c>
      <c r="P13" s="94">
        <f>P12+P11</f>
        <v>4068</v>
      </c>
      <c r="Q13" s="95">
        <f t="shared" ref="Q13:R13" si="7">Q12+Q11</f>
        <v>4271.4000000000005</v>
      </c>
      <c r="R13" s="96">
        <f t="shared" si="7"/>
        <v>4901.9400000000005</v>
      </c>
      <c r="S13" s="97"/>
      <c r="T13" s="98" t="s">
        <v>91</v>
      </c>
    </row>
    <row r="14" spans="1:20" x14ac:dyDescent="0.2">
      <c r="B14" s="28">
        <v>2</v>
      </c>
      <c r="C14" s="39">
        <v>0.24460908582255564</v>
      </c>
      <c r="D14" s="39">
        <v>27.590077859619381</v>
      </c>
      <c r="G14" s="297" t="s">
        <v>219</v>
      </c>
      <c r="H14" s="297"/>
      <c r="I14" s="297"/>
      <c r="L14" s="59"/>
      <c r="M14" s="59"/>
      <c r="N14" s="59"/>
      <c r="O14" s="59"/>
      <c r="P14" s="59"/>
      <c r="Q14" s="59"/>
      <c r="R14" s="59"/>
      <c r="S14" s="59"/>
    </row>
    <row r="15" spans="1:20" x14ac:dyDescent="0.2">
      <c r="B15" s="297" t="s">
        <v>220</v>
      </c>
      <c r="C15" s="297"/>
      <c r="D15" s="297"/>
      <c r="G15" s="38">
        <v>4.1339999999999995</v>
      </c>
      <c r="H15" s="28">
        <v>1.4754271494951907</v>
      </c>
      <c r="I15" s="28">
        <v>0.33639739008490349</v>
      </c>
      <c r="K15" t="s">
        <v>221</v>
      </c>
      <c r="L15" s="60">
        <v>-0.5</v>
      </c>
      <c r="M15" s="60">
        <v>-0.25</v>
      </c>
      <c r="N15" s="60">
        <v>-0.1</v>
      </c>
      <c r="O15" s="60">
        <v>-0.05</v>
      </c>
      <c r="P15" t="s">
        <v>222</v>
      </c>
      <c r="Q15" s="60">
        <v>0.05</v>
      </c>
      <c r="R15" s="60">
        <v>0.25</v>
      </c>
      <c r="S15" s="60"/>
    </row>
    <row r="16" spans="1:20" x14ac:dyDescent="0.2">
      <c r="B16" s="28">
        <v>1</v>
      </c>
      <c r="C16" s="39">
        <v>0.34786318852833154</v>
      </c>
      <c r="D16" s="39">
        <v>23.306833631398213</v>
      </c>
      <c r="G16" s="38">
        <v>12.999999999999998</v>
      </c>
      <c r="H16" s="28">
        <v>0.46918583353947069</v>
      </c>
      <c r="I16" s="28">
        <v>0.10697437004699932</v>
      </c>
      <c r="K16" t="s">
        <v>223</v>
      </c>
      <c r="L16" s="60">
        <v>-0.5</v>
      </c>
      <c r="M16" s="60">
        <v>-0.16</v>
      </c>
      <c r="N16" s="60">
        <v>-0.09</v>
      </c>
      <c r="O16" s="60">
        <v>-0.05</v>
      </c>
      <c r="P16" t="s">
        <v>222</v>
      </c>
      <c r="Q16" s="60">
        <v>0.05</v>
      </c>
      <c r="R16" s="60">
        <v>0.16</v>
      </c>
      <c r="S16" s="60"/>
    </row>
    <row r="17" spans="2:9" x14ac:dyDescent="0.2">
      <c r="B17" s="28">
        <v>2</v>
      </c>
      <c r="C17" s="39">
        <v>0.17690659426416577</v>
      </c>
      <c r="D17" s="39">
        <v>4.4698694855699417</v>
      </c>
      <c r="G17" s="38">
        <v>21.865999999999996</v>
      </c>
      <c r="H17" s="28">
        <v>0.27894520424463182</v>
      </c>
      <c r="I17" s="28">
        <v>6.3599506567776048E-2</v>
      </c>
    </row>
    <row r="18" spans="2:9" x14ac:dyDescent="0.2">
      <c r="B18" s="28">
        <v>3</v>
      </c>
      <c r="C18" s="39">
        <v>0.11992106284277719</v>
      </c>
      <c r="D18" s="39">
        <v>3.2650708269207445</v>
      </c>
      <c r="G18" s="297" t="s">
        <v>224</v>
      </c>
      <c r="H18" s="297"/>
      <c r="I18" s="297"/>
    </row>
    <row r="19" spans="2:9" x14ac:dyDescent="0.2">
      <c r="B19" s="28">
        <v>4</v>
      </c>
      <c r="C19" s="39">
        <v>9.1428297132082878E-2</v>
      </c>
      <c r="D19" s="39">
        <v>2.6685024975961453</v>
      </c>
      <c r="G19" s="38">
        <v>4.1339999999999995</v>
      </c>
      <c r="H19" s="28">
        <v>1.4754271494951907</v>
      </c>
      <c r="I19" s="28">
        <v>0.32477158234803855</v>
      </c>
    </row>
    <row r="20" spans="2:9" x14ac:dyDescent="0.2">
      <c r="B20" s="28">
        <v>5</v>
      </c>
      <c r="C20" s="39">
        <v>7.433263770566631E-2</v>
      </c>
      <c r="D20" s="39">
        <v>2.315226300001386</v>
      </c>
      <c r="G20" s="38">
        <v>12.999999999999998</v>
      </c>
      <c r="H20" s="28">
        <v>0.46918583353947069</v>
      </c>
      <c r="I20" s="28">
        <v>0.10327736318667627</v>
      </c>
    </row>
    <row r="21" spans="2:9" x14ac:dyDescent="0.2">
      <c r="B21" s="297" t="s">
        <v>225</v>
      </c>
      <c r="C21" s="297"/>
      <c r="D21" s="297"/>
      <c r="G21" s="38">
        <v>21.865999999999996</v>
      </c>
      <c r="H21" s="28">
        <v>0.27894520424463182</v>
      </c>
      <c r="I21" s="28">
        <v>6.1401523892197545E-2</v>
      </c>
    </row>
    <row r="22" spans="2:9" x14ac:dyDescent="0.2">
      <c r="B22" s="28">
        <v>1</v>
      </c>
      <c r="C22" s="39">
        <v>0.39276814521225029</v>
      </c>
      <c r="D22" s="39">
        <v>58.16815734886017</v>
      </c>
      <c r="G22" s="297" t="s">
        <v>226</v>
      </c>
      <c r="H22" s="297"/>
      <c r="I22" s="297"/>
    </row>
    <row r="23" spans="2:9" x14ac:dyDescent="0.2">
      <c r="B23" s="28">
        <v>2</v>
      </c>
      <c r="C23" s="39">
        <v>0.20487157260612515</v>
      </c>
      <c r="D23" s="39">
        <v>11.926180118114274</v>
      </c>
      <c r="G23" s="38">
        <v>4.1339999999999995</v>
      </c>
      <c r="H23" s="28">
        <v>1.4754271494951907</v>
      </c>
      <c r="I23" s="28">
        <v>0.21196373618268741</v>
      </c>
    </row>
    <row r="24" spans="2:9" x14ac:dyDescent="0.2">
      <c r="B24" s="28">
        <v>3</v>
      </c>
      <c r="C24" s="39">
        <v>0.14223938173741676</v>
      </c>
      <c r="D24" s="39">
        <v>8.2865473867103177</v>
      </c>
      <c r="G24" s="38">
        <v>12.999999999999998</v>
      </c>
      <c r="H24" s="28">
        <v>0.46918583353947069</v>
      </c>
      <c r="I24" s="28">
        <v>6.74044681060946E-2</v>
      </c>
    </row>
    <row r="25" spans="2:9" x14ac:dyDescent="0.2">
      <c r="B25" s="28">
        <v>4</v>
      </c>
      <c r="C25" s="39">
        <v>0.11092328630306257</v>
      </c>
      <c r="D25" s="39">
        <v>6.4671112610083412</v>
      </c>
      <c r="G25" s="38">
        <v>21.865999999999996</v>
      </c>
      <c r="H25" s="28">
        <v>0.27894520424463182</v>
      </c>
      <c r="I25" s="28">
        <v>4.0074000063076459E-2</v>
      </c>
    </row>
    <row r="26" spans="2:9" x14ac:dyDescent="0.2">
      <c r="B26" s="28">
        <v>5</v>
      </c>
      <c r="C26" s="39">
        <v>9.2133629042450066E-2</v>
      </c>
      <c r="D26" s="39">
        <v>5.3757537775871551</v>
      </c>
    </row>
    <row r="27" spans="2:9" x14ac:dyDescent="0.2">
      <c r="B27" s="297" t="s">
        <v>227</v>
      </c>
      <c r="C27" s="297"/>
      <c r="D27" s="297"/>
    </row>
    <row r="28" spans="2:9" x14ac:dyDescent="0.2">
      <c r="B28" s="28">
        <v>1</v>
      </c>
      <c r="C28" s="39">
        <v>0.14076324373006904</v>
      </c>
      <c r="D28" s="39">
        <v>9.4311373299146251</v>
      </c>
    </row>
    <row r="29" spans="2:9" x14ac:dyDescent="0.2">
      <c r="B29" s="28">
        <v>2</v>
      </c>
      <c r="C29" s="39">
        <v>7.0381621865034522E-2</v>
      </c>
      <c r="D29" s="39">
        <v>0.80172672016673008</v>
      </c>
    </row>
    <row r="30" spans="2:9" x14ac:dyDescent="0.2">
      <c r="B30" s="297" t="s">
        <v>228</v>
      </c>
      <c r="C30" s="297"/>
      <c r="D30" s="297"/>
    </row>
    <row r="31" spans="2:9" x14ac:dyDescent="0.2">
      <c r="B31" s="28">
        <v>1</v>
      </c>
      <c r="C31" s="39">
        <v>1.26E-2</v>
      </c>
      <c r="D31" s="39">
        <v>0.84690529183859786</v>
      </c>
    </row>
    <row r="32" spans="2:9" x14ac:dyDescent="0.2">
      <c r="B32" s="297" t="s">
        <v>229</v>
      </c>
      <c r="C32" s="297"/>
      <c r="D32" s="297"/>
    </row>
    <row r="33" spans="2:4" x14ac:dyDescent="0.2">
      <c r="B33" s="28">
        <v>1</v>
      </c>
      <c r="C33" s="39">
        <v>2.7400000000000001E-2</v>
      </c>
      <c r="D33" s="39">
        <v>1.8361000000000001</v>
      </c>
    </row>
    <row r="34" spans="2:4" x14ac:dyDescent="0.2">
      <c r="B34" s="297" t="s">
        <v>230</v>
      </c>
      <c r="C34" s="297"/>
      <c r="D34" s="297"/>
    </row>
    <row r="35" spans="2:4" x14ac:dyDescent="0.2">
      <c r="B35" s="38">
        <v>25.517621489077133</v>
      </c>
      <c r="C35" s="28">
        <v>0.16799022933319746</v>
      </c>
      <c r="D35" s="28">
        <v>1.1255345365324229E-2</v>
      </c>
    </row>
    <row r="36" spans="2:4" x14ac:dyDescent="0.2">
      <c r="B36" s="38">
        <v>80.244092732946953</v>
      </c>
      <c r="C36" s="28">
        <v>5.3420892927956792E-2</v>
      </c>
      <c r="D36" s="28">
        <v>3.5791998261731051E-3</v>
      </c>
    </row>
    <row r="37" spans="2:4" x14ac:dyDescent="0.2">
      <c r="B37" s="38">
        <v>134.97056397681678</v>
      </c>
      <c r="C37" s="28">
        <v>3.1760340623042088E-2</v>
      </c>
      <c r="D37" s="28">
        <v>2.12794282174382E-3</v>
      </c>
    </row>
    <row r="38" spans="2:4" x14ac:dyDescent="0.2">
      <c r="B38" s="297" t="s">
        <v>231</v>
      </c>
      <c r="C38" s="297"/>
      <c r="D38" s="297"/>
    </row>
    <row r="39" spans="2:4" x14ac:dyDescent="0.2">
      <c r="B39" s="38">
        <v>33.868233840048845</v>
      </c>
      <c r="C39" s="28">
        <v>0.41535767695229114</v>
      </c>
      <c r="D39" s="28">
        <v>2.7828964355803509E-2</v>
      </c>
    </row>
    <row r="40" spans="2:4" x14ac:dyDescent="0.2">
      <c r="B40" s="38">
        <v>106.5038800001536</v>
      </c>
      <c r="C40" s="28">
        <v>0.13208374127082859</v>
      </c>
      <c r="D40" s="28">
        <v>8.8496106651455159E-3</v>
      </c>
    </row>
    <row r="41" spans="2:4" x14ac:dyDescent="0.2">
      <c r="B41" s="38">
        <v>179.13952616025836</v>
      </c>
      <c r="C41" s="28">
        <v>7.8527789102751835E-2</v>
      </c>
      <c r="D41" s="28">
        <v>5.2613618698843737E-3</v>
      </c>
    </row>
    <row r="42" spans="2:4" x14ac:dyDescent="0.2">
      <c r="B42" s="297" t="s">
        <v>232</v>
      </c>
      <c r="C42" s="297"/>
      <c r="D42" s="297"/>
    </row>
    <row r="43" spans="2:4" x14ac:dyDescent="0.2">
      <c r="B43" s="38">
        <v>69.262115470352214</v>
      </c>
      <c r="C43" s="28">
        <v>0.323326004468594</v>
      </c>
      <c r="D43" s="28">
        <v>2.1662842299395801E-2</v>
      </c>
    </row>
    <row r="44" spans="2:4" x14ac:dyDescent="0.2">
      <c r="B44" s="38">
        <v>217.805394560856</v>
      </c>
      <c r="C44" s="28">
        <v>0.10281766942101291</v>
      </c>
      <c r="D44" s="28">
        <v>6.8887838512078654E-3</v>
      </c>
    </row>
    <row r="45" spans="2:4" x14ac:dyDescent="0.2">
      <c r="B45" s="38">
        <v>366.34867365135977</v>
      </c>
      <c r="C45" s="28">
        <v>6.112822201011469E-2</v>
      </c>
      <c r="D45" s="28">
        <v>4.095590874677685E-3</v>
      </c>
    </row>
    <row r="46" spans="2:4" x14ac:dyDescent="0.2">
      <c r="B46" s="297" t="s">
        <v>233</v>
      </c>
      <c r="C46" s="297"/>
      <c r="D46" s="297"/>
    </row>
    <row r="47" spans="2:4" x14ac:dyDescent="0.2">
      <c r="B47" s="38">
        <v>33.868233840048845</v>
      </c>
      <c r="C47" s="28">
        <v>0.66437608344395394</v>
      </c>
      <c r="D47" s="28">
        <v>0.17722896401950916</v>
      </c>
    </row>
    <row r="48" spans="2:4" x14ac:dyDescent="0.2">
      <c r="B48" s="38">
        <v>106.5038800001536</v>
      </c>
      <c r="C48" s="28">
        <v>0.21127159453517735</v>
      </c>
      <c r="D48" s="28">
        <v>5.6358810558203909E-2</v>
      </c>
    </row>
    <row r="49" spans="2:4" x14ac:dyDescent="0.2">
      <c r="B49" s="38">
        <v>179.13952616025836</v>
      </c>
      <c r="C49" s="28">
        <v>0.12560736892697821</v>
      </c>
      <c r="D49" s="28">
        <v>3.3507021734960708E-2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0.8902862772486545</v>
      </c>
      <c r="D53">
        <v>0.23043257359538469</v>
      </c>
    </row>
    <row r="54" spans="2:4" x14ac:dyDescent="0.2">
      <c r="B54" s="302" t="s">
        <v>248</v>
      </c>
      <c r="C54" s="303"/>
      <c r="D54" s="303"/>
    </row>
    <row r="55" spans="2:4" x14ac:dyDescent="0.2">
      <c r="C55">
        <v>0.384883450655301</v>
      </c>
      <c r="D55">
        <v>9.9619286891470857E-2</v>
      </c>
    </row>
    <row r="56" spans="2:4" x14ac:dyDescent="0.2">
      <c r="B56" s="301" t="s">
        <v>249</v>
      </c>
      <c r="C56" s="301"/>
      <c r="D56" s="301"/>
    </row>
    <row r="57" spans="2:4" x14ac:dyDescent="0.2">
      <c r="C57">
        <v>0.23927551107725517</v>
      </c>
      <c r="D57">
        <v>6.1931620451657607E-2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4768-2110-44A0-86C5-A4B5B4A20730}">
  <dimension ref="A1:T57"/>
  <sheetViews>
    <sheetView zoomScale="80" zoomScaleNormal="80" workbookViewId="0">
      <selection activeCell="C64" sqref="C64"/>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102</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599.5</v>
      </c>
      <c r="M4" s="70">
        <f>P4*0.75</f>
        <v>899.25</v>
      </c>
      <c r="N4" s="72">
        <f>P4*0.9</f>
        <v>1079.1000000000001</v>
      </c>
      <c r="O4" s="74">
        <f>P4*0.95</f>
        <v>1139.05</v>
      </c>
      <c r="P4" s="63">
        <v>1199</v>
      </c>
      <c r="Q4" s="64">
        <f>P4*1.05</f>
        <v>1258.95</v>
      </c>
      <c r="R4" s="76">
        <f>P4*1.25</f>
        <v>1498.75</v>
      </c>
      <c r="S4" s="78" t="s">
        <v>206</v>
      </c>
      <c r="T4" s="56" t="s">
        <v>86</v>
      </c>
    </row>
    <row r="5" spans="1:20" ht="16" thickBot="1" x14ac:dyDescent="0.25">
      <c r="B5" s="289"/>
      <c r="C5" s="291"/>
      <c r="D5" s="293"/>
      <c r="E5" s="3"/>
      <c r="F5" s="4"/>
      <c r="G5" s="291"/>
      <c r="H5" s="291"/>
      <c r="I5" s="291"/>
      <c r="K5" s="62" t="s">
        <v>87</v>
      </c>
      <c r="L5" s="68">
        <f>P5*0.5</f>
        <v>2695.5</v>
      </c>
      <c r="M5" s="70">
        <f>P5*0.75</f>
        <v>4043.25</v>
      </c>
      <c r="N5" s="72">
        <f>P5*0.9</f>
        <v>4851.9000000000005</v>
      </c>
      <c r="O5" s="74">
        <f>P5*0.95</f>
        <v>5121.45</v>
      </c>
      <c r="P5" s="63">
        <v>5391</v>
      </c>
      <c r="Q5" s="64">
        <f>P5*1.05</f>
        <v>5660.55</v>
      </c>
      <c r="R5" s="76">
        <f>P5*1.25</f>
        <v>6738.75</v>
      </c>
      <c r="S5" s="78"/>
      <c r="T5" s="56" t="s">
        <v>86</v>
      </c>
    </row>
    <row r="6" spans="1:20" x14ac:dyDescent="0.2">
      <c r="B6" s="294" t="s">
        <v>207</v>
      </c>
      <c r="C6" s="295"/>
      <c r="D6" s="296"/>
      <c r="G6" s="297" t="s">
        <v>208</v>
      </c>
      <c r="H6" s="297"/>
      <c r="I6" s="297"/>
      <c r="K6" s="62" t="s">
        <v>209</v>
      </c>
      <c r="L6" s="68">
        <f t="shared" ref="L6:N6" si="0">L4+L5</f>
        <v>3295</v>
      </c>
      <c r="M6" s="70">
        <f t="shared" si="0"/>
        <v>4942.5</v>
      </c>
      <c r="N6" s="72">
        <f t="shared" si="0"/>
        <v>5931.0000000000009</v>
      </c>
      <c r="O6" s="74">
        <f>O4+O5</f>
        <v>6260.5</v>
      </c>
      <c r="P6" s="63">
        <f>P5+P4</f>
        <v>6590</v>
      </c>
      <c r="Q6" s="64">
        <f t="shared" ref="Q6:R6" si="1">Q4+Q5</f>
        <v>6919.5</v>
      </c>
      <c r="R6" s="76">
        <f t="shared" si="1"/>
        <v>8237.5</v>
      </c>
      <c r="S6" s="78"/>
      <c r="T6" s="56" t="s">
        <v>86</v>
      </c>
    </row>
    <row r="7" spans="1:20" x14ac:dyDescent="0.2">
      <c r="B7" s="28">
        <v>1</v>
      </c>
      <c r="C7" s="39">
        <v>0.63435585517082882</v>
      </c>
      <c r="D7" s="39">
        <v>152.79331732748628</v>
      </c>
      <c r="G7" s="38">
        <v>6.0806216666746602</v>
      </c>
      <c r="H7" s="28">
        <v>0.9969421524352714</v>
      </c>
      <c r="I7" s="28">
        <v>5.4831818383939926E-2</v>
      </c>
      <c r="K7" s="62" t="s">
        <v>210</v>
      </c>
      <c r="L7" s="68">
        <f>P7*0.5</f>
        <v>2814.5</v>
      </c>
      <c r="M7" s="70">
        <f>P7*0.84</f>
        <v>4728.3599999999997</v>
      </c>
      <c r="N7" s="72">
        <f>P7*0.91</f>
        <v>5122.3900000000003</v>
      </c>
      <c r="O7" s="74">
        <f>P7*0.95</f>
        <v>5347.55</v>
      </c>
      <c r="P7" s="63">
        <v>5629</v>
      </c>
      <c r="Q7" s="64">
        <f>P7*1.05</f>
        <v>5910.45</v>
      </c>
      <c r="R7" s="76">
        <f>P7*1.16</f>
        <v>6529.6399999999994</v>
      </c>
      <c r="S7" s="78"/>
      <c r="T7" s="56" t="s">
        <v>86</v>
      </c>
    </row>
    <row r="8" spans="1:20" x14ac:dyDescent="0.2">
      <c r="B8" s="28">
        <v>2</v>
      </c>
      <c r="C8" s="39">
        <v>0.33317792758541442</v>
      </c>
      <c r="D8" s="39">
        <v>53.572784236755787</v>
      </c>
      <c r="G8" s="38">
        <v>19.121451781995788</v>
      </c>
      <c r="H8" s="28">
        <v>0.3170276044744163</v>
      </c>
      <c r="I8" s="28">
        <v>1.7436518246092894E-2</v>
      </c>
      <c r="K8" s="79" t="s">
        <v>211</v>
      </c>
      <c r="L8" s="80">
        <f t="shared" ref="L8:O8" si="2">L7+L6</f>
        <v>6109.5</v>
      </c>
      <c r="M8" s="81">
        <f t="shared" si="2"/>
        <v>9670.86</v>
      </c>
      <c r="N8" s="82">
        <f t="shared" si="2"/>
        <v>11053.390000000001</v>
      </c>
      <c r="O8" s="83">
        <f t="shared" si="2"/>
        <v>11608.05</v>
      </c>
      <c r="P8" s="84">
        <f>P7+P6</f>
        <v>12219</v>
      </c>
      <c r="Q8" s="85">
        <f t="shared" ref="Q8:R8" si="3">Q7+Q6</f>
        <v>12829.95</v>
      </c>
      <c r="R8" s="86">
        <f t="shared" si="3"/>
        <v>14767.14</v>
      </c>
      <c r="S8" s="87"/>
      <c r="T8" s="88" t="s">
        <v>86</v>
      </c>
    </row>
    <row r="9" spans="1:20" x14ac:dyDescent="0.2">
      <c r="B9" s="28">
        <v>3</v>
      </c>
      <c r="C9" s="39">
        <v>0.23278528505694296</v>
      </c>
      <c r="D9" s="39">
        <v>39.292600489785919</v>
      </c>
      <c r="G9" s="38">
        <v>32.162281897316909</v>
      </c>
      <c r="H9" s="28">
        <v>0.18848252346873742</v>
      </c>
      <c r="I9" s="28">
        <v>1.0366538790780559E-2</v>
      </c>
      <c r="K9" s="62" t="s">
        <v>212</v>
      </c>
      <c r="L9" s="68">
        <f>P9*0.5</f>
        <v>32.5</v>
      </c>
      <c r="M9" s="70">
        <f>P9*0.75</f>
        <v>48.75</v>
      </c>
      <c r="N9" s="72">
        <f>P9*0.9</f>
        <v>58.5</v>
      </c>
      <c r="O9" s="74">
        <f>P9*0.95</f>
        <v>61.75</v>
      </c>
      <c r="P9" s="63">
        <v>65</v>
      </c>
      <c r="Q9" s="64">
        <f>P9*1.05</f>
        <v>68.25</v>
      </c>
      <c r="R9" s="76">
        <f>P9*1.25</f>
        <v>81.25</v>
      </c>
      <c r="S9" s="78"/>
      <c r="T9" s="56" t="s">
        <v>91</v>
      </c>
    </row>
    <row r="10" spans="1:20" x14ac:dyDescent="0.2">
      <c r="B10" s="28">
        <v>4</v>
      </c>
      <c r="C10" s="39">
        <v>0.1825889637927072</v>
      </c>
      <c r="D10" s="39">
        <v>32.280508616300985</v>
      </c>
      <c r="G10" s="297" t="s">
        <v>213</v>
      </c>
      <c r="H10" s="297"/>
      <c r="I10" s="297"/>
      <c r="K10" s="62" t="s">
        <v>214</v>
      </c>
      <c r="L10" s="68">
        <f>P10*0.5</f>
        <v>544.5</v>
      </c>
      <c r="M10" s="70">
        <f>P10*0.75</f>
        <v>816.75</v>
      </c>
      <c r="N10" s="72">
        <f>P10*0.9</f>
        <v>980.1</v>
      </c>
      <c r="O10" s="74">
        <f>P10*0.95</f>
        <v>1034.55</v>
      </c>
      <c r="P10" s="63">
        <v>1089</v>
      </c>
      <c r="Q10" s="64">
        <f>P10*1.05</f>
        <v>1143.45</v>
      </c>
      <c r="R10" s="76">
        <f>P10*1.25</f>
        <v>1361.25</v>
      </c>
      <c r="S10" s="78"/>
      <c r="T10" s="56" t="s">
        <v>91</v>
      </c>
    </row>
    <row r="11" spans="1:20" x14ac:dyDescent="0.2">
      <c r="B11" s="28">
        <v>5</v>
      </c>
      <c r="C11" s="39">
        <v>0.15247117103416577</v>
      </c>
      <c r="D11" s="39">
        <v>28.175653492210028</v>
      </c>
      <c r="G11" s="38">
        <v>6.0806216666746602</v>
      </c>
      <c r="H11" s="28">
        <v>0.9969421524352714</v>
      </c>
      <c r="I11" s="28">
        <v>0.15085500631207235</v>
      </c>
      <c r="K11" s="62" t="s">
        <v>215</v>
      </c>
      <c r="L11" s="68">
        <f t="shared" ref="L11:N11" si="4">L9+L10</f>
        <v>577</v>
      </c>
      <c r="M11" s="70">
        <f t="shared" si="4"/>
        <v>865.5</v>
      </c>
      <c r="N11" s="72">
        <f t="shared" si="4"/>
        <v>1038.5999999999999</v>
      </c>
      <c r="O11" s="74">
        <f>O9+O10</f>
        <v>1096.3</v>
      </c>
      <c r="P11" s="63">
        <f>P9+P10</f>
        <v>1154</v>
      </c>
      <c r="Q11" s="64">
        <f t="shared" ref="Q11:R11" si="5">Q9+Q10</f>
        <v>1211.7</v>
      </c>
      <c r="R11" s="76">
        <f t="shared" si="5"/>
        <v>1442.5</v>
      </c>
      <c r="S11" s="78"/>
      <c r="T11" s="56" t="s">
        <v>91</v>
      </c>
    </row>
    <row r="12" spans="1:20" x14ac:dyDescent="0.2">
      <c r="B12" s="298" t="s">
        <v>216</v>
      </c>
      <c r="C12" s="299"/>
      <c r="D12" s="300"/>
      <c r="G12" s="38">
        <v>19.121451781995788</v>
      </c>
      <c r="H12" s="28">
        <v>0.3170276044744163</v>
      </c>
      <c r="I12" s="28">
        <v>4.797189200723901E-2</v>
      </c>
      <c r="K12" s="62" t="s">
        <v>217</v>
      </c>
      <c r="L12" s="68">
        <f>P12*0.5</f>
        <v>677.5</v>
      </c>
      <c r="M12" s="70">
        <f>P12*0.84</f>
        <v>1138.2</v>
      </c>
      <c r="N12" s="72">
        <f>P12*0.91</f>
        <v>1233.05</v>
      </c>
      <c r="O12" s="74">
        <f>P12*0.95</f>
        <v>1287.25</v>
      </c>
      <c r="P12" s="63">
        <v>1355</v>
      </c>
      <c r="Q12" s="64">
        <f>P12*1.05</f>
        <v>1422.75</v>
      </c>
      <c r="R12" s="76">
        <f>P12*1.16</f>
        <v>1571.8</v>
      </c>
      <c r="S12" s="78"/>
      <c r="T12" s="56" t="s">
        <v>91</v>
      </c>
    </row>
    <row r="13" spans="1:20" ht="16" thickBot="1" x14ac:dyDescent="0.25">
      <c r="B13" s="28">
        <v>1</v>
      </c>
      <c r="C13" s="39">
        <v>0.40225253042038889</v>
      </c>
      <c r="D13" s="39">
        <v>96.888044817928787</v>
      </c>
      <c r="G13" s="38">
        <v>32.162281897316909</v>
      </c>
      <c r="H13" s="28">
        <v>0.18848252346873742</v>
      </c>
      <c r="I13" s="28">
        <v>2.8520744356265768E-2</v>
      </c>
      <c r="K13" s="89" t="s">
        <v>218</v>
      </c>
      <c r="L13" s="90">
        <f t="shared" ref="L13:O13" si="6">L12+L11</f>
        <v>1254.5</v>
      </c>
      <c r="M13" s="91">
        <f t="shared" si="6"/>
        <v>2003.7</v>
      </c>
      <c r="N13" s="92">
        <f t="shared" si="6"/>
        <v>2271.6499999999996</v>
      </c>
      <c r="O13" s="93">
        <f t="shared" si="6"/>
        <v>2383.5500000000002</v>
      </c>
      <c r="P13" s="94">
        <f>P12+P11</f>
        <v>2509</v>
      </c>
      <c r="Q13" s="95">
        <f t="shared" ref="Q13:R13" si="7">Q12+Q11</f>
        <v>2634.45</v>
      </c>
      <c r="R13" s="96">
        <f t="shared" si="7"/>
        <v>3014.3</v>
      </c>
      <c r="S13" s="97"/>
      <c r="T13" s="98" t="s">
        <v>91</v>
      </c>
    </row>
    <row r="14" spans="1:20" x14ac:dyDescent="0.2">
      <c r="B14" s="28">
        <v>2</v>
      </c>
      <c r="C14" s="39">
        <v>0.21712626521019446</v>
      </c>
      <c r="D14" s="39">
        <v>22.773949436516368</v>
      </c>
      <c r="G14" s="297" t="s">
        <v>219</v>
      </c>
      <c r="H14" s="297"/>
      <c r="I14" s="297"/>
      <c r="L14" s="59"/>
      <c r="M14" s="59"/>
      <c r="N14" s="59"/>
      <c r="O14" s="59"/>
      <c r="P14" s="59"/>
      <c r="Q14" s="59"/>
      <c r="R14" s="59"/>
      <c r="S14" s="59"/>
    </row>
    <row r="15" spans="1:20" x14ac:dyDescent="0.2">
      <c r="B15" s="298" t="s">
        <v>220</v>
      </c>
      <c r="C15" s="299"/>
      <c r="D15" s="300"/>
      <c r="G15" s="38">
        <v>6.0806216666746602</v>
      </c>
      <c r="H15" s="28">
        <v>0.9969421524352714</v>
      </c>
      <c r="I15" s="28">
        <v>0.22730281075524192</v>
      </c>
      <c r="K15" t="s">
        <v>221</v>
      </c>
      <c r="L15" s="60">
        <v>-0.5</v>
      </c>
      <c r="M15" s="60">
        <v>-0.25</v>
      </c>
      <c r="N15" s="60">
        <v>-0.1</v>
      </c>
      <c r="O15" s="60">
        <v>-0.05</v>
      </c>
      <c r="P15" t="s">
        <v>222</v>
      </c>
      <c r="Q15" s="60">
        <v>0.05</v>
      </c>
      <c r="R15" s="60">
        <v>0.25</v>
      </c>
      <c r="S15" s="60"/>
    </row>
    <row r="16" spans="1:20" x14ac:dyDescent="0.2">
      <c r="B16" s="28">
        <v>1</v>
      </c>
      <c r="C16" s="39">
        <v>0.32394732984318231</v>
      </c>
      <c r="D16" s="39">
        <v>17.817103141375028</v>
      </c>
      <c r="G16" s="38">
        <v>19.121451781995788</v>
      </c>
      <c r="H16" s="28">
        <v>0.3170276044744163</v>
      </c>
      <c r="I16" s="28">
        <v>7.2282293820166918E-2</v>
      </c>
      <c r="K16" t="s">
        <v>223</v>
      </c>
      <c r="L16" s="60">
        <v>-0.5</v>
      </c>
      <c r="M16" s="60">
        <v>-0.16</v>
      </c>
      <c r="N16" s="60">
        <v>-0.09</v>
      </c>
      <c r="O16" s="60">
        <v>-0.05</v>
      </c>
      <c r="P16" t="s">
        <v>222</v>
      </c>
      <c r="Q16" s="60">
        <v>0.05</v>
      </c>
      <c r="R16" s="60">
        <v>0.16</v>
      </c>
      <c r="S16" s="60"/>
    </row>
    <row r="17" spans="2:9" x14ac:dyDescent="0.2">
      <c r="B17" s="28">
        <v>2</v>
      </c>
      <c r="C17" s="39">
        <v>0.16494866492159116</v>
      </c>
      <c r="D17" s="39">
        <v>3.2622067591864177</v>
      </c>
      <c r="G17" s="38">
        <v>32.162281897316909</v>
      </c>
      <c r="H17" s="28">
        <v>0.18848252346873742</v>
      </c>
      <c r="I17" s="28">
        <v>4.2974015350872141E-2</v>
      </c>
    </row>
    <row r="18" spans="2:9" x14ac:dyDescent="0.2">
      <c r="B18" s="28">
        <v>3</v>
      </c>
      <c r="C18" s="39">
        <v>0.11194910994772744</v>
      </c>
      <c r="D18" s="39">
        <v>2.4334493495188845</v>
      </c>
      <c r="G18" s="297" t="s">
        <v>224</v>
      </c>
      <c r="H18" s="297"/>
      <c r="I18" s="297"/>
    </row>
    <row r="19" spans="2:9" x14ac:dyDescent="0.2">
      <c r="B19" s="28">
        <v>4</v>
      </c>
      <c r="C19" s="39">
        <v>8.5449332460795571E-2</v>
      </c>
      <c r="D19" s="39">
        <v>2.024901644685118</v>
      </c>
      <c r="G19" s="38">
        <v>6.0806216666746602</v>
      </c>
      <c r="H19" s="28">
        <v>0.9969421524352714</v>
      </c>
      <c r="I19" s="28">
        <v>0.2468781942402048</v>
      </c>
    </row>
    <row r="20" spans="2:9" x14ac:dyDescent="0.2">
      <c r="B20" s="28">
        <v>5</v>
      </c>
      <c r="C20" s="39">
        <v>6.9549465968636454E-2</v>
      </c>
      <c r="D20" s="39">
        <v>1.7844378217848582</v>
      </c>
      <c r="G20" s="38">
        <v>19.121451781995788</v>
      </c>
      <c r="H20" s="28">
        <v>0.3170276044744163</v>
      </c>
      <c r="I20" s="28">
        <v>7.8507265768385126E-2</v>
      </c>
    </row>
    <row r="21" spans="2:9" x14ac:dyDescent="0.2">
      <c r="B21" s="298" t="s">
        <v>225</v>
      </c>
      <c r="C21" s="299"/>
      <c r="D21" s="299"/>
      <c r="G21" s="38">
        <v>32.162281897316909</v>
      </c>
      <c r="H21" s="28">
        <v>0.18848252346873742</v>
      </c>
      <c r="I21" s="28">
        <v>4.6674949921750974E-2</v>
      </c>
    </row>
    <row r="22" spans="2:9" x14ac:dyDescent="0.2">
      <c r="B22" s="28">
        <v>1</v>
      </c>
      <c r="C22" s="39">
        <v>0.38307489509385012</v>
      </c>
      <c r="D22" s="39">
        <v>56.668983636835968</v>
      </c>
      <c r="G22" s="297" t="s">
        <v>226</v>
      </c>
      <c r="H22" s="297"/>
      <c r="I22" s="297"/>
    </row>
    <row r="23" spans="2:9" x14ac:dyDescent="0.2">
      <c r="B23" s="28">
        <v>2</v>
      </c>
      <c r="C23" s="39">
        <v>0.20002494754692507</v>
      </c>
      <c r="D23" s="39">
        <v>11.344171597145772</v>
      </c>
      <c r="G23" s="38">
        <v>6.0806216666746602</v>
      </c>
      <c r="H23" s="28">
        <v>0.9969421524352714</v>
      </c>
      <c r="I23" s="28">
        <v>0.22120527853099278</v>
      </c>
    </row>
    <row r="24" spans="2:9" x14ac:dyDescent="0.2">
      <c r="B24" s="28">
        <v>3</v>
      </c>
      <c r="C24" s="39">
        <v>0.1390082983646167</v>
      </c>
      <c r="D24" s="39">
        <v>7.8899141289423449</v>
      </c>
      <c r="G24" s="38">
        <v>19.121451781995788</v>
      </c>
      <c r="H24" s="28">
        <v>0.3170276044744163</v>
      </c>
      <c r="I24" s="28">
        <v>7.0343278572855703E-2</v>
      </c>
    </row>
    <row r="25" spans="2:9" x14ac:dyDescent="0.2">
      <c r="B25" s="28">
        <v>4</v>
      </c>
      <c r="C25" s="39">
        <v>0.10849997377346253</v>
      </c>
      <c r="D25" s="39">
        <v>6.1631656348406327</v>
      </c>
      <c r="G25" s="38">
        <v>32.162281897316909</v>
      </c>
      <c r="H25" s="28">
        <v>0.18848252346873742</v>
      </c>
      <c r="I25" s="28">
        <v>4.1821211993374387E-2</v>
      </c>
    </row>
    <row r="26" spans="2:9" x14ac:dyDescent="0.2">
      <c r="B26" s="28">
        <v>5</v>
      </c>
      <c r="C26" s="39">
        <v>9.0194979018770022E-2</v>
      </c>
      <c r="D26" s="39">
        <v>5.1274207303796064</v>
      </c>
    </row>
    <row r="27" spans="2:9" x14ac:dyDescent="0.2">
      <c r="B27" s="298" t="s">
        <v>227</v>
      </c>
      <c r="C27" s="299"/>
      <c r="D27" s="300"/>
    </row>
    <row r="28" spans="2:9" x14ac:dyDescent="0.2">
      <c r="B28" s="28">
        <v>1</v>
      </c>
      <c r="C28" s="39">
        <v>0.13108566370398539</v>
      </c>
      <c r="D28" s="39">
        <v>7.2097115037191966</v>
      </c>
    </row>
    <row r="29" spans="2:9" x14ac:dyDescent="0.2">
      <c r="B29" s="28">
        <v>2</v>
      </c>
      <c r="C29" s="39">
        <v>6.5542831851992694E-2</v>
      </c>
      <c r="D29" s="39">
        <v>0.60100885921955027</v>
      </c>
    </row>
    <row r="30" spans="2:9" x14ac:dyDescent="0.2">
      <c r="B30" s="298" t="s">
        <v>228</v>
      </c>
      <c r="C30" s="299"/>
      <c r="D30" s="299"/>
    </row>
    <row r="31" spans="2:9" x14ac:dyDescent="0.2">
      <c r="B31" s="28">
        <v>1</v>
      </c>
      <c r="C31" s="39">
        <v>1.1771341927441219E-2</v>
      </c>
      <c r="D31" s="39">
        <v>0.64742380600926708</v>
      </c>
    </row>
    <row r="32" spans="2:9" x14ac:dyDescent="0.2">
      <c r="B32" s="298" t="s">
        <v>229</v>
      </c>
      <c r="C32" s="299"/>
      <c r="D32" s="299"/>
    </row>
    <row r="33" spans="2:4" x14ac:dyDescent="0.2">
      <c r="B33" s="28">
        <v>1</v>
      </c>
      <c r="C33" s="39">
        <v>2.5520269298692562E-2</v>
      </c>
      <c r="D33" s="39">
        <v>1.4036148114280909</v>
      </c>
    </row>
    <row r="34" spans="2:4" x14ac:dyDescent="0.2">
      <c r="B34" s="298" t="s">
        <v>230</v>
      </c>
      <c r="C34" s="299"/>
      <c r="D34" s="299"/>
    </row>
    <row r="35" spans="2:4" x14ac:dyDescent="0.2">
      <c r="B35" s="38">
        <v>24.393023010116146</v>
      </c>
      <c r="C35" s="28">
        <v>0.2288352854459331</v>
      </c>
      <c r="D35" s="28">
        <v>1.2585940699526321E-2</v>
      </c>
    </row>
    <row r="36" spans="2:4" x14ac:dyDescent="0.2">
      <c r="B36" s="38">
        <v>76.707619528667124</v>
      </c>
      <c r="C36" s="28">
        <v>7.2769620771806723E-2</v>
      </c>
      <c r="D36" s="28">
        <v>4.0023291424493698E-3</v>
      </c>
    </row>
    <row r="37" spans="2:4" x14ac:dyDescent="0.2">
      <c r="B37" s="38">
        <v>129.02221604721811</v>
      </c>
      <c r="C37" s="28">
        <v>4.3263745999885091E-2</v>
      </c>
      <c r="D37" s="28">
        <v>2.3795060299936798E-3</v>
      </c>
    </row>
    <row r="38" spans="2:4" x14ac:dyDescent="0.2">
      <c r="B38" s="297" t="s">
        <v>231</v>
      </c>
      <c r="C38" s="297"/>
      <c r="D38" s="297"/>
    </row>
    <row r="39" spans="2:4" x14ac:dyDescent="0.2">
      <c r="B39" s="38">
        <v>101.76</v>
      </c>
      <c r="C39" s="28">
        <v>0.17644520672720285</v>
      </c>
      <c r="D39" s="28">
        <v>9.7044863699961553E-3</v>
      </c>
    </row>
    <row r="40" spans="2:4" x14ac:dyDescent="0.2">
      <c r="B40" s="38">
        <v>320</v>
      </c>
      <c r="C40" s="28">
        <v>5.6109575739250503E-2</v>
      </c>
      <c r="D40" s="28">
        <v>3.0860266656587776E-3</v>
      </c>
    </row>
    <row r="41" spans="2:4" x14ac:dyDescent="0.2">
      <c r="B41" s="38">
        <v>538.24</v>
      </c>
      <c r="C41" s="28">
        <v>3.3358844078032406E-2</v>
      </c>
      <c r="D41" s="28">
        <v>1.8347364242917823E-3</v>
      </c>
    </row>
    <row r="42" spans="2:4" x14ac:dyDescent="0.2">
      <c r="B42" s="297" t="s">
        <v>232</v>
      </c>
      <c r="C42" s="297"/>
      <c r="D42" s="297"/>
    </row>
    <row r="43" spans="2:4" x14ac:dyDescent="0.2">
      <c r="B43" s="38">
        <v>178.08</v>
      </c>
      <c r="C43" s="28">
        <v>0.15595393759741805</v>
      </c>
      <c r="D43" s="28">
        <v>8.5774665678579921E-3</v>
      </c>
    </row>
    <row r="44" spans="2:4" x14ac:dyDescent="0.2">
      <c r="B44" s="38">
        <v>560</v>
      </c>
      <c r="C44" s="28">
        <v>4.9593352155978938E-2</v>
      </c>
      <c r="D44" s="28">
        <v>2.727634368578842E-3</v>
      </c>
    </row>
    <row r="45" spans="2:4" x14ac:dyDescent="0.2">
      <c r="B45" s="38">
        <v>941.92</v>
      </c>
      <c r="C45" s="28">
        <v>2.9484751579060015E-2</v>
      </c>
      <c r="D45" s="28">
        <v>1.6216613368483009E-3</v>
      </c>
    </row>
    <row r="46" spans="2:4" x14ac:dyDescent="0.2">
      <c r="B46" s="297" t="s">
        <v>233</v>
      </c>
      <c r="C46" s="297"/>
      <c r="D46" s="297"/>
    </row>
    <row r="47" spans="2:4" x14ac:dyDescent="0.2">
      <c r="B47" s="38">
        <v>101.76</v>
      </c>
      <c r="C47" s="28">
        <v>0.24494879590846044</v>
      </c>
      <c r="D47" s="28">
        <v>6.5342540796540907E-2</v>
      </c>
    </row>
    <row r="48" spans="2:4" x14ac:dyDescent="0.2">
      <c r="B48" s="38">
        <v>320</v>
      </c>
      <c r="C48" s="28">
        <v>7.7893717098890425E-2</v>
      </c>
      <c r="D48" s="28">
        <v>2.0778927973300009E-2</v>
      </c>
    </row>
    <row r="49" spans="2:4" x14ac:dyDescent="0.2">
      <c r="B49" s="38">
        <v>538.24</v>
      </c>
      <c r="C49" s="28">
        <v>4.6310176634298705E-2</v>
      </c>
      <c r="D49" s="28">
        <v>1.2353702718965524E-2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0.90012347875744703</v>
      </c>
      <c r="D53">
        <v>0.23296987283385986</v>
      </c>
    </row>
    <row r="54" spans="2:4" x14ac:dyDescent="0.2">
      <c r="B54" s="302" t="s">
        <v>248</v>
      </c>
      <c r="C54" s="303"/>
      <c r="D54" s="303"/>
    </row>
    <row r="55" spans="2:4" x14ac:dyDescent="0.2">
      <c r="C55">
        <v>0.27653894823202124</v>
      </c>
      <c r="D55">
        <v>7.1573784179207886E-2</v>
      </c>
    </row>
    <row r="56" spans="2:4" x14ac:dyDescent="0.2">
      <c r="B56" s="301" t="s">
        <v>249</v>
      </c>
      <c r="C56" s="301"/>
      <c r="D56" s="301"/>
    </row>
    <row r="57" spans="2:4" x14ac:dyDescent="0.2">
      <c r="C57">
        <v>0.17836156820121155</v>
      </c>
      <c r="D57">
        <v>4.6163524052994044E-2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67C8-BFBB-4EE4-8F71-FF3E5967A1F0}">
  <dimension ref="A1:T57"/>
  <sheetViews>
    <sheetView zoomScale="80" zoomScaleNormal="80" workbookViewId="0">
      <selection activeCell="C57" sqref="C57:D57"/>
    </sheetView>
  </sheetViews>
  <sheetFormatPr baseColWidth="10" defaultColWidth="11.5" defaultRowHeight="15" x14ac:dyDescent="0.2"/>
  <cols>
    <col min="1" max="1" width="12.83203125"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105</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281</v>
      </c>
      <c r="M4" s="70">
        <f>P4*0.75</f>
        <v>421.5</v>
      </c>
      <c r="N4" s="72">
        <f>P4*0.9</f>
        <v>505.8</v>
      </c>
      <c r="O4" s="74">
        <f>P4*0.95</f>
        <v>533.9</v>
      </c>
      <c r="P4" s="63">
        <v>562</v>
      </c>
      <c r="Q4" s="64">
        <f>P4*1.05</f>
        <v>590.1</v>
      </c>
      <c r="R4" s="76">
        <f>P4*1.25</f>
        <v>702.5</v>
      </c>
      <c r="S4" s="78" t="s">
        <v>206</v>
      </c>
      <c r="T4" s="56" t="s">
        <v>86</v>
      </c>
    </row>
    <row r="5" spans="1:20" ht="16" thickBot="1" x14ac:dyDescent="0.25">
      <c r="B5" s="289"/>
      <c r="C5" s="291"/>
      <c r="D5" s="293"/>
      <c r="E5" s="3"/>
      <c r="F5" s="4"/>
      <c r="G5" s="291"/>
      <c r="H5" s="291"/>
      <c r="I5" s="291"/>
      <c r="K5" s="62" t="s">
        <v>87</v>
      </c>
      <c r="L5" s="68">
        <f>P5*0.5</f>
        <v>3232.5</v>
      </c>
      <c r="M5" s="70">
        <f>P5*0.75</f>
        <v>4848.75</v>
      </c>
      <c r="N5" s="72">
        <f>P5*0.9</f>
        <v>5818.5</v>
      </c>
      <c r="O5" s="74">
        <f>P5*0.95</f>
        <v>6141.75</v>
      </c>
      <c r="P5" s="63">
        <v>6465</v>
      </c>
      <c r="Q5" s="64">
        <f>P5*1.05</f>
        <v>6788.25</v>
      </c>
      <c r="R5" s="76">
        <f>P5*1.25</f>
        <v>8081.25</v>
      </c>
      <c r="S5" s="78"/>
      <c r="T5" s="56" t="s">
        <v>86</v>
      </c>
    </row>
    <row r="6" spans="1:20" x14ac:dyDescent="0.2">
      <c r="B6" s="294" t="s">
        <v>207</v>
      </c>
      <c r="C6" s="295"/>
      <c r="D6" s="296"/>
      <c r="G6" s="297" t="s">
        <v>208</v>
      </c>
      <c r="H6" s="297"/>
      <c r="I6" s="297"/>
      <c r="K6" s="62" t="s">
        <v>209</v>
      </c>
      <c r="L6" s="68">
        <f t="shared" ref="L6:N6" si="0">L4+L5</f>
        <v>3513.5</v>
      </c>
      <c r="M6" s="70">
        <f t="shared" si="0"/>
        <v>5270.25</v>
      </c>
      <c r="N6" s="72">
        <f t="shared" si="0"/>
        <v>6324.3</v>
      </c>
      <c r="O6" s="74">
        <f>O4+O5</f>
        <v>6675.65</v>
      </c>
      <c r="P6" s="63">
        <f>P5+P4</f>
        <v>7027</v>
      </c>
      <c r="Q6" s="64">
        <f t="shared" ref="Q6:R6" si="1">Q4+Q5</f>
        <v>7378.35</v>
      </c>
      <c r="R6" s="76">
        <f t="shared" si="1"/>
        <v>8783.75</v>
      </c>
      <c r="S6" s="78"/>
      <c r="T6" s="56" t="s">
        <v>86</v>
      </c>
    </row>
    <row r="7" spans="1:20" x14ac:dyDescent="0.2">
      <c r="B7" s="28">
        <v>1</v>
      </c>
      <c r="C7" s="39">
        <v>0.71987947416370457</v>
      </c>
      <c r="D7" s="39">
        <v>183.97420145444303</v>
      </c>
      <c r="G7" s="38">
        <v>3.5796199999999998</v>
      </c>
      <c r="H7" s="28">
        <v>1.7947742914035432</v>
      </c>
      <c r="I7" s="28">
        <v>0.29434298379018109</v>
      </c>
      <c r="K7" s="62" t="s">
        <v>210</v>
      </c>
      <c r="L7" s="68">
        <f>P7*0.5</f>
        <v>1569</v>
      </c>
      <c r="M7" s="70">
        <f>P7*0.84</f>
        <v>2635.92</v>
      </c>
      <c r="N7" s="72">
        <f>P7*0.91</f>
        <v>2855.58</v>
      </c>
      <c r="O7" s="74">
        <f>P7*0.95</f>
        <v>2981.1</v>
      </c>
      <c r="P7" s="63">
        <v>3138</v>
      </c>
      <c r="Q7" s="64">
        <f>P7*1.05</f>
        <v>3294.9</v>
      </c>
      <c r="R7" s="76">
        <f>P7*1.16</f>
        <v>3640.08</v>
      </c>
      <c r="S7" s="78"/>
      <c r="T7" s="56" t="s">
        <v>86</v>
      </c>
    </row>
    <row r="8" spans="1:20" x14ac:dyDescent="0.2">
      <c r="B8" s="28">
        <v>2</v>
      </c>
      <c r="C8" s="39">
        <v>0.3759397370818523</v>
      </c>
      <c r="D8" s="39">
        <v>72.170730821281865</v>
      </c>
      <c r="G8" s="38">
        <v>11.256666666666666</v>
      </c>
      <c r="H8" s="28">
        <v>0.57073822466632673</v>
      </c>
      <c r="I8" s="28">
        <v>9.360106884527758E-2</v>
      </c>
      <c r="K8" s="79" t="s">
        <v>211</v>
      </c>
      <c r="L8" s="80">
        <f t="shared" ref="L8:O8" si="2">L7+L6</f>
        <v>5082.5</v>
      </c>
      <c r="M8" s="81">
        <f t="shared" si="2"/>
        <v>7906.17</v>
      </c>
      <c r="N8" s="82">
        <f t="shared" si="2"/>
        <v>9179.880000000001</v>
      </c>
      <c r="O8" s="83">
        <f t="shared" si="2"/>
        <v>9656.75</v>
      </c>
      <c r="P8" s="84">
        <f>P7+P6</f>
        <v>10165</v>
      </c>
      <c r="Q8" s="85">
        <f t="shared" ref="Q8:R8" si="3">Q7+Q6</f>
        <v>10673.25</v>
      </c>
      <c r="R8" s="86">
        <f t="shared" si="3"/>
        <v>12423.83</v>
      </c>
      <c r="S8" s="87"/>
      <c r="T8" s="88" t="s">
        <v>86</v>
      </c>
    </row>
    <row r="9" spans="1:20" x14ac:dyDescent="0.2">
      <c r="B9" s="28">
        <v>3</v>
      </c>
      <c r="C9" s="39">
        <v>0.26129315805456815</v>
      </c>
      <c r="D9" s="39">
        <v>52.251890627471845</v>
      </c>
      <c r="G9" s="38">
        <v>18.93371333333333</v>
      </c>
      <c r="H9" s="28">
        <v>0.33932117994430844</v>
      </c>
      <c r="I9" s="28">
        <v>5.5648673510866588E-2</v>
      </c>
      <c r="K9" s="62" t="s">
        <v>212</v>
      </c>
      <c r="L9" s="68">
        <f>P9*0.5</f>
        <v>76</v>
      </c>
      <c r="M9" s="70">
        <f>P9*0.75</f>
        <v>114</v>
      </c>
      <c r="N9" s="72">
        <f>P9*0.9</f>
        <v>136.80000000000001</v>
      </c>
      <c r="O9" s="74">
        <f>P9*0.95</f>
        <v>144.4</v>
      </c>
      <c r="P9" s="63">
        <v>152</v>
      </c>
      <c r="Q9" s="64">
        <f>P9*1.05</f>
        <v>159.6</v>
      </c>
      <c r="R9" s="76">
        <f>P9*1.25</f>
        <v>190</v>
      </c>
      <c r="S9" s="78"/>
      <c r="T9" s="56" t="s">
        <v>91</v>
      </c>
    </row>
    <row r="10" spans="1:20" x14ac:dyDescent="0.2">
      <c r="B10" s="28">
        <v>4</v>
      </c>
      <c r="C10" s="39">
        <v>0.20396986854092614</v>
      </c>
      <c r="D10" s="39">
        <v>42.420470530566831</v>
      </c>
      <c r="G10" s="297" t="s">
        <v>213</v>
      </c>
      <c r="H10" s="297"/>
      <c r="I10" s="297"/>
      <c r="K10" s="62" t="s">
        <v>214</v>
      </c>
      <c r="L10" s="68">
        <f>P10*0.5</f>
        <v>653</v>
      </c>
      <c r="M10" s="70">
        <f>P10*0.75</f>
        <v>979.5</v>
      </c>
      <c r="N10" s="72">
        <f>P10*0.9</f>
        <v>1175.4000000000001</v>
      </c>
      <c r="O10" s="74">
        <f>P10*0.95</f>
        <v>1240.7</v>
      </c>
      <c r="P10" s="63">
        <v>1306</v>
      </c>
      <c r="Q10" s="64">
        <f>P10*1.05</f>
        <v>1371.3</v>
      </c>
      <c r="R10" s="76">
        <f>P10*1.25</f>
        <v>1632.5</v>
      </c>
      <c r="S10" s="78"/>
      <c r="T10" s="56" t="s">
        <v>91</v>
      </c>
    </row>
    <row r="11" spans="1:20" x14ac:dyDescent="0.2">
      <c r="B11" s="28">
        <v>5</v>
      </c>
      <c r="C11" s="39">
        <v>0.16957589483274091</v>
      </c>
      <c r="D11" s="39">
        <v>36.624018472423828</v>
      </c>
      <c r="G11" s="38"/>
      <c r="H11" s="28"/>
      <c r="I11" s="28"/>
      <c r="K11" s="62" t="s">
        <v>215</v>
      </c>
      <c r="L11" s="68">
        <f t="shared" ref="L11:N11" si="4">L9+L10</f>
        <v>729</v>
      </c>
      <c r="M11" s="70">
        <f t="shared" si="4"/>
        <v>1093.5</v>
      </c>
      <c r="N11" s="72">
        <f t="shared" si="4"/>
        <v>1312.2</v>
      </c>
      <c r="O11" s="74">
        <f>O9+O10</f>
        <v>1385.1000000000001</v>
      </c>
      <c r="P11" s="63">
        <f>P9+P10</f>
        <v>1458</v>
      </c>
      <c r="Q11" s="64">
        <f t="shared" ref="Q11:R11" si="5">Q9+Q10</f>
        <v>1530.8999999999999</v>
      </c>
      <c r="R11" s="76">
        <f t="shared" si="5"/>
        <v>1822.5</v>
      </c>
      <c r="S11" s="78"/>
      <c r="T11" s="56" t="s">
        <v>91</v>
      </c>
    </row>
    <row r="12" spans="1:20" x14ac:dyDescent="0.2">
      <c r="B12" s="298" t="s">
        <v>216</v>
      </c>
      <c r="C12" s="299"/>
      <c r="D12" s="300"/>
      <c r="G12" s="38"/>
      <c r="H12" s="28"/>
      <c r="I12" s="28"/>
      <c r="K12" s="62" t="s">
        <v>217</v>
      </c>
      <c r="L12" s="68">
        <f>P12*0.5</f>
        <v>376.5</v>
      </c>
      <c r="M12" s="70">
        <f>P12*0.84</f>
        <v>632.52</v>
      </c>
      <c r="N12" s="72">
        <f>P12*0.91</f>
        <v>685.23</v>
      </c>
      <c r="O12" s="74">
        <f>P12*0.95</f>
        <v>715.35</v>
      </c>
      <c r="P12" s="63">
        <v>753</v>
      </c>
      <c r="Q12" s="64">
        <f>P12*1.05</f>
        <v>790.65</v>
      </c>
      <c r="R12" s="76">
        <f>P12*1.16</f>
        <v>873.4799999999999</v>
      </c>
      <c r="S12" s="78"/>
      <c r="T12" s="56" t="s">
        <v>91</v>
      </c>
    </row>
    <row r="13" spans="1:20" ht="16" thickBot="1" x14ac:dyDescent="0.25">
      <c r="B13" s="28">
        <v>1</v>
      </c>
      <c r="C13" s="39">
        <v>0.41969655674365042</v>
      </c>
      <c r="D13" s="39">
        <v>107.25870322916539</v>
      </c>
      <c r="G13" s="38"/>
      <c r="H13" s="28"/>
      <c r="I13" s="28"/>
      <c r="K13" s="89" t="s">
        <v>218</v>
      </c>
      <c r="L13" s="90">
        <f t="shared" ref="L13:O13" si="6">L12+L11</f>
        <v>1105.5</v>
      </c>
      <c r="M13" s="91">
        <f t="shared" si="6"/>
        <v>1726.02</v>
      </c>
      <c r="N13" s="92">
        <f t="shared" si="6"/>
        <v>1997.43</v>
      </c>
      <c r="O13" s="93">
        <f t="shared" si="6"/>
        <v>2100.4500000000003</v>
      </c>
      <c r="P13" s="94">
        <f>P12+P11</f>
        <v>2211</v>
      </c>
      <c r="Q13" s="95">
        <f t="shared" ref="Q13:R13" si="7">Q12+Q11</f>
        <v>2321.5499999999997</v>
      </c>
      <c r="R13" s="96">
        <f t="shared" si="7"/>
        <v>2695.98</v>
      </c>
      <c r="S13" s="97"/>
      <c r="T13" s="98" t="s">
        <v>91</v>
      </c>
    </row>
    <row r="14" spans="1:20" x14ac:dyDescent="0.2">
      <c r="B14" s="28">
        <v>2</v>
      </c>
      <c r="C14" s="39">
        <v>0.2258482783718252</v>
      </c>
      <c r="D14" s="39">
        <v>26.030979691676134</v>
      </c>
      <c r="G14" s="297" t="s">
        <v>219</v>
      </c>
      <c r="H14" s="297"/>
      <c r="I14" s="297"/>
      <c r="L14" s="59"/>
      <c r="M14" s="59"/>
      <c r="N14" s="59"/>
      <c r="O14" s="59"/>
      <c r="P14" s="59"/>
      <c r="Q14" s="59"/>
      <c r="R14" s="59"/>
      <c r="S14" s="59"/>
    </row>
    <row r="15" spans="1:20" x14ac:dyDescent="0.2">
      <c r="B15" s="298" t="s">
        <v>220</v>
      </c>
      <c r="C15" s="299"/>
      <c r="D15" s="300"/>
      <c r="G15" s="38">
        <v>3.5796199999999998</v>
      </c>
      <c r="H15" s="28">
        <v>1.7947742914035432</v>
      </c>
      <c r="I15" s="28">
        <v>0.40920853844000793</v>
      </c>
      <c r="K15" t="s">
        <v>221</v>
      </c>
      <c r="L15" s="60">
        <v>-0.5</v>
      </c>
      <c r="M15" s="60">
        <v>-0.25</v>
      </c>
      <c r="N15" s="60">
        <v>-0.1</v>
      </c>
      <c r="O15" s="60">
        <v>-0.05</v>
      </c>
      <c r="P15" t="s">
        <v>222</v>
      </c>
      <c r="Q15" s="60">
        <v>0.05</v>
      </c>
      <c r="R15" s="60">
        <v>0.25</v>
      </c>
      <c r="S15" s="60"/>
    </row>
    <row r="16" spans="1:20" x14ac:dyDescent="0.2">
      <c r="B16" s="28">
        <v>1</v>
      </c>
      <c r="C16" s="39">
        <v>0.3028405358940543</v>
      </c>
      <c r="D16" s="39">
        <v>49.665847886624903</v>
      </c>
      <c r="G16" s="38">
        <v>11.256666666666666</v>
      </c>
      <c r="H16" s="28">
        <v>0.57073822466632673</v>
      </c>
      <c r="I16" s="28">
        <v>0.13012831522392251</v>
      </c>
      <c r="K16" t="s">
        <v>223</v>
      </c>
      <c r="L16" s="60">
        <v>-0.5</v>
      </c>
      <c r="M16" s="60">
        <v>-0.16</v>
      </c>
      <c r="N16" s="60">
        <v>-0.09</v>
      </c>
      <c r="O16" s="60">
        <v>-0.05</v>
      </c>
      <c r="P16" t="s">
        <v>222</v>
      </c>
      <c r="Q16" s="60">
        <v>0.05</v>
      </c>
      <c r="R16" s="60">
        <v>0.16</v>
      </c>
      <c r="S16" s="60"/>
    </row>
    <row r="17" spans="2:9" x14ac:dyDescent="0.2">
      <c r="B17" s="28">
        <v>2</v>
      </c>
      <c r="C17" s="39">
        <v>0.15439526794702715</v>
      </c>
      <c r="D17" s="39">
        <v>7.9707866174479172</v>
      </c>
      <c r="G17" s="38">
        <v>18.93371333333333</v>
      </c>
      <c r="H17" s="28">
        <v>0.33932117994430844</v>
      </c>
      <c r="I17" s="28">
        <v>7.7365229027302335E-2</v>
      </c>
    </row>
    <row r="18" spans="2:9" x14ac:dyDescent="0.2">
      <c r="B18" s="28">
        <v>3</v>
      </c>
      <c r="C18" s="39">
        <v>0.10491351196468478</v>
      </c>
      <c r="D18" s="39">
        <v>5.6218794933912006</v>
      </c>
      <c r="G18" s="297" t="s">
        <v>224</v>
      </c>
      <c r="H18" s="297"/>
      <c r="I18" s="297"/>
    </row>
    <row r="19" spans="2:9" x14ac:dyDescent="0.2">
      <c r="B19" s="28">
        <v>4</v>
      </c>
      <c r="C19" s="39">
        <v>8.0172633973513568E-2</v>
      </c>
      <c r="D19" s="39">
        <v>4.4532569313628398</v>
      </c>
      <c r="G19" s="38">
        <v>3.5796199999999998</v>
      </c>
      <c r="H19" s="28">
        <v>1.7947742914035432</v>
      </c>
      <c r="I19" s="28">
        <v>0.46914134530238788</v>
      </c>
    </row>
    <row r="20" spans="2:9" x14ac:dyDescent="0.2">
      <c r="B20" s="28">
        <v>5</v>
      </c>
      <c r="C20" s="39">
        <v>6.5328107178810851E-2</v>
      </c>
      <c r="D20" s="39">
        <v>3.7567481941458256</v>
      </c>
      <c r="G20" s="38">
        <v>11.256666666666666</v>
      </c>
      <c r="H20" s="28">
        <v>0.57073822466632673</v>
      </c>
      <c r="I20" s="28">
        <v>0.14918694780615935</v>
      </c>
    </row>
    <row r="21" spans="2:9" x14ac:dyDescent="0.2">
      <c r="B21" s="298" t="s">
        <v>225</v>
      </c>
      <c r="C21" s="299"/>
      <c r="D21" s="299"/>
      <c r="G21" s="38">
        <v>18.93371333333333</v>
      </c>
      <c r="H21" s="28">
        <v>0.33932117994430844</v>
      </c>
      <c r="I21" s="28">
        <v>8.8696163975124476E-2</v>
      </c>
    </row>
    <row r="22" spans="2:9" x14ac:dyDescent="0.2">
      <c r="B22" s="28">
        <v>1</v>
      </c>
      <c r="C22" s="39">
        <v>0.42286253033299104</v>
      </c>
      <c r="D22" s="39">
        <v>88.708631171942088</v>
      </c>
      <c r="G22" s="297" t="s">
        <v>226</v>
      </c>
      <c r="H22" s="297"/>
      <c r="I22" s="297"/>
    </row>
    <row r="23" spans="2:9" x14ac:dyDescent="0.2">
      <c r="B23" s="28">
        <v>2</v>
      </c>
      <c r="C23" s="39">
        <v>0.21991876516649553</v>
      </c>
      <c r="D23" s="39">
        <v>19.518544987623056</v>
      </c>
      <c r="G23" s="38">
        <v>3.5796199999999998</v>
      </c>
      <c r="H23" s="28">
        <v>1.7947742914035432</v>
      </c>
      <c r="I23" s="28">
        <v>0.45322428687440636</v>
      </c>
    </row>
    <row r="24" spans="2:9" x14ac:dyDescent="0.2">
      <c r="B24" s="28">
        <v>3</v>
      </c>
      <c r="C24" s="39">
        <v>0.15227084344433034</v>
      </c>
      <c r="D24" s="39">
        <v>13.521381556916248</v>
      </c>
      <c r="G24" s="38">
        <v>11.256666666666666</v>
      </c>
      <c r="H24" s="28">
        <v>0.57073822466632673</v>
      </c>
      <c r="I24" s="28">
        <v>0.14412532322606122</v>
      </c>
    </row>
    <row r="25" spans="2:9" x14ac:dyDescent="0.2">
      <c r="B25" s="28">
        <v>4</v>
      </c>
      <c r="C25" s="39">
        <v>0.11844688258324776</v>
      </c>
      <c r="D25" s="39">
        <v>10.523180081562845</v>
      </c>
      <c r="G25" s="38">
        <v>18.93371333333333</v>
      </c>
      <c r="H25" s="28">
        <v>0.33932117994430844</v>
      </c>
      <c r="I25" s="28">
        <v>8.5686874688502515E-2</v>
      </c>
    </row>
    <row r="26" spans="2:9" x14ac:dyDescent="0.2">
      <c r="B26" s="28">
        <v>5</v>
      </c>
      <c r="C26" s="39">
        <v>9.8152506066598214E-2</v>
      </c>
      <c r="D26" s="39">
        <v>8.7245633883508038</v>
      </c>
    </row>
    <row r="27" spans="2:9" x14ac:dyDescent="0.2">
      <c r="B27" s="298" t="s">
        <v>227</v>
      </c>
      <c r="C27" s="299"/>
      <c r="D27" s="300"/>
    </row>
    <row r="28" spans="2:9" x14ac:dyDescent="0.2">
      <c r="B28" s="28">
        <v>1</v>
      </c>
      <c r="C28" s="39">
        <v>0.12254477498968709</v>
      </c>
      <c r="D28" s="39">
        <v>20.097343098308684</v>
      </c>
    </row>
    <row r="29" spans="2:9" x14ac:dyDescent="0.2">
      <c r="B29" s="28">
        <v>2</v>
      </c>
      <c r="C29" s="39">
        <v>6.1272387494843546E-2</v>
      </c>
      <c r="D29" s="39">
        <v>1.3515060734262827</v>
      </c>
    </row>
    <row r="30" spans="2:9" x14ac:dyDescent="0.2">
      <c r="B30" s="298" t="s">
        <v>228</v>
      </c>
      <c r="C30" s="299"/>
      <c r="D30" s="299"/>
    </row>
    <row r="31" spans="2:9" x14ac:dyDescent="0.2">
      <c r="B31" s="28">
        <v>1</v>
      </c>
      <c r="C31" s="39">
        <v>1.1004379938010695E-2</v>
      </c>
      <c r="D31" s="39">
        <v>1.804718309833754</v>
      </c>
    </row>
    <row r="32" spans="2:9" x14ac:dyDescent="0.2">
      <c r="B32" s="298" t="s">
        <v>229</v>
      </c>
      <c r="C32" s="299"/>
      <c r="D32" s="299"/>
    </row>
    <row r="33" spans="2:4" x14ac:dyDescent="0.2">
      <c r="B33" s="28">
        <v>1</v>
      </c>
      <c r="C33" s="39">
        <v>2.3900000000000001E-2</v>
      </c>
      <c r="D33" s="39">
        <v>3.9125999999999999</v>
      </c>
    </row>
    <row r="34" spans="2:4" x14ac:dyDescent="0.2">
      <c r="B34" s="298" t="s">
        <v>230</v>
      </c>
      <c r="C34" s="299"/>
      <c r="D34" s="299"/>
    </row>
    <row r="35" spans="2:4" x14ac:dyDescent="0.2">
      <c r="B35" s="38">
        <v>22.11662971175166</v>
      </c>
      <c r="C35" s="28">
        <v>0.20504982865821592</v>
      </c>
      <c r="D35" s="28">
        <v>3.3628171899947414E-2</v>
      </c>
    </row>
    <row r="36" spans="2:4" x14ac:dyDescent="0.2">
      <c r="B36" s="38">
        <v>69.549150036954913</v>
      </c>
      <c r="C36" s="28">
        <v>6.5205845513312655E-2</v>
      </c>
      <c r="D36" s="28">
        <v>1.0693758664183275E-2</v>
      </c>
    </row>
    <row r="37" spans="2:4" x14ac:dyDescent="0.2">
      <c r="B37" s="38">
        <v>116.98167036215814</v>
      </c>
      <c r="C37" s="28">
        <v>3.8766852267130003E-2</v>
      </c>
      <c r="D37" s="28">
        <v>6.3577637718093211E-3</v>
      </c>
    </row>
    <row r="38" spans="2:4" x14ac:dyDescent="0.2">
      <c r="B38" s="297" t="s">
        <v>231</v>
      </c>
      <c r="C38" s="297"/>
      <c r="D38" s="297"/>
    </row>
    <row r="39" spans="2:4" x14ac:dyDescent="0.2">
      <c r="B39" s="38">
        <v>20.106027010683331</v>
      </c>
      <c r="C39" s="28">
        <v>0.69771458706974265</v>
      </c>
      <c r="D39" s="28">
        <v>0.1144251922794378</v>
      </c>
    </row>
    <row r="40" spans="2:4" x14ac:dyDescent="0.2">
      <c r="B40" s="38">
        <v>63.226500033595379</v>
      </c>
      <c r="C40" s="28">
        <v>0.22187323868817815</v>
      </c>
      <c r="D40" s="28">
        <v>3.6387211144861223E-2</v>
      </c>
    </row>
    <row r="41" spans="2:4" x14ac:dyDescent="0.2">
      <c r="B41" s="38">
        <v>106.34697305650741</v>
      </c>
      <c r="C41" s="28">
        <v>0.13191036782888121</v>
      </c>
      <c r="D41" s="28">
        <v>2.1633300323936521E-2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20.106027010683331</v>
      </c>
      <c r="C47" s="28">
        <v>1.0158169030208117</v>
      </c>
      <c r="D47" s="28">
        <v>0.27076804809669103</v>
      </c>
    </row>
    <row r="48" spans="2:4" x14ac:dyDescent="0.2">
      <c r="B48" s="38">
        <v>63.226500033595379</v>
      </c>
      <c r="C48" s="28">
        <v>0.32302977516061815</v>
      </c>
      <c r="D48" s="28">
        <v>8.6104239294747753E-2</v>
      </c>
    </row>
    <row r="49" spans="2:4" x14ac:dyDescent="0.2">
      <c r="B49" s="38">
        <v>106.34697305650741</v>
      </c>
      <c r="C49" s="28">
        <v>0.19205099593378014</v>
      </c>
      <c r="D49" s="28">
        <v>5.1191581031360144E-2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0.30534789462469974</v>
      </c>
      <c r="D55">
        <v>7.9036249044657295E-2</v>
      </c>
    </row>
    <row r="56" spans="2:4" x14ac:dyDescent="0.2">
      <c r="B56" s="301" t="s">
        <v>249</v>
      </c>
      <c r="C56" s="301"/>
      <c r="D56" s="301"/>
    </row>
    <row r="57" spans="2:4" x14ac:dyDescent="0.2">
      <c r="C57">
        <v>0.28985387310763949</v>
      </c>
      <c r="D57">
        <v>7.50257765151814E-2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8838-953D-411A-BE7A-B40DD26EF744}">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106</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457</v>
      </c>
      <c r="M4" s="70">
        <f>P4*0.75</f>
        <v>685.5</v>
      </c>
      <c r="N4" s="72">
        <f>P4*0.9</f>
        <v>822.6</v>
      </c>
      <c r="O4" s="74">
        <f>P4*0.95</f>
        <v>868.3</v>
      </c>
      <c r="P4" s="63">
        <v>914</v>
      </c>
      <c r="Q4" s="64">
        <f>P4*1.05</f>
        <v>959.7</v>
      </c>
      <c r="R4" s="76">
        <f>P4*1.25</f>
        <v>1142.5</v>
      </c>
      <c r="S4" s="78" t="s">
        <v>206</v>
      </c>
      <c r="T4" s="56" t="s">
        <v>86</v>
      </c>
    </row>
    <row r="5" spans="1:20" ht="16" thickBot="1" x14ac:dyDescent="0.25">
      <c r="B5" s="289"/>
      <c r="C5" s="291"/>
      <c r="D5" s="293"/>
      <c r="E5" s="3"/>
      <c r="F5" s="4"/>
      <c r="G5" s="291"/>
      <c r="H5" s="291"/>
      <c r="I5" s="291"/>
      <c r="K5" s="62" t="s">
        <v>87</v>
      </c>
      <c r="L5" s="68">
        <f>P5*0.5</f>
        <v>2949</v>
      </c>
      <c r="M5" s="70">
        <f>P5*0.75</f>
        <v>4423.5</v>
      </c>
      <c r="N5" s="72">
        <f>P5*0.9</f>
        <v>5308.2</v>
      </c>
      <c r="O5" s="74">
        <f>P5*0.95</f>
        <v>5603.0999999999995</v>
      </c>
      <c r="P5" s="63">
        <v>5898</v>
      </c>
      <c r="Q5" s="64">
        <f>P5*1.05</f>
        <v>6192.9000000000005</v>
      </c>
      <c r="R5" s="76">
        <f>P5*1.25</f>
        <v>7372.5</v>
      </c>
      <c r="S5" s="78"/>
      <c r="T5" s="56" t="s">
        <v>86</v>
      </c>
    </row>
    <row r="6" spans="1:20" x14ac:dyDescent="0.2">
      <c r="B6" s="294" t="s">
        <v>207</v>
      </c>
      <c r="C6" s="295"/>
      <c r="D6" s="296"/>
      <c r="G6" s="297" t="s">
        <v>208</v>
      </c>
      <c r="H6" s="297"/>
      <c r="I6" s="297"/>
      <c r="K6" s="62" t="s">
        <v>209</v>
      </c>
      <c r="L6" s="68">
        <f t="shared" ref="L6:N6" si="0">L4+L5</f>
        <v>3406</v>
      </c>
      <c r="M6" s="70">
        <f t="shared" si="0"/>
        <v>5109</v>
      </c>
      <c r="N6" s="72">
        <f t="shared" si="0"/>
        <v>6130.8</v>
      </c>
      <c r="O6" s="74">
        <f>O4+O5</f>
        <v>6471.4</v>
      </c>
      <c r="P6" s="63">
        <f>P5+P4</f>
        <v>6812</v>
      </c>
      <c r="Q6" s="64">
        <f t="shared" ref="Q6:R6" si="1">Q4+Q5</f>
        <v>7152.6</v>
      </c>
      <c r="R6" s="76">
        <f t="shared" si="1"/>
        <v>8515</v>
      </c>
      <c r="S6" s="78"/>
      <c r="T6" s="56" t="s">
        <v>86</v>
      </c>
    </row>
    <row r="7" spans="1:20" x14ac:dyDescent="0.2">
      <c r="B7" s="28">
        <v>1</v>
      </c>
      <c r="C7" s="39">
        <v>0.72360626705724718</v>
      </c>
      <c r="D7" s="39">
        <v>182.33449452889286</v>
      </c>
      <c r="G7" s="38">
        <v>8.6496000000000013</v>
      </c>
      <c r="H7" s="28">
        <v>0.70660604518475556</v>
      </c>
      <c r="I7" s="28">
        <v>0.20703557123913338</v>
      </c>
      <c r="K7" s="62" t="s">
        <v>210</v>
      </c>
      <c r="L7" s="68">
        <f>P7*0.5</f>
        <v>4069.5</v>
      </c>
      <c r="M7" s="70">
        <f>P7*0.84</f>
        <v>6836.7599999999993</v>
      </c>
      <c r="N7" s="72">
        <f>P7*0.91</f>
        <v>7406.4900000000007</v>
      </c>
      <c r="O7" s="74">
        <f>P7*0.95</f>
        <v>7732.0499999999993</v>
      </c>
      <c r="P7" s="63">
        <v>8139</v>
      </c>
      <c r="Q7" s="64">
        <f>P7*1.05</f>
        <v>8545.9500000000007</v>
      </c>
      <c r="R7" s="76">
        <f>P7*1.16</f>
        <v>9441.24</v>
      </c>
      <c r="S7" s="78"/>
      <c r="T7" s="56" t="s">
        <v>86</v>
      </c>
    </row>
    <row r="8" spans="1:20" x14ac:dyDescent="0.2">
      <c r="B8" s="28">
        <v>2</v>
      </c>
      <c r="C8" s="39">
        <v>0.3778031335286236</v>
      </c>
      <c r="D8" s="39">
        <v>71.908968451602391</v>
      </c>
      <c r="G8" s="38">
        <v>27.200000000000003</v>
      </c>
      <c r="H8" s="28">
        <v>0.22470072236875227</v>
      </c>
      <c r="I8" s="28">
        <v>6.5837311654044411E-2</v>
      </c>
      <c r="K8" s="79" t="s">
        <v>211</v>
      </c>
      <c r="L8" s="80">
        <f t="shared" ref="L8:O8" si="2">L7+L6</f>
        <v>7475.5</v>
      </c>
      <c r="M8" s="81">
        <f t="shared" si="2"/>
        <v>11945.759999999998</v>
      </c>
      <c r="N8" s="82">
        <f t="shared" si="2"/>
        <v>13537.29</v>
      </c>
      <c r="O8" s="83">
        <f t="shared" si="2"/>
        <v>14203.449999999999</v>
      </c>
      <c r="P8" s="84">
        <f>P7+P6</f>
        <v>14951</v>
      </c>
      <c r="Q8" s="85">
        <f t="shared" ref="Q8:R8" si="3">Q7+Q6</f>
        <v>15698.550000000001</v>
      </c>
      <c r="R8" s="86">
        <f t="shared" si="3"/>
        <v>17956.239999999998</v>
      </c>
      <c r="S8" s="87"/>
      <c r="T8" s="88" t="s">
        <v>86</v>
      </c>
    </row>
    <row r="9" spans="1:20" x14ac:dyDescent="0.2">
      <c r="B9" s="28">
        <v>3</v>
      </c>
      <c r="C9" s="39">
        <v>0.26253542235241573</v>
      </c>
      <c r="D9" s="39">
        <v>52.069830288195782</v>
      </c>
      <c r="G9" s="38">
        <v>45.750399999999999</v>
      </c>
      <c r="H9" s="28">
        <v>0.13359139260924632</v>
      </c>
      <c r="I9" s="28">
        <v>3.9142278034509169E-2</v>
      </c>
      <c r="K9" s="62" t="s">
        <v>212</v>
      </c>
      <c r="L9" s="68">
        <f>P9*0.5</f>
        <v>200</v>
      </c>
      <c r="M9" s="70">
        <f>P9*0.75</f>
        <v>300</v>
      </c>
      <c r="N9" s="72">
        <f>P9*0.9</f>
        <v>360</v>
      </c>
      <c r="O9" s="74">
        <f>P9*0.95</f>
        <v>380</v>
      </c>
      <c r="P9" s="63">
        <v>400</v>
      </c>
      <c r="Q9" s="64">
        <f>P9*1.05</f>
        <v>420</v>
      </c>
      <c r="R9" s="76">
        <f>P9*1.25</f>
        <v>500</v>
      </c>
      <c r="S9" s="78"/>
      <c r="T9" s="56" t="s">
        <v>91</v>
      </c>
    </row>
    <row r="10" spans="1:20" x14ac:dyDescent="0.2">
      <c r="B10" s="28">
        <v>4</v>
      </c>
      <c r="C10" s="39">
        <v>0.20490156676431179</v>
      </c>
      <c r="D10" s="39">
        <v>42.278261206492466</v>
      </c>
      <c r="G10" s="307" t="s">
        <v>213</v>
      </c>
      <c r="H10" s="307"/>
      <c r="I10" s="307"/>
      <c r="K10" s="62" t="s">
        <v>214</v>
      </c>
      <c r="L10" s="68">
        <f>P10*0.5</f>
        <v>595.5</v>
      </c>
      <c r="M10" s="70">
        <f>P10*0.75</f>
        <v>893.25</v>
      </c>
      <c r="N10" s="72">
        <f>P10*0.9</f>
        <v>1071.9000000000001</v>
      </c>
      <c r="O10" s="74">
        <f>P10*0.95</f>
        <v>1131.45</v>
      </c>
      <c r="P10" s="63">
        <v>1191</v>
      </c>
      <c r="Q10" s="64">
        <f>P10*1.05</f>
        <v>1250.55</v>
      </c>
      <c r="R10" s="76">
        <f>P10*1.25</f>
        <v>1488.75</v>
      </c>
      <c r="S10" s="78"/>
      <c r="T10" s="56" t="s">
        <v>91</v>
      </c>
    </row>
    <row r="11" spans="1:20" x14ac:dyDescent="0.2">
      <c r="B11" s="28">
        <v>5</v>
      </c>
      <c r="C11" s="39">
        <v>0.17032125341144944</v>
      </c>
      <c r="D11" s="39">
        <v>36.505719757470487</v>
      </c>
      <c r="G11" s="38">
        <v>8.6496000000000013</v>
      </c>
      <c r="H11" s="28">
        <v>0.70660604518475556</v>
      </c>
      <c r="I11" s="28">
        <v>0.19556491876272272</v>
      </c>
      <c r="K11" s="62" t="s">
        <v>215</v>
      </c>
      <c r="L11" s="68">
        <f t="shared" ref="L11:N11" si="4">L9+L10</f>
        <v>795.5</v>
      </c>
      <c r="M11" s="70">
        <f t="shared" si="4"/>
        <v>1193.25</v>
      </c>
      <c r="N11" s="72">
        <f t="shared" si="4"/>
        <v>1431.9</v>
      </c>
      <c r="O11" s="74">
        <f>O9+O10</f>
        <v>1511.45</v>
      </c>
      <c r="P11" s="63">
        <f>P9+P10</f>
        <v>1591</v>
      </c>
      <c r="Q11" s="64">
        <f t="shared" ref="Q11:R11" si="5">Q9+Q10</f>
        <v>1670.55</v>
      </c>
      <c r="R11" s="76">
        <f t="shared" si="5"/>
        <v>1988.75</v>
      </c>
      <c r="S11" s="78"/>
      <c r="T11" s="56" t="s">
        <v>91</v>
      </c>
    </row>
    <row r="12" spans="1:20" x14ac:dyDescent="0.2">
      <c r="B12" s="298" t="s">
        <v>216</v>
      </c>
      <c r="C12" s="299"/>
      <c r="D12" s="300"/>
      <c r="G12" s="38">
        <v>27.200000000000003</v>
      </c>
      <c r="H12" s="28">
        <v>0.22470072236875227</v>
      </c>
      <c r="I12" s="28">
        <v>6.2189644166545828E-2</v>
      </c>
      <c r="K12" s="62" t="s">
        <v>217</v>
      </c>
      <c r="L12" s="68">
        <f>P12*0.5</f>
        <v>1034.5</v>
      </c>
      <c r="M12" s="70">
        <f>P12*0.84</f>
        <v>1737.96</v>
      </c>
      <c r="N12" s="72">
        <f>P12*0.91</f>
        <v>1882.79</v>
      </c>
      <c r="O12" s="74">
        <f>P12*0.95</f>
        <v>1965.55</v>
      </c>
      <c r="P12" s="63">
        <v>2069</v>
      </c>
      <c r="Q12" s="64">
        <f>P12*1.05</f>
        <v>2172.4500000000003</v>
      </c>
      <c r="R12" s="76">
        <f>P12*1.16</f>
        <v>2400.04</v>
      </c>
      <c r="S12" s="78"/>
      <c r="T12" s="56" t="s">
        <v>91</v>
      </c>
    </row>
    <row r="13" spans="1:20" ht="16" thickBot="1" x14ac:dyDescent="0.25">
      <c r="B13" s="28">
        <v>1</v>
      </c>
      <c r="C13" s="39">
        <v>0.41839222592013747</v>
      </c>
      <c r="D13" s="39">
        <v>105.42658141728234</v>
      </c>
      <c r="G13" s="38">
        <v>45.750399999999999</v>
      </c>
      <c r="H13" s="28">
        <v>0.13359139260924632</v>
      </c>
      <c r="I13" s="28">
        <v>3.6973629112096215E-2</v>
      </c>
      <c r="K13" s="89" t="s">
        <v>218</v>
      </c>
      <c r="L13" s="90">
        <f t="shared" ref="L13:O13" si="6">L12+L11</f>
        <v>1830</v>
      </c>
      <c r="M13" s="91">
        <f t="shared" si="6"/>
        <v>2931.21</v>
      </c>
      <c r="N13" s="92">
        <f t="shared" si="6"/>
        <v>3314.69</v>
      </c>
      <c r="O13" s="93">
        <f t="shared" si="6"/>
        <v>3477</v>
      </c>
      <c r="P13" s="94">
        <f>P12+P11</f>
        <v>3660</v>
      </c>
      <c r="Q13" s="95">
        <f t="shared" ref="Q13:R13" si="7">Q12+Q11</f>
        <v>3843</v>
      </c>
      <c r="R13" s="96">
        <f t="shared" si="7"/>
        <v>4388.79</v>
      </c>
      <c r="S13" s="97"/>
      <c r="T13" s="98" t="s">
        <v>91</v>
      </c>
    </row>
    <row r="14" spans="1:20" x14ac:dyDescent="0.2">
      <c r="B14" s="28">
        <v>2</v>
      </c>
      <c r="C14" s="39">
        <v>0.22519611296006875</v>
      </c>
      <c r="D14" s="39">
        <v>25.543225241520748</v>
      </c>
      <c r="G14" s="307" t="s">
        <v>219</v>
      </c>
      <c r="H14" s="307"/>
      <c r="I14" s="30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0.32012183055793586</v>
      </c>
      <c r="D16" s="39">
        <v>93.795696353475208</v>
      </c>
      <c r="G16" s="38"/>
      <c r="H16" s="28"/>
      <c r="I16" s="28"/>
      <c r="K16" t="s">
        <v>223</v>
      </c>
      <c r="L16" s="60">
        <v>-0.5</v>
      </c>
      <c r="M16" s="60">
        <v>-0.16</v>
      </c>
      <c r="N16" s="60">
        <v>-0.09</v>
      </c>
      <c r="O16" s="60">
        <v>-0.05</v>
      </c>
      <c r="P16" t="s">
        <v>222</v>
      </c>
      <c r="Q16" s="60">
        <v>0.05</v>
      </c>
      <c r="R16" s="60">
        <v>0.16</v>
      </c>
      <c r="S16" s="60"/>
    </row>
    <row r="17" spans="2:9" x14ac:dyDescent="0.2">
      <c r="B17" s="28">
        <v>2</v>
      </c>
      <c r="C17" s="39">
        <v>0.16303591527896794</v>
      </c>
      <c r="D17" s="39">
        <v>15.611617598163761</v>
      </c>
      <c r="G17" s="38"/>
      <c r="H17" s="28"/>
      <c r="I17" s="28"/>
    </row>
    <row r="18" spans="2:9" x14ac:dyDescent="0.2">
      <c r="B18" s="28">
        <v>3</v>
      </c>
      <c r="C18" s="39">
        <v>0.11067394351931197</v>
      </c>
      <c r="D18" s="39">
        <v>10.814581459174754</v>
      </c>
      <c r="G18" s="297" t="s">
        <v>224</v>
      </c>
      <c r="H18" s="297"/>
      <c r="I18" s="297"/>
    </row>
    <row r="19" spans="2:9" x14ac:dyDescent="0.2">
      <c r="B19" s="28">
        <v>4</v>
      </c>
      <c r="C19" s="39">
        <v>8.4492957639483959E-2</v>
      </c>
      <c r="D19" s="39">
        <v>8.4218943896802454</v>
      </c>
      <c r="G19" s="38">
        <v>8.6496000000000013</v>
      </c>
      <c r="H19" s="28">
        <v>0.70660604518475556</v>
      </c>
      <c r="I19" s="28">
        <v>0.18409426628631204</v>
      </c>
    </row>
    <row r="20" spans="2:9" x14ac:dyDescent="0.2">
      <c r="B20" s="28">
        <v>5</v>
      </c>
      <c r="C20" s="39">
        <v>6.878436611158717E-2</v>
      </c>
      <c r="D20" s="39">
        <v>6.9909469479835433</v>
      </c>
      <c r="G20" s="38">
        <v>27.200000000000003</v>
      </c>
      <c r="H20" s="28">
        <v>0.22470072236875227</v>
      </c>
      <c r="I20" s="28">
        <v>5.8541976679047231E-2</v>
      </c>
    </row>
    <row r="21" spans="2:9" x14ac:dyDescent="0.2">
      <c r="B21" s="298" t="s">
        <v>225</v>
      </c>
      <c r="C21" s="299"/>
      <c r="D21" s="299"/>
      <c r="G21" s="38">
        <v>45.750399999999999</v>
      </c>
      <c r="H21" s="28">
        <v>0.13359139260924632</v>
      </c>
      <c r="I21" s="28">
        <v>3.4804980189683261E-2</v>
      </c>
    </row>
    <row r="22" spans="2:9" x14ac:dyDescent="0.2">
      <c r="B22" s="28">
        <v>1</v>
      </c>
      <c r="C22" s="39">
        <v>0.38370267905452815</v>
      </c>
      <c r="D22" s="39">
        <v>104.55519268963053</v>
      </c>
      <c r="G22" s="307" t="s">
        <v>226</v>
      </c>
      <c r="H22" s="307"/>
      <c r="I22" s="307"/>
    </row>
    <row r="23" spans="2:9" x14ac:dyDescent="0.2">
      <c r="B23" s="28">
        <v>2</v>
      </c>
      <c r="C23" s="39">
        <v>0.20033883952726408</v>
      </c>
      <c r="D23" s="39">
        <v>20.955441150000887</v>
      </c>
      <c r="G23" s="38">
        <v>8.6496000000000013</v>
      </c>
      <c r="H23" s="28">
        <v>0.70660604518475556</v>
      </c>
      <c r="I23" s="28">
        <v>0.19183713837186819</v>
      </c>
    </row>
    <row r="24" spans="2:9" x14ac:dyDescent="0.2">
      <c r="B24" s="28">
        <v>3</v>
      </c>
      <c r="C24" s="39">
        <v>0.1392175596848427</v>
      </c>
      <c r="D24" s="39">
        <v>14.568392671976632</v>
      </c>
      <c r="G24" s="38">
        <v>27.200000000000003</v>
      </c>
      <c r="H24" s="28">
        <v>0.22470072236875227</v>
      </c>
      <c r="I24" s="28">
        <v>6.1004210002254089E-2</v>
      </c>
    </row>
    <row r="25" spans="2:9" x14ac:dyDescent="0.2">
      <c r="B25" s="28">
        <v>4</v>
      </c>
      <c r="C25" s="39">
        <v>0.10865691976363204</v>
      </c>
      <c r="D25" s="39">
        <v>11.375248672964503</v>
      </c>
      <c r="G25" s="38">
        <v>45.750399999999999</v>
      </c>
      <c r="H25" s="28">
        <v>0.13359139260924632</v>
      </c>
      <c r="I25" s="28">
        <v>3.6268852557820509E-2</v>
      </c>
    </row>
    <row r="26" spans="2:9" x14ac:dyDescent="0.2">
      <c r="B26" s="28">
        <v>5</v>
      </c>
      <c r="C26" s="39">
        <v>9.0320535810905628E-2</v>
      </c>
      <c r="D26" s="39">
        <v>9.4596664655572269</v>
      </c>
    </row>
    <row r="27" spans="2:9" x14ac:dyDescent="0.2">
      <c r="B27" s="298" t="s">
        <v>227</v>
      </c>
      <c r="C27" s="299"/>
      <c r="D27" s="300"/>
    </row>
    <row r="28" spans="2:9" x14ac:dyDescent="0.2">
      <c r="B28" s="28">
        <v>1</v>
      </c>
      <c r="C28" s="39">
        <v>0.12953767096995544</v>
      </c>
      <c r="D28" s="39">
        <v>37.954537594196943</v>
      </c>
    </row>
    <row r="29" spans="2:9" x14ac:dyDescent="0.2">
      <c r="B29" s="28">
        <v>2</v>
      </c>
      <c r="C29" s="39">
        <v>6.4768835484977721E-2</v>
      </c>
      <c r="D29" s="39">
        <v>2.5852181188975001</v>
      </c>
    </row>
    <row r="30" spans="2:9" x14ac:dyDescent="0.2">
      <c r="B30" s="298" t="s">
        <v>228</v>
      </c>
      <c r="C30" s="299"/>
      <c r="D30" s="299"/>
    </row>
    <row r="31" spans="2:9" x14ac:dyDescent="0.2">
      <c r="B31" s="28">
        <v>1</v>
      </c>
      <c r="C31" s="39">
        <v>1.1599999999999999E-2</v>
      </c>
      <c r="D31" s="39">
        <v>3.4083000000000001</v>
      </c>
    </row>
    <row r="32" spans="2:9" x14ac:dyDescent="0.2">
      <c r="B32" s="298" t="s">
        <v>229</v>
      </c>
      <c r="C32" s="299"/>
      <c r="D32" s="299"/>
    </row>
    <row r="33" spans="2:4" x14ac:dyDescent="0.2">
      <c r="B33" s="28">
        <v>1</v>
      </c>
      <c r="C33" s="39">
        <v>2.52E-2</v>
      </c>
      <c r="D33" s="39">
        <v>7.3891377069162161</v>
      </c>
    </row>
    <row r="34" spans="2:4" x14ac:dyDescent="0.2">
      <c r="B34" s="298" t="s">
        <v>230</v>
      </c>
      <c r="C34" s="299"/>
      <c r="D34" s="299"/>
    </row>
    <row r="35" spans="2:4" x14ac:dyDescent="0.2">
      <c r="B35" s="38">
        <v>20.54653865588681</v>
      </c>
      <c r="C35" s="28">
        <v>0.20053840690818955</v>
      </c>
      <c r="D35" s="28">
        <v>5.8757753224099533E-2</v>
      </c>
    </row>
    <row r="36" spans="2:4" x14ac:dyDescent="0.2">
      <c r="B36" s="38">
        <v>64.611756779518274</v>
      </c>
      <c r="C36" s="28">
        <v>6.3771213396804277E-2</v>
      </c>
      <c r="D36" s="28">
        <v>1.868496552526365E-2</v>
      </c>
    </row>
    <row r="37" spans="2:4" x14ac:dyDescent="0.2">
      <c r="B37" s="38">
        <v>108.67697490314973</v>
      </c>
      <c r="C37" s="28">
        <v>3.7913919974318831E-2</v>
      </c>
      <c r="D37" s="28">
        <v>1.1108778552475418E-2</v>
      </c>
    </row>
    <row r="38" spans="2:4" x14ac:dyDescent="0.2">
      <c r="B38" s="298" t="s">
        <v>231</v>
      </c>
      <c r="C38" s="299"/>
      <c r="D38" s="299"/>
    </row>
    <row r="39" spans="2:4" x14ac:dyDescent="0.2">
      <c r="B39" s="38">
        <v>34.244231093144684</v>
      </c>
      <c r="C39" s="28">
        <v>0.53483067884519142</v>
      </c>
      <c r="D39" s="28">
        <v>0.1567053889016411</v>
      </c>
    </row>
    <row r="40" spans="2:4" x14ac:dyDescent="0.2">
      <c r="B40" s="38">
        <v>107.68626129919713</v>
      </c>
      <c r="C40" s="28">
        <v>0.17007615587277086</v>
      </c>
      <c r="D40" s="28">
        <v>4.9832313670721863E-2</v>
      </c>
    </row>
    <row r="41" spans="2:4" x14ac:dyDescent="0.2">
      <c r="B41" s="38">
        <v>181.12829150524954</v>
      </c>
      <c r="C41" s="28">
        <v>0.10111543155337152</v>
      </c>
      <c r="D41" s="28">
        <v>2.9626821445137855E-2</v>
      </c>
    </row>
    <row r="42" spans="2:4" x14ac:dyDescent="0.2">
      <c r="B42" s="298" t="s">
        <v>232</v>
      </c>
      <c r="C42" s="299"/>
      <c r="D42" s="300"/>
    </row>
    <row r="43" spans="2:4" x14ac:dyDescent="0.2">
      <c r="B43" s="38"/>
      <c r="C43" s="39"/>
      <c r="D43" s="39"/>
    </row>
    <row r="44" spans="2:4" x14ac:dyDescent="0.2">
      <c r="B44" s="38"/>
      <c r="C44" s="39"/>
      <c r="D44" s="39"/>
    </row>
    <row r="45" spans="2:4" x14ac:dyDescent="0.2">
      <c r="B45" s="38"/>
      <c r="C45" s="39"/>
      <c r="D45" s="39"/>
    </row>
    <row r="46" spans="2:4" x14ac:dyDescent="0.2">
      <c r="B46" s="298" t="s">
        <v>233</v>
      </c>
      <c r="C46" s="299"/>
      <c r="D46" s="299"/>
    </row>
    <row r="47" spans="2:4" x14ac:dyDescent="0.2">
      <c r="B47" s="38">
        <v>34.244231093144684</v>
      </c>
      <c r="C47" s="28">
        <v>0.73496212735175037</v>
      </c>
      <c r="D47" s="28">
        <v>0.19590564013675205</v>
      </c>
    </row>
    <row r="48" spans="2:4" x14ac:dyDescent="0.2">
      <c r="B48" s="38">
        <v>107.68626129919713</v>
      </c>
      <c r="C48" s="28">
        <v>0.23371795649785659</v>
      </c>
      <c r="D48" s="28">
        <v>6.2297993563487149E-2</v>
      </c>
    </row>
    <row r="49" spans="2:4" x14ac:dyDescent="0.2">
      <c r="B49" s="38">
        <v>181.12829150524954</v>
      </c>
      <c r="C49" s="28">
        <v>0.13895241171097303</v>
      </c>
      <c r="D49" s="28">
        <v>3.7038046113844925E-2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0.83887866425470137</v>
      </c>
      <c r="D53">
        <v>0.21711564433164016</v>
      </c>
    </row>
    <row r="54" spans="2:4" x14ac:dyDescent="0.2">
      <c r="B54" s="302" t="s">
        <v>248</v>
      </c>
      <c r="C54" s="303"/>
      <c r="D54" s="303"/>
    </row>
    <row r="55" spans="2:4" x14ac:dyDescent="0.2">
      <c r="C55">
        <v>0.52609212441165776</v>
      </c>
      <c r="D55">
        <v>0.13616132515531235</v>
      </c>
    </row>
    <row r="56" spans="2:4" x14ac:dyDescent="0.2">
      <c r="B56" s="301" t="s">
        <v>249</v>
      </c>
      <c r="C56" s="301"/>
      <c r="D56" s="301"/>
    </row>
    <row r="57" spans="2:4" x14ac:dyDescent="0.2">
      <c r="C57">
        <v>0.31004863587363163</v>
      </c>
      <c r="D57">
        <v>8.024570443886142E-2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FCF2-968A-4B02-B572-7B28EF913028}">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107</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372</v>
      </c>
      <c r="M4" s="70">
        <f>P4*0.75</f>
        <v>558</v>
      </c>
      <c r="N4" s="72">
        <f>P4*0.9</f>
        <v>669.6</v>
      </c>
      <c r="O4" s="74">
        <f>P4*0.95</f>
        <v>706.8</v>
      </c>
      <c r="P4" s="63">
        <v>744</v>
      </c>
      <c r="Q4" s="64">
        <f>P4*1.05</f>
        <v>781.2</v>
      </c>
      <c r="R4" s="76">
        <f>P4*1.25</f>
        <v>930</v>
      </c>
      <c r="S4" s="78" t="s">
        <v>206</v>
      </c>
      <c r="T4" s="56" t="s">
        <v>86</v>
      </c>
    </row>
    <row r="5" spans="1:20" ht="16" thickBot="1" x14ac:dyDescent="0.25">
      <c r="B5" s="289"/>
      <c r="C5" s="291"/>
      <c r="D5" s="293"/>
      <c r="E5" s="3"/>
      <c r="F5" s="4"/>
      <c r="G5" s="291"/>
      <c r="H5" s="291"/>
      <c r="I5" s="291"/>
      <c r="K5" s="62" t="s">
        <v>87</v>
      </c>
      <c r="L5" s="68">
        <f>P5*0.5</f>
        <v>2735.5</v>
      </c>
      <c r="M5" s="70">
        <f>P5*0.75</f>
        <v>4103.25</v>
      </c>
      <c r="N5" s="72">
        <f>P5*0.9</f>
        <v>4923.9000000000005</v>
      </c>
      <c r="O5" s="74">
        <f>P5*0.95</f>
        <v>5197.45</v>
      </c>
      <c r="P5" s="63">
        <v>5471</v>
      </c>
      <c r="Q5" s="64">
        <f>P5*1.05</f>
        <v>5744.55</v>
      </c>
      <c r="R5" s="76">
        <f>P5*1.25</f>
        <v>6838.75</v>
      </c>
      <c r="S5" s="78"/>
      <c r="T5" s="56" t="s">
        <v>86</v>
      </c>
    </row>
    <row r="6" spans="1:20" x14ac:dyDescent="0.2">
      <c r="B6" s="294" t="s">
        <v>207</v>
      </c>
      <c r="C6" s="295"/>
      <c r="D6" s="296"/>
      <c r="G6" s="297" t="s">
        <v>208</v>
      </c>
      <c r="H6" s="297"/>
      <c r="I6" s="297"/>
      <c r="K6" s="62" t="s">
        <v>209</v>
      </c>
      <c r="L6" s="68">
        <f t="shared" ref="L6:N6" si="0">L4+L5</f>
        <v>3107.5</v>
      </c>
      <c r="M6" s="70">
        <f t="shared" si="0"/>
        <v>4661.25</v>
      </c>
      <c r="N6" s="72">
        <f t="shared" si="0"/>
        <v>5593.5000000000009</v>
      </c>
      <c r="O6" s="74">
        <f>O4+O5</f>
        <v>5904.25</v>
      </c>
      <c r="P6" s="63">
        <f>P5+P4</f>
        <v>6215</v>
      </c>
      <c r="Q6" s="64">
        <f t="shared" ref="Q6:R6" si="1">Q4+Q5</f>
        <v>6525.75</v>
      </c>
      <c r="R6" s="76">
        <f t="shared" si="1"/>
        <v>7768.75</v>
      </c>
      <c r="S6" s="78"/>
      <c r="T6" s="56" t="s">
        <v>86</v>
      </c>
    </row>
    <row r="7" spans="1:20" x14ac:dyDescent="0.2">
      <c r="B7" s="28">
        <v>1</v>
      </c>
      <c r="C7" s="39">
        <v>0.65065057749157018</v>
      </c>
      <c r="D7" s="39">
        <v>163.32950655666809</v>
      </c>
      <c r="G7" s="38">
        <v>7.5893594256600281</v>
      </c>
      <c r="H7" s="28">
        <v>0.79059826460638083</v>
      </c>
      <c r="I7" s="28">
        <v>0.16760683209655275</v>
      </c>
      <c r="K7" s="62" t="s">
        <v>210</v>
      </c>
      <c r="L7" s="68">
        <f>P7*0.5</f>
        <v>2767.5</v>
      </c>
      <c r="M7" s="70">
        <f>P7*0.84</f>
        <v>4649.3999999999996</v>
      </c>
      <c r="N7" s="72">
        <f>P7*0.91</f>
        <v>5036.8500000000004</v>
      </c>
      <c r="O7" s="74">
        <f>P7*0.95</f>
        <v>5258.25</v>
      </c>
      <c r="P7" s="63">
        <v>5535</v>
      </c>
      <c r="Q7" s="64">
        <f>P7*1.05</f>
        <v>5811.75</v>
      </c>
      <c r="R7" s="76">
        <f>P7*1.16</f>
        <v>6420.5999999999995</v>
      </c>
      <c r="S7" s="78"/>
      <c r="T7" s="56" t="s">
        <v>86</v>
      </c>
    </row>
    <row r="8" spans="1:20" x14ac:dyDescent="0.2">
      <c r="B8" s="28">
        <v>2</v>
      </c>
      <c r="C8" s="39">
        <v>0.3413252887457851</v>
      </c>
      <c r="D8" s="39">
        <v>58.479093296127623</v>
      </c>
      <c r="G8" s="38">
        <v>23.865910143584994</v>
      </c>
      <c r="H8" s="28">
        <v>0.2514102481448291</v>
      </c>
      <c r="I8" s="28">
        <v>5.3298972606703771E-2</v>
      </c>
      <c r="K8" s="79" t="s">
        <v>211</v>
      </c>
      <c r="L8" s="80">
        <f t="shared" ref="L8:O8" si="2">L7+L6</f>
        <v>5875</v>
      </c>
      <c r="M8" s="81">
        <f t="shared" si="2"/>
        <v>9310.65</v>
      </c>
      <c r="N8" s="82">
        <f t="shared" si="2"/>
        <v>10630.350000000002</v>
      </c>
      <c r="O8" s="83">
        <f t="shared" si="2"/>
        <v>11162.5</v>
      </c>
      <c r="P8" s="84">
        <f>P7+P6</f>
        <v>11750</v>
      </c>
      <c r="Q8" s="85">
        <f t="shared" ref="Q8:R8" si="3">Q7+Q6</f>
        <v>12337.5</v>
      </c>
      <c r="R8" s="86">
        <f t="shared" si="3"/>
        <v>14189.349999999999</v>
      </c>
      <c r="S8" s="87"/>
      <c r="T8" s="88" t="s">
        <v>86</v>
      </c>
    </row>
    <row r="9" spans="1:20" x14ac:dyDescent="0.2">
      <c r="B9" s="28">
        <v>3</v>
      </c>
      <c r="C9" s="39">
        <v>0.23821685916385671</v>
      </c>
      <c r="D9" s="39">
        <v>42.719311807333725</v>
      </c>
      <c r="G9" s="38">
        <v>40.14246086150996</v>
      </c>
      <c r="H9" s="28">
        <v>0.14947101554389364</v>
      </c>
      <c r="I9" s="28">
        <v>3.1687855295305455E-2</v>
      </c>
      <c r="K9" s="62" t="s">
        <v>212</v>
      </c>
      <c r="L9" s="68">
        <f>P9*0.5</f>
        <v>105.5</v>
      </c>
      <c r="M9" s="70">
        <f>P9*0.75</f>
        <v>158.25</v>
      </c>
      <c r="N9" s="72">
        <f>P9*0.9</f>
        <v>189.9</v>
      </c>
      <c r="O9" s="74">
        <f>P9*0.95</f>
        <v>200.45</v>
      </c>
      <c r="P9" s="63">
        <v>211</v>
      </c>
      <c r="Q9" s="64">
        <f>P9*1.05</f>
        <v>221.55</v>
      </c>
      <c r="R9" s="76">
        <f>P9*1.25</f>
        <v>263.75</v>
      </c>
      <c r="S9" s="78"/>
      <c r="T9" s="56" t="s">
        <v>91</v>
      </c>
    </row>
    <row r="10" spans="1:20" x14ac:dyDescent="0.2">
      <c r="B10" s="28">
        <v>4</v>
      </c>
      <c r="C10" s="39">
        <v>0.18666264437289254</v>
      </c>
      <c r="D10" s="39">
        <v>34.967421062936779</v>
      </c>
      <c r="G10" s="297" t="s">
        <v>213</v>
      </c>
      <c r="H10" s="297"/>
      <c r="I10" s="297"/>
      <c r="K10" s="62" t="s">
        <v>214</v>
      </c>
      <c r="L10" s="68">
        <f>P10*0.5</f>
        <v>552.5</v>
      </c>
      <c r="M10" s="70">
        <f>P10*0.75</f>
        <v>828.75</v>
      </c>
      <c r="N10" s="72">
        <f>P10*0.9</f>
        <v>994.5</v>
      </c>
      <c r="O10" s="74">
        <f>P10*0.95</f>
        <v>1049.75</v>
      </c>
      <c r="P10" s="63">
        <v>1105</v>
      </c>
      <c r="Q10" s="64">
        <f>P10*1.05</f>
        <v>1160.25</v>
      </c>
      <c r="R10" s="76">
        <f>P10*1.25</f>
        <v>1381.25</v>
      </c>
      <c r="S10" s="78"/>
      <c r="T10" s="56" t="s">
        <v>91</v>
      </c>
    </row>
    <row r="11" spans="1:20" x14ac:dyDescent="0.2">
      <c r="B11" s="28">
        <v>5</v>
      </c>
      <c r="C11" s="39">
        <v>0.15573011549831403</v>
      </c>
      <c r="D11" s="39">
        <v>30.418686616298611</v>
      </c>
      <c r="G11" s="38">
        <v>7.5893594256600281</v>
      </c>
      <c r="H11" s="28">
        <v>0.79059826460638083</v>
      </c>
      <c r="I11" s="28">
        <v>0.18407275743214668</v>
      </c>
      <c r="K11" s="62" t="s">
        <v>215</v>
      </c>
      <c r="L11" s="68">
        <f t="shared" ref="L11:N11" si="4">L9+L10</f>
        <v>658</v>
      </c>
      <c r="M11" s="70">
        <f t="shared" si="4"/>
        <v>987</v>
      </c>
      <c r="N11" s="72">
        <f t="shared" si="4"/>
        <v>1184.4000000000001</v>
      </c>
      <c r="O11" s="74">
        <f>O9+O10</f>
        <v>1250.2</v>
      </c>
      <c r="P11" s="63">
        <f>P9+P10</f>
        <v>1316</v>
      </c>
      <c r="Q11" s="64">
        <f t="shared" ref="Q11:R11" si="5">Q9+Q10</f>
        <v>1381.8</v>
      </c>
      <c r="R11" s="76">
        <f t="shared" si="5"/>
        <v>1645</v>
      </c>
      <c r="S11" s="78"/>
      <c r="T11" s="56" t="s">
        <v>91</v>
      </c>
    </row>
    <row r="12" spans="1:20" x14ac:dyDescent="0.2">
      <c r="B12" s="298" t="s">
        <v>216</v>
      </c>
      <c r="C12" s="299"/>
      <c r="D12" s="300"/>
      <c r="G12" s="38">
        <v>23.865910143584994</v>
      </c>
      <c r="H12" s="28">
        <v>0.2514102481448291</v>
      </c>
      <c r="I12" s="28">
        <v>5.853513686342264E-2</v>
      </c>
      <c r="K12" s="62" t="s">
        <v>217</v>
      </c>
      <c r="L12" s="68">
        <f>P12*0.5</f>
        <v>672</v>
      </c>
      <c r="M12" s="70">
        <f>P12*0.84</f>
        <v>1128.96</v>
      </c>
      <c r="N12" s="72">
        <f>P12*0.91</f>
        <v>1223.04</v>
      </c>
      <c r="O12" s="74">
        <f>P12*0.95</f>
        <v>1276.8</v>
      </c>
      <c r="P12" s="63">
        <v>1344</v>
      </c>
      <c r="Q12" s="64">
        <f>P12*1.05</f>
        <v>1411.2</v>
      </c>
      <c r="R12" s="76">
        <f>P12*1.16</f>
        <v>1559.04</v>
      </c>
      <c r="S12" s="78"/>
      <c r="T12" s="56" t="s">
        <v>91</v>
      </c>
    </row>
    <row r="13" spans="1:20" ht="16" thickBot="1" x14ac:dyDescent="0.25">
      <c r="B13" s="28">
        <v>1</v>
      </c>
      <c r="C13" s="39">
        <v>0.39566735299686956</v>
      </c>
      <c r="D13" s="39">
        <v>99.322364047850229</v>
      </c>
      <c r="G13" s="38">
        <v>40.14246086150996</v>
      </c>
      <c r="H13" s="28">
        <v>0.14947101554389364</v>
      </c>
      <c r="I13" s="28">
        <v>3.4800913711904066E-2</v>
      </c>
      <c r="K13" s="89" t="s">
        <v>218</v>
      </c>
      <c r="L13" s="90">
        <f t="shared" ref="L13:O13" si="6">L12+L11</f>
        <v>1330</v>
      </c>
      <c r="M13" s="91">
        <f t="shared" si="6"/>
        <v>2115.96</v>
      </c>
      <c r="N13" s="92">
        <f t="shared" si="6"/>
        <v>2407.44</v>
      </c>
      <c r="O13" s="93">
        <f t="shared" si="6"/>
        <v>2527</v>
      </c>
      <c r="P13" s="94">
        <f>P12+P11</f>
        <v>2660</v>
      </c>
      <c r="Q13" s="95">
        <f t="shared" ref="Q13:R13" si="7">Q12+Q11</f>
        <v>2793</v>
      </c>
      <c r="R13" s="96">
        <f t="shared" si="7"/>
        <v>3204.04</v>
      </c>
      <c r="S13" s="97"/>
      <c r="T13" s="98" t="s">
        <v>91</v>
      </c>
    </row>
    <row r="14" spans="1:20" x14ac:dyDescent="0.2">
      <c r="B14" s="28">
        <v>2</v>
      </c>
      <c r="C14" s="39">
        <v>0.21383367649843477</v>
      </c>
      <c r="D14" s="39">
        <v>22.949135674855253</v>
      </c>
      <c r="G14" s="297" t="s">
        <v>219</v>
      </c>
      <c r="H14" s="297"/>
      <c r="I14" s="297"/>
      <c r="L14" s="59"/>
      <c r="M14" s="59"/>
      <c r="N14" s="59"/>
      <c r="O14" s="59"/>
      <c r="P14" s="59"/>
      <c r="Q14" s="59"/>
      <c r="R14" s="59"/>
      <c r="S14" s="59"/>
    </row>
    <row r="15" spans="1:20" x14ac:dyDescent="0.2">
      <c r="B15" s="298" t="s">
        <v>220</v>
      </c>
      <c r="C15" s="299"/>
      <c r="D15" s="300"/>
      <c r="G15" s="38">
        <v>7.5893594256600281</v>
      </c>
      <c r="H15" s="28">
        <v>0.79059826460638083</v>
      </c>
      <c r="I15" s="28">
        <v>0.18025640433025486</v>
      </c>
      <c r="K15" t="s">
        <v>221</v>
      </c>
      <c r="L15" s="60">
        <v>-0.5</v>
      </c>
      <c r="M15" s="60">
        <v>-0.25</v>
      </c>
      <c r="N15" s="60">
        <v>-0.1</v>
      </c>
      <c r="O15" s="60">
        <v>-0.05</v>
      </c>
      <c r="P15" t="s">
        <v>222</v>
      </c>
      <c r="Q15" s="60">
        <v>0.05</v>
      </c>
      <c r="R15" s="60">
        <v>0.25</v>
      </c>
      <c r="S15" s="60"/>
    </row>
    <row r="16" spans="1:20" x14ac:dyDescent="0.2">
      <c r="B16" s="28">
        <v>1</v>
      </c>
      <c r="C16" s="39">
        <v>0.30374036849832436</v>
      </c>
      <c r="D16" s="39">
        <v>64.392958121644767</v>
      </c>
      <c r="G16" s="38">
        <v>23.865910143584994</v>
      </c>
      <c r="H16" s="28">
        <v>0.2514102481448291</v>
      </c>
      <c r="I16" s="28">
        <v>5.7321536577021041E-2</v>
      </c>
      <c r="K16" t="s">
        <v>223</v>
      </c>
      <c r="L16" s="60">
        <v>-0.5</v>
      </c>
      <c r="M16" s="60">
        <v>-0.16</v>
      </c>
      <c r="N16" s="60">
        <v>-0.09</v>
      </c>
      <c r="O16" s="60">
        <v>-0.05</v>
      </c>
      <c r="P16" t="s">
        <v>222</v>
      </c>
      <c r="Q16" s="60">
        <v>0.05</v>
      </c>
      <c r="R16" s="60">
        <v>0.16</v>
      </c>
      <c r="S16" s="60"/>
    </row>
    <row r="17" spans="2:9" x14ac:dyDescent="0.2">
      <c r="B17" s="28">
        <v>2</v>
      </c>
      <c r="C17" s="39">
        <v>0.15484518424916219</v>
      </c>
      <c r="D17" s="39">
        <v>10.274436025823025</v>
      </c>
      <c r="G17" s="38">
        <v>40.14246086150996</v>
      </c>
      <c r="H17" s="28">
        <v>0.14947101554389364</v>
      </c>
      <c r="I17" s="28">
        <v>3.4079391544007756E-2</v>
      </c>
    </row>
    <row r="18" spans="2:9" x14ac:dyDescent="0.2">
      <c r="B18" s="28">
        <v>3</v>
      </c>
      <c r="C18" s="39">
        <v>0.10521345616610812</v>
      </c>
      <c r="D18" s="39">
        <v>7.187442424908852</v>
      </c>
      <c r="G18" s="297" t="s">
        <v>224</v>
      </c>
      <c r="H18" s="297"/>
      <c r="I18" s="297"/>
    </row>
    <row r="19" spans="2:9" x14ac:dyDescent="0.2">
      <c r="B19" s="28">
        <v>4</v>
      </c>
      <c r="C19" s="39">
        <v>8.0397592124581085E-2</v>
      </c>
      <c r="D19" s="39">
        <v>5.6497766244517633</v>
      </c>
      <c r="G19" s="38">
        <v>7.5893594256600281</v>
      </c>
      <c r="H19" s="28">
        <v>0.79059826460638083</v>
      </c>
      <c r="I19" s="28">
        <v>0.20053868276774062</v>
      </c>
    </row>
    <row r="20" spans="2:9" x14ac:dyDescent="0.2">
      <c r="B20" s="28">
        <v>5</v>
      </c>
      <c r="C20" s="39">
        <v>6.5508073699664868E-2</v>
      </c>
      <c r="D20" s="39">
        <v>4.7318419441775124</v>
      </c>
      <c r="G20" s="38">
        <v>23.865910143584994</v>
      </c>
      <c r="H20" s="28">
        <v>0.2514102481448291</v>
      </c>
      <c r="I20" s="28">
        <v>6.377130112014151E-2</v>
      </c>
    </row>
    <row r="21" spans="2:9" x14ac:dyDescent="0.2">
      <c r="B21" s="298" t="s">
        <v>225</v>
      </c>
      <c r="C21" s="299"/>
      <c r="D21" s="299"/>
      <c r="G21" s="38">
        <v>40.14246086150996</v>
      </c>
      <c r="H21" s="28">
        <v>0.14947101554389364</v>
      </c>
      <c r="I21" s="28">
        <v>3.7913972128502685E-2</v>
      </c>
    </row>
    <row r="22" spans="2:9" x14ac:dyDescent="0.2">
      <c r="B22" s="28">
        <v>1</v>
      </c>
      <c r="C22" s="39">
        <v>0.57807707474963577</v>
      </c>
      <c r="D22" s="39">
        <v>133.83204448718098</v>
      </c>
      <c r="G22" s="297" t="s">
        <v>226</v>
      </c>
      <c r="H22" s="297"/>
      <c r="I22" s="297"/>
    </row>
    <row r="23" spans="2:9" x14ac:dyDescent="0.2">
      <c r="B23" s="28">
        <v>2</v>
      </c>
      <c r="C23" s="39">
        <v>0.29752603737481786</v>
      </c>
      <c r="D23" s="39">
        <v>39.83184703651569</v>
      </c>
      <c r="G23" s="38">
        <v>7.5893594256600281</v>
      </c>
      <c r="H23" s="28">
        <v>0.79059826460638083</v>
      </c>
      <c r="I23" s="28">
        <v>0.19625737903037135</v>
      </c>
    </row>
    <row r="24" spans="2:9" x14ac:dyDescent="0.2">
      <c r="B24" s="28">
        <v>3</v>
      </c>
      <c r="C24" s="39">
        <v>0.20400902491654527</v>
      </c>
      <c r="D24" s="39">
        <v>27.321224107050018</v>
      </c>
      <c r="G24" s="38">
        <v>23.865910143584994</v>
      </c>
      <c r="H24" s="28">
        <v>0.2514102481448291</v>
      </c>
      <c r="I24" s="28">
        <v>6.2409846531658091E-2</v>
      </c>
    </row>
    <row r="25" spans="2:9" x14ac:dyDescent="0.2">
      <c r="B25" s="28">
        <v>4</v>
      </c>
      <c r="C25" s="39">
        <v>0.15725051868740894</v>
      </c>
      <c r="D25" s="39">
        <v>21.066292882317185</v>
      </c>
      <c r="G25" s="38">
        <v>40.14246086150996</v>
      </c>
      <c r="H25" s="28">
        <v>0.14947101554389364</v>
      </c>
      <c r="I25" s="28">
        <v>3.710454609492158E-2</v>
      </c>
    </row>
    <row r="26" spans="2:9" x14ac:dyDescent="0.2">
      <c r="B26" s="28">
        <v>5</v>
      </c>
      <c r="C26" s="39">
        <v>0.12919541494992715</v>
      </c>
      <c r="D26" s="39">
        <v>17.313638339477485</v>
      </c>
    </row>
    <row r="27" spans="2:9" x14ac:dyDescent="0.2">
      <c r="B27" s="298" t="s">
        <v>227</v>
      </c>
      <c r="C27" s="299"/>
      <c r="D27" s="300"/>
    </row>
    <row r="28" spans="2:9" x14ac:dyDescent="0.2">
      <c r="B28" s="28">
        <v>1</v>
      </c>
      <c r="C28" s="39">
        <v>0.12290889329932196</v>
      </c>
      <c r="D28" s="39">
        <v>26.056685379456255</v>
      </c>
    </row>
    <row r="29" spans="2:9" x14ac:dyDescent="0.2">
      <c r="B29" s="28">
        <v>2</v>
      </c>
      <c r="C29" s="39">
        <v>6.1454446649660981E-2</v>
      </c>
      <c r="D29" s="39">
        <v>1.7217498969521312</v>
      </c>
    </row>
    <row r="30" spans="2:9" x14ac:dyDescent="0.2">
      <c r="B30" s="298" t="s">
        <v>228</v>
      </c>
      <c r="C30" s="299"/>
      <c r="D30" s="299"/>
    </row>
    <row r="31" spans="2:9" x14ac:dyDescent="0.2">
      <c r="B31" s="28">
        <v>1</v>
      </c>
      <c r="C31" s="39">
        <v>1.0999999999999999E-2</v>
      </c>
      <c r="D31" s="39">
        <v>2.3399000000000001</v>
      </c>
    </row>
    <row r="32" spans="2:9" x14ac:dyDescent="0.2">
      <c r="B32" s="297" t="s">
        <v>229</v>
      </c>
      <c r="C32" s="297"/>
      <c r="D32" s="297"/>
    </row>
    <row r="33" spans="2:4" x14ac:dyDescent="0.2">
      <c r="B33" s="28">
        <v>1</v>
      </c>
      <c r="C33" s="39">
        <v>2.3900000000000001E-2</v>
      </c>
      <c r="D33" s="39">
        <v>5.0728</v>
      </c>
    </row>
    <row r="34" spans="2:4" x14ac:dyDescent="0.2">
      <c r="B34" s="297" t="s">
        <v>230</v>
      </c>
      <c r="C34" s="297"/>
      <c r="D34" s="297"/>
    </row>
    <row r="35" spans="2:4" x14ac:dyDescent="0.2">
      <c r="B35" s="38">
        <v>24.13717596867555</v>
      </c>
      <c r="C35" s="28">
        <v>0.22470189851568492</v>
      </c>
      <c r="D35" s="28">
        <v>4.7636802485325196E-2</v>
      </c>
    </row>
    <row r="36" spans="2:4" x14ac:dyDescent="0.2">
      <c r="B36" s="38">
        <v>75.903069083885384</v>
      </c>
      <c r="C36" s="28">
        <v>7.145520372798779E-2</v>
      </c>
      <c r="D36" s="28">
        <v>1.5148503190333411E-2</v>
      </c>
    </row>
    <row r="37" spans="2:4" x14ac:dyDescent="0.2">
      <c r="B37" s="38">
        <v>127.6689621990952</v>
      </c>
      <c r="C37" s="28">
        <v>4.2482285212834606E-2</v>
      </c>
      <c r="D37" s="28">
        <v>9.0062444651209349E-3</v>
      </c>
    </row>
    <row r="38" spans="2:4" x14ac:dyDescent="0.2">
      <c r="B38" s="297" t="s">
        <v>231</v>
      </c>
      <c r="C38" s="297"/>
      <c r="D38" s="297"/>
    </row>
    <row r="39" spans="2:4" x14ac:dyDescent="0.2">
      <c r="B39" s="38">
        <v>40.088507981640419</v>
      </c>
      <c r="C39" s="28">
        <v>0.58349263878705704</v>
      </c>
      <c r="D39" s="28">
        <v>0.12370043942285611</v>
      </c>
    </row>
    <row r="40" spans="2:4" x14ac:dyDescent="0.2">
      <c r="B40" s="38">
        <v>126.06449050830319</v>
      </c>
      <c r="C40" s="28">
        <v>0.18555065913428415</v>
      </c>
      <c r="D40" s="28">
        <v>3.9336739736468243E-2</v>
      </c>
    </row>
    <row r="41" spans="2:4" x14ac:dyDescent="0.2">
      <c r="B41" s="38">
        <v>212.04047303496594</v>
      </c>
      <c r="C41" s="28">
        <v>0.11031549294547217</v>
      </c>
      <c r="D41" s="28">
        <v>2.3386884504440101E-2</v>
      </c>
    </row>
    <row r="42" spans="2:4" x14ac:dyDescent="0.2">
      <c r="B42" s="297" t="s">
        <v>232</v>
      </c>
      <c r="C42" s="297"/>
      <c r="D42" s="297"/>
    </row>
    <row r="43" spans="2:4" x14ac:dyDescent="0.2">
      <c r="B43" s="38">
        <v>89.652367883652062</v>
      </c>
      <c r="C43" s="28">
        <v>0.34729794612047277</v>
      </c>
      <c r="D43" s="28">
        <v>7.3627164577540219E-2</v>
      </c>
    </row>
    <row r="44" spans="2:4" x14ac:dyDescent="0.2">
      <c r="B44" s="38">
        <v>281.92568516871717</v>
      </c>
      <c r="C44" s="28">
        <v>0.11044074686631034</v>
      </c>
      <c r="D44" s="28">
        <v>2.3413438335657791E-2</v>
      </c>
    </row>
    <row r="45" spans="2:4" x14ac:dyDescent="0.2">
      <c r="B45" s="38">
        <v>474.19900245378221</v>
      </c>
      <c r="C45" s="28">
        <v>6.5660372691028743E-2</v>
      </c>
      <c r="D45" s="28">
        <v>1.3919999010498094E-2</v>
      </c>
    </row>
    <row r="46" spans="2:4" x14ac:dyDescent="0.2">
      <c r="B46" s="297" t="s">
        <v>233</v>
      </c>
      <c r="C46" s="297"/>
      <c r="D46" s="297"/>
    </row>
    <row r="47" spans="2:4" x14ac:dyDescent="0.2">
      <c r="B47" s="38">
        <v>40.088507981640419</v>
      </c>
      <c r="C47" s="28">
        <v>0.69922954280793748</v>
      </c>
      <c r="D47" s="28">
        <v>0.1863810475240418</v>
      </c>
    </row>
    <row r="48" spans="2:4" x14ac:dyDescent="0.2">
      <c r="B48" s="38">
        <v>126.06449050830319</v>
      </c>
      <c r="C48" s="28">
        <v>0.22235499461292413</v>
      </c>
      <c r="D48" s="28">
        <v>5.9269173112645304E-2</v>
      </c>
    </row>
    <row r="49" spans="2:4" x14ac:dyDescent="0.2">
      <c r="B49" s="38">
        <v>212.04047303496594</v>
      </c>
      <c r="C49" s="28">
        <v>0.13219678633348642</v>
      </c>
      <c r="D49" s="28">
        <v>3.5237320518814098E-2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0.79228025846740036</v>
      </c>
      <c r="D53">
        <v>0.20507087411731081</v>
      </c>
    </row>
    <row r="54" spans="2:4" x14ac:dyDescent="0.2">
      <c r="B54" s="302" t="s">
        <v>248</v>
      </c>
      <c r="C54" s="303"/>
      <c r="D54" s="303"/>
    </row>
    <row r="55" spans="2:4" x14ac:dyDescent="0.2">
      <c r="C55">
        <v>0.35740933458958435</v>
      </c>
      <c r="D55">
        <v>9.2510502285837612E-2</v>
      </c>
    </row>
    <row r="56" spans="2:4" x14ac:dyDescent="0.2">
      <c r="B56" s="301" t="s">
        <v>249</v>
      </c>
      <c r="C56" s="301"/>
      <c r="D56" s="301"/>
    </row>
    <row r="57" spans="2:4" x14ac:dyDescent="0.2">
      <c r="C57">
        <v>0.18725401789034732</v>
      </c>
      <c r="D57">
        <v>4.8468133239914786E-2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5809-4DD4-48A4-BFD8-707F47E0D3B5}">
  <dimension ref="A1:T57"/>
  <sheetViews>
    <sheetView zoomScale="80" zoomScaleNormal="80" workbookViewId="0">
      <selection activeCell="C57" sqref="C57:D57"/>
    </sheetView>
  </sheetViews>
  <sheetFormatPr baseColWidth="10" defaultColWidth="11.5" defaultRowHeight="15" x14ac:dyDescent="0.2"/>
  <cols>
    <col min="1" max="1" width="14.1640625"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109</v>
      </c>
    </row>
    <row r="2" spans="1:20" ht="16" thickBot="1" x14ac:dyDescent="0.25">
      <c r="G2" t="s">
        <v>236</v>
      </c>
    </row>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ht="14.5" customHeight="1" x14ac:dyDescent="0.2">
      <c r="B4" s="288" t="s">
        <v>201</v>
      </c>
      <c r="C4" s="290" t="s">
        <v>202</v>
      </c>
      <c r="D4" s="292" t="s">
        <v>203</v>
      </c>
      <c r="E4" s="3"/>
      <c r="F4" s="4"/>
      <c r="G4" s="290" t="s">
        <v>201</v>
      </c>
      <c r="H4" s="290" t="s">
        <v>204</v>
      </c>
      <c r="I4" s="290" t="s">
        <v>203</v>
      </c>
      <c r="K4" s="62" t="s">
        <v>205</v>
      </c>
      <c r="L4" s="68">
        <f>P4*0.5</f>
        <v>262</v>
      </c>
      <c r="M4" s="70">
        <f>P4*0.75</f>
        <v>393</v>
      </c>
      <c r="N4" s="72">
        <f>P4*0.9</f>
        <v>471.6</v>
      </c>
      <c r="O4" s="74">
        <f>P4*0.95</f>
        <v>497.79999999999995</v>
      </c>
      <c r="P4" s="63">
        <v>524</v>
      </c>
      <c r="Q4" s="64">
        <f>P4*1.05</f>
        <v>550.20000000000005</v>
      </c>
      <c r="R4" s="76">
        <f>P4*1.25</f>
        <v>655</v>
      </c>
      <c r="S4" s="78" t="s">
        <v>206</v>
      </c>
      <c r="T4" s="56" t="s">
        <v>86</v>
      </c>
    </row>
    <row r="5" spans="1:20" ht="16" thickBot="1" x14ac:dyDescent="0.25">
      <c r="B5" s="289"/>
      <c r="C5" s="291"/>
      <c r="D5" s="293"/>
      <c r="E5" s="3"/>
      <c r="F5" s="4"/>
      <c r="G5" s="291"/>
      <c r="H5" s="291"/>
      <c r="I5" s="291"/>
      <c r="K5" s="62" t="s">
        <v>87</v>
      </c>
      <c r="L5" s="68">
        <f>P5*0.5</f>
        <v>2453.5</v>
      </c>
      <c r="M5" s="70">
        <f>P5*0.75</f>
        <v>3680.25</v>
      </c>
      <c r="N5" s="72">
        <f>P5*0.9</f>
        <v>4416.3</v>
      </c>
      <c r="O5" s="74">
        <f>P5*0.95</f>
        <v>4661.6499999999996</v>
      </c>
      <c r="P5" s="63">
        <v>4907</v>
      </c>
      <c r="Q5" s="64">
        <f>P5*1.05</f>
        <v>5152.3500000000004</v>
      </c>
      <c r="R5" s="76">
        <f>P5*1.25</f>
        <v>6133.75</v>
      </c>
      <c r="S5" s="78"/>
      <c r="T5" s="56" t="s">
        <v>86</v>
      </c>
    </row>
    <row r="6" spans="1:20" x14ac:dyDescent="0.2">
      <c r="B6" s="294" t="s">
        <v>207</v>
      </c>
      <c r="C6" s="295"/>
      <c r="D6" s="296"/>
      <c r="G6" s="297" t="s">
        <v>208</v>
      </c>
      <c r="H6" s="297"/>
      <c r="I6" s="297"/>
      <c r="K6" s="62" t="s">
        <v>209</v>
      </c>
      <c r="L6" s="68">
        <f t="shared" ref="L6:N6" si="0">L4+L5</f>
        <v>2715.5</v>
      </c>
      <c r="M6" s="70">
        <f t="shared" si="0"/>
        <v>4073.25</v>
      </c>
      <c r="N6" s="72">
        <f t="shared" si="0"/>
        <v>4887.9000000000005</v>
      </c>
      <c r="O6" s="74">
        <f>O4+O5</f>
        <v>5159.45</v>
      </c>
      <c r="P6" s="63">
        <f>P5+P4</f>
        <v>5431</v>
      </c>
      <c r="Q6" s="64">
        <f t="shared" ref="Q6:R6" si="1">Q4+Q5</f>
        <v>5702.55</v>
      </c>
      <c r="R6" s="76">
        <f t="shared" si="1"/>
        <v>6788.75</v>
      </c>
      <c r="S6" s="78"/>
      <c r="T6" s="56" t="s">
        <v>86</v>
      </c>
    </row>
    <row r="7" spans="1:20" x14ac:dyDescent="0.2">
      <c r="B7" s="28">
        <v>1</v>
      </c>
      <c r="C7" s="39">
        <v>0.77174969851283659</v>
      </c>
      <c r="D7" s="39">
        <v>190.32801514819712</v>
      </c>
      <c r="G7" s="38">
        <v>6</v>
      </c>
      <c r="H7" s="28">
        <v>0.99004999999999999</v>
      </c>
      <c r="I7" s="28">
        <v>0.22375100000000001</v>
      </c>
      <c r="K7" s="62" t="s">
        <v>210</v>
      </c>
      <c r="L7" s="68">
        <f>P7*0.5</f>
        <v>2376</v>
      </c>
      <c r="M7" s="70">
        <f>P7*0.84</f>
        <v>3991.68</v>
      </c>
      <c r="N7" s="72">
        <f>P7*0.91</f>
        <v>4324.32</v>
      </c>
      <c r="O7" s="74">
        <f>P7*0.95</f>
        <v>4514.3999999999996</v>
      </c>
      <c r="P7" s="63">
        <v>4752</v>
      </c>
      <c r="Q7" s="64">
        <f>P7*1.05</f>
        <v>4989.6000000000004</v>
      </c>
      <c r="R7" s="76">
        <f>P7*1.16</f>
        <v>5512.32</v>
      </c>
      <c r="S7" s="78"/>
      <c r="T7" s="56" t="s">
        <v>86</v>
      </c>
    </row>
    <row r="8" spans="1:20" x14ac:dyDescent="0.2">
      <c r="B8" s="28">
        <v>2</v>
      </c>
      <c r="C8" s="39">
        <v>0.40187484925641831</v>
      </c>
      <c r="D8" s="39">
        <v>79.703041191006363</v>
      </c>
      <c r="G8" s="38">
        <v>19</v>
      </c>
      <c r="H8" s="28">
        <v>0.31484000000000001</v>
      </c>
      <c r="I8" s="28">
        <v>7.1196700000000002E-2</v>
      </c>
      <c r="K8" s="79" t="s">
        <v>211</v>
      </c>
      <c r="L8" s="80">
        <f t="shared" ref="L8:O8" si="2">L7+L6</f>
        <v>5091.5</v>
      </c>
      <c r="M8" s="81">
        <f t="shared" si="2"/>
        <v>8064.93</v>
      </c>
      <c r="N8" s="82">
        <f t="shared" si="2"/>
        <v>9212.2200000000012</v>
      </c>
      <c r="O8" s="83">
        <f t="shared" si="2"/>
        <v>9673.8499999999985</v>
      </c>
      <c r="P8" s="84">
        <f>P7+P6</f>
        <v>10183</v>
      </c>
      <c r="Q8" s="85">
        <f t="shared" ref="Q8:R8" si="3">Q7+Q6</f>
        <v>10692.150000000001</v>
      </c>
      <c r="R8" s="86">
        <f t="shared" si="3"/>
        <v>12301.07</v>
      </c>
      <c r="S8" s="87"/>
      <c r="T8" s="88" t="s">
        <v>86</v>
      </c>
    </row>
    <row r="9" spans="1:20" x14ac:dyDescent="0.2">
      <c r="B9" s="28">
        <v>3</v>
      </c>
      <c r="C9" s="39">
        <v>0.27858323283761216</v>
      </c>
      <c r="D9" s="39">
        <v>57.479525484952575</v>
      </c>
      <c r="G9" s="38">
        <v>32</v>
      </c>
      <c r="H9" s="28">
        <v>0.18718000000000001</v>
      </c>
      <c r="I9" s="28">
        <v>4.2303E-2</v>
      </c>
      <c r="K9" s="62" t="s">
        <v>212</v>
      </c>
      <c r="L9" s="68">
        <f>P9*0.5</f>
        <v>54</v>
      </c>
      <c r="M9" s="70">
        <f>P9*0.75</f>
        <v>81</v>
      </c>
      <c r="N9" s="72">
        <f>P9*0.9</f>
        <v>97.2</v>
      </c>
      <c r="O9" s="74">
        <f>P9*0.95</f>
        <v>102.6</v>
      </c>
      <c r="P9" s="63">
        <v>108</v>
      </c>
      <c r="Q9" s="64">
        <f>P9*1.05</f>
        <v>113.4</v>
      </c>
      <c r="R9" s="76">
        <f>P9*1.25</f>
        <v>135</v>
      </c>
      <c r="S9" s="78"/>
      <c r="T9" s="56" t="s">
        <v>91</v>
      </c>
    </row>
    <row r="10" spans="1:20" x14ac:dyDescent="0.2">
      <c r="B10" s="28">
        <v>4</v>
      </c>
      <c r="C10" s="39">
        <v>0.21693742462820914</v>
      </c>
      <c r="D10" s="39">
        <v>46.495767631925681</v>
      </c>
      <c r="G10" s="297" t="s">
        <v>213</v>
      </c>
      <c r="H10" s="297"/>
      <c r="I10" s="297"/>
      <c r="K10" s="62" t="s">
        <v>214</v>
      </c>
      <c r="L10" s="68">
        <f>P10*0.5</f>
        <v>495.5</v>
      </c>
      <c r="M10" s="70">
        <f>P10*0.75</f>
        <v>743.25</v>
      </c>
      <c r="N10" s="72">
        <f>P10*0.9</f>
        <v>891.9</v>
      </c>
      <c r="O10" s="74">
        <f>P10*0.95</f>
        <v>941.44999999999993</v>
      </c>
      <c r="P10" s="63">
        <v>991</v>
      </c>
      <c r="Q10" s="64">
        <f>P10*1.05</f>
        <v>1040.55</v>
      </c>
      <c r="R10" s="76">
        <f>P10*1.25</f>
        <v>1238.75</v>
      </c>
      <c r="S10" s="78"/>
      <c r="T10" s="56" t="s">
        <v>91</v>
      </c>
    </row>
    <row r="11" spans="1:20" x14ac:dyDescent="0.2">
      <c r="B11" s="28">
        <v>5</v>
      </c>
      <c r="C11" s="39">
        <v>0.17994993970256731</v>
      </c>
      <c r="D11" s="39">
        <v>40.007912920109547</v>
      </c>
      <c r="G11" s="38">
        <v>6</v>
      </c>
      <c r="H11" s="28">
        <v>0.99004999999999999</v>
      </c>
      <c r="I11" s="28">
        <v>0.23658970000000001</v>
      </c>
      <c r="K11" s="62" t="s">
        <v>215</v>
      </c>
      <c r="L11" s="68">
        <f t="shared" ref="L11:N11" si="4">L9+L10</f>
        <v>549.5</v>
      </c>
      <c r="M11" s="70">
        <f t="shared" si="4"/>
        <v>824.25</v>
      </c>
      <c r="N11" s="72">
        <f t="shared" si="4"/>
        <v>989.1</v>
      </c>
      <c r="O11" s="74">
        <f>O9+O10</f>
        <v>1044.05</v>
      </c>
      <c r="P11" s="63">
        <f>P9+P10</f>
        <v>1099</v>
      </c>
      <c r="Q11" s="64">
        <f t="shared" ref="Q11:R11" si="5">Q9+Q10</f>
        <v>1153.95</v>
      </c>
      <c r="R11" s="76">
        <f t="shared" si="5"/>
        <v>1373.75</v>
      </c>
      <c r="S11" s="78"/>
      <c r="T11" s="56" t="s">
        <v>91</v>
      </c>
    </row>
    <row r="12" spans="1:20" x14ac:dyDescent="0.2">
      <c r="B12" s="298" t="s">
        <v>216</v>
      </c>
      <c r="C12" s="299"/>
      <c r="D12" s="300"/>
      <c r="G12" s="38">
        <v>19</v>
      </c>
      <c r="H12" s="28">
        <v>0.31484000000000001</v>
      </c>
      <c r="I12" s="28">
        <v>7.5235499999999997E-2</v>
      </c>
      <c r="K12" s="62" t="s">
        <v>217</v>
      </c>
      <c r="L12" s="68">
        <f>P12*0.5</f>
        <v>588</v>
      </c>
      <c r="M12" s="70">
        <f>P12*0.84</f>
        <v>987.83999999999992</v>
      </c>
      <c r="N12" s="72">
        <f>P12*0.91</f>
        <v>1070.1600000000001</v>
      </c>
      <c r="O12" s="74">
        <f>P12*0.95</f>
        <v>1117.2</v>
      </c>
      <c r="P12" s="63">
        <v>1176</v>
      </c>
      <c r="Q12" s="64">
        <f>P12*1.05</f>
        <v>1234.8</v>
      </c>
      <c r="R12" s="76">
        <f>P12*1.16</f>
        <v>1364.1599999999999</v>
      </c>
      <c r="S12" s="78"/>
      <c r="T12" s="56" t="s">
        <v>91</v>
      </c>
    </row>
    <row r="13" spans="1:20" ht="16" thickBot="1" x14ac:dyDescent="0.25">
      <c r="B13" s="28">
        <v>1</v>
      </c>
      <c r="C13" s="39">
        <v>0.51442060853139271</v>
      </c>
      <c r="D13" s="39">
        <v>126.86581356854158</v>
      </c>
      <c r="G13" s="38">
        <v>32</v>
      </c>
      <c r="H13" s="28">
        <v>0.18718000000000001</v>
      </c>
      <c r="I13" s="28">
        <v>4.47298E-2</v>
      </c>
      <c r="K13" s="89" t="s">
        <v>218</v>
      </c>
      <c r="L13" s="90">
        <f t="shared" ref="L13:O13" si="6">L12+L11</f>
        <v>1137.5</v>
      </c>
      <c r="M13" s="91">
        <f t="shared" si="6"/>
        <v>1812.09</v>
      </c>
      <c r="N13" s="92">
        <f t="shared" si="6"/>
        <v>2059.2600000000002</v>
      </c>
      <c r="O13" s="93">
        <f t="shared" si="6"/>
        <v>2161.25</v>
      </c>
      <c r="P13" s="94">
        <f>P12+P11</f>
        <v>2275</v>
      </c>
      <c r="Q13" s="95">
        <f t="shared" ref="Q13:R13" si="7">Q12+Q11</f>
        <v>2388.75</v>
      </c>
      <c r="R13" s="96">
        <f t="shared" si="7"/>
        <v>2737.91</v>
      </c>
      <c r="S13" s="97"/>
      <c r="T13" s="98" t="s">
        <v>91</v>
      </c>
    </row>
    <row r="14" spans="1:20" x14ac:dyDescent="0.2">
      <c r="B14" s="28">
        <v>2</v>
      </c>
      <c r="C14" s="39">
        <v>0.27321030426569637</v>
      </c>
      <c r="D14" s="39">
        <v>36.846729960101925</v>
      </c>
      <c r="G14" s="297" t="s">
        <v>219</v>
      </c>
      <c r="H14" s="297"/>
      <c r="I14" s="297"/>
      <c r="L14" s="59"/>
      <c r="M14" s="59"/>
      <c r="N14" s="59"/>
      <c r="O14" s="59"/>
      <c r="P14" s="59"/>
      <c r="Q14" s="59"/>
      <c r="R14" s="59"/>
      <c r="S14" s="59"/>
    </row>
    <row r="15" spans="1:20" x14ac:dyDescent="0.2">
      <c r="B15" s="298" t="s">
        <v>220</v>
      </c>
      <c r="C15" s="299"/>
      <c r="D15" s="300"/>
      <c r="G15" s="38">
        <v>6</v>
      </c>
      <c r="H15" s="28">
        <v>0.99004999999999999</v>
      </c>
      <c r="I15" s="28">
        <v>0.22573099999999999</v>
      </c>
      <c r="K15" t="s">
        <v>221</v>
      </c>
      <c r="L15" s="60">
        <v>-0.5</v>
      </c>
      <c r="M15" s="60">
        <v>-0.25</v>
      </c>
      <c r="N15" s="60">
        <v>-0.1</v>
      </c>
      <c r="O15" s="60">
        <v>-0.05</v>
      </c>
      <c r="P15" t="s">
        <v>222</v>
      </c>
      <c r="Q15" s="60">
        <v>0.05</v>
      </c>
      <c r="R15" s="60">
        <v>0.25</v>
      </c>
      <c r="S15" s="60"/>
    </row>
    <row r="16" spans="1:20" x14ac:dyDescent="0.2">
      <c r="B16" s="28">
        <v>1</v>
      </c>
      <c r="C16" s="39">
        <v>0.42263508900818836</v>
      </c>
      <c r="D16" s="39">
        <v>61.704722995195503</v>
      </c>
      <c r="G16" s="38">
        <v>19</v>
      </c>
      <c r="H16" s="28">
        <v>0.31484000000000001</v>
      </c>
      <c r="I16" s="28">
        <v>7.1783E-2</v>
      </c>
      <c r="K16" t="s">
        <v>223</v>
      </c>
      <c r="L16" s="60">
        <v>-0.5</v>
      </c>
      <c r="M16" s="60">
        <v>-0.16</v>
      </c>
      <c r="N16" s="60">
        <v>-0.09</v>
      </c>
      <c r="O16" s="60">
        <v>-0.05</v>
      </c>
      <c r="P16" t="s">
        <v>222</v>
      </c>
      <c r="Q16" s="60">
        <v>0.05</v>
      </c>
      <c r="R16" s="60">
        <v>0.16</v>
      </c>
      <c r="S16" s="60"/>
    </row>
    <row r="17" spans="2:9" x14ac:dyDescent="0.2">
      <c r="B17" s="28">
        <v>2</v>
      </c>
      <c r="C17" s="39">
        <v>0.21429254450409418</v>
      </c>
      <c r="D17" s="39">
        <v>13.64287548578876</v>
      </c>
      <c r="G17" s="38">
        <v>32</v>
      </c>
      <c r="H17" s="28">
        <v>0.18718000000000001</v>
      </c>
      <c r="I17" s="28">
        <v>4.2677E-2</v>
      </c>
    </row>
    <row r="18" spans="2:9" x14ac:dyDescent="0.2">
      <c r="B18" s="28">
        <v>3</v>
      </c>
      <c r="C18" s="39">
        <v>0.14484502966939614</v>
      </c>
      <c r="D18" s="39">
        <v>9.5054149492849938</v>
      </c>
      <c r="G18" s="297" t="s">
        <v>224</v>
      </c>
      <c r="H18" s="297"/>
      <c r="I18" s="297"/>
    </row>
    <row r="19" spans="2:9" x14ac:dyDescent="0.2">
      <c r="B19" s="28">
        <v>4</v>
      </c>
      <c r="C19" s="39">
        <v>0.11012127225204708</v>
      </c>
      <c r="D19" s="39">
        <v>7.442515681033111</v>
      </c>
      <c r="G19" s="38">
        <v>6</v>
      </c>
      <c r="H19" s="28">
        <v>0.99004999999999999</v>
      </c>
      <c r="I19" s="28">
        <v>0.24942800000000001</v>
      </c>
    </row>
    <row r="20" spans="2:9" x14ac:dyDescent="0.2">
      <c r="B20" s="28">
        <v>5</v>
      </c>
      <c r="C20" s="39">
        <v>8.9287017801637669E-2</v>
      </c>
      <c r="D20" s="39">
        <v>6.2094409200819811</v>
      </c>
      <c r="G20" s="38">
        <v>19</v>
      </c>
      <c r="H20" s="28">
        <v>0.31484000000000001</v>
      </c>
      <c r="I20" s="28">
        <v>7.1152900000000005E-2</v>
      </c>
    </row>
    <row r="21" spans="2:9" x14ac:dyDescent="0.2">
      <c r="B21" s="298" t="s">
        <v>225</v>
      </c>
      <c r="C21" s="299"/>
      <c r="D21" s="299"/>
      <c r="G21" s="38">
        <v>32</v>
      </c>
      <c r="H21" s="28">
        <v>0.18718000000000001</v>
      </c>
      <c r="I21" s="28">
        <v>4.2302600000000003E-2</v>
      </c>
    </row>
    <row r="22" spans="2:9" x14ac:dyDescent="0.2">
      <c r="B22" s="28">
        <v>1</v>
      </c>
      <c r="C22" s="39">
        <v>0.42263508900818836</v>
      </c>
      <c r="D22" s="39">
        <v>82.967249121082943</v>
      </c>
      <c r="G22" s="297" t="s">
        <v>226</v>
      </c>
      <c r="H22" s="297"/>
      <c r="I22" s="297"/>
    </row>
    <row r="23" spans="2:9" x14ac:dyDescent="0.2">
      <c r="B23" s="28">
        <v>2</v>
      </c>
      <c r="C23" s="39">
        <v>0.21980504450409419</v>
      </c>
      <c r="D23" s="39">
        <v>18.246467151435688</v>
      </c>
      <c r="G23" s="38">
        <v>6</v>
      </c>
      <c r="H23" s="28">
        <v>0.99004999999999999</v>
      </c>
      <c r="I23" s="28">
        <v>0.24276</v>
      </c>
    </row>
    <row r="24" spans="2:9" x14ac:dyDescent="0.2">
      <c r="B24" s="28">
        <v>3</v>
      </c>
      <c r="C24" s="39">
        <v>0.1521950296693961</v>
      </c>
      <c r="D24" s="39">
        <v>12.640839616229776</v>
      </c>
      <c r="G24" s="38">
        <v>19</v>
      </c>
      <c r="H24" s="28">
        <v>0.31484000000000001</v>
      </c>
      <c r="I24" s="28">
        <v>7.7200000000000005E-2</v>
      </c>
    </row>
    <row r="25" spans="2:9" x14ac:dyDescent="0.2">
      <c r="B25" s="28">
        <v>4</v>
      </c>
      <c r="C25" s="39">
        <v>0.11839002225204709</v>
      </c>
      <c r="D25" s="39">
        <v>9.8384060886268188</v>
      </c>
      <c r="G25" s="38">
        <v>32</v>
      </c>
      <c r="H25" s="28">
        <v>0.18718000000000001</v>
      </c>
      <c r="I25" s="28">
        <v>4.5895999999999999E-2</v>
      </c>
    </row>
    <row r="26" spans="2:9" x14ac:dyDescent="0.2">
      <c r="B26" s="28">
        <v>5</v>
      </c>
      <c r="C26" s="39">
        <v>9.8107017801637678E-2</v>
      </c>
      <c r="D26" s="39">
        <v>8.1572501640650437</v>
      </c>
    </row>
    <row r="27" spans="2:9" x14ac:dyDescent="0.2">
      <c r="B27" s="298" t="s">
        <v>227</v>
      </c>
      <c r="C27" s="299"/>
      <c r="D27" s="300"/>
    </row>
    <row r="28" spans="2:9" x14ac:dyDescent="0.2">
      <c r="B28" s="28">
        <v>1</v>
      </c>
      <c r="C28" s="39">
        <v>0.17101978020331343</v>
      </c>
      <c r="D28" s="39">
        <v>24.968887909683762</v>
      </c>
    </row>
    <row r="29" spans="2:9" x14ac:dyDescent="0.2">
      <c r="B29" s="28">
        <v>2</v>
      </c>
      <c r="C29" s="39">
        <v>8.5509890101656716E-2</v>
      </c>
      <c r="D29" s="39">
        <v>2.3026862457168908</v>
      </c>
    </row>
    <row r="30" spans="2:9" x14ac:dyDescent="0.2">
      <c r="B30" s="298" t="s">
        <v>228</v>
      </c>
      <c r="C30" s="299"/>
      <c r="D30" s="299"/>
    </row>
    <row r="31" spans="2:9" x14ac:dyDescent="0.2">
      <c r="B31" s="28">
        <v>1</v>
      </c>
      <c r="C31" s="39">
        <v>1.54E-2</v>
      </c>
      <c r="D31" s="39">
        <v>2.2422</v>
      </c>
    </row>
    <row r="32" spans="2:9" x14ac:dyDescent="0.2">
      <c r="B32" s="298" t="s">
        <v>229</v>
      </c>
      <c r="C32" s="299"/>
      <c r="D32" s="299"/>
    </row>
    <row r="33" spans="2:4" x14ac:dyDescent="0.2">
      <c r="B33" s="28">
        <v>1</v>
      </c>
      <c r="C33" s="39">
        <v>3.3300000000000003E-2</v>
      </c>
      <c r="D33" s="39">
        <v>4.8609999999999998</v>
      </c>
    </row>
    <row r="34" spans="2:4" x14ac:dyDescent="0.2">
      <c r="B34" s="298" t="s">
        <v>230</v>
      </c>
      <c r="C34" s="299"/>
      <c r="D34" s="299"/>
    </row>
    <row r="35" spans="2:4" x14ac:dyDescent="0.2">
      <c r="B35" s="38"/>
      <c r="C35" s="39"/>
      <c r="D35" s="39"/>
    </row>
    <row r="36" spans="2:4" x14ac:dyDescent="0.2">
      <c r="B36" s="38"/>
      <c r="C36" s="39"/>
      <c r="D36" s="39"/>
    </row>
    <row r="37" spans="2:4" x14ac:dyDescent="0.2">
      <c r="B37" s="38"/>
      <c r="C37" s="39"/>
      <c r="D37" s="39"/>
    </row>
    <row r="38" spans="2:4" x14ac:dyDescent="0.2">
      <c r="B38" s="297" t="s">
        <v>231</v>
      </c>
      <c r="C38" s="297"/>
      <c r="D38" s="297"/>
    </row>
    <row r="39" spans="2:4" x14ac:dyDescent="0.2">
      <c r="B39" s="38">
        <v>15.264932209600587</v>
      </c>
      <c r="C39" s="28">
        <v>1.210044500926122</v>
      </c>
      <c r="D39" s="28">
        <v>0.17666649713521379</v>
      </c>
    </row>
    <row r="40" spans="2:4" x14ac:dyDescent="0.2">
      <c r="B40" s="38">
        <v>48.002931476731405</v>
      </c>
      <c r="C40" s="28">
        <v>0.38479415129450684</v>
      </c>
      <c r="D40" s="28">
        <v>5.6179946088997991E-2</v>
      </c>
    </row>
    <row r="41" spans="2:4" x14ac:dyDescent="0.2">
      <c r="B41" s="38">
        <v>80.740930743862222</v>
      </c>
      <c r="C41" s="28">
        <v>0.22877179030588993</v>
      </c>
      <c r="D41" s="28">
        <v>3.3400681384659923E-2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15.264932209600587</v>
      </c>
      <c r="C47" s="28">
        <v>1.5880621910668833</v>
      </c>
      <c r="D47" s="28">
        <v>0.42330118592496452</v>
      </c>
    </row>
    <row r="48" spans="2:4" x14ac:dyDescent="0.2">
      <c r="B48" s="38">
        <v>48.002931476731405</v>
      </c>
      <c r="C48" s="28">
        <v>0.50500377675926889</v>
      </c>
      <c r="D48" s="28">
        <v>0.13460977712413874</v>
      </c>
    </row>
    <row r="49" spans="2:4" x14ac:dyDescent="0.2">
      <c r="B49" s="38">
        <v>80.740930743862222</v>
      </c>
      <c r="C49" s="28">
        <v>0.30024005752631922</v>
      </c>
      <c r="D49" s="28">
        <v>8.0029594009594973E-2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0.33141735058350635</v>
      </c>
      <c r="D55">
        <v>8.5784067025034771E-2</v>
      </c>
    </row>
    <row r="56" spans="2:4" x14ac:dyDescent="0.2">
      <c r="B56" s="301" t="s">
        <v>249</v>
      </c>
      <c r="C56" s="301"/>
      <c r="D56" s="301"/>
    </row>
    <row r="57" spans="2:4" x14ac:dyDescent="0.2">
      <c r="C57">
        <v>0.36726556126945387</v>
      </c>
      <c r="D57">
        <v>9.5063017878985426E-2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3867-FC21-4018-8672-6D15261ED127}">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19" x14ac:dyDescent="0.25">
      <c r="A1" s="305" t="s">
        <v>110</v>
      </c>
      <c r="B1" s="306"/>
    </row>
    <row r="2" spans="1:20" ht="16" thickBot="1" x14ac:dyDescent="0.25">
      <c r="G2" t="s">
        <v>236</v>
      </c>
    </row>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ht="14.5" customHeight="1" x14ac:dyDescent="0.2">
      <c r="B4" s="288" t="s">
        <v>201</v>
      </c>
      <c r="C4" s="290" t="s">
        <v>202</v>
      </c>
      <c r="D4" s="292" t="s">
        <v>203</v>
      </c>
      <c r="E4" s="3"/>
      <c r="F4" s="4"/>
      <c r="G4" s="290" t="s">
        <v>201</v>
      </c>
      <c r="H4" s="290" t="s">
        <v>204</v>
      </c>
      <c r="I4" s="290" t="s">
        <v>203</v>
      </c>
      <c r="K4" s="62" t="s">
        <v>205</v>
      </c>
      <c r="L4" s="68">
        <f>P4*0.5</f>
        <v>508</v>
      </c>
      <c r="M4" s="70">
        <f>P4*0.75</f>
        <v>762</v>
      </c>
      <c r="N4" s="72">
        <f>P4*0.9</f>
        <v>914.4</v>
      </c>
      <c r="O4" s="74">
        <f>P4*0.95</f>
        <v>965.19999999999993</v>
      </c>
      <c r="P4" s="63">
        <v>1016</v>
      </c>
      <c r="Q4" s="64">
        <f>P4*1.05</f>
        <v>1066.8</v>
      </c>
      <c r="R4" s="76">
        <f>P4*1.25</f>
        <v>1270</v>
      </c>
      <c r="S4" s="78" t="s">
        <v>206</v>
      </c>
      <c r="T4" s="56" t="s">
        <v>86</v>
      </c>
    </row>
    <row r="5" spans="1:20" ht="16" thickBot="1" x14ac:dyDescent="0.25">
      <c r="B5" s="289"/>
      <c r="C5" s="291"/>
      <c r="D5" s="293"/>
      <c r="E5" s="3"/>
      <c r="F5" s="4"/>
      <c r="G5" s="291"/>
      <c r="H5" s="291"/>
      <c r="I5" s="291"/>
      <c r="K5" s="62" t="s">
        <v>87</v>
      </c>
      <c r="L5" s="68">
        <f>P5*0.5</f>
        <v>4599.5</v>
      </c>
      <c r="M5" s="70">
        <f>P5*0.75</f>
        <v>6899.25</v>
      </c>
      <c r="N5" s="72">
        <f>P5*0.9</f>
        <v>8279.1</v>
      </c>
      <c r="O5" s="74">
        <f>P5*0.95</f>
        <v>8739.0499999999993</v>
      </c>
      <c r="P5" s="63">
        <v>9199</v>
      </c>
      <c r="Q5" s="64">
        <f>P5*1.05</f>
        <v>9658.9500000000007</v>
      </c>
      <c r="R5" s="76">
        <f>P5*1.25</f>
        <v>11498.75</v>
      </c>
      <c r="S5" s="78"/>
      <c r="T5" s="56" t="s">
        <v>86</v>
      </c>
    </row>
    <row r="6" spans="1:20" x14ac:dyDescent="0.2">
      <c r="B6" s="294" t="s">
        <v>207</v>
      </c>
      <c r="C6" s="295"/>
      <c r="D6" s="296"/>
      <c r="G6" s="297" t="s">
        <v>208</v>
      </c>
      <c r="H6" s="297"/>
      <c r="I6" s="297"/>
      <c r="K6" s="62" t="s">
        <v>209</v>
      </c>
      <c r="L6" s="68">
        <f t="shared" ref="L6:N6" si="0">L4+L5</f>
        <v>5107.5</v>
      </c>
      <c r="M6" s="70">
        <f t="shared" si="0"/>
        <v>7661.25</v>
      </c>
      <c r="N6" s="72">
        <f t="shared" si="0"/>
        <v>9193.5</v>
      </c>
      <c r="O6" s="74">
        <f>O4+O5</f>
        <v>9704.25</v>
      </c>
      <c r="P6" s="63">
        <f>P5+P4</f>
        <v>10215</v>
      </c>
      <c r="Q6" s="64">
        <f t="shared" ref="Q6:R6" si="1">Q4+Q5</f>
        <v>10725.75</v>
      </c>
      <c r="R6" s="76">
        <f t="shared" si="1"/>
        <v>12768.75</v>
      </c>
      <c r="S6" s="78"/>
      <c r="T6" s="56" t="s">
        <v>86</v>
      </c>
    </row>
    <row r="7" spans="1:20" x14ac:dyDescent="0.2">
      <c r="B7" s="28">
        <v>1</v>
      </c>
      <c r="C7" s="39">
        <v>1.6615560105149416</v>
      </c>
      <c r="D7" s="39">
        <v>413.81982936427198</v>
      </c>
      <c r="G7" s="38">
        <v>6</v>
      </c>
      <c r="H7" s="28">
        <v>0.99004999999999999</v>
      </c>
      <c r="I7" s="28">
        <v>0.22375100000000001</v>
      </c>
      <c r="K7" s="62" t="s">
        <v>210</v>
      </c>
      <c r="L7" s="68">
        <f>P7*0.5</f>
        <v>10182</v>
      </c>
      <c r="M7" s="70">
        <f>P7*0.84</f>
        <v>17105.759999999998</v>
      </c>
      <c r="N7" s="72">
        <f>P7*0.91</f>
        <v>18531.240000000002</v>
      </c>
      <c r="O7" s="74">
        <f>P7*0.95</f>
        <v>19345.8</v>
      </c>
      <c r="P7" s="63">
        <v>20364</v>
      </c>
      <c r="Q7" s="64">
        <f>P7*1.05</f>
        <v>21382.2</v>
      </c>
      <c r="R7" s="76">
        <f>P7*1.16</f>
        <v>23622.239999999998</v>
      </c>
      <c r="S7" s="78"/>
      <c r="T7" s="56" t="s">
        <v>86</v>
      </c>
    </row>
    <row r="8" spans="1:20" x14ac:dyDescent="0.2">
      <c r="B8" s="28">
        <v>2</v>
      </c>
      <c r="C8" s="39">
        <v>0.84677800525747082</v>
      </c>
      <c r="D8" s="39">
        <v>357.18775368712494</v>
      </c>
      <c r="G8" s="38">
        <v>19</v>
      </c>
      <c r="H8" s="28">
        <v>0.31484000000000001</v>
      </c>
      <c r="I8" s="28">
        <v>7.1196700000000002E-2</v>
      </c>
      <c r="K8" s="79" t="s">
        <v>211</v>
      </c>
      <c r="L8" s="80">
        <f t="shared" ref="L8:O8" si="2">L7+L6</f>
        <v>15289.5</v>
      </c>
      <c r="M8" s="81">
        <f t="shared" si="2"/>
        <v>24767.01</v>
      </c>
      <c r="N8" s="82">
        <f t="shared" si="2"/>
        <v>27724.74</v>
      </c>
      <c r="O8" s="83">
        <f t="shared" si="2"/>
        <v>29050.05</v>
      </c>
      <c r="P8" s="84">
        <f>P7+P6</f>
        <v>30579</v>
      </c>
      <c r="Q8" s="85">
        <f t="shared" ref="Q8:R8" si="3">Q7+Q6</f>
        <v>32107.95</v>
      </c>
      <c r="R8" s="86">
        <f t="shared" si="3"/>
        <v>36390.99</v>
      </c>
      <c r="S8" s="87"/>
      <c r="T8" s="88" t="s">
        <v>86</v>
      </c>
    </row>
    <row r="9" spans="1:20" x14ac:dyDescent="0.2">
      <c r="B9" s="28">
        <v>3</v>
      </c>
      <c r="C9" s="39">
        <v>0.57518533683831385</v>
      </c>
      <c r="D9" s="39">
        <v>247.22606333267538</v>
      </c>
      <c r="G9" s="38">
        <v>32</v>
      </c>
      <c r="H9" s="28">
        <v>0.18718000000000001</v>
      </c>
      <c r="I9" s="28">
        <v>4.2303E-2</v>
      </c>
      <c r="K9" s="62" t="s">
        <v>212</v>
      </c>
      <c r="L9" s="68">
        <f>P9*0.5</f>
        <v>71.5</v>
      </c>
      <c r="M9" s="70">
        <f>P9*0.75</f>
        <v>107.25</v>
      </c>
      <c r="N9" s="72">
        <f>P9*0.9</f>
        <v>128.70000000000002</v>
      </c>
      <c r="O9" s="74">
        <f>P9*0.95</f>
        <v>135.85</v>
      </c>
      <c r="P9" s="63">
        <v>143</v>
      </c>
      <c r="Q9" s="64">
        <f>P9*1.05</f>
        <v>150.15</v>
      </c>
      <c r="R9" s="76">
        <f>P9*1.25</f>
        <v>178.75</v>
      </c>
      <c r="S9" s="78"/>
      <c r="T9" s="56" t="s">
        <v>91</v>
      </c>
    </row>
    <row r="10" spans="1:20" x14ac:dyDescent="0.2">
      <c r="B10" s="28">
        <v>4</v>
      </c>
      <c r="C10" s="39">
        <v>0.43938900262873543</v>
      </c>
      <c r="D10" s="39">
        <v>192.37321815545059</v>
      </c>
      <c r="G10" s="297" t="s">
        <v>213</v>
      </c>
      <c r="H10" s="297"/>
      <c r="I10" s="297"/>
      <c r="K10" s="62" t="s">
        <v>214</v>
      </c>
      <c r="L10" s="68">
        <f>P10*0.5</f>
        <v>929</v>
      </c>
      <c r="M10" s="70">
        <f>P10*0.75</f>
        <v>1393.5</v>
      </c>
      <c r="N10" s="72">
        <f>P10*0.9</f>
        <v>1672.2</v>
      </c>
      <c r="O10" s="74">
        <f>P10*0.95</f>
        <v>1765.1</v>
      </c>
      <c r="P10" s="63">
        <v>1858</v>
      </c>
      <c r="Q10" s="64">
        <f>P10*1.05</f>
        <v>1950.9</v>
      </c>
      <c r="R10" s="76">
        <f>P10*1.25</f>
        <v>2322.5</v>
      </c>
      <c r="S10" s="78"/>
      <c r="T10" s="56" t="s">
        <v>91</v>
      </c>
    </row>
    <row r="11" spans="1:20" x14ac:dyDescent="0.2">
      <c r="B11" s="28">
        <v>5</v>
      </c>
      <c r="C11" s="39">
        <v>0.35791120210298832</v>
      </c>
      <c r="D11" s="39">
        <v>159.56391104911569</v>
      </c>
      <c r="G11" s="38">
        <v>6</v>
      </c>
      <c r="H11" s="28">
        <v>0.99004999999999999</v>
      </c>
      <c r="I11" s="28">
        <v>0.23658970000000001</v>
      </c>
      <c r="K11" s="62" t="s">
        <v>215</v>
      </c>
      <c r="L11" s="68">
        <f t="shared" ref="L11:N11" si="4">L9+L10</f>
        <v>1000.5</v>
      </c>
      <c r="M11" s="70">
        <f t="shared" si="4"/>
        <v>1500.75</v>
      </c>
      <c r="N11" s="72">
        <f t="shared" si="4"/>
        <v>1800.9</v>
      </c>
      <c r="O11" s="74">
        <f>O9+O10</f>
        <v>1900.9499999999998</v>
      </c>
      <c r="P11" s="63">
        <f>P9+P10</f>
        <v>2001</v>
      </c>
      <c r="Q11" s="64">
        <f t="shared" ref="Q11:R11" si="5">Q9+Q10</f>
        <v>2101.0500000000002</v>
      </c>
      <c r="R11" s="76">
        <f t="shared" si="5"/>
        <v>2501.25</v>
      </c>
      <c r="S11" s="78"/>
      <c r="T11" s="56" t="s">
        <v>91</v>
      </c>
    </row>
    <row r="12" spans="1:20" x14ac:dyDescent="0.2">
      <c r="B12" s="298" t="s">
        <v>216</v>
      </c>
      <c r="C12" s="299"/>
      <c r="D12" s="300"/>
      <c r="G12" s="38">
        <v>19</v>
      </c>
      <c r="H12" s="28">
        <v>0.31484000000000001</v>
      </c>
      <c r="I12" s="28">
        <v>7.5235499999999997E-2</v>
      </c>
      <c r="K12" s="62" t="s">
        <v>217</v>
      </c>
      <c r="L12" s="68">
        <f>P12*0.5</f>
        <v>2537.5</v>
      </c>
      <c r="M12" s="70">
        <f>P12*0.84</f>
        <v>4263</v>
      </c>
      <c r="N12" s="72">
        <f>P12*0.91</f>
        <v>4618.25</v>
      </c>
      <c r="O12" s="74">
        <f>P12*0.95</f>
        <v>4821.25</v>
      </c>
      <c r="P12" s="63">
        <v>5075</v>
      </c>
      <c r="Q12" s="64">
        <f>P12*1.05</f>
        <v>5328.75</v>
      </c>
      <c r="R12" s="76">
        <f>P12*1.16</f>
        <v>5887</v>
      </c>
      <c r="S12" s="78"/>
      <c r="T12" s="56" t="s">
        <v>91</v>
      </c>
    </row>
    <row r="13" spans="1:20" ht="16" thickBot="1" x14ac:dyDescent="0.25">
      <c r="B13" s="28">
        <v>1</v>
      </c>
      <c r="C13" s="39">
        <v>0.49057416188595615</v>
      </c>
      <c r="D13" s="39">
        <v>122.1802423014626</v>
      </c>
      <c r="G13" s="38">
        <v>32</v>
      </c>
      <c r="H13" s="28">
        <v>0.18718000000000001</v>
      </c>
      <c r="I13" s="28">
        <v>4.47298E-2</v>
      </c>
      <c r="K13" s="89" t="s">
        <v>218</v>
      </c>
      <c r="L13" s="90">
        <f t="shared" ref="L13:O13" si="6">L12+L11</f>
        <v>3538</v>
      </c>
      <c r="M13" s="91">
        <f t="shared" si="6"/>
        <v>5763.75</v>
      </c>
      <c r="N13" s="92">
        <f t="shared" si="6"/>
        <v>6419.15</v>
      </c>
      <c r="O13" s="93">
        <f t="shared" si="6"/>
        <v>6722.2</v>
      </c>
      <c r="P13" s="94">
        <f>P12+P11</f>
        <v>7076</v>
      </c>
      <c r="Q13" s="95">
        <f t="shared" ref="Q13:R13" si="7">Q12+Q11</f>
        <v>7429.8</v>
      </c>
      <c r="R13" s="96">
        <f t="shared" si="7"/>
        <v>8388.25</v>
      </c>
      <c r="S13" s="97"/>
      <c r="T13" s="98" t="s">
        <v>91</v>
      </c>
    </row>
    <row r="14" spans="1:20" x14ac:dyDescent="0.2">
      <c r="B14" s="28">
        <v>2</v>
      </c>
      <c r="C14" s="39">
        <v>0.26128708094297809</v>
      </c>
      <c r="D14" s="39">
        <v>34.014415507398759</v>
      </c>
      <c r="G14" s="297" t="s">
        <v>219</v>
      </c>
      <c r="H14" s="297"/>
      <c r="I14" s="297"/>
      <c r="L14" s="59"/>
      <c r="M14" s="59"/>
      <c r="N14" s="59"/>
      <c r="O14" s="59"/>
      <c r="P14" s="59"/>
      <c r="Q14" s="59"/>
      <c r="R14" s="59"/>
      <c r="S14" s="59"/>
    </row>
    <row r="15" spans="1:20" x14ac:dyDescent="0.2">
      <c r="B15" s="298" t="s">
        <v>220</v>
      </c>
      <c r="C15" s="299"/>
      <c r="D15" s="300"/>
      <c r="G15" s="38">
        <v>6</v>
      </c>
      <c r="H15" s="28">
        <v>0.99004999999999999</v>
      </c>
      <c r="I15" s="28">
        <v>0.22573099999999999</v>
      </c>
      <c r="K15" t="s">
        <v>221</v>
      </c>
      <c r="L15" s="60">
        <v>-0.5</v>
      </c>
      <c r="M15" s="60">
        <v>-0.25</v>
      </c>
      <c r="N15" s="60">
        <v>-0.1</v>
      </c>
      <c r="O15" s="60">
        <v>-0.05</v>
      </c>
      <c r="P15" t="s">
        <v>222</v>
      </c>
      <c r="Q15" s="60">
        <v>0.05</v>
      </c>
      <c r="R15" s="60">
        <v>0.25</v>
      </c>
      <c r="S15" s="60"/>
    </row>
    <row r="16" spans="1:20" x14ac:dyDescent="0.2">
      <c r="B16" s="28">
        <v>1</v>
      </c>
      <c r="C16" s="39">
        <v>0.34911016346219115</v>
      </c>
      <c r="D16" s="39">
        <v>24.08860127889119</v>
      </c>
      <c r="G16" s="38">
        <v>19</v>
      </c>
      <c r="H16" s="28">
        <v>0.31484000000000001</v>
      </c>
      <c r="I16" s="28">
        <v>7.1783E-2</v>
      </c>
      <c r="K16" t="s">
        <v>223</v>
      </c>
      <c r="L16" s="60">
        <v>-0.5</v>
      </c>
      <c r="M16" s="60">
        <v>-0.16</v>
      </c>
      <c r="N16" s="60">
        <v>-0.09</v>
      </c>
      <c r="O16" s="60">
        <v>-0.05</v>
      </c>
      <c r="P16" t="s">
        <v>222</v>
      </c>
      <c r="Q16" s="60">
        <v>0.05</v>
      </c>
      <c r="R16" s="60">
        <v>0.16</v>
      </c>
      <c r="S16" s="60"/>
    </row>
    <row r="17" spans="2:9" x14ac:dyDescent="0.2">
      <c r="B17" s="28">
        <v>2</v>
      </c>
      <c r="C17" s="39">
        <v>0.17753008173109558</v>
      </c>
      <c r="D17" s="39">
        <v>4.6244103140222741</v>
      </c>
      <c r="G17" s="38">
        <v>32</v>
      </c>
      <c r="H17" s="28">
        <v>0.18718000000000001</v>
      </c>
      <c r="I17" s="28">
        <v>4.2677E-2</v>
      </c>
    </row>
    <row r="18" spans="2:9" x14ac:dyDescent="0.2">
      <c r="B18" s="28">
        <v>3</v>
      </c>
      <c r="C18" s="39">
        <v>0.12033672115406373</v>
      </c>
      <c r="D18" s="39">
        <v>3.3704632420132814</v>
      </c>
      <c r="G18" s="297" t="s">
        <v>224</v>
      </c>
      <c r="H18" s="297"/>
      <c r="I18" s="297"/>
    </row>
    <row r="19" spans="2:9" x14ac:dyDescent="0.2">
      <c r="B19" s="28">
        <v>4</v>
      </c>
      <c r="C19" s="39">
        <v>9.1740040865547781E-2</v>
      </c>
      <c r="D19" s="39">
        <v>2.7493207060087852</v>
      </c>
      <c r="G19" s="38">
        <v>6</v>
      </c>
      <c r="H19" s="28">
        <v>0.99004999999999999</v>
      </c>
      <c r="I19" s="28">
        <v>0.24942800000000001</v>
      </c>
    </row>
    <row r="20" spans="2:9" x14ac:dyDescent="0.2">
      <c r="B20" s="28">
        <v>5</v>
      </c>
      <c r="C20" s="39">
        <v>7.4582032692438224E-2</v>
      </c>
      <c r="D20" s="39">
        <v>2.3812999844060876</v>
      </c>
      <c r="G20" s="38">
        <v>19</v>
      </c>
      <c r="H20" s="28">
        <v>0.31484000000000001</v>
      </c>
      <c r="I20" s="28">
        <v>7.1152900000000005E-2</v>
      </c>
    </row>
    <row r="21" spans="2:9" x14ac:dyDescent="0.2">
      <c r="B21" s="298" t="s">
        <v>225</v>
      </c>
      <c r="C21" s="299"/>
      <c r="D21" s="299"/>
      <c r="G21" s="38">
        <v>32</v>
      </c>
      <c r="H21" s="28">
        <v>0.18718000000000001</v>
      </c>
      <c r="I21" s="28">
        <v>4.2302600000000003E-2</v>
      </c>
    </row>
    <row r="22" spans="2:9" x14ac:dyDescent="0.2">
      <c r="B22" s="28">
        <v>1</v>
      </c>
      <c r="C22" s="39">
        <v>1.1624034603748035</v>
      </c>
      <c r="D22" s="39">
        <v>184.85446509689771</v>
      </c>
      <c r="G22" s="297" t="s">
        <v>226</v>
      </c>
      <c r="H22" s="297"/>
      <c r="I22" s="297"/>
    </row>
    <row r="23" spans="2:9" x14ac:dyDescent="0.2">
      <c r="B23" s="28">
        <v>2</v>
      </c>
      <c r="C23" s="39">
        <v>0.58968923018740171</v>
      </c>
      <c r="D23" s="39">
        <v>109.03310529720594</v>
      </c>
      <c r="G23" s="38">
        <v>6</v>
      </c>
      <c r="H23" s="28">
        <v>0.99004999999999999</v>
      </c>
      <c r="I23" s="28">
        <v>0.24276</v>
      </c>
    </row>
    <row r="24" spans="2:9" x14ac:dyDescent="0.2">
      <c r="B24" s="28">
        <v>3</v>
      </c>
      <c r="C24" s="39">
        <v>0.39878448679160111</v>
      </c>
      <c r="D24" s="39">
        <v>73.752824084818826</v>
      </c>
      <c r="G24" s="38">
        <v>19</v>
      </c>
      <c r="H24" s="28">
        <v>0.31484000000000001</v>
      </c>
      <c r="I24" s="28">
        <v>7.7200000000000005E-2</v>
      </c>
    </row>
    <row r="25" spans="2:9" x14ac:dyDescent="0.2">
      <c r="B25" s="28">
        <v>4</v>
      </c>
      <c r="C25" s="39">
        <v>0.30333211509370089</v>
      </c>
      <c r="D25" s="39">
        <v>56.113063718625284</v>
      </c>
      <c r="G25" s="38">
        <v>32</v>
      </c>
      <c r="H25" s="28">
        <v>0.18718000000000001</v>
      </c>
      <c r="I25" s="28">
        <v>4.5895999999999999E-2</v>
      </c>
    </row>
    <row r="26" spans="2:9" x14ac:dyDescent="0.2">
      <c r="B26" s="28">
        <v>5</v>
      </c>
      <c r="C26" s="39">
        <v>0.2460606920749607</v>
      </c>
      <c r="D26" s="39">
        <v>45.52951169090916</v>
      </c>
    </row>
    <row r="27" spans="2:9" x14ac:dyDescent="0.2">
      <c r="B27" s="298" t="s">
        <v>227</v>
      </c>
      <c r="C27" s="299"/>
      <c r="D27" s="300"/>
    </row>
    <row r="28" spans="2:9" x14ac:dyDescent="0.2">
      <c r="B28" s="28">
        <v>1</v>
      </c>
      <c r="C28" s="39">
        <v>0.14126783358702619</v>
      </c>
      <c r="D28" s="39">
        <v>9.7474805175048065</v>
      </c>
    </row>
    <row r="29" spans="2:9" x14ac:dyDescent="0.2">
      <c r="B29" s="28">
        <v>2</v>
      </c>
      <c r="C29" s="39">
        <v>7.0633916793513093E-2</v>
      </c>
      <c r="D29" s="39">
        <v>0.82694520473511002</v>
      </c>
    </row>
    <row r="30" spans="2:9" x14ac:dyDescent="0.2">
      <c r="B30" s="298" t="s">
        <v>228</v>
      </c>
      <c r="C30" s="299"/>
      <c r="D30" s="299"/>
    </row>
    <row r="31" spans="2:9" x14ac:dyDescent="0.2">
      <c r="B31" s="28">
        <v>1</v>
      </c>
      <c r="C31" s="39">
        <v>1.2685689079294737E-2</v>
      </c>
      <c r="D31" s="39">
        <v>0.87531254647133694</v>
      </c>
    </row>
    <row r="32" spans="2:9" x14ac:dyDescent="0.2">
      <c r="B32" s="298" t="s">
        <v>229</v>
      </c>
      <c r="C32" s="299"/>
      <c r="D32" s="299"/>
    </row>
    <row r="33" spans="2:4" x14ac:dyDescent="0.2">
      <c r="B33" s="28">
        <v>1</v>
      </c>
      <c r="C33" s="39">
        <v>2.7502573923910992E-2</v>
      </c>
      <c r="D33" s="39">
        <v>1.8976776007498584</v>
      </c>
    </row>
    <row r="34" spans="2:4" x14ac:dyDescent="0.2">
      <c r="B34" s="297" t="s">
        <v>230</v>
      </c>
      <c r="C34" s="297"/>
      <c r="D34" s="297"/>
    </row>
    <row r="35" spans="2:4" x14ac:dyDescent="0.2">
      <c r="B35" s="38"/>
      <c r="C35" s="39"/>
      <c r="D35" s="39"/>
    </row>
    <row r="36" spans="2:4" x14ac:dyDescent="0.2">
      <c r="B36" s="38"/>
      <c r="C36" s="39"/>
      <c r="D36" s="39"/>
    </row>
    <row r="37" spans="2:4" x14ac:dyDescent="0.2">
      <c r="B37" s="38"/>
      <c r="C37" s="39"/>
      <c r="D37" s="39"/>
    </row>
    <row r="38" spans="2:4" x14ac:dyDescent="0.2">
      <c r="B38" s="297" t="s">
        <v>231</v>
      </c>
      <c r="C38" s="297"/>
      <c r="D38" s="297"/>
    </row>
    <row r="39" spans="2:4" x14ac:dyDescent="0.2">
      <c r="B39" s="38">
        <v>15.788573464782042</v>
      </c>
      <c r="C39" s="28">
        <v>1.1069376478005128</v>
      </c>
      <c r="D39" s="28">
        <v>7.6378697698235395E-2</v>
      </c>
    </row>
    <row r="40" spans="2:4" x14ac:dyDescent="0.2">
      <c r="B40" s="38">
        <v>49.649602090509561</v>
      </c>
      <c r="C40" s="28">
        <v>0.35200617200056311</v>
      </c>
      <c r="D40" s="28">
        <v>2.4288425868038858E-2</v>
      </c>
    </row>
    <row r="41" spans="2:4" x14ac:dyDescent="0.2">
      <c r="B41" s="38">
        <v>83.510630716237088</v>
      </c>
      <c r="C41" s="28">
        <v>0.2092783424497997</v>
      </c>
      <c r="D41" s="28">
        <v>1.4440205629036182E-2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15.788573464782042</v>
      </c>
      <c r="C47" s="28">
        <v>1.7339429104100956</v>
      </c>
      <c r="D47" s="28">
        <v>0.4621859864377727</v>
      </c>
    </row>
    <row r="48" spans="2:4" x14ac:dyDescent="0.2">
      <c r="B48" s="38">
        <v>49.649602090509561</v>
      </c>
      <c r="C48" s="28">
        <v>0.55139384551041049</v>
      </c>
      <c r="D48" s="28">
        <v>0.14697514368721173</v>
      </c>
    </row>
    <row r="49" spans="2:4" x14ac:dyDescent="0.2">
      <c r="B49" s="38">
        <v>83.510630716237088</v>
      </c>
      <c r="C49" s="28">
        <v>0.3278203599942987</v>
      </c>
      <c r="D49" s="28">
        <v>8.7381179362194833E-2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1.3936735480617799</v>
      </c>
      <c r="D55">
        <v>0.36073846118031105</v>
      </c>
    </row>
    <row r="56" spans="2:4" x14ac:dyDescent="0.2">
      <c r="B56" s="301" t="s">
        <v>249</v>
      </c>
      <c r="C56" s="301"/>
      <c r="D56" s="301"/>
    </row>
    <row r="57" spans="2:4" x14ac:dyDescent="0.2">
      <c r="C57">
        <v>1.4951338764062172</v>
      </c>
      <c r="D57">
        <v>0.3870004525689853</v>
      </c>
    </row>
  </sheetData>
  <mergeCells count="29">
    <mergeCell ref="B52:D52"/>
    <mergeCell ref="B34:D34"/>
    <mergeCell ref="B38:D38"/>
    <mergeCell ref="B42:D42"/>
    <mergeCell ref="B46:D46"/>
    <mergeCell ref="B50:D50"/>
    <mergeCell ref="G22:I22"/>
    <mergeCell ref="B27:D27"/>
    <mergeCell ref="B30:D30"/>
    <mergeCell ref="A1:B1"/>
    <mergeCell ref="B32:D32"/>
    <mergeCell ref="B6:D6"/>
    <mergeCell ref="B3:D3"/>
    <mergeCell ref="B54:D54"/>
    <mergeCell ref="B56:D56"/>
    <mergeCell ref="G3:I3"/>
    <mergeCell ref="B4:B5"/>
    <mergeCell ref="C4:C5"/>
    <mergeCell ref="D4:D5"/>
    <mergeCell ref="G4:G5"/>
    <mergeCell ref="H4:H5"/>
    <mergeCell ref="I4:I5"/>
    <mergeCell ref="G6:I6"/>
    <mergeCell ref="G10:I10"/>
    <mergeCell ref="B12:D12"/>
    <mergeCell ref="G14:I14"/>
    <mergeCell ref="B15:D15"/>
    <mergeCell ref="G18:I18"/>
    <mergeCell ref="B21:D2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23EB-2070-4D83-981F-D7B71CF01DE0}">
  <dimension ref="A1:T57"/>
  <sheetViews>
    <sheetView zoomScale="80" zoomScaleNormal="80" workbookViewId="0">
      <selection activeCell="I66" sqref="I66"/>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108</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320.5</v>
      </c>
      <c r="M4" s="70">
        <f>P4*0.75</f>
        <v>480.75</v>
      </c>
      <c r="N4" s="72">
        <f>P4*0.9</f>
        <v>576.9</v>
      </c>
      <c r="O4" s="74">
        <f>P4*0.95</f>
        <v>608.94999999999993</v>
      </c>
      <c r="P4" s="63">
        <v>641</v>
      </c>
      <c r="Q4" s="64">
        <f>P4*1.05</f>
        <v>673.05000000000007</v>
      </c>
      <c r="R4" s="76">
        <f>P4*1.25</f>
        <v>801.25</v>
      </c>
      <c r="S4" s="78" t="s">
        <v>206</v>
      </c>
      <c r="T4" s="56" t="s">
        <v>86</v>
      </c>
    </row>
    <row r="5" spans="1:20" ht="16" thickBot="1" x14ac:dyDescent="0.25">
      <c r="B5" s="289"/>
      <c r="C5" s="291"/>
      <c r="D5" s="293"/>
      <c r="E5" s="3"/>
      <c r="F5" s="4"/>
      <c r="G5" s="308"/>
      <c r="H5" s="308"/>
      <c r="I5" s="308"/>
      <c r="K5" s="62" t="s">
        <v>87</v>
      </c>
      <c r="L5" s="68">
        <f>P5*0.5</f>
        <v>2916.5</v>
      </c>
      <c r="M5" s="70">
        <f>P5*0.75</f>
        <v>4374.75</v>
      </c>
      <c r="N5" s="72">
        <f>P5*0.9</f>
        <v>5249.7</v>
      </c>
      <c r="O5" s="74">
        <f>P5*0.95</f>
        <v>5541.3499999999995</v>
      </c>
      <c r="P5" s="63">
        <v>5833</v>
      </c>
      <c r="Q5" s="64">
        <f>P5*1.05</f>
        <v>6124.6500000000005</v>
      </c>
      <c r="R5" s="76">
        <f>P5*1.25</f>
        <v>7291.25</v>
      </c>
      <c r="S5" s="78"/>
      <c r="T5" s="56" t="s">
        <v>86</v>
      </c>
    </row>
    <row r="6" spans="1:20" x14ac:dyDescent="0.2">
      <c r="B6" s="294" t="s">
        <v>207</v>
      </c>
      <c r="C6" s="295"/>
      <c r="D6" s="296"/>
      <c r="G6" s="297" t="s">
        <v>208</v>
      </c>
      <c r="H6" s="297"/>
      <c r="I6" s="297"/>
      <c r="K6" s="62" t="s">
        <v>209</v>
      </c>
      <c r="L6" s="68">
        <f t="shared" ref="L6:N6" si="0">L4+L5</f>
        <v>3237</v>
      </c>
      <c r="M6" s="70">
        <f t="shared" si="0"/>
        <v>4855.5</v>
      </c>
      <c r="N6" s="72">
        <f t="shared" si="0"/>
        <v>5826.5999999999995</v>
      </c>
      <c r="O6" s="74">
        <f>O4+O5</f>
        <v>6150.2999999999993</v>
      </c>
      <c r="P6" s="63">
        <f>P5+P4</f>
        <v>6474</v>
      </c>
      <c r="Q6" s="64">
        <f t="shared" ref="Q6:R6" si="1">Q4+Q5</f>
        <v>6797.7000000000007</v>
      </c>
      <c r="R6" s="76">
        <f t="shared" si="1"/>
        <v>8092.5</v>
      </c>
      <c r="S6" s="78"/>
      <c r="T6" s="56" t="s">
        <v>86</v>
      </c>
    </row>
    <row r="7" spans="1:20" x14ac:dyDescent="0.2">
      <c r="B7" s="28">
        <v>1</v>
      </c>
      <c r="C7" s="39">
        <v>0.81846307601944346</v>
      </c>
      <c r="D7" s="39">
        <v>205.14960335258203</v>
      </c>
      <c r="G7" s="38">
        <v>5.6878042390637154</v>
      </c>
      <c r="H7" s="28">
        <v>1.1068099761614658</v>
      </c>
      <c r="I7" s="28">
        <v>0.10182651780685485</v>
      </c>
      <c r="K7" s="62" t="s">
        <v>210</v>
      </c>
      <c r="L7" s="68">
        <f>P7*0.5</f>
        <v>2204.5</v>
      </c>
      <c r="M7" s="70">
        <f>P7*0.84</f>
        <v>3703.56</v>
      </c>
      <c r="N7" s="72">
        <f>P7*0.91</f>
        <v>4012.19</v>
      </c>
      <c r="O7" s="74">
        <f>P7*0.95</f>
        <v>4188.55</v>
      </c>
      <c r="P7" s="63">
        <v>4409</v>
      </c>
      <c r="Q7" s="64">
        <f>P7*1.05</f>
        <v>4629.45</v>
      </c>
      <c r="R7" s="76">
        <f>P7*1.16</f>
        <v>5114.4399999999996</v>
      </c>
      <c r="S7" s="78"/>
      <c r="T7" s="56" t="s">
        <v>86</v>
      </c>
    </row>
    <row r="8" spans="1:20" x14ac:dyDescent="0.2">
      <c r="B8" s="28">
        <v>2</v>
      </c>
      <c r="C8" s="39">
        <v>0.42523153800972174</v>
      </c>
      <c r="D8" s="39">
        <v>90.6379336597806</v>
      </c>
      <c r="G8" s="38">
        <v>17.886176852401622</v>
      </c>
      <c r="H8" s="28">
        <v>0.35196557241934606</v>
      </c>
      <c r="I8" s="28">
        <v>3.2380832662579837E-2</v>
      </c>
      <c r="K8" s="79" t="s">
        <v>211</v>
      </c>
      <c r="L8" s="80">
        <f t="shared" ref="L8:O8" si="2">L7+L6</f>
        <v>5441.5</v>
      </c>
      <c r="M8" s="81">
        <f t="shared" si="2"/>
        <v>8559.06</v>
      </c>
      <c r="N8" s="82">
        <f t="shared" si="2"/>
        <v>9838.7899999999991</v>
      </c>
      <c r="O8" s="83">
        <f t="shared" si="2"/>
        <v>10338.849999999999</v>
      </c>
      <c r="P8" s="84">
        <f>P7+P6</f>
        <v>10883</v>
      </c>
      <c r="Q8" s="85">
        <f t="shared" ref="Q8:R8" si="3">Q7+Q6</f>
        <v>11427.150000000001</v>
      </c>
      <c r="R8" s="86">
        <f t="shared" si="3"/>
        <v>13206.939999999999</v>
      </c>
      <c r="S8" s="87"/>
      <c r="T8" s="88" t="s">
        <v>86</v>
      </c>
    </row>
    <row r="9" spans="1:20" x14ac:dyDescent="0.2">
      <c r="B9" s="28">
        <v>3</v>
      </c>
      <c r="C9" s="39">
        <v>0.29415435867314782</v>
      </c>
      <c r="D9" s="39">
        <v>65.052119744999786</v>
      </c>
      <c r="G9" s="38">
        <v>30.084549465739528</v>
      </c>
      <c r="H9" s="28">
        <v>0.2092542047677444</v>
      </c>
      <c r="I9" s="28">
        <v>1.9251386838632485E-2</v>
      </c>
      <c r="K9" s="62" t="s">
        <v>212</v>
      </c>
      <c r="L9" s="68">
        <f>P9*0.5</f>
        <v>45</v>
      </c>
      <c r="M9" s="70">
        <f>P9*0.75</f>
        <v>67.5</v>
      </c>
      <c r="N9" s="72">
        <f>P9*0.9</f>
        <v>81</v>
      </c>
      <c r="O9" s="74">
        <f>P9*0.95</f>
        <v>85.5</v>
      </c>
      <c r="P9" s="63">
        <v>90</v>
      </c>
      <c r="Q9" s="64">
        <f>P9*1.05</f>
        <v>94.5</v>
      </c>
      <c r="R9" s="76">
        <f>P9*1.25</f>
        <v>112.5</v>
      </c>
      <c r="S9" s="78"/>
      <c r="T9" s="56" t="s">
        <v>91</v>
      </c>
    </row>
    <row r="10" spans="1:20" x14ac:dyDescent="0.2">
      <c r="B10" s="28">
        <v>4</v>
      </c>
      <c r="C10" s="39">
        <v>0.22861576900486086</v>
      </c>
      <c r="D10" s="39">
        <v>52.387212787609386</v>
      </c>
      <c r="G10" s="297" t="s">
        <v>213</v>
      </c>
      <c r="H10" s="297"/>
      <c r="I10" s="297"/>
      <c r="K10" s="62" t="s">
        <v>214</v>
      </c>
      <c r="L10" s="68">
        <f>P10*0.5</f>
        <v>589</v>
      </c>
      <c r="M10" s="70">
        <f>P10*0.75</f>
        <v>883.5</v>
      </c>
      <c r="N10" s="72">
        <f>P10*0.9</f>
        <v>1060.2</v>
      </c>
      <c r="O10" s="74">
        <f>P10*0.95</f>
        <v>1119.0999999999999</v>
      </c>
      <c r="P10" s="63">
        <v>1178</v>
      </c>
      <c r="Q10" s="64">
        <f>P10*1.05</f>
        <v>1236.9000000000001</v>
      </c>
      <c r="R10" s="76">
        <f>P10*1.25</f>
        <v>1472.5</v>
      </c>
      <c r="S10" s="78"/>
      <c r="T10" s="56" t="s">
        <v>91</v>
      </c>
    </row>
    <row r="11" spans="1:20" x14ac:dyDescent="0.2">
      <c r="B11" s="28">
        <v>5</v>
      </c>
      <c r="C11" s="39">
        <v>0.18929261520388868</v>
      </c>
      <c r="D11" s="39">
        <v>44.890668613175144</v>
      </c>
      <c r="G11" s="38"/>
      <c r="H11" s="28"/>
      <c r="I11" s="28"/>
      <c r="K11" s="62" t="s">
        <v>215</v>
      </c>
      <c r="L11" s="68">
        <f t="shared" ref="L11:N11" si="4">L9+L10</f>
        <v>634</v>
      </c>
      <c r="M11" s="70">
        <f t="shared" si="4"/>
        <v>951</v>
      </c>
      <c r="N11" s="72">
        <f t="shared" si="4"/>
        <v>1141.2</v>
      </c>
      <c r="O11" s="74">
        <f>O9+O10</f>
        <v>1204.5999999999999</v>
      </c>
      <c r="P11" s="63">
        <f>P9+P10</f>
        <v>1268</v>
      </c>
      <c r="Q11" s="64">
        <f t="shared" ref="Q11:R11" si="5">Q9+Q10</f>
        <v>1331.4</v>
      </c>
      <c r="R11" s="76">
        <f t="shared" si="5"/>
        <v>1585</v>
      </c>
      <c r="S11" s="78"/>
      <c r="T11" s="56" t="s">
        <v>91</v>
      </c>
    </row>
    <row r="12" spans="1:20" x14ac:dyDescent="0.2">
      <c r="B12" s="298" t="s">
        <v>216</v>
      </c>
      <c r="C12" s="299"/>
      <c r="D12" s="300"/>
      <c r="G12" s="38"/>
      <c r="H12" s="28"/>
      <c r="I12" s="28"/>
      <c r="K12" s="62" t="s">
        <v>217</v>
      </c>
      <c r="L12" s="68">
        <f>P12*0.5</f>
        <v>549.5</v>
      </c>
      <c r="M12" s="70">
        <f>P12*0.84</f>
        <v>923.16</v>
      </c>
      <c r="N12" s="72">
        <f>P12*0.91</f>
        <v>1000.09</v>
      </c>
      <c r="O12" s="74">
        <f>P12*0.95</f>
        <v>1044.05</v>
      </c>
      <c r="P12" s="63">
        <v>1099</v>
      </c>
      <c r="Q12" s="64">
        <f>P12*1.05</f>
        <v>1153.95</v>
      </c>
      <c r="R12" s="76">
        <f>P12*1.16</f>
        <v>1274.8399999999999</v>
      </c>
      <c r="S12" s="78"/>
      <c r="T12" s="56" t="s">
        <v>91</v>
      </c>
    </row>
    <row r="13" spans="1:20" ht="16" thickBot="1" x14ac:dyDescent="0.25">
      <c r="B13" s="28">
        <v>1</v>
      </c>
      <c r="C13" s="39">
        <v>0.50619427879652845</v>
      </c>
      <c r="D13" s="39">
        <v>126.87872984997942</v>
      </c>
      <c r="G13" s="38"/>
      <c r="H13" s="28"/>
      <c r="I13" s="28"/>
      <c r="K13" s="89" t="s">
        <v>218</v>
      </c>
      <c r="L13" s="90">
        <f t="shared" ref="L13:O13" si="6">L12+L11</f>
        <v>1183.5</v>
      </c>
      <c r="M13" s="91">
        <f t="shared" si="6"/>
        <v>1874.1599999999999</v>
      </c>
      <c r="N13" s="92">
        <f t="shared" si="6"/>
        <v>2141.29</v>
      </c>
      <c r="O13" s="93">
        <f t="shared" si="6"/>
        <v>2248.6499999999996</v>
      </c>
      <c r="P13" s="94">
        <f>P12+P11</f>
        <v>2367</v>
      </c>
      <c r="Q13" s="95">
        <f t="shared" ref="Q13:R13" si="7">Q12+Q11</f>
        <v>2485.3500000000004</v>
      </c>
      <c r="R13" s="96">
        <f t="shared" si="7"/>
        <v>2859.84</v>
      </c>
      <c r="S13" s="97"/>
      <c r="T13" s="98" t="s">
        <v>91</v>
      </c>
    </row>
    <row r="14" spans="1:20" x14ac:dyDescent="0.2">
      <c r="B14" s="28">
        <v>2</v>
      </c>
      <c r="C14" s="39">
        <v>0.26909713939826424</v>
      </c>
      <c r="D14" s="39">
        <v>36.295480368300737</v>
      </c>
      <c r="G14" s="297" t="s">
        <v>219</v>
      </c>
      <c r="H14" s="297"/>
      <c r="I14" s="29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0.34035398360962021</v>
      </c>
      <c r="D16" s="39">
        <v>31.312566492085061</v>
      </c>
      <c r="G16" s="38"/>
      <c r="H16" s="28"/>
      <c r="I16" s="28"/>
      <c r="K16" t="s">
        <v>223</v>
      </c>
      <c r="L16" s="60">
        <v>-0.5</v>
      </c>
      <c r="M16" s="60">
        <v>-0.16</v>
      </c>
      <c r="N16" s="60">
        <v>-0.09</v>
      </c>
      <c r="O16" s="60">
        <v>-0.05</v>
      </c>
      <c r="P16" t="s">
        <v>222</v>
      </c>
      <c r="Q16" s="60">
        <v>0.05</v>
      </c>
      <c r="R16" s="60">
        <v>0.16</v>
      </c>
      <c r="S16" s="60"/>
    </row>
    <row r="17" spans="2:9" x14ac:dyDescent="0.2">
      <c r="B17" s="28">
        <v>2</v>
      </c>
      <c r="C17" s="39">
        <v>0.17315199180481011</v>
      </c>
      <c r="D17" s="39">
        <v>5.761211160562512</v>
      </c>
      <c r="G17" s="38"/>
      <c r="H17" s="28"/>
      <c r="I17" s="28"/>
    </row>
    <row r="18" spans="2:9" x14ac:dyDescent="0.2">
      <c r="B18" s="28">
        <v>3</v>
      </c>
      <c r="C18" s="39">
        <v>0.11741799453654007</v>
      </c>
      <c r="D18" s="39">
        <v>4.1369372998759291</v>
      </c>
      <c r="G18" s="297" t="s">
        <v>224</v>
      </c>
      <c r="H18" s="297"/>
      <c r="I18" s="297"/>
    </row>
    <row r="19" spans="2:9" x14ac:dyDescent="0.2">
      <c r="B19" s="28">
        <v>4</v>
      </c>
      <c r="C19" s="39">
        <v>8.9550995902405048E-2</v>
      </c>
      <c r="D19" s="39">
        <v>3.3306313695326368</v>
      </c>
      <c r="G19" s="38">
        <v>5.6878042390637154</v>
      </c>
      <c r="H19" s="28">
        <v>1.1068099761614658</v>
      </c>
      <c r="I19" s="28">
        <v>0.28836063867319356</v>
      </c>
    </row>
    <row r="20" spans="2:9" x14ac:dyDescent="0.2">
      <c r="B20" s="28">
        <v>5</v>
      </c>
      <c r="C20" s="39">
        <v>7.2830796721924038E-2</v>
      </c>
      <c r="D20" s="39">
        <v>2.8515126113266613</v>
      </c>
      <c r="G20" s="38">
        <v>17.886176852401622</v>
      </c>
      <c r="H20" s="28">
        <v>0.35196557241934606</v>
      </c>
      <c r="I20" s="28">
        <v>9.1698683098075537E-2</v>
      </c>
    </row>
    <row r="21" spans="2:9" x14ac:dyDescent="0.2">
      <c r="B21" s="298" t="s">
        <v>225</v>
      </c>
      <c r="C21" s="299"/>
      <c r="D21" s="299"/>
      <c r="G21" s="38">
        <v>30.084549465739528</v>
      </c>
      <c r="H21" s="28">
        <v>0.2092542047677444</v>
      </c>
      <c r="I21" s="28">
        <v>5.4517647501828505E-2</v>
      </c>
    </row>
    <row r="22" spans="2:9" x14ac:dyDescent="0.2">
      <c r="B22" s="28">
        <v>1</v>
      </c>
      <c r="C22" s="39">
        <v>0.42491266319379706</v>
      </c>
      <c r="D22" s="39">
        <v>72.798637921528567</v>
      </c>
      <c r="G22" s="297" t="s">
        <v>226</v>
      </c>
      <c r="H22" s="297"/>
      <c r="I22" s="297"/>
    </row>
    <row r="23" spans="2:9" x14ac:dyDescent="0.2">
      <c r="B23" s="28">
        <v>2</v>
      </c>
      <c r="C23" s="39">
        <v>0.22094383159689854</v>
      </c>
      <c r="D23" s="39">
        <v>16.094308281073339</v>
      </c>
      <c r="G23" s="38">
        <v>5.6878042390637154</v>
      </c>
      <c r="H23" s="28">
        <v>1.1068099761614658</v>
      </c>
      <c r="I23" s="28">
        <v>0.34952282662330802</v>
      </c>
    </row>
    <row r="24" spans="2:9" x14ac:dyDescent="0.2">
      <c r="B24" s="28">
        <v>3</v>
      </c>
      <c r="C24" s="39">
        <v>0.15295422106459902</v>
      </c>
      <c r="D24" s="39">
        <v>11.14856365605857</v>
      </c>
      <c r="G24" s="38">
        <v>17.886176852401622</v>
      </c>
      <c r="H24" s="28">
        <v>0.35196557241934606</v>
      </c>
      <c r="I24" s="28">
        <v>0.11114825886621195</v>
      </c>
    </row>
    <row r="25" spans="2:9" x14ac:dyDescent="0.2">
      <c r="B25" s="28">
        <v>4</v>
      </c>
      <c r="C25" s="39">
        <v>0.11895941579844926</v>
      </c>
      <c r="D25" s="39">
        <v>8.6760715835511846</v>
      </c>
      <c r="G25" s="38">
        <v>30.084549465739528</v>
      </c>
      <c r="H25" s="28">
        <v>0.2092542047677444</v>
      </c>
      <c r="I25" s="28">
        <v>6.6081010027474407E-2</v>
      </c>
    </row>
    <row r="26" spans="2:9" x14ac:dyDescent="0.2">
      <c r="B26" s="28">
        <v>5</v>
      </c>
      <c r="C26" s="39">
        <v>9.8562532638759415E-2</v>
      </c>
      <c r="D26" s="39">
        <v>7.192880532046753</v>
      </c>
    </row>
    <row r="27" spans="2:9" x14ac:dyDescent="0.2">
      <c r="B27" s="298" t="s">
        <v>227</v>
      </c>
      <c r="C27" s="299"/>
      <c r="D27" s="300"/>
    </row>
    <row r="28" spans="2:9" x14ac:dyDescent="0.2">
      <c r="B28" s="28">
        <v>1</v>
      </c>
      <c r="C28" s="39">
        <v>0.13769999999999999</v>
      </c>
      <c r="D28" s="28">
        <v>12.6707</v>
      </c>
    </row>
    <row r="29" spans="2:9" x14ac:dyDescent="0.2">
      <c r="B29" s="28">
        <v>2</v>
      </c>
      <c r="C29" s="39">
        <v>6.8900000000000003E-2</v>
      </c>
      <c r="D29" s="28">
        <v>1.0075000000000001</v>
      </c>
    </row>
    <row r="30" spans="2:9" x14ac:dyDescent="0.2">
      <c r="B30" s="297" t="s">
        <v>228</v>
      </c>
      <c r="C30" s="297"/>
      <c r="D30" s="297"/>
    </row>
    <row r="31" spans="2:9" x14ac:dyDescent="0.2">
      <c r="B31" s="28">
        <v>1</v>
      </c>
      <c r="C31" s="39">
        <v>1.24E-2</v>
      </c>
      <c r="D31" s="39">
        <v>1.1377999999999999</v>
      </c>
    </row>
    <row r="32" spans="2:9" x14ac:dyDescent="0.2">
      <c r="B32" s="297" t="s">
        <v>229</v>
      </c>
      <c r="C32" s="297"/>
      <c r="D32" s="297"/>
    </row>
    <row r="33" spans="2:4" x14ac:dyDescent="0.2">
      <c r="B33" s="28">
        <v>1</v>
      </c>
      <c r="C33" s="39">
        <v>2.6800000000000001E-2</v>
      </c>
      <c r="D33" s="39">
        <v>2.4668000000000001</v>
      </c>
    </row>
    <row r="34" spans="2:4" x14ac:dyDescent="0.2">
      <c r="B34" s="297" t="s">
        <v>230</v>
      </c>
      <c r="C34" s="297"/>
      <c r="D34" s="297"/>
    </row>
    <row r="35" spans="2:4" x14ac:dyDescent="0.2">
      <c r="B35" s="38">
        <v>20.862120088954779</v>
      </c>
      <c r="C35" s="28">
        <v>0.17625703610526036</v>
      </c>
      <c r="D35" s="28">
        <v>1.6215647321683953E-2</v>
      </c>
    </row>
    <row r="36" spans="2:4" x14ac:dyDescent="0.2">
      <c r="B36" s="38">
        <v>65.604151223128241</v>
      </c>
      <c r="C36" s="28">
        <v>5.6049737481472794E-2</v>
      </c>
      <c r="D36" s="28">
        <v>5.1565758482954973E-3</v>
      </c>
    </row>
    <row r="37" spans="2:4" x14ac:dyDescent="0.2">
      <c r="B37" s="38">
        <v>110.3461823573017</v>
      </c>
      <c r="C37" s="28">
        <v>3.332326841942497E-2</v>
      </c>
      <c r="D37" s="28">
        <v>3.065740694587097E-3</v>
      </c>
    </row>
    <row r="38" spans="2:4" x14ac:dyDescent="0.2">
      <c r="B38" s="297" t="s">
        <v>231</v>
      </c>
      <c r="C38" s="297"/>
      <c r="D38" s="297"/>
    </row>
    <row r="39" spans="2:4" x14ac:dyDescent="0.2">
      <c r="B39" s="38">
        <v>30.906844576229304</v>
      </c>
      <c r="C39" s="28">
        <v>0.50421645142214733</v>
      </c>
      <c r="D39" s="28">
        <v>4.638791353083755E-2</v>
      </c>
    </row>
    <row r="40" spans="2:4" x14ac:dyDescent="0.2">
      <c r="B40" s="38">
        <v>97.191335145375177</v>
      </c>
      <c r="C40" s="28">
        <v>0.16034083155224282</v>
      </c>
      <c r="D40" s="28">
        <v>1.475135650280634E-2</v>
      </c>
    </row>
    <row r="41" spans="2:4" x14ac:dyDescent="0.2">
      <c r="B41" s="38">
        <v>163.47582571452102</v>
      </c>
      <c r="C41" s="28">
        <v>9.5327486059597413E-2</v>
      </c>
      <c r="D41" s="28">
        <v>8.7701287174829622E-3</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30.906844576229304</v>
      </c>
      <c r="C47" s="28">
        <v>0.66828849985096872</v>
      </c>
      <c r="D47" s="28">
        <v>0.1781336500032677</v>
      </c>
    </row>
    <row r="48" spans="2:4" x14ac:dyDescent="0.2">
      <c r="B48" s="38">
        <v>97.191335145375177</v>
      </c>
      <c r="C48" s="28">
        <v>0.21251574295260806</v>
      </c>
      <c r="D48" s="28">
        <v>5.6646500701039118E-2</v>
      </c>
    </row>
    <row r="49" spans="2:4" x14ac:dyDescent="0.2">
      <c r="B49" s="38">
        <v>163.47582571452102</v>
      </c>
      <c r="C49" s="28">
        <v>0.12634705288502265</v>
      </c>
      <c r="D49" s="28">
        <v>3.3678062247942404E-2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0.36234095548124456</v>
      </c>
      <c r="D55">
        <v>9.378833291676536E-2</v>
      </c>
    </row>
    <row r="56" spans="2:4" x14ac:dyDescent="0.2">
      <c r="B56" s="301" t="s">
        <v>249</v>
      </c>
      <c r="C56" s="301"/>
      <c r="D56" s="301"/>
    </row>
    <row r="57" spans="2:4" x14ac:dyDescent="0.2">
      <c r="C57">
        <v>0.36379388809580826</v>
      </c>
      <c r="D57">
        <v>9.416440999471902E-2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2A635-8B01-475B-863C-0493B6F2FAE6}">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111</v>
      </c>
    </row>
    <row r="2" spans="1:20" ht="16" thickBot="1" x14ac:dyDescent="0.25">
      <c r="G2" t="s">
        <v>236</v>
      </c>
    </row>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ht="14.5" customHeight="1" x14ac:dyDescent="0.2">
      <c r="B4" s="288" t="s">
        <v>201</v>
      </c>
      <c r="C4" s="290" t="s">
        <v>202</v>
      </c>
      <c r="D4" s="292" t="s">
        <v>203</v>
      </c>
      <c r="E4" s="3"/>
      <c r="F4" s="4"/>
      <c r="G4" s="290" t="s">
        <v>201</v>
      </c>
      <c r="H4" s="290" t="s">
        <v>204</v>
      </c>
      <c r="I4" s="290" t="s">
        <v>203</v>
      </c>
      <c r="K4" s="62" t="s">
        <v>205</v>
      </c>
      <c r="L4" s="68">
        <f>P4*0.5</f>
        <v>360.5</v>
      </c>
      <c r="M4" s="70">
        <f>P4*0.75</f>
        <v>540.75</v>
      </c>
      <c r="N4" s="72">
        <f>P4*0.9</f>
        <v>648.9</v>
      </c>
      <c r="O4" s="74">
        <f>P4*0.95</f>
        <v>684.94999999999993</v>
      </c>
      <c r="P4" s="63">
        <v>721</v>
      </c>
      <c r="Q4" s="64">
        <f>P4*1.05</f>
        <v>757.05000000000007</v>
      </c>
      <c r="R4" s="76">
        <f>P4*1.25</f>
        <v>901.25</v>
      </c>
      <c r="S4" s="78" t="s">
        <v>206</v>
      </c>
      <c r="T4" s="56" t="s">
        <v>86</v>
      </c>
    </row>
    <row r="5" spans="1:20" ht="16" thickBot="1" x14ac:dyDescent="0.25">
      <c r="B5" s="289"/>
      <c r="C5" s="291"/>
      <c r="D5" s="293"/>
      <c r="E5" s="3"/>
      <c r="F5" s="4"/>
      <c r="G5" s="291"/>
      <c r="H5" s="291"/>
      <c r="I5" s="291"/>
      <c r="K5" s="62" t="s">
        <v>87</v>
      </c>
      <c r="L5" s="68">
        <f>P5*0.5</f>
        <v>732</v>
      </c>
      <c r="M5" s="70">
        <f>P5*0.75</f>
        <v>1098</v>
      </c>
      <c r="N5" s="72">
        <f>P5*0.9</f>
        <v>1317.6000000000001</v>
      </c>
      <c r="O5" s="74">
        <f>P5*0.95</f>
        <v>1390.8</v>
      </c>
      <c r="P5" s="63">
        <v>1464</v>
      </c>
      <c r="Q5" s="64">
        <f>P5*1.05</f>
        <v>1537.2</v>
      </c>
      <c r="R5" s="76">
        <f>P5*1.25</f>
        <v>1830</v>
      </c>
      <c r="S5" s="78"/>
      <c r="T5" s="56" t="s">
        <v>86</v>
      </c>
    </row>
    <row r="6" spans="1:20" x14ac:dyDescent="0.2">
      <c r="B6" s="294" t="s">
        <v>207</v>
      </c>
      <c r="C6" s="295"/>
      <c r="D6" s="296"/>
      <c r="G6" s="297" t="s">
        <v>208</v>
      </c>
      <c r="H6" s="297"/>
      <c r="I6" s="297"/>
      <c r="K6" s="62" t="s">
        <v>209</v>
      </c>
      <c r="L6" s="68">
        <f t="shared" ref="L6:N6" si="0">L4+L5</f>
        <v>1092.5</v>
      </c>
      <c r="M6" s="70">
        <f t="shared" si="0"/>
        <v>1638.75</v>
      </c>
      <c r="N6" s="72">
        <f t="shared" si="0"/>
        <v>1966.5</v>
      </c>
      <c r="O6" s="74">
        <f>O4+O5</f>
        <v>2075.75</v>
      </c>
      <c r="P6" s="63">
        <f>P5+P4</f>
        <v>2185</v>
      </c>
      <c r="Q6" s="64">
        <f t="shared" ref="Q6:R6" si="1">Q4+Q5</f>
        <v>2294.25</v>
      </c>
      <c r="R6" s="76">
        <f t="shared" si="1"/>
        <v>2731.25</v>
      </c>
      <c r="S6" s="78"/>
      <c r="T6" s="56" t="s">
        <v>86</v>
      </c>
    </row>
    <row r="7" spans="1:20" x14ac:dyDescent="0.2">
      <c r="B7" s="28">
        <v>1</v>
      </c>
      <c r="C7" s="39">
        <v>0.50620675629565159</v>
      </c>
      <c r="D7" s="39">
        <v>127.74845059212311</v>
      </c>
      <c r="G7" s="38">
        <v>6</v>
      </c>
      <c r="H7" s="28">
        <v>0.99004999999999999</v>
      </c>
      <c r="I7" s="28">
        <v>0.22375100000000001</v>
      </c>
      <c r="K7" s="62" t="s">
        <v>210</v>
      </c>
      <c r="L7" s="68">
        <f>P7*0.5</f>
        <v>3530</v>
      </c>
      <c r="M7" s="70">
        <f>P7*0.84</f>
        <v>5930.4</v>
      </c>
      <c r="N7" s="72">
        <f>P7*0.91</f>
        <v>6424.6</v>
      </c>
      <c r="O7" s="74">
        <f>P7*0.95</f>
        <v>6707</v>
      </c>
      <c r="P7" s="63">
        <v>7060</v>
      </c>
      <c r="Q7" s="64">
        <f>P7*1.05</f>
        <v>7413</v>
      </c>
      <c r="R7" s="76">
        <f>P7*1.16</f>
        <v>8189.5999999999995</v>
      </c>
      <c r="S7" s="78"/>
      <c r="T7" s="56" t="s">
        <v>86</v>
      </c>
    </row>
    <row r="8" spans="1:20" x14ac:dyDescent="0.2">
      <c r="B8" s="28">
        <v>2</v>
      </c>
      <c r="C8" s="39">
        <v>0.26910337814782581</v>
      </c>
      <c r="D8" s="39">
        <v>36.530366632673555</v>
      </c>
      <c r="G8" s="38">
        <v>19</v>
      </c>
      <c r="H8" s="28">
        <v>0.31484000000000001</v>
      </c>
      <c r="I8" s="28">
        <v>7.1196700000000002E-2</v>
      </c>
      <c r="K8" s="79" t="s">
        <v>211</v>
      </c>
      <c r="L8" s="80">
        <f t="shared" ref="L8:O8" si="2">L7+L6</f>
        <v>4622.5</v>
      </c>
      <c r="M8" s="81">
        <f t="shared" si="2"/>
        <v>7569.15</v>
      </c>
      <c r="N8" s="82">
        <f t="shared" si="2"/>
        <v>8391.1</v>
      </c>
      <c r="O8" s="83">
        <f t="shared" si="2"/>
        <v>8782.75</v>
      </c>
      <c r="P8" s="84">
        <f>P7+P6</f>
        <v>9245</v>
      </c>
      <c r="Q8" s="85">
        <f t="shared" ref="Q8:R8" si="3">Q7+Q6</f>
        <v>9707.25</v>
      </c>
      <c r="R8" s="86">
        <f t="shared" si="3"/>
        <v>10920.849999999999</v>
      </c>
      <c r="S8" s="87"/>
      <c r="T8" s="88" t="s">
        <v>86</v>
      </c>
    </row>
    <row r="9" spans="1:20" x14ac:dyDescent="0.2">
      <c r="B9" s="28">
        <v>3</v>
      </c>
      <c r="C9" s="39">
        <v>0.19006891876521723</v>
      </c>
      <c r="D9" s="39">
        <v>27.322112578220086</v>
      </c>
      <c r="G9" s="38">
        <v>32</v>
      </c>
      <c r="H9" s="28">
        <v>0.18718000000000001</v>
      </c>
      <c r="I9" s="28">
        <v>4.2303E-2</v>
      </c>
      <c r="K9" s="62" t="s">
        <v>212</v>
      </c>
      <c r="L9" s="68">
        <f>P9*0.5</f>
        <v>236</v>
      </c>
      <c r="M9" s="70">
        <f>P9*0.75</f>
        <v>354</v>
      </c>
      <c r="N9" s="72">
        <f>P9*0.9</f>
        <v>424.8</v>
      </c>
      <c r="O9" s="74">
        <f>P9*0.95</f>
        <v>448.4</v>
      </c>
      <c r="P9" s="63">
        <v>472</v>
      </c>
      <c r="Q9" s="64">
        <f>P9*1.05</f>
        <v>495.6</v>
      </c>
      <c r="R9" s="76">
        <f>P9*1.25</f>
        <v>590</v>
      </c>
      <c r="S9" s="78"/>
      <c r="T9" s="56" t="s">
        <v>91</v>
      </c>
    </row>
    <row r="10" spans="1:20" x14ac:dyDescent="0.2">
      <c r="B10" s="28">
        <v>4</v>
      </c>
      <c r="C10" s="39">
        <v>0.15055168907391289</v>
      </c>
      <c r="D10" s="39">
        <v>22.845985550993351</v>
      </c>
      <c r="G10" s="297" t="s">
        <v>213</v>
      </c>
      <c r="H10" s="297"/>
      <c r="I10" s="297"/>
      <c r="K10" s="62" t="s">
        <v>214</v>
      </c>
      <c r="L10" s="68">
        <f>P10*0.5</f>
        <v>148</v>
      </c>
      <c r="M10" s="70">
        <f>P10*0.75</f>
        <v>222</v>
      </c>
      <c r="N10" s="72">
        <f>P10*0.9</f>
        <v>266.40000000000003</v>
      </c>
      <c r="O10" s="74">
        <f>P10*0.95</f>
        <v>281.2</v>
      </c>
      <c r="P10" s="63">
        <v>296</v>
      </c>
      <c r="Q10" s="64">
        <f>P10*1.05</f>
        <v>310.8</v>
      </c>
      <c r="R10" s="76">
        <f>P10*1.25</f>
        <v>370</v>
      </c>
      <c r="S10" s="78"/>
      <c r="T10" s="56" t="s">
        <v>91</v>
      </c>
    </row>
    <row r="11" spans="1:20" x14ac:dyDescent="0.2">
      <c r="B11" s="28">
        <v>5</v>
      </c>
      <c r="C11" s="39">
        <v>0.12684135125913032</v>
      </c>
      <c r="D11" s="39">
        <v>20.262709334657309</v>
      </c>
      <c r="G11" s="38">
        <v>6</v>
      </c>
      <c r="H11" s="28">
        <v>0.99004999999999999</v>
      </c>
      <c r="I11" s="28">
        <v>0.23658970000000001</v>
      </c>
      <c r="K11" s="62" t="s">
        <v>215</v>
      </c>
      <c r="L11" s="68">
        <f t="shared" ref="L11:N11" si="4">L9+L10</f>
        <v>384</v>
      </c>
      <c r="M11" s="70">
        <f t="shared" si="4"/>
        <v>576</v>
      </c>
      <c r="N11" s="72">
        <f t="shared" si="4"/>
        <v>691.2</v>
      </c>
      <c r="O11" s="74">
        <f>O9+O10</f>
        <v>729.59999999999991</v>
      </c>
      <c r="P11" s="63">
        <f>P9+P10</f>
        <v>768</v>
      </c>
      <c r="Q11" s="64">
        <f t="shared" ref="Q11:R11" si="5">Q9+Q10</f>
        <v>806.40000000000009</v>
      </c>
      <c r="R11" s="76">
        <f t="shared" si="5"/>
        <v>960</v>
      </c>
      <c r="S11" s="78"/>
      <c r="T11" s="56" t="s">
        <v>91</v>
      </c>
    </row>
    <row r="12" spans="1:20" x14ac:dyDescent="0.2">
      <c r="B12" s="298" t="s">
        <v>216</v>
      </c>
      <c r="C12" s="299"/>
      <c r="D12" s="300"/>
      <c r="G12" s="38">
        <v>19</v>
      </c>
      <c r="H12" s="28">
        <v>0.31484000000000001</v>
      </c>
      <c r="I12" s="28">
        <v>7.5235499999999997E-2</v>
      </c>
      <c r="K12" s="62" t="s">
        <v>217</v>
      </c>
      <c r="L12" s="68">
        <f>P12*0.5</f>
        <v>901</v>
      </c>
      <c r="M12" s="70">
        <f>P12*0.84</f>
        <v>1513.6799999999998</v>
      </c>
      <c r="N12" s="72">
        <f>P12*0.91</f>
        <v>1639.8200000000002</v>
      </c>
      <c r="O12" s="74">
        <f>P12*0.95</f>
        <v>1711.8999999999999</v>
      </c>
      <c r="P12" s="63">
        <v>1802</v>
      </c>
      <c r="Q12" s="64">
        <f>P12*1.05</f>
        <v>1892.1000000000001</v>
      </c>
      <c r="R12" s="76">
        <f>P12*1.16</f>
        <v>2090.3199999999997</v>
      </c>
      <c r="S12" s="78"/>
      <c r="T12" s="56" t="s">
        <v>91</v>
      </c>
    </row>
    <row r="13" spans="1:20" ht="16" thickBot="1" x14ac:dyDescent="0.25">
      <c r="B13" s="28">
        <v>1</v>
      </c>
      <c r="C13" s="39">
        <v>0.4076264193761267</v>
      </c>
      <c r="D13" s="39">
        <v>102.87030516301802</v>
      </c>
      <c r="G13" s="38">
        <v>32</v>
      </c>
      <c r="H13" s="28">
        <v>0.18718000000000001</v>
      </c>
      <c r="I13" s="28">
        <v>4.47298E-2</v>
      </c>
      <c r="K13" s="89" t="s">
        <v>218</v>
      </c>
      <c r="L13" s="90">
        <f t="shared" ref="L13:O13" si="6">L12+L11</f>
        <v>1285</v>
      </c>
      <c r="M13" s="91">
        <f t="shared" si="6"/>
        <v>2089.6799999999998</v>
      </c>
      <c r="N13" s="92">
        <f t="shared" si="6"/>
        <v>2331.0200000000004</v>
      </c>
      <c r="O13" s="93">
        <f t="shared" si="6"/>
        <v>2441.5</v>
      </c>
      <c r="P13" s="94">
        <f>P12+P11</f>
        <v>2570</v>
      </c>
      <c r="Q13" s="95">
        <f t="shared" ref="Q13:R13" si="7">Q12+Q11</f>
        <v>2698.5</v>
      </c>
      <c r="R13" s="96">
        <f t="shared" si="7"/>
        <v>3050.3199999999997</v>
      </c>
      <c r="S13" s="97"/>
      <c r="T13" s="98" t="s">
        <v>91</v>
      </c>
    </row>
    <row r="14" spans="1:20" x14ac:dyDescent="0.2">
      <c r="B14" s="28">
        <v>2</v>
      </c>
      <c r="C14" s="39">
        <v>0.21981320968806334</v>
      </c>
      <c r="D14" s="39">
        <v>24.370757636978052</v>
      </c>
      <c r="G14" s="297" t="s">
        <v>219</v>
      </c>
      <c r="H14" s="297"/>
      <c r="I14" s="297"/>
      <c r="L14" s="59"/>
      <c r="M14" s="59"/>
      <c r="N14" s="59"/>
      <c r="O14" s="59"/>
      <c r="P14" s="59"/>
      <c r="Q14" s="59"/>
      <c r="R14" s="59"/>
      <c r="S14" s="59"/>
    </row>
    <row r="15" spans="1:20" x14ac:dyDescent="0.2">
      <c r="B15" s="298" t="s">
        <v>220</v>
      </c>
      <c r="C15" s="299"/>
      <c r="D15" s="300"/>
      <c r="G15" s="38">
        <v>6</v>
      </c>
      <c r="H15" s="28">
        <v>0.99004999999999999</v>
      </c>
      <c r="I15" s="28">
        <v>0.22573099999999999</v>
      </c>
      <c r="K15" t="s">
        <v>221</v>
      </c>
      <c r="L15" s="60">
        <v>-0.5</v>
      </c>
      <c r="M15" s="60">
        <v>-0.25</v>
      </c>
      <c r="N15" s="60">
        <v>-0.1</v>
      </c>
      <c r="O15" s="60">
        <v>-0.05</v>
      </c>
      <c r="P15" t="s">
        <v>222</v>
      </c>
      <c r="Q15" s="60">
        <v>0.05</v>
      </c>
      <c r="R15" s="60">
        <v>0.25</v>
      </c>
      <c r="S15" s="60"/>
    </row>
    <row r="16" spans="1:20" x14ac:dyDescent="0.2">
      <c r="B16" s="28">
        <v>1</v>
      </c>
      <c r="C16" s="39">
        <v>0.312054948100563</v>
      </c>
      <c r="D16" s="39">
        <v>111.09156152380042</v>
      </c>
      <c r="G16" s="38">
        <v>19</v>
      </c>
      <c r="H16" s="28">
        <v>0.31484000000000001</v>
      </c>
      <c r="I16" s="28">
        <v>7.1783E-2</v>
      </c>
      <c r="K16" t="s">
        <v>223</v>
      </c>
      <c r="L16" s="60">
        <v>-0.5</v>
      </c>
      <c r="M16" s="60">
        <v>-0.16</v>
      </c>
      <c r="N16" s="60">
        <v>-0.09</v>
      </c>
      <c r="O16" s="60">
        <v>-0.05</v>
      </c>
      <c r="P16" t="s">
        <v>222</v>
      </c>
      <c r="Q16" s="60">
        <v>0.05</v>
      </c>
      <c r="R16" s="60">
        <v>0.16</v>
      </c>
      <c r="S16" s="60"/>
    </row>
    <row r="17" spans="2:9" x14ac:dyDescent="0.2">
      <c r="B17" s="28">
        <v>2</v>
      </c>
      <c r="C17" s="39">
        <v>0.15900247405028151</v>
      </c>
      <c r="D17" s="39">
        <v>17.975477977531877</v>
      </c>
      <c r="G17" s="38">
        <v>32</v>
      </c>
      <c r="H17" s="28">
        <v>0.18718000000000001</v>
      </c>
      <c r="I17" s="28">
        <v>4.2677E-2</v>
      </c>
    </row>
    <row r="18" spans="2:9" x14ac:dyDescent="0.2">
      <c r="B18" s="28">
        <v>3</v>
      </c>
      <c r="C18" s="39">
        <v>0.10798498270018768</v>
      </c>
      <c r="D18" s="39">
        <v>12.419521481469159</v>
      </c>
      <c r="G18" s="297" t="s">
        <v>224</v>
      </c>
      <c r="H18" s="297"/>
      <c r="I18" s="297"/>
    </row>
    <row r="19" spans="2:9" x14ac:dyDescent="0.2">
      <c r="B19" s="28">
        <v>4</v>
      </c>
      <c r="C19" s="39">
        <v>8.2476237025140745E-2</v>
      </c>
      <c r="D19" s="39">
        <v>9.6473742334377963</v>
      </c>
      <c r="G19" s="38">
        <v>6</v>
      </c>
      <c r="H19" s="28">
        <v>0.99004999999999999</v>
      </c>
      <c r="I19" s="28">
        <v>0.24942800000000001</v>
      </c>
    </row>
    <row r="20" spans="2:9" x14ac:dyDescent="0.2">
      <c r="B20" s="28">
        <v>5</v>
      </c>
      <c r="C20" s="39">
        <v>6.7170989620112601E-2</v>
      </c>
      <c r="D20" s="39">
        <v>7.9887506846189806</v>
      </c>
      <c r="G20" s="38">
        <v>19</v>
      </c>
      <c r="H20" s="28">
        <v>0.31484000000000001</v>
      </c>
      <c r="I20" s="28">
        <v>7.1152900000000005E-2</v>
      </c>
    </row>
    <row r="21" spans="2:9" x14ac:dyDescent="0.2">
      <c r="B21" s="298" t="s">
        <v>225</v>
      </c>
      <c r="C21" s="299"/>
      <c r="D21" s="299"/>
      <c r="G21" s="38">
        <v>32</v>
      </c>
      <c r="H21" s="28">
        <v>0.18718000000000001</v>
      </c>
      <c r="I21" s="28">
        <v>4.2302600000000003E-2</v>
      </c>
    </row>
    <row r="22" spans="2:9" x14ac:dyDescent="0.2">
      <c r="B22" s="28">
        <v>1</v>
      </c>
      <c r="C22" s="39">
        <v>0.41617418886077784</v>
      </c>
      <c r="D22" s="39">
        <v>126.59273359712164</v>
      </c>
      <c r="G22" s="297" t="s">
        <v>226</v>
      </c>
      <c r="H22" s="297"/>
      <c r="I22" s="297"/>
    </row>
    <row r="23" spans="2:9" x14ac:dyDescent="0.2">
      <c r="B23" s="28">
        <v>2</v>
      </c>
      <c r="C23" s="39">
        <v>0.21657459443038893</v>
      </c>
      <c r="D23" s="39">
        <v>27.42647247846137</v>
      </c>
      <c r="G23" s="38">
        <v>6</v>
      </c>
      <c r="H23" s="28">
        <v>0.99004999999999999</v>
      </c>
      <c r="I23" s="28">
        <v>0.24276</v>
      </c>
    </row>
    <row r="24" spans="2:9" x14ac:dyDescent="0.2">
      <c r="B24" s="28">
        <v>3</v>
      </c>
      <c r="C24" s="39">
        <v>0.15004139628692595</v>
      </c>
      <c r="D24" s="39">
        <v>19.007594217798282</v>
      </c>
      <c r="G24" s="38">
        <v>19</v>
      </c>
      <c r="H24" s="28">
        <v>0.31484000000000001</v>
      </c>
      <c r="I24" s="28">
        <v>7.7200000000000005E-2</v>
      </c>
    </row>
    <row r="25" spans="2:9" x14ac:dyDescent="0.2">
      <c r="B25" s="28">
        <v>4</v>
      </c>
      <c r="C25" s="39">
        <v>0.11677479721519446</v>
      </c>
      <c r="D25" s="39">
        <v>14.798535327466736</v>
      </c>
      <c r="G25" s="38">
        <v>32</v>
      </c>
      <c r="H25" s="28">
        <v>0.18718000000000001</v>
      </c>
      <c r="I25" s="28">
        <v>4.5895999999999999E-2</v>
      </c>
    </row>
    <row r="26" spans="2:9" x14ac:dyDescent="0.2">
      <c r="B26" s="28">
        <v>5</v>
      </c>
      <c r="C26" s="39">
        <v>9.6814837772155576E-2</v>
      </c>
      <c r="D26" s="39">
        <v>12.273404185267809</v>
      </c>
    </row>
    <row r="27" spans="2:9" x14ac:dyDescent="0.2">
      <c r="B27" s="298" t="s">
        <v>227</v>
      </c>
      <c r="C27" s="299"/>
      <c r="D27" s="300"/>
    </row>
    <row r="28" spans="2:9" x14ac:dyDescent="0.2">
      <c r="B28" s="28">
        <v>1</v>
      </c>
      <c r="C28" s="39">
        <v>0.12627339760348363</v>
      </c>
      <c r="D28" s="39">
        <v>44.953329546840173</v>
      </c>
    </row>
    <row r="29" spans="2:9" x14ac:dyDescent="0.2">
      <c r="B29" s="28">
        <v>2</v>
      </c>
      <c r="C29" s="39">
        <v>6.3136698801741817E-2</v>
      </c>
      <c r="D29" s="39">
        <v>2.9619527573857032</v>
      </c>
    </row>
    <row r="30" spans="2:9" x14ac:dyDescent="0.2">
      <c r="B30" s="298" t="s">
        <v>228</v>
      </c>
      <c r="C30" s="299"/>
      <c r="D30" s="299"/>
    </row>
    <row r="31" spans="2:9" x14ac:dyDescent="0.2">
      <c r="B31" s="28">
        <v>1</v>
      </c>
      <c r="C31" s="39">
        <v>1.1339205962956504E-2</v>
      </c>
      <c r="D31" s="39">
        <v>4.0367573228125151</v>
      </c>
    </row>
    <row r="32" spans="2:9" x14ac:dyDescent="0.2">
      <c r="B32" s="298" t="s">
        <v>229</v>
      </c>
      <c r="C32" s="299"/>
      <c r="D32" s="299"/>
    </row>
    <row r="33" spans="2:4" x14ac:dyDescent="0.2">
      <c r="B33" s="28">
        <v>1</v>
      </c>
      <c r="C33" s="39">
        <v>2.4583398527689704E-2</v>
      </c>
      <c r="D33" s="39">
        <v>8.7516898758575348</v>
      </c>
    </row>
    <row r="34" spans="2:4" x14ac:dyDescent="0.2">
      <c r="B34" s="298" t="s">
        <v>230</v>
      </c>
      <c r="C34" s="299"/>
      <c r="D34" s="299"/>
    </row>
    <row r="35" spans="2:4" x14ac:dyDescent="0.2">
      <c r="B35" s="38"/>
      <c r="C35" s="39"/>
      <c r="D35" s="39"/>
    </row>
    <row r="36" spans="2:4" x14ac:dyDescent="0.2">
      <c r="B36" s="38"/>
      <c r="C36" s="39"/>
      <c r="D36" s="39"/>
    </row>
    <row r="37" spans="2:4" x14ac:dyDescent="0.2">
      <c r="B37" s="38"/>
      <c r="C37" s="39"/>
      <c r="D37" s="39"/>
    </row>
    <row r="38" spans="2:4" x14ac:dyDescent="0.2">
      <c r="B38" s="298" t="s">
        <v>231</v>
      </c>
      <c r="C38" s="299"/>
      <c r="D38" s="299"/>
    </row>
    <row r="39" spans="2:4" x14ac:dyDescent="0.2">
      <c r="B39" s="38"/>
      <c r="C39" s="39"/>
      <c r="D39" s="39"/>
    </row>
    <row r="40" spans="2:4" x14ac:dyDescent="0.2">
      <c r="B40" s="38"/>
      <c r="C40" s="39"/>
      <c r="D40" s="39"/>
    </row>
    <row r="41" spans="2:4" x14ac:dyDescent="0.2">
      <c r="B41" s="38"/>
      <c r="C41" s="39"/>
      <c r="D41" s="39"/>
    </row>
    <row r="42" spans="2:4" x14ac:dyDescent="0.2">
      <c r="B42" s="298" t="s">
        <v>232</v>
      </c>
      <c r="C42" s="299"/>
      <c r="D42" s="300"/>
    </row>
    <row r="43" spans="2:4" x14ac:dyDescent="0.2">
      <c r="B43" s="38"/>
      <c r="C43" s="39"/>
      <c r="D43" s="39"/>
    </row>
    <row r="44" spans="2:4" x14ac:dyDescent="0.2">
      <c r="B44" s="38"/>
      <c r="C44" s="39"/>
      <c r="D44" s="39"/>
    </row>
    <row r="45" spans="2:4" x14ac:dyDescent="0.2">
      <c r="B45" s="38"/>
      <c r="C45" s="39"/>
      <c r="D45" s="39"/>
    </row>
    <row r="46" spans="2:4" x14ac:dyDescent="0.2">
      <c r="B46" s="298" t="s">
        <v>233</v>
      </c>
      <c r="C46" s="299"/>
      <c r="D46" s="299"/>
    </row>
    <row r="47" spans="2:4" x14ac:dyDescent="0.2">
      <c r="B47" s="38"/>
      <c r="C47" s="39"/>
      <c r="D47" s="39"/>
    </row>
    <row r="48" spans="2:4" x14ac:dyDescent="0.2">
      <c r="B48" s="38"/>
      <c r="C48" s="39"/>
      <c r="D48" s="39"/>
    </row>
    <row r="49" spans="2:4" x14ac:dyDescent="0.2">
      <c r="B49" s="38"/>
      <c r="C49" s="39"/>
      <c r="D49" s="39"/>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0.31468015075627515</v>
      </c>
      <c r="D55">
        <v>8.1451810221754253E-2</v>
      </c>
    </row>
    <row r="56" spans="2:4" x14ac:dyDescent="0.2">
      <c r="B56" s="301" t="s">
        <v>249</v>
      </c>
      <c r="C56" s="301"/>
      <c r="D56" s="301"/>
    </row>
    <row r="57" spans="2:4" x14ac:dyDescent="0.2">
      <c r="C57">
        <v>0.34649789052316915</v>
      </c>
      <c r="D57">
        <v>8.9687513983017095E-2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561ED-7D33-4473-BBFA-9AFF7EEFB1A6}">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19" x14ac:dyDescent="0.25">
      <c r="A1" s="305" t="s">
        <v>112</v>
      </c>
      <c r="B1" s="306"/>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456</v>
      </c>
      <c r="M4" s="70">
        <f>P4*0.75</f>
        <v>684</v>
      </c>
      <c r="N4" s="72">
        <f>P4*0.9</f>
        <v>820.80000000000007</v>
      </c>
      <c r="O4" s="74">
        <f>P4*0.95</f>
        <v>866.4</v>
      </c>
      <c r="P4" s="63">
        <v>912</v>
      </c>
      <c r="Q4" s="64">
        <f>P4*1.05</f>
        <v>957.6</v>
      </c>
      <c r="R4" s="76">
        <f>P4*1.25</f>
        <v>1140</v>
      </c>
      <c r="S4" s="78" t="s">
        <v>206</v>
      </c>
      <c r="T4" s="56" t="s">
        <v>86</v>
      </c>
    </row>
    <row r="5" spans="1:20" ht="16" thickBot="1" x14ac:dyDescent="0.25">
      <c r="B5" s="289"/>
      <c r="C5" s="291"/>
      <c r="D5" s="293"/>
      <c r="E5" s="3"/>
      <c r="F5" s="4"/>
      <c r="G5" s="291"/>
      <c r="H5" s="291"/>
      <c r="I5" s="291"/>
      <c r="K5" s="62" t="s">
        <v>87</v>
      </c>
      <c r="L5" s="68">
        <f>P5*0.5</f>
        <v>2831.5</v>
      </c>
      <c r="M5" s="70">
        <f>P5*0.75</f>
        <v>4247.25</v>
      </c>
      <c r="N5" s="72">
        <f>P5*0.9</f>
        <v>5096.7</v>
      </c>
      <c r="O5" s="74">
        <f>P5*0.95</f>
        <v>5379.8499999999995</v>
      </c>
      <c r="P5" s="63">
        <v>5663</v>
      </c>
      <c r="Q5" s="64">
        <f>P5*1.05</f>
        <v>5946.1500000000005</v>
      </c>
      <c r="R5" s="76">
        <f>P5*1.25</f>
        <v>7078.75</v>
      </c>
      <c r="S5" s="78"/>
      <c r="T5" s="56" t="s">
        <v>86</v>
      </c>
    </row>
    <row r="6" spans="1:20" x14ac:dyDescent="0.2">
      <c r="B6" s="294" t="s">
        <v>207</v>
      </c>
      <c r="C6" s="295"/>
      <c r="D6" s="296"/>
      <c r="G6" s="297" t="s">
        <v>208</v>
      </c>
      <c r="H6" s="297"/>
      <c r="I6" s="297"/>
      <c r="K6" s="62" t="s">
        <v>209</v>
      </c>
      <c r="L6" s="68">
        <f t="shared" ref="L6:N6" si="0">L4+L5</f>
        <v>3287.5</v>
      </c>
      <c r="M6" s="70">
        <f t="shared" si="0"/>
        <v>4931.25</v>
      </c>
      <c r="N6" s="72">
        <f t="shared" si="0"/>
        <v>5917.5</v>
      </c>
      <c r="O6" s="74">
        <f>O4+O5</f>
        <v>6246.2499999999991</v>
      </c>
      <c r="P6" s="63">
        <f>P5+P4</f>
        <v>6575</v>
      </c>
      <c r="Q6" s="64">
        <f t="shared" ref="Q6:R6" si="1">Q4+Q5</f>
        <v>6903.7500000000009</v>
      </c>
      <c r="R6" s="76">
        <f t="shared" si="1"/>
        <v>8218.75</v>
      </c>
      <c r="S6" s="78"/>
      <c r="T6" s="56" t="s">
        <v>86</v>
      </c>
    </row>
    <row r="7" spans="1:20" x14ac:dyDescent="0.2">
      <c r="B7" s="28">
        <v>1</v>
      </c>
      <c r="C7" s="39">
        <v>0.61806529231588325</v>
      </c>
      <c r="D7" s="39">
        <v>154.54129392306723</v>
      </c>
      <c r="G7" s="38">
        <v>2.5745528364422925</v>
      </c>
      <c r="H7" s="28">
        <v>2.3983334680462076</v>
      </c>
      <c r="I7" s="28">
        <v>0.762670042838694</v>
      </c>
      <c r="K7" s="62" t="s">
        <v>210</v>
      </c>
      <c r="L7" s="68">
        <f>P7*0.5</f>
        <v>3252.5</v>
      </c>
      <c r="M7" s="70">
        <f>P7*0.84</f>
        <v>5464.2</v>
      </c>
      <c r="N7" s="72">
        <f>P7*0.91</f>
        <v>5919.55</v>
      </c>
      <c r="O7" s="74">
        <f>P7*0.95</f>
        <v>6179.75</v>
      </c>
      <c r="P7" s="63">
        <v>6505</v>
      </c>
      <c r="Q7" s="64">
        <f>P7*1.05</f>
        <v>6830.25</v>
      </c>
      <c r="R7" s="76">
        <f>P7*1.16</f>
        <v>7545.7999999999993</v>
      </c>
      <c r="S7" s="78"/>
      <c r="T7" s="56" t="s">
        <v>86</v>
      </c>
    </row>
    <row r="8" spans="1:20" x14ac:dyDescent="0.2">
      <c r="B8" s="28">
        <v>2</v>
      </c>
      <c r="C8" s="39">
        <v>0.32503264615794164</v>
      </c>
      <c r="D8" s="39">
        <v>52.831226873750303</v>
      </c>
      <c r="G8" s="38">
        <v>8.0960781020197885</v>
      </c>
      <c r="H8" s="28">
        <v>0.762670042838694</v>
      </c>
      <c r="I8" s="28">
        <v>0.24252907362270468</v>
      </c>
      <c r="K8" s="79" t="s">
        <v>211</v>
      </c>
      <c r="L8" s="80">
        <f t="shared" ref="L8:O8" si="2">L7+L6</f>
        <v>6540</v>
      </c>
      <c r="M8" s="81">
        <f t="shared" si="2"/>
        <v>10395.450000000001</v>
      </c>
      <c r="N8" s="82">
        <f t="shared" si="2"/>
        <v>11837.05</v>
      </c>
      <c r="O8" s="83">
        <f t="shared" si="2"/>
        <v>12426</v>
      </c>
      <c r="P8" s="84">
        <f>P7+P6</f>
        <v>13080</v>
      </c>
      <c r="Q8" s="85">
        <f t="shared" ref="Q8:R8" si="3">Q7+Q6</f>
        <v>13734</v>
      </c>
      <c r="R8" s="86">
        <f t="shared" si="3"/>
        <v>15764.55</v>
      </c>
      <c r="S8" s="87"/>
      <c r="T8" s="88" t="s">
        <v>86</v>
      </c>
    </row>
    <row r="9" spans="1:20" x14ac:dyDescent="0.2">
      <c r="B9" s="28">
        <v>3</v>
      </c>
      <c r="C9" s="39">
        <v>0.22735509743862772</v>
      </c>
      <c r="D9" s="39">
        <v>38.773432497188601</v>
      </c>
      <c r="G9" s="38">
        <v>13.617603367597283</v>
      </c>
      <c r="H9" s="28">
        <v>0.45343046542134008</v>
      </c>
      <c r="I9" s="28">
        <v>0.14419088800398613</v>
      </c>
      <c r="K9" s="62" t="s">
        <v>212</v>
      </c>
      <c r="L9" s="68">
        <f>P9*0.5</f>
        <v>234.5</v>
      </c>
      <c r="M9" s="70">
        <f>P9*0.75</f>
        <v>351.75</v>
      </c>
      <c r="N9" s="72">
        <f>P9*0.9</f>
        <v>422.1</v>
      </c>
      <c r="O9" s="74">
        <f>P9*0.95</f>
        <v>445.54999999999995</v>
      </c>
      <c r="P9" s="63">
        <v>469</v>
      </c>
      <c r="Q9" s="64">
        <f>P9*1.05</f>
        <v>492.45000000000005</v>
      </c>
      <c r="R9" s="76">
        <f>P9*1.25</f>
        <v>586.25</v>
      </c>
      <c r="S9" s="78"/>
      <c r="T9" s="56" t="s">
        <v>91</v>
      </c>
    </row>
    <row r="10" spans="1:20" x14ac:dyDescent="0.2">
      <c r="B10" s="28">
        <v>4</v>
      </c>
      <c r="C10" s="39">
        <v>0.17851632307897081</v>
      </c>
      <c r="D10" s="39">
        <v>31.872535308907757</v>
      </c>
      <c r="G10" s="297" t="s">
        <v>213</v>
      </c>
      <c r="H10" s="297"/>
      <c r="I10" s="297"/>
      <c r="K10" s="62" t="s">
        <v>214</v>
      </c>
      <c r="L10" s="68">
        <f>P10*0.5</f>
        <v>572</v>
      </c>
      <c r="M10" s="70">
        <f>P10*0.75</f>
        <v>858</v>
      </c>
      <c r="N10" s="72">
        <f>P10*0.9</f>
        <v>1029.6000000000001</v>
      </c>
      <c r="O10" s="74">
        <f>P10*0.95</f>
        <v>1086.8</v>
      </c>
      <c r="P10" s="63">
        <v>1144</v>
      </c>
      <c r="Q10" s="64">
        <f>P10*1.05</f>
        <v>1201.2</v>
      </c>
      <c r="R10" s="76">
        <f>P10*1.25</f>
        <v>1430</v>
      </c>
      <c r="S10" s="78"/>
      <c r="T10" s="56" t="s">
        <v>91</v>
      </c>
    </row>
    <row r="11" spans="1:20" x14ac:dyDescent="0.2">
      <c r="B11" s="28">
        <v>5</v>
      </c>
      <c r="C11" s="39">
        <v>0.14921305846317665</v>
      </c>
      <c r="D11" s="39">
        <v>27.834396995939251</v>
      </c>
      <c r="G11" s="38"/>
      <c r="H11" s="28"/>
      <c r="I11" s="28"/>
      <c r="K11" s="62" t="s">
        <v>215</v>
      </c>
      <c r="L11" s="68">
        <f t="shared" ref="L11:N11" si="4">L9+L10</f>
        <v>806.5</v>
      </c>
      <c r="M11" s="70">
        <f t="shared" si="4"/>
        <v>1209.75</v>
      </c>
      <c r="N11" s="72">
        <f t="shared" si="4"/>
        <v>1451.7000000000003</v>
      </c>
      <c r="O11" s="74">
        <f>O9+O10</f>
        <v>1532.35</v>
      </c>
      <c r="P11" s="63">
        <f>P9+P10</f>
        <v>1613</v>
      </c>
      <c r="Q11" s="64">
        <f t="shared" ref="Q11:R11" si="5">Q9+Q10</f>
        <v>1693.65</v>
      </c>
      <c r="R11" s="76">
        <f t="shared" si="5"/>
        <v>2016.25</v>
      </c>
      <c r="S11" s="78"/>
      <c r="T11" s="56" t="s">
        <v>91</v>
      </c>
    </row>
    <row r="12" spans="1:20" x14ac:dyDescent="0.2">
      <c r="B12" s="298" t="s">
        <v>216</v>
      </c>
      <c r="C12" s="299"/>
      <c r="D12" s="300"/>
      <c r="G12" s="38"/>
      <c r="H12" s="28"/>
      <c r="I12" s="28"/>
      <c r="K12" s="62" t="s">
        <v>217</v>
      </c>
      <c r="L12" s="68">
        <f>P12*0.5</f>
        <v>801.5</v>
      </c>
      <c r="M12" s="70">
        <f>P12*0.84</f>
        <v>1346.52</v>
      </c>
      <c r="N12" s="72">
        <f>P12*0.91</f>
        <v>1458.73</v>
      </c>
      <c r="O12" s="74">
        <f>P12*0.95</f>
        <v>1522.85</v>
      </c>
      <c r="P12" s="63">
        <v>1603</v>
      </c>
      <c r="Q12" s="64">
        <f>P12*1.05</f>
        <v>1683.15</v>
      </c>
      <c r="R12" s="76">
        <f>P12*1.16</f>
        <v>1859.4799999999998</v>
      </c>
      <c r="S12" s="78"/>
      <c r="T12" s="56" t="s">
        <v>91</v>
      </c>
    </row>
    <row r="13" spans="1:20" ht="16" thickBot="1" x14ac:dyDescent="0.25">
      <c r="B13" s="28">
        <v>1</v>
      </c>
      <c r="C13" s="39">
        <v>0.41069161359334416</v>
      </c>
      <c r="D13" s="39">
        <v>102.68949600818202</v>
      </c>
      <c r="G13" s="38"/>
      <c r="H13" s="28"/>
      <c r="I13" s="28"/>
      <c r="K13" s="89" t="s">
        <v>218</v>
      </c>
      <c r="L13" s="90">
        <f t="shared" ref="L13:O13" si="6">L12+L11</f>
        <v>1608</v>
      </c>
      <c r="M13" s="91">
        <f t="shared" si="6"/>
        <v>2556.27</v>
      </c>
      <c r="N13" s="92">
        <f t="shared" si="6"/>
        <v>2910.4300000000003</v>
      </c>
      <c r="O13" s="93">
        <f t="shared" si="6"/>
        <v>3055.2</v>
      </c>
      <c r="P13" s="94">
        <f>P12+P11</f>
        <v>3216</v>
      </c>
      <c r="Q13" s="95">
        <f t="shared" ref="Q13:R13" si="7">Q12+Q11</f>
        <v>3376.8</v>
      </c>
      <c r="R13" s="96">
        <f t="shared" si="7"/>
        <v>3875.7299999999996</v>
      </c>
      <c r="S13" s="97"/>
      <c r="T13" s="98" t="s">
        <v>91</v>
      </c>
    </row>
    <row r="14" spans="1:20" x14ac:dyDescent="0.2">
      <c r="B14" s="28">
        <v>2</v>
      </c>
      <c r="C14" s="39">
        <v>0.2213458067966721</v>
      </c>
      <c r="D14" s="39">
        <v>24.500655797848065</v>
      </c>
      <c r="G14" s="297" t="s">
        <v>219</v>
      </c>
      <c r="H14" s="297"/>
      <c r="I14" s="297"/>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0.32669828507798149</v>
      </c>
      <c r="D16" s="39">
        <v>103.89005465479811</v>
      </c>
      <c r="G16" s="38"/>
      <c r="H16" s="28"/>
      <c r="I16" s="28"/>
      <c r="K16" t="s">
        <v>223</v>
      </c>
      <c r="L16" s="60">
        <v>-0.5</v>
      </c>
      <c r="M16" s="60">
        <v>-0.16</v>
      </c>
      <c r="N16" s="60">
        <v>-0.09</v>
      </c>
      <c r="O16" s="60">
        <v>-0.05</v>
      </c>
      <c r="P16" t="s">
        <v>222</v>
      </c>
      <c r="Q16" s="60">
        <v>0.05</v>
      </c>
      <c r="R16" s="60">
        <v>0.16</v>
      </c>
      <c r="S16" s="60"/>
    </row>
    <row r="17" spans="2:9" x14ac:dyDescent="0.2">
      <c r="B17" s="28">
        <v>2</v>
      </c>
      <c r="C17" s="39">
        <v>0.16632414253899075</v>
      </c>
      <c r="D17" s="39">
        <v>17.6054195781646</v>
      </c>
      <c r="G17" s="38"/>
      <c r="H17" s="28"/>
      <c r="I17" s="28"/>
    </row>
    <row r="18" spans="2:9" x14ac:dyDescent="0.2">
      <c r="B18" s="28">
        <v>3</v>
      </c>
      <c r="C18" s="39">
        <v>0.11286609502599383</v>
      </c>
      <c r="D18" s="39">
        <v>12.168099873426032</v>
      </c>
      <c r="G18" s="297" t="s">
        <v>224</v>
      </c>
      <c r="H18" s="297"/>
      <c r="I18" s="297"/>
    </row>
    <row r="19" spans="2:9" x14ac:dyDescent="0.2">
      <c r="B19" s="28">
        <v>4</v>
      </c>
      <c r="C19" s="39">
        <v>8.6137071269495366E-2</v>
      </c>
      <c r="D19" s="39">
        <v>9.4552710210567454</v>
      </c>
      <c r="G19" s="38">
        <v>2.5745528364422925</v>
      </c>
      <c r="H19" s="28">
        <v>2.3983334680462076</v>
      </c>
      <c r="I19" s="28">
        <v>0.6227830673688346</v>
      </c>
    </row>
    <row r="20" spans="2:9" x14ac:dyDescent="0.2">
      <c r="B20" s="28">
        <v>5</v>
      </c>
      <c r="C20" s="39">
        <v>7.0099657015596298E-2</v>
      </c>
      <c r="D20" s="39">
        <v>7.8322385096351752</v>
      </c>
      <c r="G20" s="38">
        <v>8.0960781020197885</v>
      </c>
      <c r="H20" s="28">
        <v>0.762670042838694</v>
      </c>
      <c r="I20" s="28">
        <v>0.19804501542328939</v>
      </c>
    </row>
    <row r="21" spans="2:9" x14ac:dyDescent="0.2">
      <c r="B21" s="298" t="s">
        <v>225</v>
      </c>
      <c r="C21" s="299"/>
      <c r="D21" s="299"/>
      <c r="G21" s="38">
        <v>13.617603367597283</v>
      </c>
      <c r="H21" s="28">
        <v>0.45343046542134008</v>
      </c>
      <c r="I21" s="28">
        <v>0.11774376660124221</v>
      </c>
    </row>
    <row r="22" spans="2:9" x14ac:dyDescent="0.2">
      <c r="B22" s="28">
        <v>1</v>
      </c>
      <c r="C22" s="39">
        <v>0.40975192591473253</v>
      </c>
      <c r="D22" s="39">
        <v>116.37782428225096</v>
      </c>
      <c r="G22" s="297" t="s">
        <v>226</v>
      </c>
      <c r="H22" s="297"/>
      <c r="I22" s="297"/>
    </row>
    <row r="23" spans="2:9" x14ac:dyDescent="0.2">
      <c r="B23" s="28">
        <v>2</v>
      </c>
      <c r="C23" s="39">
        <v>0.21336346295736627</v>
      </c>
      <c r="D23" s="39">
        <v>24.840334283445422</v>
      </c>
      <c r="G23" s="38">
        <v>2.5745528364422925</v>
      </c>
      <c r="H23" s="28">
        <v>2.3983334680462076</v>
      </c>
      <c r="I23" s="28">
        <v>0.95082911739571896</v>
      </c>
    </row>
    <row r="24" spans="2:9" x14ac:dyDescent="0.2">
      <c r="B24" s="28">
        <v>3</v>
      </c>
      <c r="C24" s="39">
        <v>0.14790064197157751</v>
      </c>
      <c r="D24" s="39">
        <v>17.225606820121012</v>
      </c>
      <c r="G24" s="38">
        <v>8.0960781020197885</v>
      </c>
      <c r="H24" s="28">
        <v>0.762670042838694</v>
      </c>
      <c r="I24" s="28">
        <v>0.30236365933183856</v>
      </c>
    </row>
    <row r="25" spans="2:9" x14ac:dyDescent="0.2">
      <c r="B25" s="28">
        <v>4</v>
      </c>
      <c r="C25" s="39">
        <v>0.11516923147868313</v>
      </c>
      <c r="D25" s="39">
        <v>13.418623328458805</v>
      </c>
      <c r="G25" s="38">
        <v>13.617603367597283</v>
      </c>
      <c r="H25" s="28">
        <v>0.45343046542134008</v>
      </c>
      <c r="I25" s="28">
        <v>0.17976436345531427</v>
      </c>
    </row>
    <row r="26" spans="2:9" x14ac:dyDescent="0.2">
      <c r="B26" s="28">
        <v>5</v>
      </c>
      <c r="C26" s="39">
        <v>9.5530385182946514E-2</v>
      </c>
      <c r="D26" s="39">
        <v>11.134737425461482</v>
      </c>
    </row>
    <row r="27" spans="2:9" x14ac:dyDescent="0.2">
      <c r="B27" s="298" t="s">
        <v>227</v>
      </c>
      <c r="C27" s="299"/>
      <c r="D27" s="300"/>
    </row>
    <row r="28" spans="2:9" x14ac:dyDescent="0.2">
      <c r="B28" s="28">
        <v>1</v>
      </c>
      <c r="C28" s="39">
        <v>0.13220000000000001</v>
      </c>
      <c r="D28" s="39">
        <v>42.039200000000001</v>
      </c>
    </row>
    <row r="29" spans="2:9" x14ac:dyDescent="0.2">
      <c r="B29" s="28">
        <v>2</v>
      </c>
      <c r="C29" s="39">
        <v>6.6100000000000006E-2</v>
      </c>
      <c r="D29" s="39">
        <v>2.9083000000000001</v>
      </c>
    </row>
    <row r="30" spans="2:9" x14ac:dyDescent="0.2">
      <c r="B30" s="298" t="s">
        <v>228</v>
      </c>
      <c r="C30" s="299"/>
      <c r="D30" s="299"/>
    </row>
    <row r="31" spans="2:9" x14ac:dyDescent="0.2">
      <c r="B31" s="28">
        <v>1</v>
      </c>
      <c r="C31" s="39">
        <v>1.1900000000000001E-2</v>
      </c>
      <c r="D31" s="39">
        <v>3.7751000000000001</v>
      </c>
    </row>
    <row r="32" spans="2:9" x14ac:dyDescent="0.2">
      <c r="B32" s="298" t="s">
        <v>229</v>
      </c>
      <c r="C32" s="299"/>
      <c r="D32" s="299"/>
    </row>
    <row r="33" spans="2:4" x14ac:dyDescent="0.2">
      <c r="B33" s="28">
        <v>1</v>
      </c>
      <c r="C33" s="39">
        <v>2.5700000000000001E-2</v>
      </c>
      <c r="D33" s="39">
        <v>8.1844000000000001</v>
      </c>
    </row>
    <row r="34" spans="2:4" x14ac:dyDescent="0.2">
      <c r="B34" s="298" t="s">
        <v>230</v>
      </c>
      <c r="C34" s="299"/>
      <c r="D34" s="299"/>
    </row>
    <row r="35" spans="2:4" x14ac:dyDescent="0.2">
      <c r="B35" s="38">
        <v>25.659037680913016</v>
      </c>
      <c r="C35" s="28">
        <v>0.14419424529239841</v>
      </c>
      <c r="D35" s="28">
        <v>4.5853770002982699E-2</v>
      </c>
    </row>
    <row r="36" spans="2:4" x14ac:dyDescent="0.2">
      <c r="B36" s="38">
        <v>80.688797738720169</v>
      </c>
      <c r="C36" s="28">
        <v>4.5853770002982699E-2</v>
      </c>
      <c r="D36" s="28">
        <v>1.4581498860948498E-2</v>
      </c>
    </row>
    <row r="37" spans="2:4" x14ac:dyDescent="0.2">
      <c r="B37" s="38">
        <v>135.71855779652731</v>
      </c>
      <c r="C37" s="28">
        <v>2.7261456601059872E-2</v>
      </c>
      <c r="D37" s="28">
        <v>8.6691431991370391E-3</v>
      </c>
    </row>
    <row r="38" spans="2:4" x14ac:dyDescent="0.2">
      <c r="B38" s="297" t="s">
        <v>231</v>
      </c>
      <c r="C38" s="297"/>
      <c r="D38" s="297"/>
    </row>
    <row r="39" spans="2:4" x14ac:dyDescent="0.2">
      <c r="B39" s="38">
        <v>38.219110499436461</v>
      </c>
      <c r="C39" s="28">
        <v>0.31913327934002</v>
      </c>
      <c r="D39" s="28">
        <v>0.10148438283012637</v>
      </c>
    </row>
    <row r="40" spans="2:4" x14ac:dyDescent="0.2">
      <c r="B40" s="38">
        <v>120.18588207369956</v>
      </c>
      <c r="C40" s="28">
        <v>0.10148438283012637</v>
      </c>
      <c r="D40" s="28">
        <v>3.2272033739980187E-2</v>
      </c>
    </row>
    <row r="41" spans="2:4" x14ac:dyDescent="0.2">
      <c r="B41" s="38">
        <v>202.15265364796267</v>
      </c>
      <c r="C41" s="28">
        <v>6.0335542705188087E-2</v>
      </c>
      <c r="D41" s="28">
        <v>1.9186702580249813E-2</v>
      </c>
    </row>
    <row r="42" spans="2:4" x14ac:dyDescent="0.2">
      <c r="B42" s="297" t="s">
        <v>232</v>
      </c>
      <c r="C42" s="297"/>
      <c r="D42" s="297"/>
    </row>
    <row r="43" spans="2:4" x14ac:dyDescent="0.2">
      <c r="B43" s="38">
        <v>86.845973689244062</v>
      </c>
      <c r="C43" s="28">
        <v>0.21196369345524288</v>
      </c>
      <c r="D43" s="28">
        <v>6.740445451876724E-2</v>
      </c>
    </row>
    <row r="44" spans="2:4" x14ac:dyDescent="0.2">
      <c r="B44" s="38">
        <v>273.10054619259137</v>
      </c>
      <c r="C44" s="28">
        <v>6.740445451876724E-2</v>
      </c>
      <c r="D44" s="28">
        <v>2.1434616536967984E-2</v>
      </c>
    </row>
    <row r="45" spans="2:4" x14ac:dyDescent="0.2">
      <c r="B45" s="38">
        <v>459.35511869593864</v>
      </c>
      <c r="C45" s="28">
        <v>4.0073991984998364E-2</v>
      </c>
      <c r="D45" s="28">
        <v>1.2743529451229481E-2</v>
      </c>
    </row>
    <row r="46" spans="2:4" x14ac:dyDescent="0.2">
      <c r="B46" s="297" t="s">
        <v>233</v>
      </c>
      <c r="C46" s="297"/>
      <c r="D46" s="297"/>
    </row>
    <row r="47" spans="2:4" x14ac:dyDescent="0.2">
      <c r="B47" s="38">
        <v>38.219110499436461</v>
      </c>
      <c r="C47" s="28">
        <v>0.48632329686293546</v>
      </c>
      <c r="D47" s="28">
        <v>0.12963045746131555</v>
      </c>
    </row>
    <row r="48" spans="2:4" x14ac:dyDescent="0.2">
      <c r="B48" s="38">
        <v>120.18588207369956</v>
      </c>
      <c r="C48" s="28">
        <v>0.15465080840241346</v>
      </c>
      <c r="D48" s="28">
        <v>4.1222485472698342E-2</v>
      </c>
    </row>
    <row r="49" spans="2:4" x14ac:dyDescent="0.2">
      <c r="B49" s="38">
        <v>202.15265364796267</v>
      </c>
      <c r="C49" s="28">
        <v>9.1944594769568053E-2</v>
      </c>
      <c r="D49" s="28">
        <v>2.4508017522412807E-2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v>0.64261634955681446</v>
      </c>
      <c r="D55">
        <v>0.16633361200827476</v>
      </c>
    </row>
    <row r="56" spans="2:4" x14ac:dyDescent="0.2">
      <c r="B56" s="301" t="s">
        <v>249</v>
      </c>
      <c r="C56" s="301"/>
      <c r="D56" s="301"/>
    </row>
    <row r="57" spans="2:4" x14ac:dyDescent="0.2">
      <c r="C57">
        <v>0.32104939759558343</v>
      </c>
      <c r="D57">
        <v>8.3099824602941963E-2</v>
      </c>
    </row>
  </sheetData>
  <mergeCells count="29">
    <mergeCell ref="B52:D52"/>
    <mergeCell ref="B34:D34"/>
    <mergeCell ref="B38:D38"/>
    <mergeCell ref="B42:D42"/>
    <mergeCell ref="B46:D46"/>
    <mergeCell ref="B50:D50"/>
    <mergeCell ref="G22:I22"/>
    <mergeCell ref="B27:D27"/>
    <mergeCell ref="B30:D30"/>
    <mergeCell ref="A1:B1"/>
    <mergeCell ref="B32:D32"/>
    <mergeCell ref="B6:D6"/>
    <mergeCell ref="B3:D3"/>
    <mergeCell ref="B54:D54"/>
    <mergeCell ref="B56:D56"/>
    <mergeCell ref="G3:I3"/>
    <mergeCell ref="B4:B5"/>
    <mergeCell ref="C4:C5"/>
    <mergeCell ref="D4:D5"/>
    <mergeCell ref="G4:G5"/>
    <mergeCell ref="H4:H5"/>
    <mergeCell ref="I4:I5"/>
    <mergeCell ref="G6:I6"/>
    <mergeCell ref="G10:I10"/>
    <mergeCell ref="B12:D12"/>
    <mergeCell ref="G14:I14"/>
    <mergeCell ref="B15:D15"/>
    <mergeCell ref="G18:I18"/>
    <mergeCell ref="B21:D2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C473-CF7C-4A56-B063-558CACCAE7F8}">
  <dimension ref="A1:T57"/>
  <sheetViews>
    <sheetView zoomScale="80" zoomScaleNormal="80" workbookViewId="0">
      <selection activeCell="G58" sqref="G58"/>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113</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227.5</v>
      </c>
      <c r="M4" s="70">
        <f>P4*0.75</f>
        <v>341.25</v>
      </c>
      <c r="N4" s="72">
        <f>P4*0.9</f>
        <v>409.5</v>
      </c>
      <c r="O4" s="74">
        <f>P4*0.95</f>
        <v>432.25</v>
      </c>
      <c r="P4" s="63">
        <v>455</v>
      </c>
      <c r="Q4" s="64">
        <f>P4*1.05</f>
        <v>477.75</v>
      </c>
      <c r="R4" s="76">
        <f>P4*1.25</f>
        <v>568.75</v>
      </c>
      <c r="S4" s="78" t="s">
        <v>206</v>
      </c>
      <c r="T4" s="56" t="s">
        <v>86</v>
      </c>
    </row>
    <row r="5" spans="1:20" ht="16" thickBot="1" x14ac:dyDescent="0.25">
      <c r="B5" s="289"/>
      <c r="C5" s="291"/>
      <c r="D5" s="293"/>
      <c r="E5" s="3"/>
      <c r="F5" s="4"/>
      <c r="G5" s="291"/>
      <c r="H5" s="291"/>
      <c r="I5" s="291"/>
      <c r="K5" s="62" t="s">
        <v>87</v>
      </c>
      <c r="L5" s="68">
        <f>P5*0.5</f>
        <v>2655</v>
      </c>
      <c r="M5" s="70">
        <f>P5*0.75</f>
        <v>3982.5</v>
      </c>
      <c r="N5" s="72">
        <f>P5*0.9</f>
        <v>4779</v>
      </c>
      <c r="O5" s="74">
        <f>P5*0.95</f>
        <v>5044.5</v>
      </c>
      <c r="P5" s="63">
        <v>5310</v>
      </c>
      <c r="Q5" s="64">
        <f>P5*1.05</f>
        <v>5575.5</v>
      </c>
      <c r="R5" s="76">
        <f>P5*1.25</f>
        <v>6637.5</v>
      </c>
      <c r="S5" s="78"/>
      <c r="T5" s="56" t="s">
        <v>86</v>
      </c>
    </row>
    <row r="6" spans="1:20" x14ac:dyDescent="0.2">
      <c r="B6" s="294" t="s">
        <v>207</v>
      </c>
      <c r="C6" s="295"/>
      <c r="D6" s="296"/>
      <c r="G6" s="297" t="s">
        <v>208</v>
      </c>
      <c r="H6" s="297"/>
      <c r="I6" s="297"/>
      <c r="K6" s="62" t="s">
        <v>209</v>
      </c>
      <c r="L6" s="68">
        <f t="shared" ref="L6:N6" si="0">L4+L5</f>
        <v>2882.5</v>
      </c>
      <c r="M6" s="70">
        <f t="shared" si="0"/>
        <v>4323.75</v>
      </c>
      <c r="N6" s="72">
        <f t="shared" si="0"/>
        <v>5188.5</v>
      </c>
      <c r="O6" s="74">
        <f>O4+O5</f>
        <v>5476.75</v>
      </c>
      <c r="P6" s="63">
        <f>P5+P4</f>
        <v>5765</v>
      </c>
      <c r="Q6" s="64">
        <f t="shared" ref="Q6:R6" si="1">Q4+Q5</f>
        <v>6053.25</v>
      </c>
      <c r="R6" s="76">
        <f t="shared" si="1"/>
        <v>7206.25</v>
      </c>
      <c r="S6" s="78"/>
      <c r="T6" s="56" t="s">
        <v>86</v>
      </c>
    </row>
    <row r="7" spans="1:20" x14ac:dyDescent="0.2">
      <c r="B7" s="28">
        <v>1</v>
      </c>
      <c r="C7" s="39">
        <v>0.74800051424408087</v>
      </c>
      <c r="D7" s="39">
        <v>183.27468481052733</v>
      </c>
      <c r="G7" s="38">
        <v>6.4562074554294977</v>
      </c>
      <c r="H7" s="28">
        <v>0.92374004742252425</v>
      </c>
      <c r="I7" s="28">
        <v>0.66878779433390756</v>
      </c>
      <c r="K7" s="62" t="s">
        <v>210</v>
      </c>
      <c r="L7" s="68">
        <f>P7*0.5</f>
        <v>1640</v>
      </c>
      <c r="M7" s="70">
        <f>P7*0.84</f>
        <v>2755.2</v>
      </c>
      <c r="N7" s="72">
        <f>P7*0.91</f>
        <v>2984.8</v>
      </c>
      <c r="O7" s="74">
        <f>P7*0.95</f>
        <v>3116</v>
      </c>
      <c r="P7" s="63">
        <v>3280</v>
      </c>
      <c r="Q7" s="64">
        <f>P7*1.05</f>
        <v>3444</v>
      </c>
      <c r="R7" s="76">
        <f>P7*1.16</f>
        <v>3804.7999999999997</v>
      </c>
      <c r="S7" s="78"/>
      <c r="T7" s="56" t="s">
        <v>86</v>
      </c>
    </row>
    <row r="8" spans="1:20" x14ac:dyDescent="0.2">
      <c r="B8" s="28">
        <v>2</v>
      </c>
      <c r="C8" s="39">
        <v>0.39000025712204045</v>
      </c>
      <c r="D8" s="39">
        <v>74.597176257042904</v>
      </c>
      <c r="G8" s="38">
        <v>20.302539168017287</v>
      </c>
      <c r="H8" s="28">
        <v>0.29374933508036272</v>
      </c>
      <c r="I8" s="28">
        <v>0.21267451859818262</v>
      </c>
      <c r="K8" s="79" t="s">
        <v>211</v>
      </c>
      <c r="L8" s="80">
        <f t="shared" ref="L8:O8" si="2">L7+L6</f>
        <v>4522.5</v>
      </c>
      <c r="M8" s="81">
        <f t="shared" si="2"/>
        <v>7078.95</v>
      </c>
      <c r="N8" s="82">
        <f t="shared" si="2"/>
        <v>8173.3</v>
      </c>
      <c r="O8" s="83">
        <f t="shared" si="2"/>
        <v>8592.75</v>
      </c>
      <c r="P8" s="84">
        <f>P7+P6</f>
        <v>9045</v>
      </c>
      <c r="Q8" s="85">
        <f t="shared" ref="Q8:R8" si="3">Q7+Q6</f>
        <v>9497.25</v>
      </c>
      <c r="R8" s="86">
        <f t="shared" si="3"/>
        <v>11011.05</v>
      </c>
      <c r="S8" s="87"/>
      <c r="T8" s="88" t="s">
        <v>86</v>
      </c>
    </row>
    <row r="9" spans="1:20" x14ac:dyDescent="0.2">
      <c r="B9" s="28">
        <v>3</v>
      </c>
      <c r="C9" s="39">
        <v>0.27066683808136033</v>
      </c>
      <c r="D9" s="39">
        <v>53.937048847325116</v>
      </c>
      <c r="G9" s="38">
        <v>34.148870880605074</v>
      </c>
      <c r="H9" s="28">
        <v>0.17464288649248677</v>
      </c>
      <c r="I9" s="28">
        <v>0.12644144982056044</v>
      </c>
      <c r="K9" s="62" t="s">
        <v>212</v>
      </c>
      <c r="L9" s="68">
        <f>P9*0.5</f>
        <v>183</v>
      </c>
      <c r="M9" s="70">
        <f>P9*0.75</f>
        <v>274.5</v>
      </c>
      <c r="N9" s="72">
        <f>P9*0.9</f>
        <v>329.40000000000003</v>
      </c>
      <c r="O9" s="74">
        <f>P9*0.95</f>
        <v>347.7</v>
      </c>
      <c r="P9" s="63">
        <v>366</v>
      </c>
      <c r="Q9" s="64">
        <f>P9*1.05</f>
        <v>384.3</v>
      </c>
      <c r="R9" s="76">
        <f>P9*1.25</f>
        <v>457.5</v>
      </c>
      <c r="S9" s="78"/>
      <c r="T9" s="56" t="s">
        <v>91</v>
      </c>
    </row>
    <row r="10" spans="1:20" x14ac:dyDescent="0.2">
      <c r="B10" s="28">
        <v>4</v>
      </c>
      <c r="C10" s="39">
        <v>0.21100012856102021</v>
      </c>
      <c r="D10" s="39">
        <v>43.734985142466208</v>
      </c>
      <c r="G10" s="297" t="s">
        <v>213</v>
      </c>
      <c r="H10" s="297"/>
      <c r="I10" s="297"/>
      <c r="K10" s="62" t="s">
        <v>214</v>
      </c>
      <c r="L10" s="68">
        <f>P10*0.5</f>
        <v>536.5</v>
      </c>
      <c r="M10" s="70">
        <f>P10*0.75</f>
        <v>804.75</v>
      </c>
      <c r="N10" s="72">
        <f>P10*0.9</f>
        <v>965.7</v>
      </c>
      <c r="O10" s="74">
        <f>P10*0.95</f>
        <v>1019.3499999999999</v>
      </c>
      <c r="P10" s="63">
        <v>1073</v>
      </c>
      <c r="Q10" s="64">
        <f>P10*1.05</f>
        <v>1126.6500000000001</v>
      </c>
      <c r="R10" s="76">
        <f>P10*1.25</f>
        <v>1341.25</v>
      </c>
      <c r="S10" s="78"/>
      <c r="T10" s="56" t="s">
        <v>91</v>
      </c>
    </row>
    <row r="11" spans="1:20" x14ac:dyDescent="0.2">
      <c r="B11" s="28">
        <v>5</v>
      </c>
      <c r="C11" s="39">
        <v>0.17520010284881618</v>
      </c>
      <c r="D11" s="39">
        <v>37.716146919550873</v>
      </c>
      <c r="G11" s="38">
        <v>6.4562074554294977</v>
      </c>
      <c r="H11" s="28">
        <v>0.92374004742252425</v>
      </c>
      <c r="I11" s="28">
        <v>0.44996068727871408</v>
      </c>
      <c r="K11" s="62" t="s">
        <v>215</v>
      </c>
      <c r="L11" s="68">
        <f t="shared" ref="L11:N11" si="4">L9+L10</f>
        <v>719.5</v>
      </c>
      <c r="M11" s="70">
        <f t="shared" si="4"/>
        <v>1079.25</v>
      </c>
      <c r="N11" s="72">
        <f t="shared" si="4"/>
        <v>1295.1000000000001</v>
      </c>
      <c r="O11" s="74">
        <f>O9+O10</f>
        <v>1367.05</v>
      </c>
      <c r="P11" s="63">
        <f>P9+P10</f>
        <v>1439</v>
      </c>
      <c r="Q11" s="64">
        <f t="shared" ref="Q11:R11" si="5">Q9+Q10</f>
        <v>1510.95</v>
      </c>
      <c r="R11" s="76">
        <f t="shared" si="5"/>
        <v>1798.75</v>
      </c>
      <c r="S11" s="78"/>
      <c r="T11" s="56" t="s">
        <v>91</v>
      </c>
    </row>
    <row r="12" spans="1:20" x14ac:dyDescent="0.2">
      <c r="B12" s="298" t="s">
        <v>216</v>
      </c>
      <c r="C12" s="299"/>
      <c r="D12" s="300"/>
      <c r="G12" s="38">
        <v>20.302539168017287</v>
      </c>
      <c r="H12" s="28">
        <v>0.29374933508036272</v>
      </c>
      <c r="I12" s="28">
        <v>0.1430874985546311</v>
      </c>
      <c r="K12" s="62" t="s">
        <v>217</v>
      </c>
      <c r="L12" s="68">
        <f>P12*0.5</f>
        <v>393.5</v>
      </c>
      <c r="M12" s="70">
        <f>P12*0.84</f>
        <v>661.07999999999993</v>
      </c>
      <c r="N12" s="72">
        <f>P12*0.91</f>
        <v>716.17000000000007</v>
      </c>
      <c r="O12" s="74">
        <f>P12*0.95</f>
        <v>747.65</v>
      </c>
      <c r="P12" s="63">
        <v>787</v>
      </c>
      <c r="Q12" s="64">
        <f>P12*1.05</f>
        <v>826.35</v>
      </c>
      <c r="R12" s="76">
        <f>P12*1.16</f>
        <v>912.92</v>
      </c>
      <c r="S12" s="78"/>
      <c r="T12" s="56" t="s">
        <v>91</v>
      </c>
    </row>
    <row r="13" spans="1:20" ht="16" thickBot="1" x14ac:dyDescent="0.25">
      <c r="B13" s="28">
        <v>1</v>
      </c>
      <c r="C13" s="39">
        <v>0.45747342445703504</v>
      </c>
      <c r="D13" s="39">
        <v>112.0898930949086</v>
      </c>
      <c r="G13" s="38">
        <v>34.148870880605074</v>
      </c>
      <c r="H13" s="28">
        <v>0.17464288649248677</v>
      </c>
      <c r="I13" s="28">
        <v>8.5069856453407311E-2</v>
      </c>
      <c r="K13" s="89" t="s">
        <v>218</v>
      </c>
      <c r="L13" s="90">
        <f t="shared" ref="L13:O13" si="6">L12+L11</f>
        <v>1113</v>
      </c>
      <c r="M13" s="91">
        <f t="shared" si="6"/>
        <v>1740.33</v>
      </c>
      <c r="N13" s="92">
        <f t="shared" si="6"/>
        <v>2011.2700000000002</v>
      </c>
      <c r="O13" s="93">
        <f t="shared" si="6"/>
        <v>2114.6999999999998</v>
      </c>
      <c r="P13" s="94">
        <f>P12+P11</f>
        <v>2226</v>
      </c>
      <c r="Q13" s="95">
        <f t="shared" ref="Q13:R13" si="7">Q12+Q11</f>
        <v>2337.3000000000002</v>
      </c>
      <c r="R13" s="96">
        <f t="shared" si="7"/>
        <v>2711.67</v>
      </c>
      <c r="S13" s="97"/>
      <c r="T13" s="98" t="s">
        <v>91</v>
      </c>
    </row>
    <row r="14" spans="1:20" x14ac:dyDescent="0.2">
      <c r="B14" s="28">
        <v>2</v>
      </c>
      <c r="C14" s="39">
        <v>0.24473671222851751</v>
      </c>
      <c r="D14" s="39">
        <v>29.39040560792208</v>
      </c>
      <c r="G14" s="297" t="s">
        <v>219</v>
      </c>
      <c r="H14" s="297"/>
      <c r="I14" s="297"/>
      <c r="L14" s="59"/>
      <c r="M14" s="59"/>
      <c r="N14" s="59"/>
      <c r="O14" s="59"/>
      <c r="P14" s="59"/>
      <c r="Q14" s="59"/>
      <c r="R14" s="59"/>
      <c r="S14" s="59"/>
    </row>
    <row r="15" spans="1:20" x14ac:dyDescent="0.2">
      <c r="B15" s="298" t="s">
        <v>220</v>
      </c>
      <c r="C15" s="299"/>
      <c r="D15" s="300"/>
      <c r="G15" s="38">
        <v>6.4562074554294977</v>
      </c>
      <c r="H15" s="28">
        <v>0.92374004742252425</v>
      </c>
      <c r="I15" s="28">
        <v>0.21061273081233553</v>
      </c>
      <c r="K15" t="s">
        <v>221</v>
      </c>
      <c r="L15" s="60">
        <v>-0.5</v>
      </c>
      <c r="M15" s="60">
        <v>-0.25</v>
      </c>
      <c r="N15" s="60">
        <v>-0.1</v>
      </c>
      <c r="O15" s="60">
        <v>-0.05</v>
      </c>
      <c r="P15" t="s">
        <v>222</v>
      </c>
      <c r="Q15" s="60">
        <v>0.05</v>
      </c>
      <c r="R15" s="60">
        <v>0.25</v>
      </c>
      <c r="S15" s="60"/>
    </row>
    <row r="16" spans="1:20" x14ac:dyDescent="0.2">
      <c r="B16" s="28">
        <v>1</v>
      </c>
      <c r="C16" s="39">
        <v>0.35397043135420986</v>
      </c>
      <c r="D16" s="39">
        <v>256.27459230044792</v>
      </c>
      <c r="G16" s="38">
        <v>20.302539168017287</v>
      </c>
      <c r="H16" s="28">
        <v>0.29374933508036272</v>
      </c>
      <c r="I16" s="28">
        <v>6.6974848398322698E-2</v>
      </c>
      <c r="K16" t="s">
        <v>223</v>
      </c>
      <c r="L16" s="60">
        <v>-0.5</v>
      </c>
      <c r="M16" s="60">
        <v>-0.16</v>
      </c>
      <c r="N16" s="60">
        <v>-0.09</v>
      </c>
      <c r="O16" s="60">
        <v>-0.05</v>
      </c>
      <c r="P16" t="s">
        <v>222</v>
      </c>
      <c r="Q16" s="60">
        <v>0.05</v>
      </c>
      <c r="R16" s="60">
        <v>0.16</v>
      </c>
      <c r="S16" s="60"/>
    </row>
    <row r="17" spans="2:9" x14ac:dyDescent="0.2">
      <c r="B17" s="28">
        <v>2</v>
      </c>
      <c r="C17" s="39">
        <v>0.17996021567710493</v>
      </c>
      <c r="D17" s="39">
        <v>46.471952925677869</v>
      </c>
      <c r="G17" s="38">
        <v>34.148870880605074</v>
      </c>
      <c r="H17" s="28">
        <v>0.17464288649248677</v>
      </c>
      <c r="I17" s="28">
        <v>3.9818578120286982E-2</v>
      </c>
    </row>
    <row r="18" spans="2:9" x14ac:dyDescent="0.2">
      <c r="B18" s="28">
        <v>3</v>
      </c>
      <c r="C18" s="39">
        <v>0.12195681045140329</v>
      </c>
      <c r="D18" s="39">
        <v>31.732502573665887</v>
      </c>
      <c r="G18" s="297" t="s">
        <v>224</v>
      </c>
      <c r="H18" s="297"/>
      <c r="I18" s="297"/>
    </row>
    <row r="19" spans="2:9" x14ac:dyDescent="0.2">
      <c r="B19" s="28">
        <v>4</v>
      </c>
      <c r="C19" s="39">
        <v>9.2955107838552459E-2</v>
      </c>
      <c r="D19" s="39">
        <v>24.368608397659891</v>
      </c>
      <c r="G19" s="38">
        <v>6.4562074554294977</v>
      </c>
      <c r="H19" s="28">
        <v>0.92374004742252425</v>
      </c>
      <c r="I19" s="28">
        <v>0.23113358022352068</v>
      </c>
    </row>
    <row r="20" spans="2:9" x14ac:dyDescent="0.2">
      <c r="B20" s="28">
        <v>5</v>
      </c>
      <c r="C20" s="39">
        <v>7.5554086270841966E-2</v>
      </c>
      <c r="D20" s="39">
        <v>19.954936692056293</v>
      </c>
      <c r="G20" s="38">
        <v>20.302539168017287</v>
      </c>
      <c r="H20" s="28">
        <v>0.29374933508036272</v>
      </c>
      <c r="I20" s="28">
        <v>7.3500478511079589E-2</v>
      </c>
    </row>
    <row r="21" spans="2:9" x14ac:dyDescent="0.2">
      <c r="B21" s="298" t="s">
        <v>225</v>
      </c>
      <c r="C21" s="299"/>
      <c r="D21" s="299"/>
      <c r="G21" s="38">
        <v>34.148870880605074</v>
      </c>
      <c r="H21" s="28">
        <v>0.17464288649248677</v>
      </c>
      <c r="I21" s="28">
        <v>4.3698263086254213E-2</v>
      </c>
    </row>
    <row r="22" spans="2:9" x14ac:dyDescent="0.2">
      <c r="B22" s="28">
        <v>1</v>
      </c>
      <c r="C22" s="39">
        <v>0.67353700340732625</v>
      </c>
      <c r="D22" s="39">
        <v>326.33523289533116</v>
      </c>
      <c r="G22" s="297" t="s">
        <v>226</v>
      </c>
      <c r="H22" s="297"/>
      <c r="I22" s="297"/>
    </row>
    <row r="23" spans="2:9" x14ac:dyDescent="0.2">
      <c r="B23" s="28">
        <v>2</v>
      </c>
      <c r="C23" s="39">
        <v>0.34525600170366311</v>
      </c>
      <c r="D23" s="39">
        <v>112.68466519335207</v>
      </c>
      <c r="G23" s="38">
        <v>6.4562074554294977</v>
      </c>
      <c r="H23" s="28">
        <v>0.92374004742252425</v>
      </c>
      <c r="I23" s="28">
        <v>0.30206210274378337</v>
      </c>
    </row>
    <row r="24" spans="2:9" x14ac:dyDescent="0.2">
      <c r="B24" s="28">
        <v>3</v>
      </c>
      <c r="C24" s="39">
        <v>0.23582900113577543</v>
      </c>
      <c r="D24" s="39">
        <v>76.980442287618359</v>
      </c>
      <c r="G24" s="38">
        <v>20.302539168017287</v>
      </c>
      <c r="H24" s="28">
        <v>0.29374933508036272</v>
      </c>
      <c r="I24" s="28">
        <v>9.6055748672523131E-2</v>
      </c>
    </row>
    <row r="25" spans="2:9" x14ac:dyDescent="0.2">
      <c r="B25" s="28">
        <v>4</v>
      </c>
      <c r="C25" s="39">
        <v>0.18111550085183156</v>
      </c>
      <c r="D25" s="39">
        <v>59.128711074751493</v>
      </c>
      <c r="G25" s="38">
        <v>34.148870880605074</v>
      </c>
      <c r="H25" s="28">
        <v>0.17464288649248677</v>
      </c>
      <c r="I25" s="28">
        <v>5.7108055096624928E-2</v>
      </c>
    </row>
    <row r="26" spans="2:9" x14ac:dyDescent="0.2">
      <c r="B26" s="28">
        <v>5</v>
      </c>
      <c r="C26" s="39">
        <v>0.14828740068146523</v>
      </c>
      <c r="D26" s="39">
        <v>48.417976539031365</v>
      </c>
    </row>
    <row r="27" spans="2:9" x14ac:dyDescent="0.2">
      <c r="B27" s="298" t="s">
        <v>227</v>
      </c>
      <c r="C27" s="299"/>
      <c r="D27" s="300"/>
    </row>
    <row r="28" spans="2:9" x14ac:dyDescent="0.2">
      <c r="B28" s="28">
        <v>1</v>
      </c>
      <c r="C28" s="39">
        <v>0.14323454664100585</v>
      </c>
      <c r="D28" s="39">
        <v>103.70181176808823</v>
      </c>
    </row>
    <row r="29" spans="2:9" x14ac:dyDescent="0.2">
      <c r="B29" s="28">
        <v>2</v>
      </c>
      <c r="C29" s="39">
        <v>7.1617273320502925E-2</v>
      </c>
      <c r="D29" s="39">
        <v>7.5672108529347071</v>
      </c>
    </row>
    <row r="30" spans="2:9" x14ac:dyDescent="0.2">
      <c r="B30" s="297" t="s">
        <v>228</v>
      </c>
      <c r="C30" s="297"/>
      <c r="D30" s="297"/>
    </row>
    <row r="31" spans="2:9" x14ac:dyDescent="0.2">
      <c r="B31" s="28">
        <v>1</v>
      </c>
      <c r="C31" s="39">
        <v>1.29E-2</v>
      </c>
      <c r="D31" s="39">
        <v>9.3123000000000005</v>
      </c>
    </row>
    <row r="32" spans="2:9" x14ac:dyDescent="0.2">
      <c r="B32" s="297" t="s">
        <v>229</v>
      </c>
      <c r="C32" s="297"/>
      <c r="D32" s="297"/>
    </row>
    <row r="33" spans="2:4" x14ac:dyDescent="0.2">
      <c r="B33" s="28">
        <v>1</v>
      </c>
      <c r="C33" s="39">
        <v>2.7900000000000001E-2</v>
      </c>
      <c r="D33" s="39">
        <v>20.1891</v>
      </c>
    </row>
    <row r="34" spans="2:4" x14ac:dyDescent="0.2">
      <c r="B34" s="297" t="s">
        <v>230</v>
      </c>
      <c r="C34" s="297"/>
      <c r="D34" s="297"/>
    </row>
    <row r="35" spans="2:4" x14ac:dyDescent="0.2">
      <c r="B35" s="38">
        <v>25.647450015114217</v>
      </c>
      <c r="C35" s="28">
        <v>0.1619813662792626</v>
      </c>
      <c r="D35" s="28">
        <v>0.11727450918618612</v>
      </c>
    </row>
    <row r="36" spans="2:4" x14ac:dyDescent="0.2">
      <c r="B36" s="38">
        <v>80.652358538095029</v>
      </c>
      <c r="C36" s="28">
        <v>5.1510074476805508E-2</v>
      </c>
      <c r="D36" s="28">
        <v>3.7293293921207185E-2</v>
      </c>
    </row>
    <row r="37" spans="2:4" x14ac:dyDescent="0.2">
      <c r="B37" s="38">
        <v>135.65726706107583</v>
      </c>
      <c r="C37" s="28">
        <v>3.0624301115817782E-2</v>
      </c>
      <c r="D37" s="28">
        <v>2.2171994007852074E-2</v>
      </c>
    </row>
    <row r="38" spans="2:4" x14ac:dyDescent="0.2">
      <c r="B38" s="297" t="s">
        <v>231</v>
      </c>
      <c r="C38" s="297"/>
      <c r="D38" s="297"/>
    </row>
    <row r="39" spans="2:4" x14ac:dyDescent="0.2">
      <c r="B39" s="38">
        <v>38.944002853873577</v>
      </c>
      <c r="C39" s="28">
        <v>0.34451880867629198</v>
      </c>
      <c r="D39" s="28">
        <v>0.24943161748163539</v>
      </c>
    </row>
    <row r="40" spans="2:4" x14ac:dyDescent="0.2">
      <c r="B40" s="38">
        <v>122.46541777947665</v>
      </c>
      <c r="C40" s="28">
        <v>0.10955698115906086</v>
      </c>
      <c r="D40" s="28">
        <v>7.9319254359160055E-2</v>
      </c>
    </row>
    <row r="41" spans="2:4" x14ac:dyDescent="0.2">
      <c r="B41" s="38">
        <v>205.98683270507973</v>
      </c>
      <c r="C41" s="28">
        <v>6.5134947181367933E-2</v>
      </c>
      <c r="D41" s="28">
        <v>4.7157701759310382E-2</v>
      </c>
    </row>
    <row r="42" spans="2:4" x14ac:dyDescent="0.2">
      <c r="B42" s="297" t="s">
        <v>232</v>
      </c>
      <c r="C42" s="297"/>
      <c r="D42" s="297"/>
    </row>
    <row r="43" spans="2:4" x14ac:dyDescent="0.2">
      <c r="B43" s="38">
        <v>74.969469274949248</v>
      </c>
      <c r="C43" s="28">
        <v>0.33084832016678739</v>
      </c>
      <c r="D43" s="28">
        <v>0.23953418380075406</v>
      </c>
    </row>
    <row r="44" spans="2:4" x14ac:dyDescent="0.2">
      <c r="B44" s="38">
        <v>235.7530480344316</v>
      </c>
      <c r="C44" s="28">
        <v>0.10520976581303838</v>
      </c>
      <c r="D44" s="28">
        <v>7.6171870448639795E-2</v>
      </c>
    </row>
    <row r="45" spans="2:4" x14ac:dyDescent="0.2">
      <c r="B45" s="38">
        <v>396.53662679391391</v>
      </c>
      <c r="C45" s="28">
        <v>6.2550395846039469E-2</v>
      </c>
      <c r="D45" s="28">
        <v>4.5286486592532579E-2</v>
      </c>
    </row>
    <row r="46" spans="2:4" x14ac:dyDescent="0.2">
      <c r="B46" s="297" t="s">
        <v>233</v>
      </c>
      <c r="C46" s="297"/>
      <c r="D46" s="297"/>
    </row>
    <row r="47" spans="2:4" x14ac:dyDescent="0.2">
      <c r="B47" s="38">
        <v>38.944002853873577</v>
      </c>
      <c r="C47" s="28">
        <v>0.46577448838030922</v>
      </c>
      <c r="D47" s="28">
        <v>0.12415313103860348</v>
      </c>
    </row>
    <row r="48" spans="2:4" x14ac:dyDescent="0.2">
      <c r="B48" s="38">
        <v>122.46541777947665</v>
      </c>
      <c r="C48" s="28">
        <v>0.14811628730493834</v>
      </c>
      <c r="D48" s="28">
        <v>3.9480695670275907E-2</v>
      </c>
    </row>
    <row r="49" spans="2:4" x14ac:dyDescent="0.2">
      <c r="B49" s="38">
        <v>205.98683270507973</v>
      </c>
      <c r="C49" s="28">
        <v>8.8059623843601859E-2</v>
      </c>
      <c r="D49" s="28">
        <v>2.3472470671983298E-2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1.1893553011461333</v>
      </c>
      <c r="D53">
        <v>0.30780150652049992</v>
      </c>
    </row>
    <row r="54" spans="2:4" x14ac:dyDescent="0.2">
      <c r="B54" s="302" t="s">
        <v>248</v>
      </c>
      <c r="C54" s="303"/>
      <c r="D54" s="303"/>
    </row>
    <row r="55" spans="2:4" x14ac:dyDescent="0.2">
      <c r="C55">
        <v>0.35265378083257898</v>
      </c>
      <c r="D55">
        <v>9.1265717583143849E-2</v>
      </c>
    </row>
    <row r="56" spans="2:4" x14ac:dyDescent="0.2">
      <c r="B56" s="301" t="s">
        <v>249</v>
      </c>
      <c r="C56" s="301"/>
      <c r="D56" s="301"/>
    </row>
    <row r="57" spans="2:4" x14ac:dyDescent="0.2">
      <c r="C57">
        <v>0.27876277358199913</v>
      </c>
      <c r="D57">
        <v>7.2142951385247886E-2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B751A-D016-427E-BB94-569C1736BE82}">
  <dimension ref="A1:T57"/>
  <sheetViews>
    <sheetView zoomScale="80" zoomScaleNormal="80" workbookViewId="0">
      <selection activeCell="C57" sqref="C57:D57"/>
    </sheetView>
  </sheetViews>
  <sheetFormatPr baseColWidth="10" defaultColWidth="11.5" defaultRowHeight="15" x14ac:dyDescent="0.2"/>
  <cols>
    <col min="1" max="1" width="13.5" customWidth="1"/>
    <col min="2" max="3" width="19.6640625" customWidth="1"/>
    <col min="4" max="4" width="22"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114</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204</v>
      </c>
      <c r="D4" s="290" t="s">
        <v>203</v>
      </c>
      <c r="E4" s="3"/>
      <c r="F4" s="4"/>
      <c r="G4" s="290" t="s">
        <v>201</v>
      </c>
      <c r="H4" s="290" t="s">
        <v>204</v>
      </c>
      <c r="I4" s="290" t="s">
        <v>203</v>
      </c>
      <c r="K4" s="62" t="s">
        <v>205</v>
      </c>
      <c r="L4" s="68">
        <f>P4*0.5</f>
        <v>397.5</v>
      </c>
      <c r="M4" s="70">
        <f>P4*0.75</f>
        <v>596.25</v>
      </c>
      <c r="N4" s="72">
        <f>P4*0.9</f>
        <v>715.5</v>
      </c>
      <c r="O4" s="74">
        <f>P4*0.95</f>
        <v>755.25</v>
      </c>
      <c r="P4" s="63">
        <v>795</v>
      </c>
      <c r="Q4" s="64">
        <f>P4*1.05</f>
        <v>834.75</v>
      </c>
      <c r="R4" s="76">
        <f>P4*1.25</f>
        <v>993.75</v>
      </c>
      <c r="S4" s="78" t="s">
        <v>206</v>
      </c>
      <c r="T4" s="56" t="s">
        <v>86</v>
      </c>
    </row>
    <row r="5" spans="1:20" ht="16" thickBot="1" x14ac:dyDescent="0.25">
      <c r="B5" s="289"/>
      <c r="C5" s="291"/>
      <c r="D5" s="291"/>
      <c r="E5" s="3"/>
      <c r="F5" s="4"/>
      <c r="G5" s="291"/>
      <c r="H5" s="291"/>
      <c r="I5" s="291"/>
      <c r="K5" s="62" t="s">
        <v>87</v>
      </c>
      <c r="L5" s="68">
        <f>P5*0.5</f>
        <v>1025.5</v>
      </c>
      <c r="M5" s="70">
        <f>P5*0.75</f>
        <v>1538.25</v>
      </c>
      <c r="N5" s="72">
        <f>P5*0.9</f>
        <v>1845.9</v>
      </c>
      <c r="O5" s="74">
        <f>P5*0.95</f>
        <v>1948.4499999999998</v>
      </c>
      <c r="P5" s="63">
        <v>2051</v>
      </c>
      <c r="Q5" s="64">
        <f>P5*1.05</f>
        <v>2153.5500000000002</v>
      </c>
      <c r="R5" s="76">
        <f>P5*1.25</f>
        <v>2563.75</v>
      </c>
      <c r="S5" s="78"/>
      <c r="T5" s="56" t="s">
        <v>86</v>
      </c>
    </row>
    <row r="6" spans="1:20" x14ac:dyDescent="0.2">
      <c r="B6" s="294" t="s">
        <v>207</v>
      </c>
      <c r="C6" s="295"/>
      <c r="D6" s="296"/>
      <c r="G6" s="297" t="s">
        <v>208</v>
      </c>
      <c r="H6" s="297"/>
      <c r="I6" s="297"/>
      <c r="K6" s="62" t="s">
        <v>209</v>
      </c>
      <c r="L6" s="68">
        <f t="shared" ref="L6:N6" si="0">L4+L5</f>
        <v>1423</v>
      </c>
      <c r="M6" s="70">
        <f t="shared" si="0"/>
        <v>2134.5</v>
      </c>
      <c r="N6" s="72">
        <f t="shared" si="0"/>
        <v>2561.4</v>
      </c>
      <c r="O6" s="74">
        <f>O4+O5</f>
        <v>2703.7</v>
      </c>
      <c r="P6" s="63">
        <f>P5+P4</f>
        <v>2846</v>
      </c>
      <c r="Q6" s="64">
        <f t="shared" ref="Q6:R6" si="1">Q4+Q5</f>
        <v>2988.3</v>
      </c>
      <c r="R6" s="76">
        <f t="shared" si="1"/>
        <v>3557.5</v>
      </c>
      <c r="S6" s="78"/>
      <c r="T6" s="56" t="s">
        <v>86</v>
      </c>
    </row>
    <row r="7" spans="1:20" x14ac:dyDescent="0.2">
      <c r="B7" s="28">
        <v>1</v>
      </c>
      <c r="C7" s="39">
        <v>0.63500000000000001</v>
      </c>
      <c r="D7" s="39">
        <v>0.15620000000000001</v>
      </c>
      <c r="G7" s="38">
        <v>5</v>
      </c>
      <c r="H7" s="28">
        <v>1.1541699999999999</v>
      </c>
      <c r="I7" s="28">
        <v>0.231988</v>
      </c>
      <c r="K7" s="62" t="s">
        <v>210</v>
      </c>
      <c r="L7" s="68">
        <f>P7*0.5</f>
        <v>2635.5</v>
      </c>
      <c r="M7" s="70">
        <f>P7*0.84</f>
        <v>4427.6399999999994</v>
      </c>
      <c r="N7" s="72">
        <f>P7*0.91</f>
        <v>4796.6100000000006</v>
      </c>
      <c r="O7" s="74">
        <f>P7*0.95</f>
        <v>5007.45</v>
      </c>
      <c r="P7" s="63">
        <v>5271</v>
      </c>
      <c r="Q7" s="64">
        <f>P7*1.05</f>
        <v>5534.55</v>
      </c>
      <c r="R7" s="76">
        <f>P7*1.16</f>
        <v>6114.36</v>
      </c>
      <c r="S7" s="78"/>
      <c r="T7" s="56" t="s">
        <v>86</v>
      </c>
    </row>
    <row r="8" spans="1:20" x14ac:dyDescent="0.2">
      <c r="B8" s="28">
        <v>2</v>
      </c>
      <c r="C8" s="39">
        <v>0.33350000000000002</v>
      </c>
      <c r="D8" s="39">
        <v>5.4699999999999999E-2</v>
      </c>
      <c r="G8" s="38">
        <v>17</v>
      </c>
      <c r="H8" s="28">
        <v>0.36703000000000002</v>
      </c>
      <c r="I8" s="28">
        <v>7.3772299999999999E-2</v>
      </c>
      <c r="K8" s="79" t="s">
        <v>211</v>
      </c>
      <c r="L8" s="80">
        <f t="shared" ref="L8:O8" si="2">L7+L6</f>
        <v>4058.5</v>
      </c>
      <c r="M8" s="81">
        <f t="shared" si="2"/>
        <v>6562.1399999999994</v>
      </c>
      <c r="N8" s="82">
        <f t="shared" si="2"/>
        <v>7358.01</v>
      </c>
      <c r="O8" s="83">
        <f t="shared" si="2"/>
        <v>7711.15</v>
      </c>
      <c r="P8" s="84">
        <f>P7+P6</f>
        <v>8117</v>
      </c>
      <c r="Q8" s="85">
        <f t="shared" ref="Q8:R8" si="3">Q7+Q6</f>
        <v>8522.85</v>
      </c>
      <c r="R8" s="86">
        <f t="shared" si="3"/>
        <v>9671.86</v>
      </c>
      <c r="S8" s="87"/>
      <c r="T8" s="88" t="s">
        <v>86</v>
      </c>
    </row>
    <row r="9" spans="1:20" x14ac:dyDescent="0.2">
      <c r="B9" s="28">
        <v>3</v>
      </c>
      <c r="C9" s="39">
        <v>0.23300000000000001</v>
      </c>
      <c r="D9" s="39">
        <v>4.0099999999999997E-2</v>
      </c>
      <c r="G9" s="38">
        <v>28</v>
      </c>
      <c r="H9" s="28">
        <v>0.21820999999999999</v>
      </c>
      <c r="I9" s="28">
        <v>4.38599E-2</v>
      </c>
      <c r="K9" s="62" t="s">
        <v>212</v>
      </c>
      <c r="L9" s="68">
        <f>P9*0.5</f>
        <v>144.5</v>
      </c>
      <c r="M9" s="70">
        <f>P9*0.75</f>
        <v>216.75</v>
      </c>
      <c r="N9" s="72">
        <f>P9*0.9</f>
        <v>260.10000000000002</v>
      </c>
      <c r="O9" s="74">
        <f>P9*0.95</f>
        <v>274.55</v>
      </c>
      <c r="P9" s="63">
        <v>289</v>
      </c>
      <c r="Q9" s="64">
        <f>P9*1.05</f>
        <v>303.45</v>
      </c>
      <c r="R9" s="76">
        <f>P9*1.25</f>
        <v>361.25</v>
      </c>
      <c r="S9" s="78"/>
      <c r="T9" s="56" t="s">
        <v>91</v>
      </c>
    </row>
    <row r="10" spans="1:20" x14ac:dyDescent="0.2">
      <c r="B10" s="28">
        <v>4</v>
      </c>
      <c r="C10" s="39">
        <v>0.1827</v>
      </c>
      <c r="D10" s="39">
        <v>3.2899999999999999E-2</v>
      </c>
      <c r="G10" s="297"/>
      <c r="H10" s="297"/>
      <c r="I10" s="297"/>
      <c r="K10" s="62" t="s">
        <v>214</v>
      </c>
      <c r="L10" s="68">
        <f>P10*0.5</f>
        <v>121</v>
      </c>
      <c r="M10" s="70">
        <f>P10*0.75</f>
        <v>181.5</v>
      </c>
      <c r="N10" s="72">
        <f>P10*0.9</f>
        <v>217.8</v>
      </c>
      <c r="O10" s="74">
        <f>P10*0.95</f>
        <v>229.89999999999998</v>
      </c>
      <c r="P10" s="63">
        <v>242</v>
      </c>
      <c r="Q10" s="64">
        <f>P10*1.05</f>
        <v>254.10000000000002</v>
      </c>
      <c r="R10" s="76">
        <f>P10*1.25</f>
        <v>302.5</v>
      </c>
      <c r="S10" s="78"/>
      <c r="T10" s="56" t="s">
        <v>91</v>
      </c>
    </row>
    <row r="11" spans="1:20" x14ac:dyDescent="0.2">
      <c r="B11" s="28">
        <v>5</v>
      </c>
      <c r="C11" s="39">
        <v>0.15260000000000001</v>
      </c>
      <c r="D11" s="39">
        <v>2.87E-2</v>
      </c>
      <c r="G11" s="38"/>
      <c r="H11" s="28"/>
      <c r="I11" s="28"/>
      <c r="K11" s="62" t="s">
        <v>215</v>
      </c>
      <c r="L11" s="68">
        <f t="shared" ref="L11:N11" si="4">L9+L10</f>
        <v>265.5</v>
      </c>
      <c r="M11" s="70">
        <f t="shared" si="4"/>
        <v>398.25</v>
      </c>
      <c r="N11" s="72">
        <f t="shared" si="4"/>
        <v>477.90000000000003</v>
      </c>
      <c r="O11" s="74">
        <f>O9+O10</f>
        <v>504.45</v>
      </c>
      <c r="P11" s="63">
        <f>P9+P10</f>
        <v>531</v>
      </c>
      <c r="Q11" s="64">
        <f t="shared" ref="Q11:R11" si="5">Q9+Q10</f>
        <v>557.54999999999995</v>
      </c>
      <c r="R11" s="76">
        <f t="shared" si="5"/>
        <v>663.75</v>
      </c>
      <c r="S11" s="78"/>
      <c r="T11" s="56" t="s">
        <v>91</v>
      </c>
    </row>
    <row r="12" spans="1:20" x14ac:dyDescent="0.2">
      <c r="B12" s="298" t="s">
        <v>216</v>
      </c>
      <c r="C12" s="299"/>
      <c r="D12" s="300"/>
      <c r="G12" s="38"/>
      <c r="H12" s="28"/>
      <c r="I12" s="28"/>
      <c r="K12" s="62" t="s">
        <v>217</v>
      </c>
      <c r="L12" s="68">
        <f>P12*0.5</f>
        <v>653.5</v>
      </c>
      <c r="M12" s="70">
        <f>P12*0.84</f>
        <v>1097.8799999999999</v>
      </c>
      <c r="N12" s="72">
        <f>P12*0.91</f>
        <v>1189.3700000000001</v>
      </c>
      <c r="O12" s="74">
        <f>P12*0.95</f>
        <v>1241.6499999999999</v>
      </c>
      <c r="P12" s="63">
        <v>1307</v>
      </c>
      <c r="Q12" s="64">
        <f>P12*1.05</f>
        <v>1372.3500000000001</v>
      </c>
      <c r="R12" s="76">
        <f>P12*1.16</f>
        <v>1516.12</v>
      </c>
      <c r="S12" s="78"/>
      <c r="T12" s="56" t="s">
        <v>91</v>
      </c>
    </row>
    <row r="13" spans="1:20" ht="16" thickBot="1" x14ac:dyDescent="0.25">
      <c r="B13" s="28">
        <v>1</v>
      </c>
      <c r="C13" s="39">
        <v>0.41520000000000001</v>
      </c>
      <c r="D13" s="39">
        <v>0.1021</v>
      </c>
      <c r="G13" s="38"/>
      <c r="H13" s="28"/>
      <c r="I13" s="28"/>
      <c r="K13" s="89" t="s">
        <v>218</v>
      </c>
      <c r="L13" s="90">
        <f t="shared" ref="L13:O13" si="6">L12+L11</f>
        <v>919</v>
      </c>
      <c r="M13" s="91">
        <f t="shared" si="6"/>
        <v>1496.1299999999999</v>
      </c>
      <c r="N13" s="92">
        <f t="shared" si="6"/>
        <v>1667.2700000000002</v>
      </c>
      <c r="O13" s="93">
        <f t="shared" si="6"/>
        <v>1746.1</v>
      </c>
      <c r="P13" s="94">
        <f>P12+P11</f>
        <v>1838</v>
      </c>
      <c r="Q13" s="95">
        <f t="shared" ref="Q13:R13" si="7">Q12+Q11</f>
        <v>1929.9</v>
      </c>
      <c r="R13" s="96">
        <f t="shared" si="7"/>
        <v>2179.87</v>
      </c>
      <c r="S13" s="97"/>
      <c r="T13" s="98" t="s">
        <v>91</v>
      </c>
    </row>
    <row r="14" spans="1:20" x14ac:dyDescent="0.2">
      <c r="B14" s="28">
        <v>2</v>
      </c>
      <c r="C14" s="39">
        <v>0.22359999999999999</v>
      </c>
      <c r="D14" s="39">
        <v>2.46E-2</v>
      </c>
      <c r="G14" s="297" t="s">
        <v>219</v>
      </c>
      <c r="H14" s="297"/>
      <c r="I14" s="297"/>
      <c r="L14" s="59"/>
      <c r="M14" s="59"/>
      <c r="N14" s="59"/>
      <c r="O14" s="59"/>
      <c r="P14" s="59"/>
      <c r="Q14" s="59"/>
      <c r="R14" s="59"/>
      <c r="S14" s="59"/>
    </row>
    <row r="15" spans="1:20" x14ac:dyDescent="0.2">
      <c r="B15" s="298" t="s">
        <v>220</v>
      </c>
      <c r="C15" s="299"/>
      <c r="D15" s="300"/>
      <c r="G15" s="38">
        <v>5</v>
      </c>
      <c r="H15" s="28">
        <v>1.1541699999999999</v>
      </c>
      <c r="I15" s="28">
        <v>0.26151099999999999</v>
      </c>
      <c r="K15" t="s">
        <v>221</v>
      </c>
      <c r="L15" s="60">
        <v>-0.5</v>
      </c>
      <c r="M15" s="60">
        <v>-0.25</v>
      </c>
      <c r="N15" s="60">
        <v>-0.1</v>
      </c>
      <c r="O15" s="60">
        <v>-0.05</v>
      </c>
      <c r="P15" t="s">
        <v>222</v>
      </c>
      <c r="Q15" s="60">
        <v>0.05</v>
      </c>
      <c r="R15" s="60">
        <v>0.25</v>
      </c>
      <c r="S15" s="60"/>
    </row>
    <row r="16" spans="1:20" x14ac:dyDescent="0.2">
      <c r="B16" s="28">
        <v>1</v>
      </c>
      <c r="C16" s="39">
        <v>0.30819999999999997</v>
      </c>
      <c r="D16" s="39">
        <v>6.1899999999999997E-2</v>
      </c>
      <c r="G16" s="38">
        <v>17</v>
      </c>
      <c r="H16" s="28">
        <v>0.36703000000000002</v>
      </c>
      <c r="I16" s="28">
        <v>8.3682000000000006E-2</v>
      </c>
      <c r="K16" t="s">
        <v>223</v>
      </c>
      <c r="L16" s="60">
        <v>-0.5</v>
      </c>
      <c r="M16" s="60">
        <v>-0.16</v>
      </c>
      <c r="N16" s="60">
        <v>-0.09</v>
      </c>
      <c r="O16" s="60">
        <v>-0.05</v>
      </c>
      <c r="P16" t="s">
        <v>222</v>
      </c>
      <c r="Q16" s="60">
        <v>0.05</v>
      </c>
      <c r="R16" s="60">
        <v>0.16</v>
      </c>
      <c r="S16" s="60"/>
    </row>
    <row r="17" spans="2:9" x14ac:dyDescent="0.2">
      <c r="B17" s="28">
        <v>2</v>
      </c>
      <c r="C17" s="39">
        <v>0.15709999999999999</v>
      </c>
      <c r="D17" s="39">
        <v>0.01</v>
      </c>
      <c r="G17" s="38">
        <v>28</v>
      </c>
      <c r="H17" s="28">
        <v>0.21820999999999999</v>
      </c>
      <c r="I17" s="28">
        <v>4.9751499999999997E-2</v>
      </c>
    </row>
    <row r="18" spans="2:9" x14ac:dyDescent="0.2">
      <c r="B18" s="28">
        <v>3</v>
      </c>
      <c r="C18" s="39">
        <v>0.1067</v>
      </c>
      <c r="D18" s="39">
        <v>7.0000000000000001E-3</v>
      </c>
      <c r="G18" s="297" t="s">
        <v>224</v>
      </c>
      <c r="H18" s="297"/>
      <c r="I18" s="297"/>
    </row>
    <row r="19" spans="2:9" x14ac:dyDescent="0.2">
      <c r="B19" s="28">
        <v>4</v>
      </c>
      <c r="C19" s="39">
        <v>8.1500000000000003E-2</v>
      </c>
      <c r="D19" s="39">
        <v>5.4999999999999997E-3</v>
      </c>
      <c r="G19" s="38">
        <v>5</v>
      </c>
      <c r="H19" s="28">
        <v>1.1541699999999999</v>
      </c>
      <c r="I19" s="28">
        <v>0.28581400000000001</v>
      </c>
    </row>
    <row r="20" spans="2:9" x14ac:dyDescent="0.2">
      <c r="B20" s="28">
        <v>5</v>
      </c>
      <c r="C20" s="39">
        <v>6.6400000000000001E-2</v>
      </c>
      <c r="D20" s="39">
        <v>4.5999999999999999E-3</v>
      </c>
      <c r="G20" s="38">
        <v>17</v>
      </c>
      <c r="H20" s="28">
        <v>0.36703000000000002</v>
      </c>
      <c r="I20" s="28">
        <v>9.0888999999999998E-2</v>
      </c>
    </row>
    <row r="21" spans="2:9" x14ac:dyDescent="0.2">
      <c r="B21" s="298" t="s">
        <v>225</v>
      </c>
      <c r="C21" s="299"/>
      <c r="D21" s="299"/>
      <c r="G21" s="38">
        <v>28</v>
      </c>
      <c r="H21" s="28">
        <v>0.21820999999999999</v>
      </c>
      <c r="I21" s="28">
        <v>5.4036099999999997E-2</v>
      </c>
    </row>
    <row r="22" spans="2:9" x14ac:dyDescent="0.2">
      <c r="B22" s="28">
        <v>1</v>
      </c>
      <c r="C22" s="39">
        <v>0.4047</v>
      </c>
      <c r="D22" s="39">
        <v>9.0399999999999994E-2</v>
      </c>
      <c r="G22" s="297" t="s">
        <v>226</v>
      </c>
      <c r="H22" s="297"/>
      <c r="I22" s="297"/>
    </row>
    <row r="23" spans="2:9" x14ac:dyDescent="0.2">
      <c r="B23" s="28">
        <v>2</v>
      </c>
      <c r="C23" s="39">
        <v>0.21079999999999999</v>
      </c>
      <c r="D23" s="39">
        <v>1.9099999999999999E-2</v>
      </c>
      <c r="G23" s="38">
        <v>5</v>
      </c>
      <c r="H23" s="28">
        <v>1.1541699999999999</v>
      </c>
      <c r="I23" s="28">
        <v>0.27958</v>
      </c>
    </row>
    <row r="24" spans="2:9" x14ac:dyDescent="0.2">
      <c r="B24" s="28">
        <v>3</v>
      </c>
      <c r="C24" s="39">
        <v>0.1462</v>
      </c>
      <c r="D24" s="39">
        <v>1.32E-2</v>
      </c>
      <c r="G24" s="38">
        <v>17</v>
      </c>
      <c r="H24" s="28">
        <v>0.36703000000000002</v>
      </c>
      <c r="I24" s="28">
        <v>8.8910000000000003E-2</v>
      </c>
    </row>
    <row r="25" spans="2:9" x14ac:dyDescent="0.2">
      <c r="B25" s="28">
        <v>4</v>
      </c>
      <c r="C25" s="39">
        <v>0.1139</v>
      </c>
      <c r="D25" s="39">
        <v>1.03E-2</v>
      </c>
      <c r="G25" s="38">
        <v>28</v>
      </c>
      <c r="H25" s="28">
        <v>0.21820999999999999</v>
      </c>
      <c r="I25" s="28">
        <v>5.2859999999999997E-2</v>
      </c>
    </row>
    <row r="26" spans="2:9" x14ac:dyDescent="0.2">
      <c r="B26" s="28">
        <v>5</v>
      </c>
      <c r="C26" s="39">
        <v>9.4500000000000001E-2</v>
      </c>
      <c r="D26" s="39">
        <v>8.6E-3</v>
      </c>
    </row>
    <row r="27" spans="2:9" x14ac:dyDescent="0.2">
      <c r="B27" s="298" t="s">
        <v>239</v>
      </c>
      <c r="C27" s="299"/>
      <c r="D27" s="300"/>
    </row>
    <row r="28" spans="2:9" x14ac:dyDescent="0.2">
      <c r="B28" s="28">
        <v>1</v>
      </c>
      <c r="C28" s="39">
        <v>0.12470000000000001</v>
      </c>
      <c r="D28" s="39">
        <v>2.5100000000000001E-2</v>
      </c>
    </row>
    <row r="29" spans="2:9" x14ac:dyDescent="0.2">
      <c r="B29" s="28">
        <v>2</v>
      </c>
      <c r="C29" s="39">
        <v>6.2399999999999997E-2</v>
      </c>
      <c r="D29" s="39">
        <v>1.6999999999999999E-3</v>
      </c>
    </row>
    <row r="30" spans="2:9" x14ac:dyDescent="0.2">
      <c r="B30" s="298" t="s">
        <v>228</v>
      </c>
      <c r="C30" s="299"/>
      <c r="D30" s="299"/>
    </row>
    <row r="31" spans="2:9" x14ac:dyDescent="0.2">
      <c r="B31" s="28">
        <v>1</v>
      </c>
      <c r="C31" s="39">
        <v>1.12E-2</v>
      </c>
      <c r="D31" s="39">
        <v>2.3E-3</v>
      </c>
    </row>
    <row r="32" spans="2:9" x14ac:dyDescent="0.2">
      <c r="B32" s="298" t="s">
        <v>229</v>
      </c>
      <c r="C32" s="299"/>
      <c r="D32" s="299"/>
    </row>
    <row r="33" spans="2:4" x14ac:dyDescent="0.2">
      <c r="B33" s="28">
        <v>1</v>
      </c>
      <c r="C33" s="39">
        <v>2.4299999999999999E-2</v>
      </c>
      <c r="D33" s="39">
        <v>4.8999999999999998E-3</v>
      </c>
    </row>
    <row r="34" spans="2:4" x14ac:dyDescent="0.2">
      <c r="B34" s="298" t="s">
        <v>230</v>
      </c>
      <c r="C34" s="299"/>
      <c r="D34" s="299"/>
    </row>
    <row r="35" spans="2:4" x14ac:dyDescent="0.2">
      <c r="B35" s="38">
        <v>27</v>
      </c>
      <c r="C35" s="39">
        <v>0.1462</v>
      </c>
      <c r="D35" s="39">
        <v>2.9387E-2</v>
      </c>
    </row>
    <row r="36" spans="2:4" x14ac:dyDescent="0.2">
      <c r="B36" s="38">
        <v>85</v>
      </c>
      <c r="C36" s="39">
        <v>4.6489999999999997E-2</v>
      </c>
      <c r="D36" s="39">
        <v>9.3449999999999991E-3</v>
      </c>
    </row>
    <row r="37" spans="2:4" x14ac:dyDescent="0.2">
      <c r="B37" s="38">
        <v>143</v>
      </c>
      <c r="C37" s="39">
        <v>2.7640000000000001E-2</v>
      </c>
      <c r="D37" s="39">
        <v>5.555E-3</v>
      </c>
    </row>
    <row r="38" spans="2:4" x14ac:dyDescent="0.2">
      <c r="B38" s="298" t="s">
        <v>231</v>
      </c>
      <c r="C38" s="299"/>
      <c r="D38" s="299"/>
    </row>
    <row r="39" spans="2:4" x14ac:dyDescent="0.2">
      <c r="B39" s="38">
        <v>43</v>
      </c>
      <c r="C39" s="39">
        <v>0.194493</v>
      </c>
      <c r="D39" s="39">
        <v>3.9093000000000003E-2</v>
      </c>
    </row>
    <row r="40" spans="2:4" x14ac:dyDescent="0.2">
      <c r="B40" s="38">
        <v>135</v>
      </c>
      <c r="C40" s="39">
        <v>6.1848E-2</v>
      </c>
      <c r="D40" s="39">
        <v>1.243E-2</v>
      </c>
    </row>
    <row r="41" spans="2:4" x14ac:dyDescent="0.2">
      <c r="B41" s="38">
        <v>227</v>
      </c>
      <c r="C41" s="39">
        <v>3.6769999999999997E-2</v>
      </c>
      <c r="D41" s="39">
        <v>7.3899999999999999E-3</v>
      </c>
    </row>
    <row r="42" spans="2:4" x14ac:dyDescent="0.2">
      <c r="B42" s="298" t="s">
        <v>232</v>
      </c>
      <c r="C42" s="299"/>
      <c r="D42" s="300"/>
    </row>
    <row r="43" spans="2:4" x14ac:dyDescent="0.2">
      <c r="B43" s="38">
        <v>89</v>
      </c>
      <c r="C43" s="39">
        <v>0.25708999999999999</v>
      </c>
      <c r="D43" s="39">
        <v>5.1675800000000001E-2</v>
      </c>
    </row>
    <row r="44" spans="2:4" x14ac:dyDescent="0.2">
      <c r="B44" s="38">
        <v>279</v>
      </c>
      <c r="C44" s="39">
        <v>8.1754999999999994E-2</v>
      </c>
      <c r="D44" s="39">
        <v>1.64329E-2</v>
      </c>
    </row>
    <row r="45" spans="2:4" x14ac:dyDescent="0.2">
      <c r="B45" s="38">
        <v>469</v>
      </c>
      <c r="C45" s="39">
        <v>4.8606000000000003E-2</v>
      </c>
      <c r="D45" s="39">
        <v>9.7698000000000004E-3</v>
      </c>
    </row>
    <row r="46" spans="2:4" x14ac:dyDescent="0.2">
      <c r="B46" s="298" t="s">
        <v>233</v>
      </c>
      <c r="C46" s="299"/>
      <c r="D46" s="299"/>
    </row>
    <row r="47" spans="2:4" x14ac:dyDescent="0.2">
      <c r="B47" s="38">
        <v>43</v>
      </c>
      <c r="C47" s="39">
        <v>0.34759899999999999</v>
      </c>
      <c r="D47" s="39">
        <v>9.2649999999999996E-2</v>
      </c>
    </row>
    <row r="48" spans="2:4" x14ac:dyDescent="0.2">
      <c r="B48" s="38">
        <v>135</v>
      </c>
      <c r="C48" s="39">
        <v>0.1105366</v>
      </c>
      <c r="D48" s="39">
        <v>2.946E-2</v>
      </c>
    </row>
    <row r="49" spans="2:4" x14ac:dyDescent="0.2">
      <c r="B49" s="38">
        <v>227</v>
      </c>
      <c r="C49" s="39">
        <v>6.5716999999999998E-2</v>
      </c>
      <c r="D49" s="39">
        <v>1.7510000000000001E-2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0.75800089858253716</v>
      </c>
      <c r="D53">
        <v>0.19619630299402357</v>
      </c>
    </row>
    <row r="54" spans="2:4" x14ac:dyDescent="0.2">
      <c r="B54" s="302" t="s">
        <v>248</v>
      </c>
      <c r="C54" s="303"/>
      <c r="D54" s="303"/>
    </row>
    <row r="55" spans="2:4" ht="29" customHeight="1" x14ac:dyDescent="0.2">
      <c r="C55">
        <v>0.31610382012464688</v>
      </c>
      <c r="D55">
        <v>8.1818373812904535E-2</v>
      </c>
    </row>
    <row r="56" spans="2:4" ht="26.5" customHeight="1" x14ac:dyDescent="0.2">
      <c r="B56" s="301" t="s">
        <v>249</v>
      </c>
      <c r="C56" s="301"/>
      <c r="D56" s="301"/>
    </row>
    <row r="57" spans="2:4" x14ac:dyDescent="0.2">
      <c r="C57">
        <v>0.21680684588978963</v>
      </c>
      <c r="D57">
        <v>5.6116954091895474E-2</v>
      </c>
    </row>
  </sheetData>
  <mergeCells count="28">
    <mergeCell ref="B52:D52"/>
    <mergeCell ref="G18:I18"/>
    <mergeCell ref="B21:D21"/>
    <mergeCell ref="G22:I22"/>
    <mergeCell ref="B27:D27"/>
    <mergeCell ref="B50:D50"/>
    <mergeCell ref="B30:D30"/>
    <mergeCell ref="B32:D32"/>
    <mergeCell ref="B34:D34"/>
    <mergeCell ref="B38:D38"/>
    <mergeCell ref="B42:D42"/>
    <mergeCell ref="B46:D46"/>
    <mergeCell ref="B54:D54"/>
    <mergeCell ref="B56:D56"/>
    <mergeCell ref="B3:D3"/>
    <mergeCell ref="G3:I3"/>
    <mergeCell ref="B4:B5"/>
    <mergeCell ref="C4:C5"/>
    <mergeCell ref="D4:D5"/>
    <mergeCell ref="G4:G5"/>
    <mergeCell ref="H4:H5"/>
    <mergeCell ref="I4:I5"/>
    <mergeCell ref="B6:D6"/>
    <mergeCell ref="G6:I6"/>
    <mergeCell ref="G10:I10"/>
    <mergeCell ref="B12:D12"/>
    <mergeCell ref="G14:I14"/>
    <mergeCell ref="B15:D15"/>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4387-8915-4D79-B7A9-8C4F8DD25C3F}">
  <dimension ref="A1:T57"/>
  <sheetViews>
    <sheetView zoomScale="80" zoomScaleNormal="80" workbookViewId="0">
      <selection activeCell="C57" sqref="C57:D57"/>
    </sheetView>
  </sheetViews>
  <sheetFormatPr baseColWidth="10" defaultColWidth="11.5" defaultRowHeight="15" x14ac:dyDescent="0.2"/>
  <cols>
    <col min="1" max="1" width="13.6640625"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115</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221</v>
      </c>
      <c r="M4" s="70">
        <f>P4*0.75</f>
        <v>331.5</v>
      </c>
      <c r="N4" s="72">
        <f>P4*0.9</f>
        <v>397.8</v>
      </c>
      <c r="O4" s="74">
        <f>P4*0.95</f>
        <v>419.9</v>
      </c>
      <c r="P4" s="63">
        <v>442</v>
      </c>
      <c r="Q4" s="64">
        <f>P4*1.05</f>
        <v>464.1</v>
      </c>
      <c r="R4" s="76">
        <f>P4*1.25</f>
        <v>552.5</v>
      </c>
      <c r="S4" s="78" t="s">
        <v>206</v>
      </c>
      <c r="T4" s="56" t="s">
        <v>86</v>
      </c>
    </row>
    <row r="5" spans="1:20" ht="16" thickBot="1" x14ac:dyDescent="0.25">
      <c r="B5" s="289"/>
      <c r="C5" s="291"/>
      <c r="D5" s="293"/>
      <c r="E5" s="3"/>
      <c r="F5" s="4"/>
      <c r="G5" s="291"/>
      <c r="H5" s="291"/>
      <c r="I5" s="291"/>
      <c r="K5" s="62" t="s">
        <v>87</v>
      </c>
      <c r="L5" s="68">
        <f>P5*0.5</f>
        <v>1941.5</v>
      </c>
      <c r="M5" s="70">
        <f>P5*0.75</f>
        <v>2912.25</v>
      </c>
      <c r="N5" s="72">
        <f>P5*0.9</f>
        <v>3494.7000000000003</v>
      </c>
      <c r="O5" s="74">
        <f>P5*0.95</f>
        <v>3688.85</v>
      </c>
      <c r="P5" s="63">
        <v>3883</v>
      </c>
      <c r="Q5" s="64">
        <f>P5*1.05</f>
        <v>4077.15</v>
      </c>
      <c r="R5" s="76">
        <f>P5*1.25</f>
        <v>4853.75</v>
      </c>
      <c r="S5" s="78"/>
      <c r="T5" s="56" t="s">
        <v>86</v>
      </c>
    </row>
    <row r="6" spans="1:20" x14ac:dyDescent="0.2">
      <c r="B6" s="294" t="s">
        <v>207</v>
      </c>
      <c r="C6" s="295"/>
      <c r="D6" s="296"/>
      <c r="G6" s="297" t="s">
        <v>208</v>
      </c>
      <c r="H6" s="297"/>
      <c r="I6" s="297"/>
      <c r="K6" s="62" t="s">
        <v>209</v>
      </c>
      <c r="L6" s="68">
        <f t="shared" ref="L6:N6" si="0">L4+L5</f>
        <v>2162.5</v>
      </c>
      <c r="M6" s="70">
        <f t="shared" si="0"/>
        <v>3243.75</v>
      </c>
      <c r="N6" s="72">
        <f t="shared" si="0"/>
        <v>3892.5000000000005</v>
      </c>
      <c r="O6" s="74">
        <f>O4+O5</f>
        <v>4108.75</v>
      </c>
      <c r="P6" s="63">
        <f>P5+P4</f>
        <v>4325</v>
      </c>
      <c r="Q6" s="64">
        <f t="shared" ref="Q6:R6" si="1">Q4+Q5</f>
        <v>4541.25</v>
      </c>
      <c r="R6" s="76">
        <f t="shared" si="1"/>
        <v>5406.25</v>
      </c>
      <c r="S6" s="78"/>
      <c r="T6" s="56" t="s">
        <v>86</v>
      </c>
    </row>
    <row r="7" spans="1:20" x14ac:dyDescent="0.2">
      <c r="B7" s="28">
        <v>1</v>
      </c>
      <c r="C7" s="39">
        <v>0.69333268313380203</v>
      </c>
      <c r="D7" s="39">
        <v>171.40522959723495</v>
      </c>
      <c r="G7" s="38">
        <v>2.7048578383641679</v>
      </c>
      <c r="H7" s="28">
        <v>2.229522425323021</v>
      </c>
      <c r="I7" s="28">
        <v>0.46374066446718837</v>
      </c>
      <c r="K7" s="62" t="s">
        <v>210</v>
      </c>
      <c r="L7" s="68">
        <f>P7*0.5</f>
        <v>1238.5</v>
      </c>
      <c r="M7" s="70">
        <f>P7*0.84</f>
        <v>2080.6799999999998</v>
      </c>
      <c r="N7" s="72">
        <f>P7*0.91</f>
        <v>2254.0700000000002</v>
      </c>
      <c r="O7" s="74">
        <f>P7*0.95</f>
        <v>2353.15</v>
      </c>
      <c r="P7" s="63">
        <v>2477</v>
      </c>
      <c r="Q7" s="64">
        <f>P7*1.05</f>
        <v>2600.85</v>
      </c>
      <c r="R7" s="76">
        <f>P7*1.16</f>
        <v>2873.3199999999997</v>
      </c>
      <c r="S7" s="78"/>
      <c r="T7" s="56" t="s">
        <v>86</v>
      </c>
    </row>
    <row r="8" spans="1:20" x14ac:dyDescent="0.2">
      <c r="B8" s="28">
        <v>2</v>
      </c>
      <c r="C8" s="39">
        <v>0.36266634156690103</v>
      </c>
      <c r="D8" s="39">
        <v>65.064238275999116</v>
      </c>
      <c r="G8" s="38">
        <v>8.5058422590068172</v>
      </c>
      <c r="H8" s="28">
        <v>0.70898813125272064</v>
      </c>
      <c r="I8" s="28">
        <v>0.14746953130056592</v>
      </c>
      <c r="K8" s="79" t="s">
        <v>211</v>
      </c>
      <c r="L8" s="80">
        <f t="shared" ref="L8:O8" si="2">L7+L6</f>
        <v>3401</v>
      </c>
      <c r="M8" s="81">
        <f t="shared" si="2"/>
        <v>5324.43</v>
      </c>
      <c r="N8" s="82">
        <f t="shared" si="2"/>
        <v>6146.5700000000006</v>
      </c>
      <c r="O8" s="83">
        <f t="shared" si="2"/>
        <v>6461.9</v>
      </c>
      <c r="P8" s="84">
        <f>P7+P6</f>
        <v>6802</v>
      </c>
      <c r="Q8" s="85">
        <f t="shared" ref="Q8:R8" si="3">Q7+Q6</f>
        <v>7142.1</v>
      </c>
      <c r="R8" s="86">
        <f t="shared" si="3"/>
        <v>8279.57</v>
      </c>
      <c r="S8" s="87"/>
      <c r="T8" s="88" t="s">
        <v>86</v>
      </c>
    </row>
    <row r="9" spans="1:20" x14ac:dyDescent="0.2">
      <c r="B9" s="28">
        <v>3</v>
      </c>
      <c r="C9" s="39">
        <v>0.25244422771126734</v>
      </c>
      <c r="D9" s="39">
        <v>47.309368454726723</v>
      </c>
      <c r="G9" s="38">
        <v>14.306826679649467</v>
      </c>
      <c r="H9" s="28">
        <v>0.42151494129174832</v>
      </c>
      <c r="I9" s="28">
        <v>8.7675107788683648E-2</v>
      </c>
      <c r="K9" s="62" t="s">
        <v>212</v>
      </c>
      <c r="L9" s="68">
        <f>P9*0.5</f>
        <v>77</v>
      </c>
      <c r="M9" s="70">
        <f>P9*0.75</f>
        <v>115.5</v>
      </c>
      <c r="N9" s="72">
        <f>P9*0.9</f>
        <v>138.6</v>
      </c>
      <c r="O9" s="74">
        <f>P9*0.95</f>
        <v>146.29999999999998</v>
      </c>
      <c r="P9" s="63">
        <v>154</v>
      </c>
      <c r="Q9" s="64">
        <f>P9*1.05</f>
        <v>161.70000000000002</v>
      </c>
      <c r="R9" s="76">
        <f>P9*1.25</f>
        <v>192.5</v>
      </c>
      <c r="S9" s="78"/>
      <c r="T9" s="56" t="s">
        <v>91</v>
      </c>
    </row>
    <row r="10" spans="1:20" x14ac:dyDescent="0.2">
      <c r="B10" s="28">
        <v>4</v>
      </c>
      <c r="C10" s="39">
        <v>0.1973331707834505</v>
      </c>
      <c r="D10" s="39">
        <v>38.559933544090519</v>
      </c>
      <c r="G10" s="297" t="s">
        <v>213</v>
      </c>
      <c r="H10" s="297"/>
      <c r="I10" s="297"/>
      <c r="K10" s="62" t="s">
        <v>214</v>
      </c>
      <c r="L10" s="68">
        <f>P10*0.5</f>
        <v>392</v>
      </c>
      <c r="M10" s="70">
        <f>P10*0.75</f>
        <v>588</v>
      </c>
      <c r="N10" s="72">
        <f>P10*0.9</f>
        <v>705.6</v>
      </c>
      <c r="O10" s="74">
        <f>P10*0.95</f>
        <v>744.8</v>
      </c>
      <c r="P10" s="63">
        <v>784</v>
      </c>
      <c r="Q10" s="64">
        <f>P10*1.05</f>
        <v>823.2</v>
      </c>
      <c r="R10" s="76">
        <f>P10*1.25</f>
        <v>980</v>
      </c>
      <c r="S10" s="78"/>
      <c r="T10" s="56" t="s">
        <v>91</v>
      </c>
    </row>
    <row r="11" spans="1:20" x14ac:dyDescent="0.2">
      <c r="B11" s="28">
        <v>5</v>
      </c>
      <c r="C11" s="39">
        <v>0.16426653662676041</v>
      </c>
      <c r="D11" s="39">
        <v>33.412672597708806</v>
      </c>
      <c r="G11" s="38">
        <v>2.7048578383641679</v>
      </c>
      <c r="H11" s="28">
        <v>2.229522425323021</v>
      </c>
      <c r="I11" s="28">
        <v>0.51750992068856427</v>
      </c>
      <c r="K11" s="62" t="s">
        <v>215</v>
      </c>
      <c r="L11" s="68">
        <f t="shared" ref="L11:N11" si="4">L9+L10</f>
        <v>469</v>
      </c>
      <c r="M11" s="70">
        <f t="shared" si="4"/>
        <v>703.5</v>
      </c>
      <c r="N11" s="72">
        <f t="shared" si="4"/>
        <v>844.2</v>
      </c>
      <c r="O11" s="74">
        <f>O9+O10</f>
        <v>891.09999999999991</v>
      </c>
      <c r="P11" s="63">
        <f>P9+P10</f>
        <v>938</v>
      </c>
      <c r="Q11" s="64">
        <f t="shared" ref="Q11:R11" si="5">Q9+Q10</f>
        <v>984.90000000000009</v>
      </c>
      <c r="R11" s="76">
        <f t="shared" si="5"/>
        <v>1172.5</v>
      </c>
      <c r="S11" s="78"/>
      <c r="T11" s="56" t="s">
        <v>91</v>
      </c>
    </row>
    <row r="12" spans="1:20" x14ac:dyDescent="0.2">
      <c r="B12" s="298" t="s">
        <v>216</v>
      </c>
      <c r="C12" s="299"/>
      <c r="D12" s="300"/>
      <c r="G12" s="38">
        <v>8.5058422590068172</v>
      </c>
      <c r="H12" s="28">
        <v>0.70898813125272064</v>
      </c>
      <c r="I12" s="28">
        <v>0.16456815477896342</v>
      </c>
      <c r="K12" s="62" t="s">
        <v>217</v>
      </c>
      <c r="L12" s="68">
        <f>P12*0.5</f>
        <v>305.5</v>
      </c>
      <c r="M12" s="70">
        <f>P12*0.84</f>
        <v>513.24</v>
      </c>
      <c r="N12" s="72">
        <f>P12*0.91</f>
        <v>556.01</v>
      </c>
      <c r="O12" s="74">
        <f>P12*0.95</f>
        <v>580.44999999999993</v>
      </c>
      <c r="P12" s="63">
        <v>611</v>
      </c>
      <c r="Q12" s="64">
        <f>P12*1.05</f>
        <v>641.55000000000007</v>
      </c>
      <c r="R12" s="76">
        <f>P12*1.16</f>
        <v>708.76</v>
      </c>
      <c r="S12" s="78"/>
      <c r="T12" s="56" t="s">
        <v>91</v>
      </c>
    </row>
    <row r="13" spans="1:20" ht="16" thickBot="1" x14ac:dyDescent="0.25">
      <c r="B13" s="28">
        <v>1</v>
      </c>
      <c r="C13" s="39">
        <v>0.44161528879129269</v>
      </c>
      <c r="D13" s="39">
        <v>109.17582830047087</v>
      </c>
      <c r="G13" s="38">
        <v>14.306826679649467</v>
      </c>
      <c r="H13" s="28">
        <v>0.42151494129174832</v>
      </c>
      <c r="I13" s="28">
        <v>9.7840757894746389E-2</v>
      </c>
      <c r="K13" s="89" t="s">
        <v>218</v>
      </c>
      <c r="L13" s="90">
        <f t="shared" ref="L13:O13" si="6">L12+L11</f>
        <v>774.5</v>
      </c>
      <c r="M13" s="91">
        <f t="shared" si="6"/>
        <v>1216.74</v>
      </c>
      <c r="N13" s="92">
        <f t="shared" si="6"/>
        <v>1400.21</v>
      </c>
      <c r="O13" s="93">
        <f t="shared" si="6"/>
        <v>1471.5499999999997</v>
      </c>
      <c r="P13" s="94">
        <f>P12+P11</f>
        <v>1549</v>
      </c>
      <c r="Q13" s="95">
        <f t="shared" ref="Q13:R13" si="7">Q12+Q11</f>
        <v>1626.4500000000003</v>
      </c>
      <c r="R13" s="96">
        <f t="shared" si="7"/>
        <v>1881.26</v>
      </c>
      <c r="S13" s="97"/>
      <c r="T13" s="98" t="s">
        <v>91</v>
      </c>
    </row>
    <row r="14" spans="1:20" x14ac:dyDescent="0.2">
      <c r="B14" s="28">
        <v>2</v>
      </c>
      <c r="C14" s="39">
        <v>0.23680764439564633</v>
      </c>
      <c r="D14" s="39">
        <v>27.748131879943216</v>
      </c>
      <c r="G14" s="297" t="s">
        <v>219</v>
      </c>
      <c r="H14" s="297"/>
      <c r="I14" s="297"/>
      <c r="L14" s="59"/>
      <c r="M14" s="59"/>
      <c r="N14" s="59"/>
      <c r="O14" s="59"/>
      <c r="P14" s="59"/>
      <c r="Q14" s="59"/>
      <c r="R14" s="59"/>
      <c r="S14" s="59"/>
    </row>
    <row r="15" spans="1:20" x14ac:dyDescent="0.2">
      <c r="B15" s="298" t="s">
        <v>220</v>
      </c>
      <c r="C15" s="299"/>
      <c r="D15" s="300"/>
      <c r="G15" s="38">
        <v>2.7048578383641679</v>
      </c>
      <c r="H15" s="28">
        <v>2.229522425323021</v>
      </c>
      <c r="I15" s="28">
        <v>0.50833111297364875</v>
      </c>
      <c r="K15" t="s">
        <v>221</v>
      </c>
      <c r="L15" s="60">
        <v>-0.5</v>
      </c>
      <c r="M15" s="60">
        <v>-0.25</v>
      </c>
      <c r="N15" s="60">
        <v>-0.1</v>
      </c>
      <c r="O15" s="60">
        <v>-0.05</v>
      </c>
      <c r="P15" t="s">
        <v>222</v>
      </c>
      <c r="Q15" s="60">
        <v>0.05</v>
      </c>
      <c r="R15" s="60">
        <v>0.25</v>
      </c>
      <c r="S15" s="60"/>
    </row>
    <row r="16" spans="1:20" x14ac:dyDescent="0.2">
      <c r="B16" s="28">
        <v>1</v>
      </c>
      <c r="C16" s="39">
        <v>0.36150428833257126</v>
      </c>
      <c r="D16" s="39">
        <v>75.192891973174824</v>
      </c>
      <c r="G16" s="38">
        <v>8.5058422590068172</v>
      </c>
      <c r="H16" s="28">
        <v>0.70898813125272064</v>
      </c>
      <c r="I16" s="28">
        <v>0.16164929392562033</v>
      </c>
      <c r="K16" t="s">
        <v>223</v>
      </c>
      <c r="L16" s="60">
        <v>-0.5</v>
      </c>
      <c r="M16" s="60">
        <v>-0.16</v>
      </c>
      <c r="N16" s="60">
        <v>-0.09</v>
      </c>
      <c r="O16" s="60">
        <v>-0.05</v>
      </c>
      <c r="P16" t="s">
        <v>222</v>
      </c>
      <c r="Q16" s="60">
        <v>0.05</v>
      </c>
      <c r="R16" s="60">
        <v>0.16</v>
      </c>
      <c r="S16" s="60"/>
    </row>
    <row r="17" spans="2:9" x14ac:dyDescent="0.2">
      <c r="B17" s="28">
        <v>2</v>
      </c>
      <c r="C17" s="39">
        <v>0.18372714416628563</v>
      </c>
      <c r="D17" s="39">
        <v>14.175080506401351</v>
      </c>
      <c r="G17" s="38">
        <v>14.306826679649467</v>
      </c>
      <c r="H17" s="28">
        <v>0.42151494129174832</v>
      </c>
      <c r="I17" s="28">
        <v>9.6105406614518621E-2</v>
      </c>
    </row>
    <row r="18" spans="2:9" x14ac:dyDescent="0.2">
      <c r="B18" s="28">
        <v>3</v>
      </c>
      <c r="C18" s="39">
        <v>0.12446809611085709</v>
      </c>
      <c r="D18" s="39">
        <v>9.8470310417249785</v>
      </c>
      <c r="G18" s="297" t="s">
        <v>224</v>
      </c>
      <c r="H18" s="297"/>
      <c r="I18" s="297"/>
    </row>
    <row r="19" spans="2:9" x14ac:dyDescent="0.2">
      <c r="B19" s="28">
        <v>4</v>
      </c>
      <c r="C19" s="39">
        <v>9.4838572083142808E-2</v>
      </c>
      <c r="D19" s="39">
        <v>7.6888373093867903</v>
      </c>
      <c r="G19" s="38">
        <v>2.7048578383641679</v>
      </c>
      <c r="H19" s="28">
        <v>2.229522425323021</v>
      </c>
      <c r="I19" s="28">
        <v>0.57127917690994012</v>
      </c>
    </row>
    <row r="20" spans="2:9" x14ac:dyDescent="0.2">
      <c r="B20" s="28">
        <v>5</v>
      </c>
      <c r="C20" s="39">
        <v>7.7060857666514243E-2</v>
      </c>
      <c r="D20" s="39">
        <v>6.3985858699838785</v>
      </c>
      <c r="G20" s="38">
        <v>8.5058422590068172</v>
      </c>
      <c r="H20" s="28">
        <v>0.70898813125272064</v>
      </c>
      <c r="I20" s="28">
        <v>0.18166677825736094</v>
      </c>
    </row>
    <row r="21" spans="2:9" x14ac:dyDescent="0.2">
      <c r="B21" s="298" t="s">
        <v>225</v>
      </c>
      <c r="C21" s="299"/>
      <c r="D21" s="299"/>
      <c r="G21" s="38">
        <v>14.306826679649467</v>
      </c>
      <c r="H21" s="28">
        <v>0.42151494129174832</v>
      </c>
      <c r="I21" s="28">
        <v>0.10800640800080913</v>
      </c>
    </row>
    <row r="22" spans="2:9" x14ac:dyDescent="0.2">
      <c r="B22" s="28">
        <v>1</v>
      </c>
      <c r="C22" s="39">
        <v>0.63522010721107203</v>
      </c>
      <c r="D22" s="39">
        <v>144.58223040074657</v>
      </c>
      <c r="G22" s="297" t="s">
        <v>226</v>
      </c>
      <c r="H22" s="297"/>
      <c r="I22" s="297"/>
    </row>
    <row r="23" spans="2:9" x14ac:dyDescent="0.2">
      <c r="B23" s="28">
        <v>2</v>
      </c>
      <c r="C23" s="39">
        <v>0.32609755360553599</v>
      </c>
      <c r="D23" s="39">
        <v>47.162520798916944</v>
      </c>
      <c r="G23" s="38">
        <v>2.7048578383641679</v>
      </c>
      <c r="H23" s="28">
        <v>2.229522425323021</v>
      </c>
      <c r="I23" s="28">
        <v>0.50717659993208664</v>
      </c>
    </row>
    <row r="24" spans="2:9" x14ac:dyDescent="0.2">
      <c r="B24" s="28">
        <v>3</v>
      </c>
      <c r="C24" s="39">
        <v>0.22305670240369069</v>
      </c>
      <c r="D24" s="39">
        <v>32.270021419896537</v>
      </c>
      <c r="G24" s="38">
        <v>8.5058422590068172</v>
      </c>
      <c r="H24" s="28">
        <v>0.70898813125272064</v>
      </c>
      <c r="I24" s="28">
        <v>0.16128215877840354</v>
      </c>
    </row>
    <row r="25" spans="2:9" x14ac:dyDescent="0.2">
      <c r="B25" s="28">
        <v>4</v>
      </c>
      <c r="C25" s="39">
        <v>0.17153627680276801</v>
      </c>
      <c r="D25" s="39">
        <v>24.824151970386335</v>
      </c>
      <c r="G25" s="38">
        <v>14.306826679649467</v>
      </c>
      <c r="H25" s="28">
        <v>0.42151494129174832</v>
      </c>
      <c r="I25" s="28">
        <v>9.5887133637576422E-2</v>
      </c>
    </row>
    <row r="26" spans="2:9" x14ac:dyDescent="0.2">
      <c r="B26" s="28">
        <v>5</v>
      </c>
      <c r="C26" s="39">
        <v>0.14062402144221439</v>
      </c>
      <c r="D26" s="39">
        <v>20.356934492680214</v>
      </c>
    </row>
    <row r="27" spans="2:9" x14ac:dyDescent="0.2">
      <c r="B27" s="298" t="s">
        <v>227</v>
      </c>
      <c r="C27" s="299"/>
      <c r="D27" s="300"/>
    </row>
    <row r="28" spans="2:9" x14ac:dyDescent="0.2">
      <c r="B28" s="28">
        <v>1</v>
      </c>
      <c r="C28" s="39">
        <v>0.1462831306275986</v>
      </c>
      <c r="D28" s="39">
        <v>30.426891170540507</v>
      </c>
    </row>
    <row r="29" spans="2:9" x14ac:dyDescent="0.2">
      <c r="B29" s="28">
        <v>2</v>
      </c>
      <c r="C29" s="39">
        <v>7.3141565313799298E-2</v>
      </c>
      <c r="D29" s="39">
        <v>2.3688279158609982</v>
      </c>
    </row>
    <row r="30" spans="2:9" x14ac:dyDescent="0.2">
      <c r="B30" s="298" t="s">
        <v>228</v>
      </c>
      <c r="C30" s="299"/>
      <c r="D30" s="299"/>
    </row>
    <row r="31" spans="2:9" x14ac:dyDescent="0.2">
      <c r="B31" s="28">
        <v>1</v>
      </c>
      <c r="C31" s="39">
        <v>1.3100000000000001E-2</v>
      </c>
      <c r="D31" s="39">
        <v>2.7323</v>
      </c>
    </row>
    <row r="32" spans="2:9" x14ac:dyDescent="0.2">
      <c r="B32" s="297" t="s">
        <v>229</v>
      </c>
      <c r="C32" s="297"/>
      <c r="D32" s="297"/>
    </row>
    <row r="33" spans="2:4" x14ac:dyDescent="0.2">
      <c r="B33" s="28">
        <v>1</v>
      </c>
      <c r="C33" s="39">
        <v>2.8500000000000001E-2</v>
      </c>
      <c r="D33" s="39">
        <v>5.9236260827704585</v>
      </c>
    </row>
    <row r="34" spans="2:4" x14ac:dyDescent="0.2">
      <c r="B34" s="297" t="s">
        <v>230</v>
      </c>
      <c r="C34" s="297"/>
      <c r="D34" s="297"/>
    </row>
    <row r="35" spans="2:4" x14ac:dyDescent="0.2">
      <c r="B35" s="38">
        <v>23.520650459599345</v>
      </c>
      <c r="C35" s="28">
        <v>0.19089139908095992</v>
      </c>
      <c r="D35" s="28">
        <v>3.9705411008839661E-2</v>
      </c>
    </row>
    <row r="36" spans="2:4" x14ac:dyDescent="0.2">
      <c r="B36" s="38">
        <v>73.964309621381588</v>
      </c>
      <c r="C36" s="28">
        <v>6.0703464907745253E-2</v>
      </c>
      <c r="D36" s="28">
        <v>1.2626320700811013E-2</v>
      </c>
    </row>
    <row r="37" spans="2:4" x14ac:dyDescent="0.2">
      <c r="B37" s="38">
        <v>124.40796878316381</v>
      </c>
      <c r="C37" s="28">
        <v>3.6090050480229049E-2</v>
      </c>
      <c r="D37" s="28">
        <v>7.5067304998876422E-3</v>
      </c>
    </row>
    <row r="38" spans="2:4" x14ac:dyDescent="0.2">
      <c r="B38" s="297" t="s">
        <v>231</v>
      </c>
      <c r="C38" s="297"/>
      <c r="D38" s="297"/>
    </row>
    <row r="39" spans="2:4" x14ac:dyDescent="0.2">
      <c r="B39" s="38">
        <v>26.728011885908341</v>
      </c>
      <c r="C39" s="28">
        <v>0.6098402630099593</v>
      </c>
      <c r="D39" s="28">
        <v>0.12684677470607153</v>
      </c>
    </row>
    <row r="40" spans="2:4" x14ac:dyDescent="0.2">
      <c r="B40" s="38">
        <v>84.05035184247906</v>
      </c>
      <c r="C40" s="28">
        <v>0.19392920363716706</v>
      </c>
      <c r="D40" s="28">
        <v>4.0337274356530742E-2</v>
      </c>
    </row>
    <row r="41" spans="2:4" x14ac:dyDescent="0.2">
      <c r="B41" s="38">
        <v>141.37269179904976</v>
      </c>
      <c r="C41" s="28">
        <v>0.11529679169867246</v>
      </c>
      <c r="D41" s="28">
        <v>2.3981732673323871E-2</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v>26.728011885908341</v>
      </c>
      <c r="C47" s="28">
        <v>0.77570465294072</v>
      </c>
      <c r="D47" s="28">
        <v>0.20676564265831746</v>
      </c>
    </row>
    <row r="48" spans="2:4" x14ac:dyDescent="0.2">
      <c r="B48" s="38">
        <v>84.05035184247906</v>
      </c>
      <c r="C48" s="28">
        <v>0.24667407963514895</v>
      </c>
      <c r="D48" s="28">
        <v>6.5751474365344953E-2</v>
      </c>
    </row>
    <row r="49" spans="2:4" x14ac:dyDescent="0.2">
      <c r="B49" s="38">
        <v>141.37269179904976</v>
      </c>
      <c r="C49" s="28">
        <v>0.14665521975930379</v>
      </c>
      <c r="D49" s="28">
        <v>3.9091245163700925E-2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0.99791065366362919</v>
      </c>
      <c r="D53">
        <v>0.25827282065243135</v>
      </c>
    </row>
    <row r="54" spans="2:4" x14ac:dyDescent="0.2">
      <c r="B54" s="302" t="s">
        <v>248</v>
      </c>
      <c r="C54" s="303"/>
      <c r="D54" s="303"/>
    </row>
    <row r="55" spans="2:4" x14ac:dyDescent="0.2">
      <c r="C55">
        <v>0.26654731735898823</v>
      </c>
      <c r="D55">
        <v>6.8986063270198919E-2</v>
      </c>
    </row>
    <row r="56" spans="2:4" x14ac:dyDescent="0.2">
      <c r="B56" s="301" t="s">
        <v>249</v>
      </c>
      <c r="C56" s="301"/>
      <c r="D56" s="301"/>
    </row>
    <row r="57" spans="2:4" x14ac:dyDescent="0.2">
      <c r="C57">
        <v>0.30305632093844331</v>
      </c>
      <c r="D57">
        <v>7.8435088890937463E-2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7D0E-13A8-43F9-8C7C-7569C107B774}">
  <dimension ref="A1:T57"/>
  <sheetViews>
    <sheetView zoomScale="80" zoomScaleNormal="80" workbookViewId="0">
      <selection activeCell="C57" sqref="C57:D57"/>
    </sheetView>
  </sheetViews>
  <sheetFormatPr baseColWidth="10" defaultColWidth="11.5" defaultRowHeight="15" x14ac:dyDescent="0.2"/>
  <cols>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119</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547.5</v>
      </c>
      <c r="M4" s="70">
        <f>P4*0.75</f>
        <v>821.25</v>
      </c>
      <c r="N4" s="72">
        <f>P4*0.9</f>
        <v>985.5</v>
      </c>
      <c r="O4" s="74">
        <f>P4*0.95</f>
        <v>1040.25</v>
      </c>
      <c r="P4" s="63">
        <v>1095</v>
      </c>
      <c r="Q4" s="64">
        <f>P4*1.05</f>
        <v>1149.75</v>
      </c>
      <c r="R4" s="76">
        <f>P4*1.25</f>
        <v>1368.75</v>
      </c>
      <c r="S4" s="78" t="s">
        <v>206</v>
      </c>
      <c r="T4" s="56" t="s">
        <v>86</v>
      </c>
    </row>
    <row r="5" spans="1:20" ht="16" thickBot="1" x14ac:dyDescent="0.25">
      <c r="B5" s="289"/>
      <c r="C5" s="291"/>
      <c r="D5" s="293"/>
      <c r="E5" s="3"/>
      <c r="F5" s="4"/>
      <c r="G5" s="291"/>
      <c r="H5" s="291"/>
      <c r="I5" s="291"/>
      <c r="K5" s="62" t="s">
        <v>87</v>
      </c>
      <c r="L5" s="68">
        <f>P5*0.5</f>
        <v>3745.5</v>
      </c>
      <c r="M5" s="70">
        <f>P5*0.75</f>
        <v>5618.25</v>
      </c>
      <c r="N5" s="72">
        <f>P5*0.9</f>
        <v>6741.9000000000005</v>
      </c>
      <c r="O5" s="74">
        <f>P5*0.95</f>
        <v>7116.45</v>
      </c>
      <c r="P5" s="63">
        <v>7491</v>
      </c>
      <c r="Q5" s="64">
        <f>P5*1.05</f>
        <v>7865.55</v>
      </c>
      <c r="R5" s="76">
        <f>P5*1.25</f>
        <v>9363.75</v>
      </c>
      <c r="S5" s="78"/>
      <c r="T5" s="56" t="s">
        <v>86</v>
      </c>
    </row>
    <row r="6" spans="1:20" x14ac:dyDescent="0.2">
      <c r="B6" s="294" t="s">
        <v>207</v>
      </c>
      <c r="C6" s="295"/>
      <c r="D6" s="296"/>
      <c r="G6" s="297" t="s">
        <v>208</v>
      </c>
      <c r="H6" s="297"/>
      <c r="I6" s="297"/>
      <c r="K6" s="62" t="s">
        <v>209</v>
      </c>
      <c r="L6" s="68">
        <f t="shared" ref="L6:N6" si="0">L4+L5</f>
        <v>4293</v>
      </c>
      <c r="M6" s="70">
        <f t="shared" si="0"/>
        <v>6439.5</v>
      </c>
      <c r="N6" s="72">
        <f t="shared" si="0"/>
        <v>7727.4000000000005</v>
      </c>
      <c r="O6" s="74">
        <f>O4+O5</f>
        <v>8156.7</v>
      </c>
      <c r="P6" s="63">
        <f>P5+P4</f>
        <v>8586</v>
      </c>
      <c r="Q6" s="64">
        <f t="shared" ref="Q6:R6" si="1">Q4+Q5</f>
        <v>9015.2999999999993</v>
      </c>
      <c r="R6" s="76">
        <f t="shared" si="1"/>
        <v>10732.5</v>
      </c>
      <c r="S6" s="78"/>
      <c r="T6" s="56" t="s">
        <v>86</v>
      </c>
    </row>
    <row r="7" spans="1:20" x14ac:dyDescent="0.2">
      <c r="B7" s="28">
        <v>1</v>
      </c>
      <c r="C7" s="39">
        <v>0.78034661539737582</v>
      </c>
      <c r="D7" s="39">
        <v>177.19862280786933</v>
      </c>
      <c r="G7" s="38">
        <v>3.1803234994913527</v>
      </c>
      <c r="H7" s="28">
        <v>1.9022610213663405</v>
      </c>
      <c r="I7" s="28">
        <v>2.4729393277762426E-2</v>
      </c>
      <c r="K7" s="62" t="s">
        <v>210</v>
      </c>
      <c r="L7" s="68">
        <f>P7*0.5</f>
        <v>3689.5</v>
      </c>
      <c r="M7" s="70">
        <f>P7*0.84</f>
        <v>6198.36</v>
      </c>
      <c r="N7" s="72">
        <f>P7*0.91</f>
        <v>6714.89</v>
      </c>
      <c r="O7" s="74">
        <f>P7*0.95</f>
        <v>7010.0499999999993</v>
      </c>
      <c r="P7" s="63">
        <v>7379</v>
      </c>
      <c r="Q7" s="64">
        <f>P7*1.05</f>
        <v>7747.9500000000007</v>
      </c>
      <c r="R7" s="76">
        <f>P7*1.16</f>
        <v>8559.64</v>
      </c>
      <c r="S7" s="78"/>
      <c r="T7" s="56" t="s">
        <v>86</v>
      </c>
    </row>
    <row r="8" spans="1:20" x14ac:dyDescent="0.2">
      <c r="B8" s="28">
        <v>2</v>
      </c>
      <c r="C8" s="39">
        <v>0.40617330769868792</v>
      </c>
      <c r="D8" s="39">
        <v>75.222737207113951</v>
      </c>
      <c r="G8" s="38">
        <v>10.001017293997965</v>
      </c>
      <c r="H8" s="28">
        <v>0.60491900479449623</v>
      </c>
      <c r="I8" s="28">
        <v>7.863947062328451E-3</v>
      </c>
      <c r="K8" s="79" t="s">
        <v>211</v>
      </c>
      <c r="L8" s="80">
        <f t="shared" ref="L8:O8" si="2">L7+L6</f>
        <v>7982.5</v>
      </c>
      <c r="M8" s="81">
        <f t="shared" si="2"/>
        <v>12637.86</v>
      </c>
      <c r="N8" s="82">
        <f t="shared" si="2"/>
        <v>14442.29</v>
      </c>
      <c r="O8" s="83">
        <f t="shared" si="2"/>
        <v>15166.75</v>
      </c>
      <c r="P8" s="84">
        <f>P7+P6</f>
        <v>15965</v>
      </c>
      <c r="Q8" s="85">
        <f t="shared" ref="Q8:R8" si="3">Q7+Q6</f>
        <v>16763.25</v>
      </c>
      <c r="R8" s="86">
        <f t="shared" si="3"/>
        <v>19292.14</v>
      </c>
      <c r="S8" s="87"/>
      <c r="T8" s="88" t="s">
        <v>86</v>
      </c>
    </row>
    <row r="9" spans="1:20" x14ac:dyDescent="0.2">
      <c r="B9" s="28">
        <v>3</v>
      </c>
      <c r="C9" s="39">
        <v>0.28144887179912526</v>
      </c>
      <c r="D9" s="39">
        <v>54.37553442241957</v>
      </c>
      <c r="G9" s="38">
        <v>16.821711088504575</v>
      </c>
      <c r="H9" s="28">
        <v>0.35964269012752453</v>
      </c>
      <c r="I9" s="28">
        <v>4.6753549716578198E-3</v>
      </c>
      <c r="K9" s="62" t="s">
        <v>212</v>
      </c>
      <c r="L9" s="68">
        <f>P9*0.5</f>
        <v>6</v>
      </c>
      <c r="M9" s="70">
        <f>P9*0.75</f>
        <v>9</v>
      </c>
      <c r="N9" s="72">
        <f>P9*0.9</f>
        <v>10.8</v>
      </c>
      <c r="O9" s="74">
        <f>P9*0.95</f>
        <v>11.399999999999999</v>
      </c>
      <c r="P9" s="63">
        <v>12</v>
      </c>
      <c r="Q9" s="64">
        <f>P9*1.05</f>
        <v>12.600000000000001</v>
      </c>
      <c r="R9" s="76">
        <f>P9*1.25</f>
        <v>15</v>
      </c>
      <c r="S9" s="78"/>
      <c r="T9" s="56" t="s">
        <v>91</v>
      </c>
    </row>
    <row r="10" spans="1:20" x14ac:dyDescent="0.2">
      <c r="B10" s="28">
        <v>4</v>
      </c>
      <c r="C10" s="39">
        <v>0.21908665384934395</v>
      </c>
      <c r="D10" s="39">
        <v>44.079933030072382</v>
      </c>
      <c r="G10" s="297" t="s">
        <v>213</v>
      </c>
      <c r="H10" s="297"/>
      <c r="I10" s="297"/>
      <c r="K10" s="62" t="s">
        <v>214</v>
      </c>
      <c r="L10" s="68">
        <f>P10*0.5</f>
        <v>756.5</v>
      </c>
      <c r="M10" s="70">
        <f>P10*0.75</f>
        <v>1134.75</v>
      </c>
      <c r="N10" s="72">
        <f>P10*0.9</f>
        <v>1361.7</v>
      </c>
      <c r="O10" s="74">
        <f>P10*0.95</f>
        <v>1437.35</v>
      </c>
      <c r="P10" s="63">
        <v>1513</v>
      </c>
      <c r="Q10" s="64">
        <f>P10*1.05</f>
        <v>1588.65</v>
      </c>
      <c r="R10" s="76">
        <f>P10*1.25</f>
        <v>1891.25</v>
      </c>
      <c r="S10" s="78"/>
      <c r="T10" s="56" t="s">
        <v>91</v>
      </c>
    </row>
    <row r="11" spans="1:20" x14ac:dyDescent="0.2">
      <c r="B11" s="28">
        <v>5</v>
      </c>
      <c r="C11" s="39">
        <v>0.18166932307947517</v>
      </c>
      <c r="D11" s="39">
        <v>38.004972194664077</v>
      </c>
      <c r="G11" s="38"/>
      <c r="H11" s="28"/>
      <c r="I11" s="28"/>
      <c r="K11" s="62" t="s">
        <v>215</v>
      </c>
      <c r="L11" s="68">
        <f t="shared" ref="L11:N11" si="4">L9+L10</f>
        <v>762.5</v>
      </c>
      <c r="M11" s="70">
        <f t="shared" si="4"/>
        <v>1143.75</v>
      </c>
      <c r="N11" s="72">
        <f t="shared" si="4"/>
        <v>1372.5</v>
      </c>
      <c r="O11" s="74">
        <f>O9+O10</f>
        <v>1448.75</v>
      </c>
      <c r="P11" s="63">
        <f>P9+P10</f>
        <v>1525</v>
      </c>
      <c r="Q11" s="64">
        <f t="shared" ref="Q11:R11" si="5">Q9+Q10</f>
        <v>1601.25</v>
      </c>
      <c r="R11" s="76">
        <f t="shared" si="5"/>
        <v>1906.25</v>
      </c>
      <c r="S11" s="78"/>
      <c r="T11" s="56" t="s">
        <v>91</v>
      </c>
    </row>
    <row r="12" spans="1:20" x14ac:dyDescent="0.2">
      <c r="B12" s="298" t="s">
        <v>216</v>
      </c>
      <c r="C12" s="299"/>
      <c r="D12" s="300"/>
      <c r="G12" s="38"/>
      <c r="H12" s="28"/>
      <c r="I12" s="28"/>
      <c r="K12" s="62" t="s">
        <v>217</v>
      </c>
      <c r="L12" s="68">
        <f>P12*0.5</f>
        <v>816.5</v>
      </c>
      <c r="M12" s="70">
        <f>P12*0.84</f>
        <v>1371.72</v>
      </c>
      <c r="N12" s="72">
        <f>P12*0.91</f>
        <v>1486.03</v>
      </c>
      <c r="O12" s="74">
        <f>P12*0.95</f>
        <v>1551.35</v>
      </c>
      <c r="P12" s="63">
        <v>1633</v>
      </c>
      <c r="Q12" s="64">
        <f>P12*1.05</f>
        <v>1714.65</v>
      </c>
      <c r="R12" s="76">
        <f>P12*1.16</f>
        <v>1894.28</v>
      </c>
      <c r="S12" s="78"/>
      <c r="T12" s="56" t="s">
        <v>91</v>
      </c>
    </row>
    <row r="13" spans="1:20" ht="16" thickBot="1" x14ac:dyDescent="0.25">
      <c r="B13" s="28">
        <v>1</v>
      </c>
      <c r="C13" s="39">
        <v>0.49446129000533723</v>
      </c>
      <c r="D13" s="39">
        <v>112.28069410684969</v>
      </c>
      <c r="G13" s="38"/>
      <c r="H13" s="28"/>
      <c r="I13" s="28"/>
      <c r="K13" s="89" t="s">
        <v>218</v>
      </c>
      <c r="L13" s="90">
        <f t="shared" ref="L13:O13" si="6">L12+L11</f>
        <v>1579</v>
      </c>
      <c r="M13" s="91">
        <f t="shared" si="6"/>
        <v>2515.4700000000003</v>
      </c>
      <c r="N13" s="92">
        <f t="shared" si="6"/>
        <v>2858.5299999999997</v>
      </c>
      <c r="O13" s="93">
        <f t="shared" si="6"/>
        <v>3000.1</v>
      </c>
      <c r="P13" s="94">
        <f>P12+P11</f>
        <v>3158</v>
      </c>
      <c r="Q13" s="95">
        <f t="shared" ref="Q13:R13" si="7">Q12+Q11</f>
        <v>3315.9</v>
      </c>
      <c r="R13" s="96">
        <f t="shared" si="7"/>
        <v>3800.5299999999997</v>
      </c>
      <c r="S13" s="97"/>
      <c r="T13" s="98" t="s">
        <v>91</v>
      </c>
    </row>
    <row r="14" spans="1:20" x14ac:dyDescent="0.2">
      <c r="B14" s="28">
        <v>2</v>
      </c>
      <c r="C14" s="39">
        <v>0.26323064500266863</v>
      </c>
      <c r="D14" s="39">
        <v>31.661564691114727</v>
      </c>
      <c r="G14" s="297" t="s">
        <v>219</v>
      </c>
      <c r="H14" s="297"/>
      <c r="I14" s="297"/>
      <c r="L14" s="59"/>
      <c r="M14" s="59"/>
      <c r="N14" s="59"/>
      <c r="O14" s="59"/>
      <c r="P14" s="59"/>
      <c r="Q14" s="59"/>
      <c r="R14" s="59"/>
      <c r="S14" s="59"/>
    </row>
    <row r="15" spans="1:20" x14ac:dyDescent="0.2">
      <c r="B15" s="298" t="s">
        <v>220</v>
      </c>
      <c r="C15" s="299"/>
      <c r="D15" s="300"/>
      <c r="G15" s="38">
        <v>3.1803234994913527</v>
      </c>
      <c r="H15" s="28">
        <v>1.9022610213663405</v>
      </c>
      <c r="I15" s="28">
        <v>0.43371551287152565</v>
      </c>
      <c r="K15" t="s">
        <v>221</v>
      </c>
      <c r="L15" s="60">
        <v>-0.5</v>
      </c>
      <c r="M15" s="60">
        <v>-0.25</v>
      </c>
      <c r="N15" s="60">
        <v>-0.1</v>
      </c>
      <c r="O15" s="60">
        <v>-0.05</v>
      </c>
      <c r="P15" t="s">
        <v>222</v>
      </c>
      <c r="Q15" s="60">
        <v>0.05</v>
      </c>
      <c r="R15" s="60">
        <v>0.25</v>
      </c>
      <c r="S15" s="60"/>
    </row>
    <row r="16" spans="1:20" x14ac:dyDescent="0.2">
      <c r="B16" s="28">
        <v>1</v>
      </c>
      <c r="C16" s="39">
        <v>0.35895963378136081</v>
      </c>
      <c r="D16" s="39">
        <v>4.6664752391576902</v>
      </c>
      <c r="G16" s="38">
        <v>10.001017293997965</v>
      </c>
      <c r="H16" s="28">
        <v>0.60491900479449623</v>
      </c>
      <c r="I16" s="28">
        <v>0.13792153309314514</v>
      </c>
      <c r="K16" t="s">
        <v>223</v>
      </c>
      <c r="L16" s="60">
        <v>-0.5</v>
      </c>
      <c r="M16" s="60">
        <v>-0.16</v>
      </c>
      <c r="N16" s="60">
        <v>-0.09</v>
      </c>
      <c r="O16" s="60">
        <v>-0.05</v>
      </c>
      <c r="P16" t="s">
        <v>222</v>
      </c>
      <c r="Q16" s="60">
        <v>0.05</v>
      </c>
      <c r="R16" s="60">
        <v>0.16</v>
      </c>
      <c r="S16" s="60"/>
    </row>
    <row r="17" spans="2:9" x14ac:dyDescent="0.2">
      <c r="B17" s="28">
        <v>2</v>
      </c>
      <c r="C17" s="39">
        <v>0.18245481689068041</v>
      </c>
      <c r="D17" s="39">
        <v>1.209032326391144</v>
      </c>
      <c r="G17" s="38">
        <v>16.821711088504575</v>
      </c>
      <c r="H17" s="28">
        <v>0.35964269012752453</v>
      </c>
      <c r="I17" s="28">
        <v>8.19985333490756E-2</v>
      </c>
    </row>
    <row r="18" spans="2:9" x14ac:dyDescent="0.2">
      <c r="B18" s="28">
        <v>3</v>
      </c>
      <c r="C18" s="39">
        <v>0.12361987792712027</v>
      </c>
      <c r="D18" s="39">
        <v>1.0614590208889145</v>
      </c>
      <c r="G18" s="297" t="s">
        <v>224</v>
      </c>
      <c r="H18" s="297"/>
      <c r="I18" s="297"/>
    </row>
    <row r="19" spans="2:9" x14ac:dyDescent="0.2">
      <c r="B19" s="28">
        <v>4</v>
      </c>
      <c r="C19" s="39">
        <v>9.4202408445340197E-2</v>
      </c>
      <c r="D19" s="39">
        <v>0.99350336813779971</v>
      </c>
      <c r="G19" s="38">
        <v>3.1803234994913527</v>
      </c>
      <c r="H19" s="28">
        <v>1.9022610213663405</v>
      </c>
      <c r="I19" s="28">
        <v>0.41218381546372984</v>
      </c>
    </row>
    <row r="20" spans="2:9" x14ac:dyDescent="0.2">
      <c r="B20" s="28">
        <v>5</v>
      </c>
      <c r="C20" s="39">
        <v>7.6551926756272162E-2</v>
      </c>
      <c r="D20" s="39">
        <v>0.95739477648713078</v>
      </c>
      <c r="G20" s="38">
        <v>10.001017293997965</v>
      </c>
      <c r="H20" s="28">
        <v>0.60491900479449623</v>
      </c>
      <c r="I20" s="28">
        <v>0.13107445331746609</v>
      </c>
    </row>
    <row r="21" spans="2:9" x14ac:dyDescent="0.2">
      <c r="B21" s="298" t="s">
        <v>225</v>
      </c>
      <c r="C21" s="299"/>
      <c r="D21" s="299"/>
      <c r="G21" s="38">
        <v>16.821711088504575</v>
      </c>
      <c r="H21" s="28">
        <v>0.35964269012752453</v>
      </c>
      <c r="I21" s="28">
        <v>7.7927736811811005E-2</v>
      </c>
    </row>
    <row r="22" spans="2:9" x14ac:dyDescent="0.2">
      <c r="B22" s="28">
        <v>1</v>
      </c>
      <c r="C22" s="39">
        <v>0.39887386213102816</v>
      </c>
      <c r="D22" s="39">
        <v>47.880182893674011</v>
      </c>
      <c r="G22" s="297" t="s">
        <v>226</v>
      </c>
      <c r="H22" s="297"/>
      <c r="I22" s="297"/>
    </row>
    <row r="23" spans="2:9" x14ac:dyDescent="0.2">
      <c r="B23" s="28">
        <v>2</v>
      </c>
      <c r="C23" s="39">
        <v>0.20792443106551409</v>
      </c>
      <c r="D23" s="39">
        <v>9.9647748019916644</v>
      </c>
      <c r="G23" s="38">
        <v>3.1803234994913527</v>
      </c>
      <c r="H23" s="28">
        <v>1.9022610213663405</v>
      </c>
      <c r="I23" s="28">
        <v>0.32177925461495932</v>
      </c>
    </row>
    <row r="24" spans="2:9" x14ac:dyDescent="0.2">
      <c r="B24" s="28">
        <v>3</v>
      </c>
      <c r="C24" s="39">
        <v>0.14427462071034272</v>
      </c>
      <c r="D24" s="39">
        <v>6.9208222325423039</v>
      </c>
      <c r="G24" s="38">
        <v>10.001017293997965</v>
      </c>
      <c r="H24" s="28">
        <v>0.60491900479449623</v>
      </c>
      <c r="I24" s="28">
        <v>0.10232580296755707</v>
      </c>
    </row>
    <row r="25" spans="2:9" x14ac:dyDescent="0.2">
      <c r="B25" s="28">
        <v>4</v>
      </c>
      <c r="C25" s="39">
        <v>0.11244971553275704</v>
      </c>
      <c r="D25" s="39">
        <v>5.3992261878176251</v>
      </c>
      <c r="G25" s="38">
        <v>16.821711088504575</v>
      </c>
      <c r="H25" s="28">
        <v>0.35964269012752453</v>
      </c>
      <c r="I25" s="28">
        <v>6.0835792489629656E-2</v>
      </c>
    </row>
    <row r="26" spans="2:9" x14ac:dyDescent="0.2">
      <c r="B26" s="28">
        <v>5</v>
      </c>
      <c r="C26" s="39">
        <v>9.3354772426205629E-2</v>
      </c>
      <c r="D26" s="39">
        <v>4.4865727529828181</v>
      </c>
    </row>
    <row r="27" spans="2:9" x14ac:dyDescent="0.2">
      <c r="B27" s="298" t="s">
        <v>227</v>
      </c>
      <c r="C27" s="299"/>
      <c r="D27" s="300"/>
    </row>
    <row r="28" spans="2:9" x14ac:dyDescent="0.2">
      <c r="B28" s="28">
        <v>1</v>
      </c>
      <c r="C28" s="39">
        <v>0.14525343320455067</v>
      </c>
      <c r="D28" s="39">
        <v>1.8882946316591587</v>
      </c>
    </row>
    <row r="29" spans="2:9" x14ac:dyDescent="0.2">
      <c r="B29" s="28">
        <v>2</v>
      </c>
      <c r="C29" s="39">
        <v>7.2626716602275335E-2</v>
      </c>
      <c r="D29" s="39">
        <v>0.27948900361556722</v>
      </c>
    </row>
    <row r="30" spans="2:9" x14ac:dyDescent="0.2">
      <c r="B30" s="297" t="s">
        <v>228</v>
      </c>
      <c r="C30" s="297"/>
      <c r="D30" s="297"/>
    </row>
    <row r="31" spans="2:9" x14ac:dyDescent="0.2">
      <c r="B31" s="28">
        <v>1</v>
      </c>
      <c r="C31" s="39">
        <v>1.2999999999999999E-2</v>
      </c>
      <c r="D31" s="39">
        <v>0.1696</v>
      </c>
    </row>
    <row r="32" spans="2:9" x14ac:dyDescent="0.2">
      <c r="B32" s="297" t="s">
        <v>229</v>
      </c>
      <c r="C32" s="297"/>
      <c r="D32" s="297"/>
    </row>
    <row r="33" spans="2:4" x14ac:dyDescent="0.2">
      <c r="B33" s="28">
        <v>1</v>
      </c>
      <c r="C33" s="39">
        <v>2.8299999999999999E-2</v>
      </c>
      <c r="D33" s="39">
        <v>0.36759999999999998</v>
      </c>
    </row>
    <row r="34" spans="2:4" x14ac:dyDescent="0.2">
      <c r="B34" s="297" t="s">
        <v>230</v>
      </c>
      <c r="C34" s="297"/>
      <c r="D34" s="297"/>
    </row>
    <row r="35" spans="2:4" x14ac:dyDescent="0.2">
      <c r="B35" s="38">
        <v>24.843550271669709</v>
      </c>
      <c r="C35" s="28">
        <v>0.18275687780632588</v>
      </c>
      <c r="D35" s="28">
        <v>2.3758394114822361E-3</v>
      </c>
    </row>
    <row r="36" spans="2:4" x14ac:dyDescent="0.2">
      <c r="B36" s="38">
        <v>78.124371923489647</v>
      </c>
      <c r="C36" s="28">
        <v>5.8116687142411631E-2</v>
      </c>
      <c r="D36" s="28">
        <v>7.555169328513512E-4</v>
      </c>
    </row>
    <row r="37" spans="2:4" x14ac:dyDescent="0.2">
      <c r="B37" s="38">
        <v>131.4051935753096</v>
      </c>
      <c r="C37" s="28">
        <v>3.4552132664929625E-2</v>
      </c>
      <c r="D37" s="28">
        <v>4.4917772464408512E-4</v>
      </c>
    </row>
    <row r="38" spans="2:4" x14ac:dyDescent="0.2">
      <c r="B38" s="297" t="s">
        <v>231</v>
      </c>
      <c r="C38" s="297"/>
      <c r="D38" s="297"/>
    </row>
    <row r="39" spans="2:4" x14ac:dyDescent="0.2">
      <c r="B39" s="38">
        <v>27.330384523586883</v>
      </c>
      <c r="C39" s="28">
        <v>0.50074345357134165</v>
      </c>
      <c r="D39" s="28">
        <v>6.5096648964274402E-3</v>
      </c>
    </row>
    <row r="40" spans="2:4" x14ac:dyDescent="0.2">
      <c r="B40" s="38">
        <v>85.944605420084528</v>
      </c>
      <c r="C40" s="28">
        <v>0.15923641823568666</v>
      </c>
      <c r="D40" s="28">
        <v>2.0700734370639262E-3</v>
      </c>
    </row>
    <row r="41" spans="2:4" x14ac:dyDescent="0.2">
      <c r="B41" s="38">
        <v>144.55882631658216</v>
      </c>
      <c r="C41" s="28">
        <v>9.4670878855937377E-2</v>
      </c>
      <c r="D41" s="28">
        <v>1.2307214251271858E-3</v>
      </c>
    </row>
    <row r="42" spans="2:4" x14ac:dyDescent="0.2">
      <c r="B42" s="297" t="s">
        <v>232</v>
      </c>
      <c r="C42" s="297"/>
      <c r="D42" s="297"/>
    </row>
    <row r="43" spans="2:4" x14ac:dyDescent="0.2">
      <c r="B43" s="38">
        <v>77.636094598967844</v>
      </c>
      <c r="C43" s="28">
        <v>0.29096890701865491</v>
      </c>
      <c r="D43" s="28">
        <v>3.7825957912425139E-3</v>
      </c>
    </row>
    <row r="44" spans="2:4" x14ac:dyDescent="0.2">
      <c r="B44" s="38">
        <v>244.13866226090514</v>
      </c>
      <c r="C44" s="28">
        <v>9.2528112431932277E-2</v>
      </c>
      <c r="D44" s="28">
        <v>1.2028654616151196E-3</v>
      </c>
    </row>
    <row r="45" spans="2:4" x14ac:dyDescent="0.2">
      <c r="B45" s="38">
        <v>410.6412299228424</v>
      </c>
      <c r="C45" s="28">
        <v>5.5010768389971633E-2</v>
      </c>
      <c r="D45" s="28">
        <v>7.1513998906963126E-4</v>
      </c>
    </row>
    <row r="46" spans="2:4" x14ac:dyDescent="0.2">
      <c r="B46" s="297" t="s">
        <v>233</v>
      </c>
      <c r="C46" s="297"/>
      <c r="D46" s="297"/>
    </row>
    <row r="47" spans="2:4" x14ac:dyDescent="0.2">
      <c r="B47" s="38">
        <v>27.330384523586883</v>
      </c>
      <c r="C47" s="28">
        <v>0.80236798999198977</v>
      </c>
      <c r="D47" s="28">
        <v>0.21387280902623976</v>
      </c>
    </row>
    <row r="48" spans="2:4" x14ac:dyDescent="0.2">
      <c r="B48" s="38">
        <v>85.944605420084528</v>
      </c>
      <c r="C48" s="28">
        <v>0.25515302081745278</v>
      </c>
      <c r="D48" s="28">
        <v>6.8011553270344249E-2</v>
      </c>
    </row>
    <row r="49" spans="2:4" x14ac:dyDescent="0.2">
      <c r="B49" s="38">
        <v>144.55882631658216</v>
      </c>
      <c r="C49" s="28">
        <v>0.15169620738255221</v>
      </c>
      <c r="D49" s="28">
        <v>4.0434930600680298E-2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v>0.49972855049941872</v>
      </c>
      <c r="D53">
        <v>0.1293414990401518</v>
      </c>
    </row>
    <row r="54" spans="2:4" x14ac:dyDescent="0.2">
      <c r="B54" s="302" t="s">
        <v>248</v>
      </c>
      <c r="C54" s="303"/>
      <c r="D54" s="303"/>
    </row>
    <row r="55" spans="2:4" x14ac:dyDescent="0.2">
      <c r="C55" s="122">
        <v>0.32074692930749693</v>
      </c>
      <c r="D55" s="122">
        <v>8.3016847061663956E-2</v>
      </c>
    </row>
    <row r="56" spans="2:4" x14ac:dyDescent="0.2">
      <c r="B56" s="301" t="s">
        <v>249</v>
      </c>
      <c r="C56" s="301"/>
      <c r="D56" s="301"/>
    </row>
    <row r="57" spans="2:4" x14ac:dyDescent="0.2">
      <c r="C57" s="122">
        <v>0.2173219473855777</v>
      </c>
      <c r="D57" s="122">
        <v>5.624802989760002E-2</v>
      </c>
    </row>
  </sheetData>
  <mergeCells count="28">
    <mergeCell ref="B50:D50"/>
    <mergeCell ref="B52:D52"/>
    <mergeCell ref="B32:D32"/>
    <mergeCell ref="B34:D34"/>
    <mergeCell ref="B38:D38"/>
    <mergeCell ref="B42:D42"/>
    <mergeCell ref="B46:D46"/>
    <mergeCell ref="B21:D21"/>
    <mergeCell ref="G18:I18"/>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7503-A7BC-4818-993C-371C933BE09A}">
  <dimension ref="A1:T53"/>
  <sheetViews>
    <sheetView zoomScale="80" zoomScaleNormal="80" workbookViewId="0">
      <selection activeCell="E49" sqref="E49"/>
    </sheetView>
  </sheetViews>
  <sheetFormatPr baseColWidth="10" defaultColWidth="11.5" defaultRowHeight="15" x14ac:dyDescent="0.2"/>
  <cols>
    <col min="1" max="1" width="13.5" customWidth="1"/>
    <col min="2" max="2" width="19.1640625" customWidth="1"/>
    <col min="3" max="3" width="23.5" customWidth="1"/>
    <col min="4" max="4" width="23.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117</v>
      </c>
    </row>
    <row r="2" spans="1:20" ht="16" thickBot="1" x14ac:dyDescent="0.25"/>
    <row r="3" spans="1:20" ht="16" thickBot="1" x14ac:dyDescent="0.25">
      <c r="B3" s="282" t="s">
        <v>66</v>
      </c>
      <c r="C3" s="283"/>
      <c r="D3" s="284"/>
      <c r="G3" s="282" t="s">
        <v>190</v>
      </c>
      <c r="H3" s="283"/>
      <c r="I3" s="284"/>
      <c r="K3" s="61" t="s">
        <v>191</v>
      </c>
      <c r="L3" s="67" t="s">
        <v>192</v>
      </c>
      <c r="M3" s="69" t="s">
        <v>193</v>
      </c>
      <c r="N3" s="71" t="s">
        <v>194</v>
      </c>
      <c r="O3" s="73" t="s">
        <v>195</v>
      </c>
      <c r="P3" s="65" t="s">
        <v>196</v>
      </c>
      <c r="Q3" s="66" t="s">
        <v>197</v>
      </c>
      <c r="R3" s="75" t="s">
        <v>198</v>
      </c>
      <c r="S3" s="77" t="s">
        <v>199</v>
      </c>
      <c r="T3" s="55" t="s">
        <v>200</v>
      </c>
    </row>
    <row r="4" spans="1:20" ht="14.5" customHeight="1" x14ac:dyDescent="0.2">
      <c r="B4" s="288" t="s">
        <v>201</v>
      </c>
      <c r="C4" s="290" t="s">
        <v>204</v>
      </c>
      <c r="D4" s="290" t="s">
        <v>203</v>
      </c>
      <c r="E4" s="3"/>
      <c r="F4" s="4"/>
      <c r="G4" s="290" t="s">
        <v>201</v>
      </c>
      <c r="H4" s="290" t="s">
        <v>204</v>
      </c>
      <c r="I4" s="290" t="s">
        <v>203</v>
      </c>
      <c r="K4" s="62" t="s">
        <v>205</v>
      </c>
      <c r="L4" s="68">
        <f>P4*0.5</f>
        <v>403</v>
      </c>
      <c r="M4" s="70">
        <f>P4*0.75</f>
        <v>604.5</v>
      </c>
      <c r="N4" s="72">
        <f>P4*0.9</f>
        <v>725.4</v>
      </c>
      <c r="O4" s="74">
        <f>P4*0.95</f>
        <v>765.69999999999993</v>
      </c>
      <c r="P4" s="63">
        <v>806</v>
      </c>
      <c r="Q4" s="64">
        <f>P4*1.05</f>
        <v>846.30000000000007</v>
      </c>
      <c r="R4" s="76">
        <f>P4*1.25</f>
        <v>1007.5</v>
      </c>
      <c r="S4" s="78" t="s">
        <v>206</v>
      </c>
      <c r="T4" s="56" t="s">
        <v>86</v>
      </c>
    </row>
    <row r="5" spans="1:20" ht="16" thickBot="1" x14ac:dyDescent="0.25">
      <c r="B5" s="289"/>
      <c r="C5" s="291"/>
      <c r="D5" s="291"/>
      <c r="E5" s="3"/>
      <c r="F5" s="4"/>
      <c r="G5" s="291"/>
      <c r="H5" s="291"/>
      <c r="I5" s="291"/>
      <c r="K5" s="62" t="s">
        <v>87</v>
      </c>
      <c r="L5" s="68">
        <f>P5*0.5</f>
        <v>2727.5</v>
      </c>
      <c r="M5" s="70">
        <f>P5*0.75</f>
        <v>4091.25</v>
      </c>
      <c r="N5" s="72">
        <f>P5*0.9</f>
        <v>4909.5</v>
      </c>
      <c r="O5" s="74">
        <f>P5*0.95</f>
        <v>5182.25</v>
      </c>
      <c r="P5" s="63">
        <v>5455</v>
      </c>
      <c r="Q5" s="64">
        <f>P5*1.05</f>
        <v>5727.75</v>
      </c>
      <c r="R5" s="76">
        <f>P5*1.25</f>
        <v>6818.75</v>
      </c>
      <c r="S5" s="78"/>
      <c r="T5" s="56" t="s">
        <v>86</v>
      </c>
    </row>
    <row r="6" spans="1:20" x14ac:dyDescent="0.2">
      <c r="B6" s="309" t="s">
        <v>207</v>
      </c>
      <c r="C6" s="310"/>
      <c r="D6" s="311"/>
      <c r="G6" s="309"/>
      <c r="H6" s="310"/>
      <c r="I6" s="311"/>
      <c r="K6" s="62" t="s">
        <v>209</v>
      </c>
      <c r="L6" s="68">
        <f t="shared" ref="L6:N6" si="0">L4+L5</f>
        <v>3130.5</v>
      </c>
      <c r="M6" s="70">
        <f t="shared" si="0"/>
        <v>4695.75</v>
      </c>
      <c r="N6" s="72">
        <f t="shared" si="0"/>
        <v>5634.9</v>
      </c>
      <c r="O6" s="74">
        <f>O4+O5</f>
        <v>5947.95</v>
      </c>
      <c r="P6" s="63">
        <f>P5+P4</f>
        <v>6261</v>
      </c>
      <c r="Q6" s="64">
        <f t="shared" ref="Q6:R6" si="1">Q4+Q5</f>
        <v>6574.05</v>
      </c>
      <c r="R6" s="76">
        <f t="shared" si="1"/>
        <v>7826.25</v>
      </c>
      <c r="S6" s="78"/>
      <c r="T6" s="56" t="s">
        <v>86</v>
      </c>
    </row>
    <row r="7" spans="1:20" x14ac:dyDescent="0.2">
      <c r="B7" s="28">
        <v>1</v>
      </c>
      <c r="C7" s="39">
        <v>0.72919999999999996</v>
      </c>
      <c r="D7" s="39">
        <v>0.1875</v>
      </c>
      <c r="G7" s="38"/>
      <c r="H7" s="28"/>
      <c r="I7" s="28"/>
      <c r="K7" s="62" t="s">
        <v>210</v>
      </c>
      <c r="L7" s="68">
        <f>P7*0.5</f>
        <v>3213.5</v>
      </c>
      <c r="M7" s="70">
        <f>P7*0.84</f>
        <v>5398.6799999999994</v>
      </c>
      <c r="N7" s="72">
        <f>P7*0.91</f>
        <v>5848.5700000000006</v>
      </c>
      <c r="O7" s="74">
        <f>P7*0.95</f>
        <v>6105.65</v>
      </c>
      <c r="P7" s="63">
        <v>6427</v>
      </c>
      <c r="Q7" s="64">
        <f>P7*1.05</f>
        <v>6748.35</v>
      </c>
      <c r="R7" s="76">
        <f>P7*1.16</f>
        <v>7455.32</v>
      </c>
      <c r="S7" s="78"/>
      <c r="T7" s="56" t="s">
        <v>86</v>
      </c>
    </row>
    <row r="8" spans="1:20" x14ac:dyDescent="0.2">
      <c r="B8" s="28">
        <v>2</v>
      </c>
      <c r="C8" s="39">
        <v>0.38059999999999999</v>
      </c>
      <c r="D8" s="39">
        <v>7.4399999999999994E-2</v>
      </c>
      <c r="G8" s="38"/>
      <c r="H8" s="28"/>
      <c r="I8" s="28"/>
      <c r="K8" s="79" t="s">
        <v>211</v>
      </c>
      <c r="L8" s="80">
        <f t="shared" ref="L8:O8" si="2">L7+L6</f>
        <v>6344</v>
      </c>
      <c r="M8" s="81">
        <f t="shared" si="2"/>
        <v>10094.43</v>
      </c>
      <c r="N8" s="82">
        <f t="shared" si="2"/>
        <v>11483.470000000001</v>
      </c>
      <c r="O8" s="83">
        <f t="shared" si="2"/>
        <v>12053.599999999999</v>
      </c>
      <c r="P8" s="84">
        <f>P7+P6</f>
        <v>12688</v>
      </c>
      <c r="Q8" s="85">
        <f t="shared" ref="Q8:R8" si="3">Q7+Q6</f>
        <v>13322.400000000001</v>
      </c>
      <c r="R8" s="86">
        <f t="shared" si="3"/>
        <v>15281.57</v>
      </c>
      <c r="S8" s="87"/>
      <c r="T8" s="88" t="s">
        <v>86</v>
      </c>
    </row>
    <row r="9" spans="1:20" x14ac:dyDescent="0.2">
      <c r="B9" s="28">
        <v>3</v>
      </c>
      <c r="C9" s="39">
        <v>0.26440000000000002</v>
      </c>
      <c r="D9" s="39">
        <v>5.3800000000000001E-2</v>
      </c>
      <c r="G9" s="38"/>
      <c r="H9" s="28"/>
      <c r="I9" s="28"/>
      <c r="K9" s="62" t="s">
        <v>212</v>
      </c>
      <c r="L9" s="68">
        <f>P9*0.5</f>
        <v>103</v>
      </c>
      <c r="M9" s="70">
        <f>P9*0.75</f>
        <v>154.5</v>
      </c>
      <c r="N9" s="72">
        <f>P9*0.9</f>
        <v>185.4</v>
      </c>
      <c r="O9" s="74">
        <f>P9*0.95</f>
        <v>195.7</v>
      </c>
      <c r="P9" s="63">
        <v>206</v>
      </c>
      <c r="Q9" s="64">
        <f>P9*1.05</f>
        <v>216.3</v>
      </c>
      <c r="R9" s="76">
        <f>P9*1.25</f>
        <v>257.5</v>
      </c>
      <c r="S9" s="78"/>
      <c r="T9" s="56" t="s">
        <v>91</v>
      </c>
    </row>
    <row r="10" spans="1:20" x14ac:dyDescent="0.2">
      <c r="B10" s="28">
        <v>4</v>
      </c>
      <c r="C10" s="39">
        <v>0.20630000000000001</v>
      </c>
      <c r="D10" s="39">
        <v>4.36E-2</v>
      </c>
      <c r="G10" s="298"/>
      <c r="H10" s="299"/>
      <c r="I10" s="300"/>
      <c r="K10" s="62" t="s">
        <v>214</v>
      </c>
      <c r="L10" s="68">
        <f>P10*0.5</f>
        <v>322</v>
      </c>
      <c r="M10" s="70">
        <f>P10*0.75</f>
        <v>483</v>
      </c>
      <c r="N10" s="72">
        <f>P10*0.9</f>
        <v>579.6</v>
      </c>
      <c r="O10" s="74">
        <f>P10*0.95</f>
        <v>611.79999999999995</v>
      </c>
      <c r="P10" s="63">
        <v>644</v>
      </c>
      <c r="Q10" s="64">
        <f>P10*1.05</f>
        <v>676.2</v>
      </c>
      <c r="R10" s="76">
        <f>P10*1.25</f>
        <v>805</v>
      </c>
      <c r="S10" s="78"/>
      <c r="T10" s="56" t="s">
        <v>91</v>
      </c>
    </row>
    <row r="11" spans="1:20" x14ac:dyDescent="0.2">
      <c r="B11" s="28">
        <v>5</v>
      </c>
      <c r="C11" s="39">
        <v>0.1714</v>
      </c>
      <c r="D11" s="39">
        <v>3.7600000000000001E-2</v>
      </c>
      <c r="G11" s="38"/>
      <c r="H11" s="28"/>
      <c r="I11" s="28"/>
      <c r="K11" s="62" t="s">
        <v>215</v>
      </c>
      <c r="L11" s="68">
        <f t="shared" ref="L11:N11" si="4">L9+L10</f>
        <v>425</v>
      </c>
      <c r="M11" s="70">
        <f t="shared" si="4"/>
        <v>637.5</v>
      </c>
      <c r="N11" s="72">
        <f t="shared" si="4"/>
        <v>765</v>
      </c>
      <c r="O11" s="74">
        <f>O9+O10</f>
        <v>807.5</v>
      </c>
      <c r="P11" s="63">
        <f>P9+P10</f>
        <v>850</v>
      </c>
      <c r="Q11" s="64">
        <f t="shared" ref="Q11:R11" si="5">Q9+Q10</f>
        <v>892.5</v>
      </c>
      <c r="R11" s="76">
        <f t="shared" si="5"/>
        <v>1062.5</v>
      </c>
      <c r="S11" s="78"/>
      <c r="T11" s="56" t="s">
        <v>91</v>
      </c>
    </row>
    <row r="12" spans="1:20" x14ac:dyDescent="0.2">
      <c r="B12" s="298" t="s">
        <v>216</v>
      </c>
      <c r="C12" s="299"/>
      <c r="D12" s="300"/>
      <c r="G12" s="38"/>
      <c r="H12" s="28"/>
      <c r="I12" s="28"/>
      <c r="K12" s="62" t="s">
        <v>217</v>
      </c>
      <c r="L12" s="68">
        <f>P12*0.5</f>
        <v>815.5</v>
      </c>
      <c r="M12" s="70">
        <f>P12*0.84</f>
        <v>1370.04</v>
      </c>
      <c r="N12" s="72">
        <f>P12*0.91</f>
        <v>1484.21</v>
      </c>
      <c r="O12" s="74">
        <f>P12*0.95</f>
        <v>1549.4499999999998</v>
      </c>
      <c r="P12" s="63">
        <v>1631</v>
      </c>
      <c r="Q12" s="64">
        <f>P12*1.05</f>
        <v>1712.5500000000002</v>
      </c>
      <c r="R12" s="76">
        <f>P12*1.16</f>
        <v>1891.9599999999998</v>
      </c>
      <c r="S12" s="78"/>
      <c r="T12" s="56" t="s">
        <v>91</v>
      </c>
    </row>
    <row r="13" spans="1:20" ht="16" thickBot="1" x14ac:dyDescent="0.25">
      <c r="B13" s="28">
        <v>1</v>
      </c>
      <c r="C13" s="39">
        <v>0.43730000000000002</v>
      </c>
      <c r="D13" s="39">
        <v>0.1124</v>
      </c>
      <c r="G13" s="38"/>
      <c r="H13" s="28"/>
      <c r="I13" s="28"/>
      <c r="K13" s="89" t="s">
        <v>218</v>
      </c>
      <c r="L13" s="90">
        <f t="shared" ref="L13:O13" si="6">L12+L11</f>
        <v>1240.5</v>
      </c>
      <c r="M13" s="91">
        <f t="shared" si="6"/>
        <v>2007.54</v>
      </c>
      <c r="N13" s="92">
        <f t="shared" si="6"/>
        <v>2249.21</v>
      </c>
      <c r="O13" s="93">
        <f t="shared" si="6"/>
        <v>2356.9499999999998</v>
      </c>
      <c r="P13" s="94">
        <f>P12+P11</f>
        <v>2481</v>
      </c>
      <c r="Q13" s="95">
        <f t="shared" ref="Q13:R13" si="7">Q12+Q11</f>
        <v>2605.0500000000002</v>
      </c>
      <c r="R13" s="96">
        <f t="shared" si="7"/>
        <v>2954.46</v>
      </c>
      <c r="S13" s="97"/>
      <c r="T13" s="98" t="s">
        <v>91</v>
      </c>
    </row>
    <row r="14" spans="1:20" x14ac:dyDescent="0.2">
      <c r="B14" s="28">
        <v>2</v>
      </c>
      <c r="C14" s="39">
        <v>0.2346</v>
      </c>
      <c r="D14" s="39">
        <v>6.0299999999999999E-2</v>
      </c>
      <c r="G14" s="298"/>
      <c r="H14" s="299"/>
      <c r="I14" s="300"/>
      <c r="L14" s="59"/>
      <c r="M14" s="59"/>
      <c r="N14" s="59"/>
      <c r="O14" s="59"/>
      <c r="P14" s="59"/>
      <c r="Q14" s="59"/>
      <c r="R14" s="59"/>
      <c r="S14" s="59"/>
    </row>
    <row r="15" spans="1:20" x14ac:dyDescent="0.2">
      <c r="B15" s="298" t="s">
        <v>220</v>
      </c>
      <c r="C15" s="299"/>
      <c r="D15" s="300"/>
      <c r="G15" s="38"/>
      <c r="H15" s="28"/>
      <c r="I15" s="28"/>
      <c r="K15" t="s">
        <v>221</v>
      </c>
      <c r="L15" s="60">
        <v>-0.5</v>
      </c>
      <c r="M15" s="60">
        <v>-0.25</v>
      </c>
      <c r="N15" s="60">
        <v>-0.1</v>
      </c>
      <c r="O15" s="60">
        <v>-0.05</v>
      </c>
      <c r="P15" t="s">
        <v>222</v>
      </c>
      <c r="Q15" s="60">
        <v>0.05</v>
      </c>
      <c r="R15" s="60">
        <v>0.25</v>
      </c>
      <c r="S15" s="60"/>
    </row>
    <row r="16" spans="1:20" x14ac:dyDescent="0.2">
      <c r="B16" s="28">
        <v>1</v>
      </c>
      <c r="C16" s="39">
        <v>0.35239999999999999</v>
      </c>
      <c r="D16" s="39">
        <v>7.7200000000000005E-2</v>
      </c>
      <c r="G16" s="38"/>
      <c r="H16" s="28"/>
      <c r="I16" s="28"/>
      <c r="K16" t="s">
        <v>223</v>
      </c>
      <c r="L16" s="60">
        <v>-0.5</v>
      </c>
      <c r="M16" s="60">
        <v>-0.16</v>
      </c>
      <c r="N16" s="60">
        <v>-0.09</v>
      </c>
      <c r="O16" s="60">
        <v>-0.05</v>
      </c>
      <c r="P16" t="s">
        <v>222</v>
      </c>
      <c r="Q16" s="60">
        <v>0.05</v>
      </c>
      <c r="R16" s="60">
        <v>0.16</v>
      </c>
      <c r="S16" s="60"/>
    </row>
    <row r="17" spans="2:9" x14ac:dyDescent="0.2">
      <c r="B17" s="28">
        <v>2</v>
      </c>
      <c r="C17" s="39">
        <v>0.1792</v>
      </c>
      <c r="D17" s="39">
        <v>3.9699999999999999E-2</v>
      </c>
      <c r="G17" s="38"/>
      <c r="H17" s="28"/>
      <c r="I17" s="28"/>
    </row>
    <row r="18" spans="2:9" x14ac:dyDescent="0.2">
      <c r="B18" s="28">
        <v>3</v>
      </c>
      <c r="C18" s="39">
        <v>0.12139999999999999</v>
      </c>
      <c r="D18" s="39">
        <v>2.7199999999999998E-2</v>
      </c>
      <c r="G18" s="298" t="s">
        <v>240</v>
      </c>
      <c r="H18" s="299"/>
      <c r="I18" s="300"/>
    </row>
    <row r="19" spans="2:9" x14ac:dyDescent="0.2">
      <c r="B19" s="28">
        <v>4</v>
      </c>
      <c r="C19" s="39">
        <v>9.2600000000000002E-2</v>
      </c>
      <c r="D19" s="39">
        <v>2.0899999999999998E-2</v>
      </c>
      <c r="G19" s="38">
        <v>8</v>
      </c>
      <c r="H19" s="28">
        <v>0.68149000000000004</v>
      </c>
      <c r="I19" s="28">
        <v>0.17872399999999999</v>
      </c>
    </row>
    <row r="20" spans="2:9" x14ac:dyDescent="0.2">
      <c r="B20" s="28">
        <v>5</v>
      </c>
      <c r="C20" s="39">
        <v>7.5200000000000003E-2</v>
      </c>
      <c r="D20" s="39">
        <v>1.7100000000000001E-2</v>
      </c>
      <c r="G20" s="38">
        <v>28</v>
      </c>
      <c r="H20" s="28">
        <v>0.21672</v>
      </c>
      <c r="I20" s="28">
        <v>5.6834000000000003E-2</v>
      </c>
    </row>
    <row r="21" spans="2:9" x14ac:dyDescent="0.2">
      <c r="B21" s="298" t="s">
        <v>225</v>
      </c>
      <c r="C21" s="299"/>
      <c r="D21" s="299"/>
      <c r="G21" s="38">
        <v>48</v>
      </c>
      <c r="H21" s="28">
        <v>0.12884000000000001</v>
      </c>
      <c r="I21" s="28">
        <v>3.3789600000000003E-2</v>
      </c>
    </row>
    <row r="22" spans="2:9" x14ac:dyDescent="0.2">
      <c r="B22" s="28">
        <v>1</v>
      </c>
      <c r="C22" s="39">
        <v>0.37330000000000002</v>
      </c>
      <c r="D22" s="39">
        <v>8.8900000000000007E-2</v>
      </c>
      <c r="G22" s="298"/>
      <c r="H22" s="299"/>
      <c r="I22" s="300"/>
    </row>
    <row r="23" spans="2:9" x14ac:dyDescent="0.2">
      <c r="B23" s="28">
        <v>2</v>
      </c>
      <c r="C23" s="39">
        <v>0.1951</v>
      </c>
      <c r="D23" s="39">
        <v>1.7399999999999999E-2</v>
      </c>
      <c r="G23" s="38"/>
      <c r="H23" s="28"/>
      <c r="I23" s="28"/>
    </row>
    <row r="24" spans="2:9" x14ac:dyDescent="0.2">
      <c r="B24" s="28">
        <v>3</v>
      </c>
      <c r="C24" s="39">
        <v>0.1358</v>
      </c>
      <c r="D24" s="39">
        <v>1.21E-2</v>
      </c>
      <c r="G24" s="38"/>
      <c r="H24" s="28"/>
      <c r="I24" s="28"/>
    </row>
    <row r="25" spans="2:9" x14ac:dyDescent="0.2">
      <c r="B25" s="28">
        <v>4</v>
      </c>
      <c r="C25" s="39">
        <v>0.1061</v>
      </c>
      <c r="D25" s="39">
        <v>9.4000000000000004E-3</v>
      </c>
      <c r="G25" s="38"/>
      <c r="H25" s="28"/>
      <c r="I25" s="28"/>
    </row>
    <row r="26" spans="2:9" x14ac:dyDescent="0.2">
      <c r="B26" s="28">
        <v>5</v>
      </c>
      <c r="C26" s="39">
        <v>8.8200000000000001E-2</v>
      </c>
      <c r="D26" s="39">
        <v>7.9000000000000008E-3</v>
      </c>
    </row>
    <row r="27" spans="2:9" x14ac:dyDescent="0.2">
      <c r="B27" s="298" t="s">
        <v>227</v>
      </c>
      <c r="C27" s="299"/>
      <c r="D27" s="300"/>
    </row>
    <row r="28" spans="2:9" x14ac:dyDescent="0.2">
      <c r="B28" s="28">
        <v>1</v>
      </c>
      <c r="C28" s="39">
        <v>0.1426</v>
      </c>
      <c r="D28" s="39">
        <v>3.1199999999999999E-2</v>
      </c>
    </row>
    <row r="29" spans="2:9" x14ac:dyDescent="0.2">
      <c r="B29" s="28">
        <v>2</v>
      </c>
      <c r="C29" s="39">
        <v>7.1300000000000002E-2</v>
      </c>
      <c r="D29" s="39">
        <v>2.3999999999999998E-3</v>
      </c>
    </row>
    <row r="30" spans="2:9" x14ac:dyDescent="0.2">
      <c r="B30" s="298" t="s">
        <v>228</v>
      </c>
      <c r="C30" s="299"/>
      <c r="D30" s="299"/>
    </row>
    <row r="31" spans="2:9" x14ac:dyDescent="0.2">
      <c r="B31" s="28">
        <v>1</v>
      </c>
      <c r="C31" s="39">
        <v>1.2800000000000001E-2</v>
      </c>
      <c r="D31" s="39">
        <v>2.8E-3</v>
      </c>
    </row>
    <row r="32" spans="2:9" x14ac:dyDescent="0.2">
      <c r="B32" s="298" t="s">
        <v>229</v>
      </c>
      <c r="C32" s="299"/>
      <c r="D32" s="299"/>
    </row>
    <row r="33" spans="2:4" x14ac:dyDescent="0.2">
      <c r="B33" s="28">
        <v>1</v>
      </c>
      <c r="C33" s="39">
        <v>2.7799999999999998E-2</v>
      </c>
      <c r="D33" s="39">
        <v>6.1000000000000004E-3</v>
      </c>
    </row>
    <row r="34" spans="2:4" x14ac:dyDescent="0.2">
      <c r="B34" s="298" t="s">
        <v>231</v>
      </c>
      <c r="C34" s="299"/>
      <c r="D34" s="299"/>
    </row>
    <row r="35" spans="2:4" x14ac:dyDescent="0.2">
      <c r="B35" s="38">
        <v>18</v>
      </c>
      <c r="C35" s="39">
        <v>0.53903999999999996</v>
      </c>
      <c r="D35" s="39">
        <v>0.115859</v>
      </c>
    </row>
    <row r="36" spans="2:4" x14ac:dyDescent="0.2">
      <c r="B36" s="38">
        <v>58</v>
      </c>
      <c r="C36" s="39">
        <v>0.16823399999999999</v>
      </c>
      <c r="D36" s="39">
        <v>3.6843000000000001E-2</v>
      </c>
    </row>
    <row r="37" spans="2:4" x14ac:dyDescent="0.2">
      <c r="B37" s="38">
        <v>98</v>
      </c>
      <c r="C37" s="39">
        <v>0.10002018999999999</v>
      </c>
      <c r="D37" s="39">
        <v>2.1904E-2</v>
      </c>
    </row>
    <row r="38" spans="2:4" x14ac:dyDescent="0.2">
      <c r="B38" s="298" t="s">
        <v>232</v>
      </c>
      <c r="C38" s="299"/>
      <c r="D38" s="300"/>
    </row>
    <row r="39" spans="2:4" x14ac:dyDescent="0.2">
      <c r="B39" s="38">
        <v>71</v>
      </c>
      <c r="C39" s="39">
        <v>0.35122999999999999</v>
      </c>
      <c r="D39" s="39">
        <v>7.6919619999999994E-2</v>
      </c>
    </row>
    <row r="40" spans="2:4" x14ac:dyDescent="0.2">
      <c r="B40" s="38">
        <v>225</v>
      </c>
      <c r="C40" s="39">
        <v>0.111691</v>
      </c>
      <c r="D40" s="39">
        <v>2.4459999999999999E-2</v>
      </c>
    </row>
    <row r="41" spans="2:4" x14ac:dyDescent="0.2">
      <c r="B41" s="38">
        <v>378</v>
      </c>
      <c r="C41" s="39">
        <v>6.6403981000000001E-2</v>
      </c>
      <c r="D41" s="39">
        <v>1.4543E-2</v>
      </c>
    </row>
    <row r="42" spans="2:4" x14ac:dyDescent="0.2">
      <c r="B42" s="298" t="s">
        <v>233</v>
      </c>
      <c r="C42" s="299"/>
      <c r="D42" s="299"/>
    </row>
    <row r="43" spans="2:4" x14ac:dyDescent="0.2">
      <c r="B43" s="38">
        <v>18</v>
      </c>
      <c r="C43" s="39">
        <v>0.99565000000000003</v>
      </c>
      <c r="D43" s="39">
        <v>0.26539299999999999</v>
      </c>
    </row>
    <row r="44" spans="2:4" x14ac:dyDescent="0.2">
      <c r="B44" s="38">
        <v>58</v>
      </c>
      <c r="C44" s="39">
        <v>0.3466167</v>
      </c>
      <c r="D44" s="39">
        <v>8.4394800000000006E-2</v>
      </c>
    </row>
    <row r="45" spans="2:4" x14ac:dyDescent="0.2">
      <c r="B45" s="38">
        <v>98</v>
      </c>
      <c r="C45" s="39">
        <v>0.18823999999999999</v>
      </c>
      <c r="D45" s="39">
        <v>5.0174999999999997E-2</v>
      </c>
    </row>
    <row r="46" spans="2:4" x14ac:dyDescent="0.2">
      <c r="B46" s="304" t="s">
        <v>234</v>
      </c>
      <c r="C46" s="304"/>
      <c r="D46" s="304"/>
    </row>
    <row r="47" spans="2:4" ht="14.5" customHeight="1" x14ac:dyDescent="0.2">
      <c r="B47" s="21"/>
      <c r="C47" s="120" t="s">
        <v>250</v>
      </c>
      <c r="D47" s="121" t="s">
        <v>251</v>
      </c>
    </row>
    <row r="48" spans="2:4" ht="14.5" customHeight="1" x14ac:dyDescent="0.2">
      <c r="B48" s="301" t="s">
        <v>247</v>
      </c>
      <c r="C48" s="301"/>
      <c r="D48" s="301"/>
    </row>
    <row r="50" spans="2:4" x14ac:dyDescent="0.2">
      <c r="B50" s="302" t="s">
        <v>248</v>
      </c>
      <c r="C50" s="303"/>
      <c r="D50" s="303"/>
    </row>
    <row r="51" spans="2:4" ht="14.5" customHeight="1" x14ac:dyDescent="0.2">
      <c r="C51" s="122">
        <v>0.40601024960429821</v>
      </c>
      <c r="D51" s="122">
        <v>0.10498374879845916</v>
      </c>
    </row>
    <row r="52" spans="2:4" ht="14.5" customHeight="1" x14ac:dyDescent="0.2">
      <c r="B52" s="301" t="s">
        <v>249</v>
      </c>
      <c r="C52" s="301"/>
      <c r="D52" s="301"/>
    </row>
    <row r="53" spans="2:4" x14ac:dyDescent="0.2">
      <c r="C53" s="122">
        <v>0.3970028184439478</v>
      </c>
      <c r="D53" s="122">
        <v>0.1026546600841243</v>
      </c>
    </row>
  </sheetData>
  <mergeCells count="27">
    <mergeCell ref="B48:D48"/>
    <mergeCell ref="B32:D32"/>
    <mergeCell ref="B34:D34"/>
    <mergeCell ref="B38:D38"/>
    <mergeCell ref="B42:D42"/>
    <mergeCell ref="B46:D46"/>
    <mergeCell ref="G18:I18"/>
    <mergeCell ref="B21:D21"/>
    <mergeCell ref="G22:I22"/>
    <mergeCell ref="B27:D27"/>
    <mergeCell ref="B30:D30"/>
    <mergeCell ref="B50:D50"/>
    <mergeCell ref="B52:D52"/>
    <mergeCell ref="B3:D3"/>
    <mergeCell ref="G3:I3"/>
    <mergeCell ref="B4:B5"/>
    <mergeCell ref="C4:C5"/>
    <mergeCell ref="D4:D5"/>
    <mergeCell ref="G4:G5"/>
    <mergeCell ref="H4:H5"/>
    <mergeCell ref="I4:I5"/>
    <mergeCell ref="B6:D6"/>
    <mergeCell ref="G6:I6"/>
    <mergeCell ref="G10:I10"/>
    <mergeCell ref="B12:D12"/>
    <mergeCell ref="G14:I14"/>
    <mergeCell ref="B15:D15"/>
  </mergeCell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7C13B-DCE8-4030-943E-D6B95CC25871}">
  <dimension ref="A1:T57"/>
  <sheetViews>
    <sheetView zoomScale="80" zoomScaleNormal="80" workbookViewId="0">
      <selection activeCell="C55" sqref="C55:D55"/>
    </sheetView>
  </sheetViews>
  <sheetFormatPr baseColWidth="10" defaultColWidth="11.5" defaultRowHeight="15" x14ac:dyDescent="0.2"/>
  <cols>
    <col min="1" max="1" width="13" customWidth="1"/>
    <col min="2" max="2" width="14.33203125" customWidth="1"/>
    <col min="3" max="3" width="22.6640625" customWidth="1"/>
    <col min="4" max="4" width="20.33203125" customWidth="1"/>
    <col min="5" max="6" width="2.6640625" customWidth="1"/>
    <col min="7" max="7" width="19" customWidth="1"/>
    <col min="8" max="8" width="21.6640625" customWidth="1"/>
    <col min="9" max="9" width="21.5" customWidth="1"/>
    <col min="10" max="10" width="2.6640625" customWidth="1"/>
    <col min="11" max="11" width="20.6640625" customWidth="1"/>
    <col min="12" max="20" width="7.6640625" customWidth="1"/>
  </cols>
  <sheetData>
    <row r="1" spans="1:20" ht="20" thickBot="1" x14ac:dyDescent="0.3">
      <c r="A1" s="40" t="s">
        <v>116</v>
      </c>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202</v>
      </c>
      <c r="D4" s="292" t="s">
        <v>203</v>
      </c>
      <c r="E4" s="3"/>
      <c r="F4" s="4"/>
      <c r="G4" s="290" t="s">
        <v>201</v>
      </c>
      <c r="H4" s="290" t="s">
        <v>204</v>
      </c>
      <c r="I4" s="290" t="s">
        <v>203</v>
      </c>
      <c r="K4" s="62" t="s">
        <v>205</v>
      </c>
      <c r="L4" s="68">
        <f>P4*0.5</f>
        <v>253</v>
      </c>
      <c r="M4" s="70">
        <f>P4*0.75</f>
        <v>379.5</v>
      </c>
      <c r="N4" s="72">
        <f>P4*0.9</f>
        <v>455.40000000000003</v>
      </c>
      <c r="O4" s="74">
        <f>P4*0.95</f>
        <v>480.7</v>
      </c>
      <c r="P4" s="63">
        <v>506</v>
      </c>
      <c r="Q4" s="64">
        <f>P4*1.05</f>
        <v>531.30000000000007</v>
      </c>
      <c r="R4" s="76">
        <f>P4*1.25</f>
        <v>632.5</v>
      </c>
      <c r="S4" s="78" t="s">
        <v>206</v>
      </c>
      <c r="T4" s="56" t="s">
        <v>86</v>
      </c>
    </row>
    <row r="5" spans="1:20" ht="16" thickBot="1" x14ac:dyDescent="0.25">
      <c r="B5" s="289"/>
      <c r="C5" s="291"/>
      <c r="D5" s="293"/>
      <c r="E5" s="3"/>
      <c r="F5" s="4"/>
      <c r="G5" s="291"/>
      <c r="H5" s="291"/>
      <c r="I5" s="291"/>
      <c r="K5" s="62" t="s">
        <v>87</v>
      </c>
      <c r="L5" s="68">
        <f>P5*0.5</f>
        <v>1879</v>
      </c>
      <c r="M5" s="70">
        <f>P5*0.75</f>
        <v>2818.5</v>
      </c>
      <c r="N5" s="72">
        <f>P5*0.9</f>
        <v>3382.2000000000003</v>
      </c>
      <c r="O5" s="74">
        <f>P5*0.95</f>
        <v>3570.1</v>
      </c>
      <c r="P5" s="63">
        <v>3758</v>
      </c>
      <c r="Q5" s="64">
        <f>P5*1.05</f>
        <v>3945.9</v>
      </c>
      <c r="R5" s="76">
        <f>P5*1.25</f>
        <v>4697.5</v>
      </c>
      <c r="S5" s="78"/>
      <c r="T5" s="56" t="s">
        <v>86</v>
      </c>
    </row>
    <row r="6" spans="1:20" x14ac:dyDescent="0.2">
      <c r="B6" s="294" t="s">
        <v>207</v>
      </c>
      <c r="C6" s="295"/>
      <c r="D6" s="296"/>
      <c r="G6" s="297" t="s">
        <v>208</v>
      </c>
      <c r="H6" s="297"/>
      <c r="I6" s="297"/>
      <c r="K6" s="62" t="s">
        <v>209</v>
      </c>
      <c r="L6" s="68">
        <f t="shared" ref="L6:N6" si="0">L4+L5</f>
        <v>2132</v>
      </c>
      <c r="M6" s="70">
        <f t="shared" si="0"/>
        <v>3198</v>
      </c>
      <c r="N6" s="72">
        <f t="shared" si="0"/>
        <v>3837.6000000000004</v>
      </c>
      <c r="O6" s="74">
        <f>O4+O5</f>
        <v>4050.7999999999997</v>
      </c>
      <c r="P6" s="63">
        <f>P5+P4</f>
        <v>4264</v>
      </c>
      <c r="Q6" s="64">
        <f t="shared" ref="Q6:R6" si="1">Q4+Q5</f>
        <v>4477.2</v>
      </c>
      <c r="R6" s="76">
        <f t="shared" si="1"/>
        <v>5330</v>
      </c>
      <c r="S6" s="78"/>
      <c r="T6" s="56" t="s">
        <v>86</v>
      </c>
    </row>
    <row r="7" spans="1:20" x14ac:dyDescent="0.2">
      <c r="B7" s="28">
        <v>1</v>
      </c>
      <c r="C7" s="39">
        <v>0.65455572404656526</v>
      </c>
      <c r="D7" s="39">
        <v>158.13435533225945</v>
      </c>
      <c r="G7" s="38">
        <v>5.7332879240821475</v>
      </c>
      <c r="H7" s="28">
        <v>0.98796058136875975</v>
      </c>
      <c r="I7" s="28">
        <v>8.8916452323188372E-2</v>
      </c>
      <c r="K7" s="62" t="s">
        <v>210</v>
      </c>
      <c r="L7" s="68">
        <f>P7*0.5</f>
        <v>1170</v>
      </c>
      <c r="M7" s="70">
        <f>P7*0.84</f>
        <v>1965.6</v>
      </c>
      <c r="N7" s="72">
        <f>P7*0.91</f>
        <v>2129.4</v>
      </c>
      <c r="O7" s="74">
        <f>P7*0.95</f>
        <v>2223</v>
      </c>
      <c r="P7" s="63">
        <v>2340</v>
      </c>
      <c r="Q7" s="64">
        <f>P7*1.05</f>
        <v>2457</v>
      </c>
      <c r="R7" s="76">
        <f>P7*1.16</f>
        <v>2714.3999999999996</v>
      </c>
      <c r="S7" s="78"/>
      <c r="T7" s="56" t="s">
        <v>86</v>
      </c>
    </row>
    <row r="8" spans="1:20" x14ac:dyDescent="0.2">
      <c r="B8" s="28">
        <v>2</v>
      </c>
      <c r="C8" s="39">
        <v>0.34327786202328264</v>
      </c>
      <c r="D8" s="39">
        <v>57.030246307074371</v>
      </c>
      <c r="G8" s="38">
        <v>18.029207308434426</v>
      </c>
      <c r="H8" s="28">
        <v>0.31417146487526559</v>
      </c>
      <c r="I8" s="28">
        <v>2.8275431838773901E-2</v>
      </c>
      <c r="K8" s="79" t="s">
        <v>211</v>
      </c>
      <c r="L8" s="80">
        <f t="shared" ref="L8:O8" si="2">L7+L6</f>
        <v>3302</v>
      </c>
      <c r="M8" s="81">
        <f t="shared" si="2"/>
        <v>5163.6000000000004</v>
      </c>
      <c r="N8" s="82">
        <f t="shared" si="2"/>
        <v>5967</v>
      </c>
      <c r="O8" s="83">
        <f t="shared" si="2"/>
        <v>6273.7999999999993</v>
      </c>
      <c r="P8" s="84">
        <f>P7+P6</f>
        <v>6604</v>
      </c>
      <c r="Q8" s="85">
        <f t="shared" ref="Q8:R8" si="3">Q7+Q6</f>
        <v>6934.2</v>
      </c>
      <c r="R8" s="86">
        <f t="shared" si="3"/>
        <v>8044.4</v>
      </c>
      <c r="S8" s="87"/>
      <c r="T8" s="88" t="s">
        <v>86</v>
      </c>
    </row>
    <row r="9" spans="1:20" x14ac:dyDescent="0.2">
      <c r="B9" s="28">
        <v>3</v>
      </c>
      <c r="C9" s="39">
        <v>0.2395185746821884</v>
      </c>
      <c r="D9" s="39">
        <v>41.708412592384512</v>
      </c>
      <c r="G9" s="38">
        <v>30.325126692786704</v>
      </c>
      <c r="H9" s="28">
        <v>0.18678446187590109</v>
      </c>
      <c r="I9" s="28">
        <v>1.6810601568831095E-2</v>
      </c>
      <c r="K9" s="62" t="s">
        <v>212</v>
      </c>
      <c r="L9" s="68">
        <f>P9*0.5</f>
        <v>31.5</v>
      </c>
      <c r="M9" s="70">
        <f>P9*0.75</f>
        <v>47.25</v>
      </c>
      <c r="N9" s="72">
        <f>P9*0.9</f>
        <v>56.7</v>
      </c>
      <c r="O9" s="74">
        <f>P9*0.95</f>
        <v>59.849999999999994</v>
      </c>
      <c r="P9" s="63">
        <v>63</v>
      </c>
      <c r="Q9" s="64">
        <f>P9*1.05</f>
        <v>66.150000000000006</v>
      </c>
      <c r="R9" s="76">
        <f>P9*1.25</f>
        <v>78.75</v>
      </c>
      <c r="S9" s="78"/>
      <c r="T9" s="56" t="s">
        <v>91</v>
      </c>
    </row>
    <row r="10" spans="1:20" x14ac:dyDescent="0.2">
      <c r="B10" s="28">
        <v>4</v>
      </c>
      <c r="C10" s="39">
        <v>0.18763893101164131</v>
      </c>
      <c r="D10" s="39">
        <v>34.175495735039597</v>
      </c>
      <c r="G10" s="297" t="s">
        <v>213</v>
      </c>
      <c r="H10" s="297"/>
      <c r="I10" s="297"/>
      <c r="K10" s="62" t="s">
        <v>214</v>
      </c>
      <c r="L10" s="68">
        <f>P10*0.5</f>
        <v>379.5</v>
      </c>
      <c r="M10" s="70">
        <f>P10*0.75</f>
        <v>569.25</v>
      </c>
      <c r="N10" s="72">
        <f>P10*0.9</f>
        <v>683.1</v>
      </c>
      <c r="O10" s="74">
        <f>P10*0.95</f>
        <v>721.05</v>
      </c>
      <c r="P10" s="63">
        <v>759</v>
      </c>
      <c r="Q10" s="64">
        <f>P10*1.05</f>
        <v>796.95</v>
      </c>
      <c r="R10" s="76">
        <f>P10*1.25</f>
        <v>948.75</v>
      </c>
      <c r="S10" s="78"/>
      <c r="T10" s="56" t="s">
        <v>91</v>
      </c>
    </row>
    <row r="11" spans="1:20" x14ac:dyDescent="0.2">
      <c r="B11" s="28">
        <v>5</v>
      </c>
      <c r="C11" s="39">
        <v>0.15651114480931305</v>
      </c>
      <c r="D11" s="39">
        <v>29.758145620632643</v>
      </c>
      <c r="G11" s="38"/>
      <c r="H11" s="28"/>
      <c r="I11" s="28"/>
      <c r="K11" s="62" t="s">
        <v>215</v>
      </c>
      <c r="L11" s="68">
        <f t="shared" ref="L11:N11" si="4">L9+L10</f>
        <v>411</v>
      </c>
      <c r="M11" s="70">
        <f t="shared" si="4"/>
        <v>616.5</v>
      </c>
      <c r="N11" s="72">
        <f t="shared" si="4"/>
        <v>739.80000000000007</v>
      </c>
      <c r="O11" s="74">
        <f>O9+O10</f>
        <v>780.9</v>
      </c>
      <c r="P11" s="63">
        <f>P9+P10</f>
        <v>822</v>
      </c>
      <c r="Q11" s="64">
        <f t="shared" ref="Q11:R11" si="5">Q9+Q10</f>
        <v>863.1</v>
      </c>
      <c r="R11" s="76">
        <f t="shared" si="5"/>
        <v>1027.5</v>
      </c>
      <c r="S11" s="78"/>
      <c r="T11" s="56" t="s">
        <v>91</v>
      </c>
    </row>
    <row r="12" spans="1:20" x14ac:dyDescent="0.2">
      <c r="B12" s="298" t="s">
        <v>216</v>
      </c>
      <c r="C12" s="299"/>
      <c r="D12" s="300"/>
      <c r="G12" s="38"/>
      <c r="H12" s="28"/>
      <c r="I12" s="28"/>
      <c r="K12" s="62" t="s">
        <v>217</v>
      </c>
      <c r="L12" s="68">
        <f>P12*0.5</f>
        <v>271.5</v>
      </c>
      <c r="M12" s="70">
        <f>P12*0.84</f>
        <v>456.12</v>
      </c>
      <c r="N12" s="72">
        <f>P12*0.91</f>
        <v>494.13</v>
      </c>
      <c r="O12" s="74">
        <f>P12*0.95</f>
        <v>515.85</v>
      </c>
      <c r="P12" s="63">
        <v>543</v>
      </c>
      <c r="Q12" s="64">
        <f>P12*1.05</f>
        <v>570.15</v>
      </c>
      <c r="R12" s="76">
        <f>P12*1.16</f>
        <v>629.88</v>
      </c>
      <c r="S12" s="78"/>
      <c r="T12" s="56" t="s">
        <v>91</v>
      </c>
    </row>
    <row r="13" spans="1:20" ht="16" thickBot="1" x14ac:dyDescent="0.25">
      <c r="B13" s="28">
        <v>1</v>
      </c>
      <c r="C13" s="39">
        <v>0.40951016488134728</v>
      </c>
      <c r="D13" s="39">
        <v>98.933709608675343</v>
      </c>
      <c r="G13" s="38"/>
      <c r="H13" s="28"/>
      <c r="I13" s="28"/>
      <c r="K13" s="89" t="s">
        <v>218</v>
      </c>
      <c r="L13" s="90">
        <f t="shared" ref="L13:O13" si="6">L12+L11</f>
        <v>682.5</v>
      </c>
      <c r="M13" s="91">
        <f t="shared" si="6"/>
        <v>1072.6199999999999</v>
      </c>
      <c r="N13" s="92">
        <f t="shared" si="6"/>
        <v>1233.93</v>
      </c>
      <c r="O13" s="93">
        <f t="shared" si="6"/>
        <v>1296.75</v>
      </c>
      <c r="P13" s="94">
        <f>P12+P11</f>
        <v>1365</v>
      </c>
      <c r="Q13" s="95">
        <f t="shared" ref="Q13:R13" si="7">Q12+Q11</f>
        <v>1433.25</v>
      </c>
      <c r="R13" s="96">
        <f t="shared" si="7"/>
        <v>1657.38</v>
      </c>
      <c r="S13" s="97"/>
      <c r="T13" s="98" t="s">
        <v>91</v>
      </c>
    </row>
    <row r="14" spans="1:20" x14ac:dyDescent="0.2">
      <c r="B14" s="28">
        <v>2</v>
      </c>
      <c r="C14" s="39">
        <v>0.22075508244067366</v>
      </c>
      <c r="D14" s="39">
        <v>23.606159880350184</v>
      </c>
      <c r="G14" s="297" t="s">
        <v>219</v>
      </c>
      <c r="H14" s="297"/>
      <c r="I14" s="297"/>
      <c r="L14" s="59"/>
      <c r="M14" s="59"/>
      <c r="N14" s="59"/>
      <c r="O14" s="59"/>
      <c r="P14" s="59"/>
      <c r="Q14" s="59"/>
      <c r="R14" s="59"/>
      <c r="S14" s="59"/>
    </row>
    <row r="15" spans="1:20" x14ac:dyDescent="0.2">
      <c r="B15" s="298" t="s">
        <v>220</v>
      </c>
      <c r="C15" s="299"/>
      <c r="D15" s="300"/>
      <c r="G15" s="38">
        <v>5.7332879240821475</v>
      </c>
      <c r="H15" s="28">
        <v>0.98796058136875975</v>
      </c>
      <c r="I15" s="28">
        <v>0.22525501255207722</v>
      </c>
      <c r="K15" t="s">
        <v>221</v>
      </c>
      <c r="L15" s="60">
        <v>-0.5</v>
      </c>
      <c r="M15" s="60">
        <v>-0.25</v>
      </c>
      <c r="N15" s="60">
        <v>-0.1</v>
      </c>
      <c r="O15" s="60">
        <v>-0.05</v>
      </c>
      <c r="P15" t="s">
        <v>222</v>
      </c>
      <c r="Q15" s="60">
        <v>0.05</v>
      </c>
      <c r="R15" s="60">
        <v>0.25</v>
      </c>
      <c r="S15" s="60"/>
    </row>
    <row r="16" spans="1:20" x14ac:dyDescent="0.2">
      <c r="B16" s="28">
        <v>1</v>
      </c>
      <c r="C16" s="39">
        <v>0.31139675456337923</v>
      </c>
      <c r="D16" s="39">
        <v>28.025707910704131</v>
      </c>
      <c r="G16" s="38">
        <v>18.029207308434426</v>
      </c>
      <c r="H16" s="28">
        <v>0.31417146487526559</v>
      </c>
      <c r="I16" s="28">
        <v>7.1631093991560563E-2</v>
      </c>
      <c r="K16" t="s">
        <v>223</v>
      </c>
      <c r="L16" s="60">
        <v>-0.5</v>
      </c>
      <c r="M16" s="60">
        <v>-0.16</v>
      </c>
      <c r="N16" s="60">
        <v>-0.09</v>
      </c>
      <c r="O16" s="60">
        <v>-0.05</v>
      </c>
      <c r="P16" t="s">
        <v>222</v>
      </c>
      <c r="Q16" s="60">
        <v>0.05</v>
      </c>
      <c r="R16" s="60">
        <v>0.16</v>
      </c>
      <c r="S16" s="60"/>
    </row>
    <row r="17" spans="2:9" x14ac:dyDescent="0.2">
      <c r="B17" s="28">
        <v>2</v>
      </c>
      <c r="C17" s="39">
        <v>0.15867337728168962</v>
      </c>
      <c r="D17" s="39">
        <v>4.7579335443737021</v>
      </c>
      <c r="G17" s="38">
        <v>30.325126692786704</v>
      </c>
      <c r="H17" s="28">
        <v>0.18678446187590109</v>
      </c>
      <c r="I17" s="28">
        <v>4.2586857307705443E-2</v>
      </c>
    </row>
    <row r="18" spans="2:9" x14ac:dyDescent="0.2">
      <c r="B18" s="28">
        <v>3</v>
      </c>
      <c r="C18" s="39">
        <v>0.10776558485445975</v>
      </c>
      <c r="D18" s="39">
        <v>3.4426478965867719</v>
      </c>
      <c r="G18" s="297" t="s">
        <v>224</v>
      </c>
      <c r="H18" s="297"/>
      <c r="I18" s="297"/>
    </row>
    <row r="19" spans="2:9" x14ac:dyDescent="0.2">
      <c r="B19" s="28">
        <v>4</v>
      </c>
      <c r="C19" s="39">
        <v>8.2311688640844802E-2</v>
      </c>
      <c r="D19" s="39">
        <v>2.790836072693307</v>
      </c>
      <c r="G19" s="38">
        <v>5.7332879240821475</v>
      </c>
      <c r="H19" s="28">
        <v>0.98796058136875975</v>
      </c>
      <c r="I19" s="28">
        <v>0.24040657311036887</v>
      </c>
    </row>
    <row r="20" spans="2:9" x14ac:dyDescent="0.2">
      <c r="B20" s="28">
        <v>5</v>
      </c>
      <c r="C20" s="39">
        <v>6.7039350912675849E-2</v>
      </c>
      <c r="D20" s="39">
        <v>2.4044137783572284</v>
      </c>
      <c r="G20" s="38">
        <v>18.029207308434426</v>
      </c>
      <c r="H20" s="28">
        <v>0.31417146487526559</v>
      </c>
      <c r="I20" s="28">
        <v>7.6449290249097301E-2</v>
      </c>
    </row>
    <row r="21" spans="2:9" x14ac:dyDescent="0.2">
      <c r="B21" s="298" t="s">
        <v>225</v>
      </c>
      <c r="C21" s="299"/>
      <c r="D21" s="299"/>
      <c r="G21" s="38">
        <v>30.325126692786704</v>
      </c>
      <c r="H21" s="28">
        <v>0.18678446187590109</v>
      </c>
      <c r="I21" s="28">
        <v>4.54514210755632E-2</v>
      </c>
    </row>
    <row r="22" spans="2:9" x14ac:dyDescent="0.2">
      <c r="B22" s="28">
        <v>1</v>
      </c>
      <c r="C22" s="39">
        <v>0.5548320474959636</v>
      </c>
      <c r="D22" s="39">
        <v>91.98848016754269</v>
      </c>
      <c r="G22" s="297" t="s">
        <v>226</v>
      </c>
      <c r="H22" s="297"/>
      <c r="I22" s="297"/>
    </row>
    <row r="23" spans="2:9" x14ac:dyDescent="0.2">
      <c r="B23" s="28">
        <v>2</v>
      </c>
      <c r="C23" s="39">
        <v>0.28590352374798178</v>
      </c>
      <c r="D23" s="39">
        <v>26.312639101985699</v>
      </c>
      <c r="G23" s="38">
        <v>5.7332879240821475</v>
      </c>
      <c r="H23" s="28">
        <v>0.98796058136875975</v>
      </c>
      <c r="I23" s="28">
        <v>0.23881571022133971</v>
      </c>
    </row>
    <row r="24" spans="2:9" x14ac:dyDescent="0.2">
      <c r="B24" s="28">
        <v>3</v>
      </c>
      <c r="C24" s="39">
        <v>0.19626068249865455</v>
      </c>
      <c r="D24" s="39">
        <v>18.071306856847759</v>
      </c>
      <c r="G24" s="38">
        <v>18.029207308434426</v>
      </c>
      <c r="H24" s="28">
        <v>0.31417146487526559</v>
      </c>
      <c r="I24" s="28">
        <v>7.5943395850386022E-2</v>
      </c>
    </row>
    <row r="25" spans="2:9" x14ac:dyDescent="0.2">
      <c r="B25" s="28">
        <v>4</v>
      </c>
      <c r="C25" s="39">
        <v>0.1514392618739909</v>
      </c>
      <c r="D25" s="39">
        <v>13.95102097427878</v>
      </c>
      <c r="G25" s="38">
        <v>30.325126692786704</v>
      </c>
      <c r="H25" s="28">
        <v>0.18678446187590109</v>
      </c>
      <c r="I25" s="28">
        <v>4.5150651516281823E-2</v>
      </c>
    </row>
    <row r="26" spans="2:9" x14ac:dyDescent="0.2">
      <c r="B26" s="28">
        <v>5</v>
      </c>
      <c r="C26" s="39">
        <v>0.12454640949919271</v>
      </c>
      <c r="D26" s="39">
        <v>11.479153636737394</v>
      </c>
    </row>
    <row r="27" spans="2:9" x14ac:dyDescent="0.2">
      <c r="B27" s="298" t="s">
        <v>227</v>
      </c>
      <c r="C27" s="299"/>
      <c r="D27" s="300"/>
    </row>
    <row r="28" spans="2:9" x14ac:dyDescent="0.2">
      <c r="B28" s="28">
        <v>1</v>
      </c>
      <c r="C28" s="39">
        <v>0.12600705882332089</v>
      </c>
      <c r="D28" s="39">
        <v>11.340635294098879</v>
      </c>
    </row>
    <row r="29" spans="2:9" x14ac:dyDescent="0.2">
      <c r="B29" s="28">
        <v>2</v>
      </c>
      <c r="C29" s="39">
        <v>6.3003529411660444E-2</v>
      </c>
      <c r="D29" s="39">
        <v>0.83798696694552766</v>
      </c>
    </row>
    <row r="30" spans="2:9" x14ac:dyDescent="0.2">
      <c r="B30" s="297" t="s">
        <v>228</v>
      </c>
      <c r="C30" s="297"/>
      <c r="D30" s="297"/>
    </row>
    <row r="31" spans="2:9" x14ac:dyDescent="0.2">
      <c r="B31" s="28">
        <v>1</v>
      </c>
      <c r="C31" s="39">
        <v>1.1299999999999999E-2</v>
      </c>
      <c r="D31" s="39">
        <v>1.0184</v>
      </c>
    </row>
    <row r="32" spans="2:9" x14ac:dyDescent="0.2">
      <c r="B32" s="297" t="s">
        <v>229</v>
      </c>
      <c r="C32" s="297"/>
      <c r="D32" s="297"/>
    </row>
    <row r="33" spans="2:4" x14ac:dyDescent="0.2">
      <c r="B33" s="28">
        <v>1</v>
      </c>
      <c r="C33" s="39">
        <v>2.4500000000000001E-2</v>
      </c>
      <c r="D33" s="39">
        <v>2.207839198779308</v>
      </c>
    </row>
    <row r="34" spans="2:4" x14ac:dyDescent="0.2">
      <c r="B34" s="297" t="s">
        <v>230</v>
      </c>
      <c r="C34" s="297"/>
      <c r="D34" s="297"/>
    </row>
    <row r="35" spans="2:4" x14ac:dyDescent="0.2">
      <c r="B35" s="38">
        <v>25.409457995373486</v>
      </c>
      <c r="C35" s="28">
        <v>0.13468261004131521</v>
      </c>
      <c r="D35" s="28">
        <v>1.2121434903718368E-2</v>
      </c>
    </row>
    <row r="36" spans="2:4" x14ac:dyDescent="0.2">
      <c r="B36" s="38">
        <v>79.903955960293985</v>
      </c>
      <c r="C36" s="28">
        <v>4.2829069993138229E-2</v>
      </c>
      <c r="D36" s="28">
        <v>3.8546162993824407E-3</v>
      </c>
    </row>
    <row r="37" spans="2:4" x14ac:dyDescent="0.2">
      <c r="B37" s="38">
        <v>134.39845392521448</v>
      </c>
      <c r="C37" s="28">
        <v>2.546318073313807E-2</v>
      </c>
      <c r="D37" s="28">
        <v>2.291686265982426E-3</v>
      </c>
    </row>
    <row r="38" spans="2:4" x14ac:dyDescent="0.2">
      <c r="B38" s="297" t="s">
        <v>231</v>
      </c>
      <c r="C38" s="297"/>
      <c r="D38" s="297"/>
    </row>
    <row r="39" spans="2:4" x14ac:dyDescent="0.2">
      <c r="B39" s="38">
        <v>31.761822494216858</v>
      </c>
      <c r="C39" s="28">
        <v>0.35519421870403428</v>
      </c>
      <c r="D39" s="28">
        <v>3.1967479683363081E-2</v>
      </c>
    </row>
    <row r="40" spans="2:4" x14ac:dyDescent="0.2">
      <c r="B40" s="38">
        <v>99.879944950367474</v>
      </c>
      <c r="C40" s="28">
        <v>0.1129517615478829</v>
      </c>
      <c r="D40" s="28">
        <v>1.0165658539309461E-2</v>
      </c>
    </row>
    <row r="41" spans="2:4" x14ac:dyDescent="0.2">
      <c r="B41" s="38">
        <v>167.99806740651809</v>
      </c>
      <c r="C41" s="28">
        <v>6.715324705581624E-2</v>
      </c>
      <c r="D41" s="28">
        <v>6.0437922350234609E-3</v>
      </c>
    </row>
    <row r="42" spans="2:4" x14ac:dyDescent="0.2">
      <c r="B42" s="297" t="s">
        <v>232</v>
      </c>
      <c r="C42" s="297"/>
      <c r="D42" s="297"/>
    </row>
    <row r="43" spans="2:4" x14ac:dyDescent="0.2">
      <c r="B43" s="38"/>
      <c r="C43" s="39"/>
      <c r="D43" s="39"/>
    </row>
    <row r="44" spans="2:4" x14ac:dyDescent="0.2">
      <c r="B44" s="38"/>
      <c r="C44" s="39"/>
      <c r="D44" s="39"/>
    </row>
    <row r="45" spans="2:4" x14ac:dyDescent="0.2">
      <c r="B45" s="38"/>
      <c r="C45" s="39"/>
      <c r="D45" s="39"/>
    </row>
    <row r="46" spans="2:4" x14ac:dyDescent="0.2">
      <c r="B46" s="297" t="s">
        <v>233</v>
      </c>
      <c r="C46" s="297"/>
      <c r="D46" s="297"/>
    </row>
    <row r="47" spans="2:4" x14ac:dyDescent="0.2">
      <c r="B47" s="38"/>
      <c r="C47" s="39"/>
      <c r="D47" s="39"/>
    </row>
    <row r="48" spans="2:4" x14ac:dyDescent="0.2">
      <c r="B48" s="38"/>
      <c r="C48" s="39"/>
      <c r="D48" s="39"/>
    </row>
    <row r="49" spans="2:4" x14ac:dyDescent="0.2">
      <c r="B49" s="38"/>
      <c r="C49" s="39"/>
      <c r="D49" s="39"/>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4" spans="2:4" x14ac:dyDescent="0.2">
      <c r="B54" s="302" t="s">
        <v>248</v>
      </c>
      <c r="C54" s="303"/>
      <c r="D54" s="303"/>
    </row>
    <row r="55" spans="2:4" x14ac:dyDescent="0.2">
      <c r="C55" s="122">
        <v>0.38482721629940142</v>
      </c>
      <c r="D55" s="122">
        <v>9.9608676666937082E-2</v>
      </c>
    </row>
    <row r="56" spans="2:4" x14ac:dyDescent="0.2">
      <c r="B56" s="301" t="s">
        <v>249</v>
      </c>
      <c r="C56" s="301"/>
      <c r="D56" s="301"/>
    </row>
    <row r="57" spans="2:4" x14ac:dyDescent="0.2">
      <c r="C57" s="122">
        <v>0.3389653357562738</v>
      </c>
      <c r="D57" s="122">
        <v>8.7737787507153914E-2</v>
      </c>
    </row>
  </sheetData>
  <mergeCells count="28">
    <mergeCell ref="B50:D50"/>
    <mergeCell ref="B52:D52"/>
    <mergeCell ref="B32:D32"/>
    <mergeCell ref="B34:D34"/>
    <mergeCell ref="B38:D38"/>
    <mergeCell ref="B42:D42"/>
    <mergeCell ref="B46:D46"/>
    <mergeCell ref="G18:I18"/>
    <mergeCell ref="B21:D21"/>
    <mergeCell ref="G22:I22"/>
    <mergeCell ref="B27:D27"/>
    <mergeCell ref="B30:D30"/>
    <mergeCell ref="B54:D54"/>
    <mergeCell ref="B56:D56"/>
    <mergeCell ref="B15:D15"/>
    <mergeCell ref="B3:D3"/>
    <mergeCell ref="G3:I3"/>
    <mergeCell ref="B4:B5"/>
    <mergeCell ref="C4:C5"/>
    <mergeCell ref="D4:D5"/>
    <mergeCell ref="G4:G5"/>
    <mergeCell ref="H4:H5"/>
    <mergeCell ref="I4:I5"/>
    <mergeCell ref="B6:D6"/>
    <mergeCell ref="G6:I6"/>
    <mergeCell ref="G10:I10"/>
    <mergeCell ref="B12:D12"/>
    <mergeCell ref="G14:I14"/>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24773-9DCB-489E-9F57-F8BDA6157404}">
  <dimension ref="A1:T57"/>
  <sheetViews>
    <sheetView zoomScale="80" zoomScaleNormal="80" workbookViewId="0">
      <selection activeCell="M26" sqref="M26"/>
    </sheetView>
  </sheetViews>
  <sheetFormatPr baseColWidth="10" defaultColWidth="11.5" defaultRowHeight="15" x14ac:dyDescent="0.2"/>
  <cols>
    <col min="3" max="3" width="22.33203125" customWidth="1"/>
    <col min="4" max="4" width="21.33203125" customWidth="1"/>
    <col min="5" max="6" width="2.6640625" customWidth="1"/>
    <col min="7" max="7" width="19" customWidth="1"/>
    <col min="8" max="8" width="21.6640625" customWidth="1"/>
    <col min="9" max="9" width="21.5" customWidth="1"/>
    <col min="10" max="10" width="2.6640625" customWidth="1"/>
    <col min="11" max="11" width="20.6640625" customWidth="1"/>
    <col min="12" max="12" width="7.6640625" customWidth="1"/>
    <col min="13" max="13" width="8.33203125" customWidth="1"/>
    <col min="14" max="20" width="7.6640625" customWidth="1"/>
  </cols>
  <sheetData>
    <row r="1" spans="1:20" ht="19" x14ac:dyDescent="0.25">
      <c r="A1" s="305" t="s">
        <v>120</v>
      </c>
      <c r="B1" s="306"/>
    </row>
    <row r="2" spans="1:20" ht="16" thickBot="1" x14ac:dyDescent="0.25"/>
    <row r="3" spans="1:20" ht="16" thickBot="1" x14ac:dyDescent="0.25">
      <c r="B3" s="282" t="s">
        <v>66</v>
      </c>
      <c r="C3" s="283"/>
      <c r="D3" s="284"/>
      <c r="G3" s="285" t="s">
        <v>190</v>
      </c>
      <c r="H3" s="286"/>
      <c r="I3" s="287"/>
      <c r="K3" s="61" t="s">
        <v>191</v>
      </c>
      <c r="L3" s="67" t="s">
        <v>192</v>
      </c>
      <c r="M3" s="69" t="s">
        <v>193</v>
      </c>
      <c r="N3" s="71" t="s">
        <v>194</v>
      </c>
      <c r="O3" s="73" t="s">
        <v>195</v>
      </c>
      <c r="P3" s="65" t="s">
        <v>196</v>
      </c>
      <c r="Q3" s="66" t="s">
        <v>197</v>
      </c>
      <c r="R3" s="75" t="s">
        <v>198</v>
      </c>
      <c r="S3" s="77" t="s">
        <v>199</v>
      </c>
      <c r="T3" s="55" t="s">
        <v>200</v>
      </c>
    </row>
    <row r="4" spans="1:20" x14ac:dyDescent="0.2">
      <c r="B4" s="288" t="s">
        <v>201</v>
      </c>
      <c r="C4" s="290" t="s">
        <v>241</v>
      </c>
      <c r="D4" s="292" t="s">
        <v>242</v>
      </c>
      <c r="E4" s="3"/>
      <c r="F4" s="4"/>
      <c r="G4" s="290" t="s">
        <v>201</v>
      </c>
      <c r="H4" s="290" t="s">
        <v>241</v>
      </c>
      <c r="I4" s="290" t="s">
        <v>242</v>
      </c>
      <c r="K4" s="62" t="s">
        <v>205</v>
      </c>
      <c r="L4" s="68">
        <f>P4*0.5</f>
        <v>449.5</v>
      </c>
      <c r="M4" s="70">
        <f>P4*0.75</f>
        <v>674.25</v>
      </c>
      <c r="N4" s="72">
        <f>P4*0.9</f>
        <v>809.1</v>
      </c>
      <c r="O4" s="74">
        <f>P4*0.95</f>
        <v>854.05</v>
      </c>
      <c r="P4" s="63">
        <v>899</v>
      </c>
      <c r="Q4" s="64">
        <f>P4*1.05</f>
        <v>943.95</v>
      </c>
      <c r="R4" s="76">
        <f>P4*1.25</f>
        <v>1123.75</v>
      </c>
      <c r="S4" s="78" t="s">
        <v>206</v>
      </c>
      <c r="T4" s="56" t="s">
        <v>86</v>
      </c>
    </row>
    <row r="5" spans="1:20" ht="16" thickBot="1" x14ac:dyDescent="0.25">
      <c r="B5" s="289"/>
      <c r="C5" s="291"/>
      <c r="D5" s="293"/>
      <c r="E5" s="3"/>
      <c r="F5" s="4"/>
      <c r="G5" s="291"/>
      <c r="H5" s="291"/>
      <c r="I5" s="291"/>
      <c r="K5" s="62" t="s">
        <v>87</v>
      </c>
      <c r="L5" s="68">
        <f>P5*0.5</f>
        <v>2824.5</v>
      </c>
      <c r="M5" s="70">
        <f>P5*0.75</f>
        <v>4236.75</v>
      </c>
      <c r="N5" s="72">
        <f>P5*0.9</f>
        <v>5084.1000000000004</v>
      </c>
      <c r="O5" s="74">
        <f>P5*0.95</f>
        <v>5366.55</v>
      </c>
      <c r="P5" s="63">
        <v>5649</v>
      </c>
      <c r="Q5" s="64">
        <f>P5*1.05</f>
        <v>5931.45</v>
      </c>
      <c r="R5" s="76">
        <f>P5*1.25</f>
        <v>7061.25</v>
      </c>
      <c r="S5" s="78"/>
      <c r="T5" s="56" t="s">
        <v>86</v>
      </c>
    </row>
    <row r="6" spans="1:20" x14ac:dyDescent="0.2">
      <c r="B6" s="294" t="s">
        <v>207</v>
      </c>
      <c r="C6" s="295"/>
      <c r="D6" s="296"/>
      <c r="G6" s="297" t="s">
        <v>208</v>
      </c>
      <c r="H6" s="297"/>
      <c r="I6" s="297"/>
      <c r="K6" s="62" t="s">
        <v>209</v>
      </c>
      <c r="L6" s="68">
        <f t="shared" ref="L6:N6" si="0">L4+L5</f>
        <v>3274</v>
      </c>
      <c r="M6" s="70">
        <f t="shared" si="0"/>
        <v>4911</v>
      </c>
      <c r="N6" s="72">
        <f t="shared" si="0"/>
        <v>5893.2000000000007</v>
      </c>
      <c r="O6" s="74">
        <f>O4+O5</f>
        <v>6220.6</v>
      </c>
      <c r="P6" s="63">
        <f>P5+P4</f>
        <v>6548</v>
      </c>
      <c r="Q6" s="64">
        <f t="shared" ref="Q6:R6" si="1">Q4+Q5</f>
        <v>6875.4</v>
      </c>
      <c r="R6" s="76">
        <f t="shared" si="1"/>
        <v>8185</v>
      </c>
      <c r="S6" s="78"/>
      <c r="T6" s="56" t="s">
        <v>86</v>
      </c>
    </row>
    <row r="7" spans="1:20" x14ac:dyDescent="0.2">
      <c r="B7" s="28">
        <v>1</v>
      </c>
      <c r="C7" s="39">
        <f>0.621*0.7036</f>
        <v>0.43693559999999998</v>
      </c>
      <c r="D7" s="39">
        <f>0.621*0.1791</f>
        <v>0.1112211</v>
      </c>
      <c r="G7" s="38">
        <v>6</v>
      </c>
      <c r="H7" s="28">
        <f>0.621*1.01866</f>
        <v>0.63258785999999989</v>
      </c>
      <c r="I7" s="28">
        <f>0.621*0.2129005</f>
        <v>0.13221121049999998</v>
      </c>
      <c r="K7" s="62" t="s">
        <v>210</v>
      </c>
      <c r="L7" s="68">
        <f>P7*0.5</f>
        <v>3262</v>
      </c>
      <c r="M7" s="70">
        <f>P7*0.84</f>
        <v>5480.16</v>
      </c>
      <c r="N7" s="72">
        <f>P7*0.91</f>
        <v>5936.84</v>
      </c>
      <c r="O7" s="74">
        <f>P7*0.95</f>
        <v>6197.7999999999993</v>
      </c>
      <c r="P7" s="63">
        <v>6524</v>
      </c>
      <c r="Q7" s="64">
        <f>P7*1.05</f>
        <v>6850.2000000000007</v>
      </c>
      <c r="R7" s="76">
        <f>P7*1.16</f>
        <v>7567.8399999999992</v>
      </c>
      <c r="S7" s="78"/>
      <c r="T7" s="56" t="s">
        <v>86</v>
      </c>
    </row>
    <row r="8" spans="1:20" x14ac:dyDescent="0.2">
      <c r="B8" s="28">
        <v>2</v>
      </c>
      <c r="C8" s="39">
        <f>0.621*0.3678</f>
        <v>0.22840380000000002</v>
      </c>
      <c r="D8" s="39">
        <f>0.621*0.0688</f>
        <v>4.27248E-2</v>
      </c>
      <c r="G8" s="38">
        <v>19</v>
      </c>
      <c r="H8" s="28">
        <f>0.621*0.32394</f>
        <v>0.20116674000000001</v>
      </c>
      <c r="I8" s="28">
        <f>0.621*0.0677024</f>
        <v>4.20431904E-2</v>
      </c>
      <c r="K8" s="79" t="s">
        <v>211</v>
      </c>
      <c r="L8" s="80">
        <f t="shared" ref="L8:O8" si="2">L7+L6</f>
        <v>6536</v>
      </c>
      <c r="M8" s="81">
        <f t="shared" si="2"/>
        <v>10391.16</v>
      </c>
      <c r="N8" s="82">
        <f t="shared" si="2"/>
        <v>11830.04</v>
      </c>
      <c r="O8" s="83">
        <f t="shared" si="2"/>
        <v>12418.4</v>
      </c>
      <c r="P8" s="84">
        <f>P7+P6</f>
        <v>13072</v>
      </c>
      <c r="Q8" s="85">
        <f t="shared" ref="Q8:R8" si="3">Q7+Q6</f>
        <v>13725.6</v>
      </c>
      <c r="R8" s="86">
        <f t="shared" si="3"/>
        <v>15752.84</v>
      </c>
      <c r="S8" s="87"/>
      <c r="T8" s="88" t="s">
        <v>86</v>
      </c>
    </row>
    <row r="9" spans="1:20" x14ac:dyDescent="0.2">
      <c r="B9" s="28">
        <v>3</v>
      </c>
      <c r="C9" s="39">
        <f>0.621*0.2559</f>
        <v>0.1589139</v>
      </c>
      <c r="D9" s="39">
        <f>0.621*0.0499</f>
        <v>3.0987899999999999E-2</v>
      </c>
      <c r="G9" s="38">
        <v>32</v>
      </c>
      <c r="H9" s="28">
        <f>0.621*0.19259</f>
        <v>0.11959839000000001</v>
      </c>
      <c r="I9" s="28">
        <f>0.621*0.0402511</f>
        <v>2.4995933099999999E-2</v>
      </c>
      <c r="K9" s="62" t="s">
        <v>212</v>
      </c>
      <c r="L9" s="68">
        <f>P9*0.5</f>
        <v>170.5</v>
      </c>
      <c r="M9" s="70">
        <f>P9*0.75</f>
        <v>255.75</v>
      </c>
      <c r="N9" s="72">
        <f>P9*0.9</f>
        <v>306.90000000000003</v>
      </c>
      <c r="O9" s="74">
        <f>P9*0.95</f>
        <v>323.95</v>
      </c>
      <c r="P9" s="63">
        <v>341</v>
      </c>
      <c r="Q9" s="64">
        <f>P9*1.05</f>
        <v>358.05</v>
      </c>
      <c r="R9" s="76">
        <f>P9*1.25</f>
        <v>426.25</v>
      </c>
      <c r="S9" s="78"/>
      <c r="T9" s="56" t="s">
        <v>91</v>
      </c>
    </row>
    <row r="10" spans="1:20" x14ac:dyDescent="0.2">
      <c r="B10" s="28">
        <v>4</v>
      </c>
      <c r="C10" s="39">
        <f>0.621*0.1999</f>
        <v>0.1241379</v>
      </c>
      <c r="D10" s="39">
        <f>0.621*0.0406</f>
        <v>2.5212599999999998E-2</v>
      </c>
      <c r="G10" s="297"/>
      <c r="H10" s="297"/>
      <c r="I10" s="297"/>
      <c r="K10" s="62" t="s">
        <v>214</v>
      </c>
      <c r="L10" s="68">
        <f>P10*0.5</f>
        <v>570.5</v>
      </c>
      <c r="M10" s="70">
        <f>P10*0.75</f>
        <v>855.75</v>
      </c>
      <c r="N10" s="72">
        <f>P10*0.9</f>
        <v>1026.9000000000001</v>
      </c>
      <c r="O10" s="74">
        <f>P10*0.95</f>
        <v>1083.95</v>
      </c>
      <c r="P10" s="63">
        <v>1141</v>
      </c>
      <c r="Q10" s="64">
        <f>P10*1.05</f>
        <v>1198.05</v>
      </c>
      <c r="R10" s="76">
        <f>P10*1.25</f>
        <v>1426.25</v>
      </c>
      <c r="S10" s="78"/>
      <c r="T10" s="56" t="s">
        <v>91</v>
      </c>
    </row>
    <row r="11" spans="1:20" x14ac:dyDescent="0.2">
      <c r="B11" s="28">
        <v>5</v>
      </c>
      <c r="C11" s="39">
        <f>0.621*0.1663</f>
        <v>0.1032723</v>
      </c>
      <c r="D11" s="39">
        <f>0.621*0.0351</f>
        <v>2.17971E-2</v>
      </c>
      <c r="G11" s="38"/>
      <c r="H11" s="28"/>
      <c r="I11" s="28"/>
      <c r="K11" s="62" t="s">
        <v>215</v>
      </c>
      <c r="L11" s="68">
        <f t="shared" ref="L11:N11" si="4">L9+L10</f>
        <v>741</v>
      </c>
      <c r="M11" s="70">
        <f t="shared" si="4"/>
        <v>1111.5</v>
      </c>
      <c r="N11" s="72">
        <f t="shared" si="4"/>
        <v>1333.8000000000002</v>
      </c>
      <c r="O11" s="74">
        <f>O9+O10</f>
        <v>1407.9</v>
      </c>
      <c r="P11" s="63">
        <f>P9+P10</f>
        <v>1482</v>
      </c>
      <c r="Q11" s="64">
        <f t="shared" ref="Q11:R11" si="5">Q9+Q10</f>
        <v>1556.1</v>
      </c>
      <c r="R11" s="76">
        <f t="shared" si="5"/>
        <v>1852.5</v>
      </c>
      <c r="S11" s="78"/>
      <c r="T11" s="56" t="s">
        <v>91</v>
      </c>
    </row>
    <row r="12" spans="1:20" x14ac:dyDescent="0.2">
      <c r="B12" s="298" t="s">
        <v>216</v>
      </c>
      <c r="C12" s="299"/>
      <c r="D12" s="300"/>
      <c r="G12" s="38"/>
      <c r="H12" s="28"/>
      <c r="I12" s="28"/>
      <c r="K12" s="62" t="s">
        <v>217</v>
      </c>
      <c r="L12" s="68">
        <f>P12*0.5</f>
        <v>818.5</v>
      </c>
      <c r="M12" s="70">
        <f>P12*0.84</f>
        <v>1375.08</v>
      </c>
      <c r="N12" s="72">
        <f>P12*0.91</f>
        <v>1489.67</v>
      </c>
      <c r="O12" s="74">
        <f>P12*0.95</f>
        <v>1555.1499999999999</v>
      </c>
      <c r="P12" s="63">
        <v>1637</v>
      </c>
      <c r="Q12" s="64">
        <f>P12*1.05</f>
        <v>1718.8500000000001</v>
      </c>
      <c r="R12" s="76">
        <f>P12*1.16</f>
        <v>1898.9199999999998</v>
      </c>
      <c r="S12" s="78"/>
      <c r="T12" s="56" t="s">
        <v>91</v>
      </c>
    </row>
    <row r="13" spans="1:20" ht="16" thickBot="1" x14ac:dyDescent="0.25">
      <c r="B13" s="28">
        <v>1</v>
      </c>
      <c r="C13" s="39">
        <f>0.621*0.4559</f>
        <v>0.28311390000000003</v>
      </c>
      <c r="D13" s="39">
        <f>0.621*0.116</f>
        <v>7.2036000000000003E-2</v>
      </c>
      <c r="G13" s="38"/>
      <c r="H13" s="28"/>
      <c r="I13" s="28"/>
      <c r="K13" s="89" t="s">
        <v>218</v>
      </c>
      <c r="L13" s="90">
        <f t="shared" ref="L13:O13" si="6">L12+L11</f>
        <v>1559.5</v>
      </c>
      <c r="M13" s="91">
        <f t="shared" si="6"/>
        <v>2486.58</v>
      </c>
      <c r="N13" s="92">
        <f t="shared" si="6"/>
        <v>2823.4700000000003</v>
      </c>
      <c r="O13" s="93">
        <f t="shared" si="6"/>
        <v>2963.05</v>
      </c>
      <c r="P13" s="94">
        <f>P12+P11</f>
        <v>3119</v>
      </c>
      <c r="Q13" s="95">
        <f t="shared" ref="Q13:R13" si="7">Q12+Q11</f>
        <v>3274.95</v>
      </c>
      <c r="R13" s="96">
        <f t="shared" si="7"/>
        <v>3751.42</v>
      </c>
      <c r="S13" s="97"/>
      <c r="T13" s="98" t="s">
        <v>91</v>
      </c>
    </row>
    <row r="14" spans="1:20" x14ac:dyDescent="0.2">
      <c r="B14" s="28">
        <v>2</v>
      </c>
      <c r="C14" s="39">
        <f>0.621*0.2439</f>
        <v>0.15146190000000001</v>
      </c>
      <c r="D14" s="39">
        <f>0.621*0.0303</f>
        <v>1.8816300000000001E-2</v>
      </c>
      <c r="G14" s="297" t="s">
        <v>219</v>
      </c>
      <c r="H14" s="297"/>
      <c r="I14" s="297"/>
      <c r="L14" s="59"/>
      <c r="M14" s="59"/>
      <c r="N14" s="59"/>
      <c r="O14" s="59"/>
      <c r="P14" s="59"/>
      <c r="Q14" s="59"/>
      <c r="R14" s="59"/>
      <c r="S14" s="59"/>
    </row>
    <row r="15" spans="1:20" x14ac:dyDescent="0.2">
      <c r="B15" s="298" t="s">
        <v>220</v>
      </c>
      <c r="C15" s="299"/>
      <c r="D15" s="300"/>
      <c r="G15" s="38">
        <v>6</v>
      </c>
      <c r="H15" s="28">
        <f>0.621*1.01866</f>
        <v>0.63258785999999989</v>
      </c>
      <c r="I15" s="28">
        <f>0.621*0.232255</f>
        <v>0.144230355</v>
      </c>
      <c r="K15" t="s">
        <v>221</v>
      </c>
      <c r="L15" s="60">
        <v>-0.5</v>
      </c>
      <c r="M15" s="60">
        <v>-0.25</v>
      </c>
      <c r="N15" s="60">
        <v>-0.1</v>
      </c>
      <c r="O15" s="60">
        <v>-0.05</v>
      </c>
      <c r="P15" t="s">
        <v>222</v>
      </c>
      <c r="Q15" s="60">
        <v>0.05</v>
      </c>
      <c r="R15" s="60">
        <v>0.25</v>
      </c>
      <c r="S15" s="60"/>
    </row>
    <row r="16" spans="1:20" x14ac:dyDescent="0.2">
      <c r="B16" s="28">
        <v>1</v>
      </c>
      <c r="C16" s="39">
        <f>0.621*0.3524</f>
        <v>0.21884039999999999</v>
      </c>
      <c r="D16" s="39">
        <f>0.621*0.0736</f>
        <v>4.5705599999999999E-2</v>
      </c>
      <c r="G16" s="38">
        <v>19</v>
      </c>
      <c r="H16" s="28">
        <f>0.621*0.32394</f>
        <v>0.20116674000000001</v>
      </c>
      <c r="I16" s="28">
        <f>0.621*0.073857</f>
        <v>4.5865197000000003E-2</v>
      </c>
      <c r="K16" t="s">
        <v>223</v>
      </c>
      <c r="L16" s="60">
        <v>-0.5</v>
      </c>
      <c r="M16" s="60">
        <v>-0.16</v>
      </c>
      <c r="N16" s="60">
        <v>-0.09</v>
      </c>
      <c r="O16" s="60">
        <v>-0.05</v>
      </c>
      <c r="P16" t="s">
        <v>222</v>
      </c>
      <c r="Q16" s="60">
        <v>0.05</v>
      </c>
      <c r="R16" s="60">
        <v>0.16</v>
      </c>
      <c r="S16" s="60"/>
    </row>
    <row r="17" spans="2:13" x14ac:dyDescent="0.2">
      <c r="B17" s="28">
        <v>2</v>
      </c>
      <c r="C17" s="39">
        <f>0.621*0.1792</f>
        <v>0.1112832</v>
      </c>
      <c r="D17" s="39">
        <f>0.621*0.0135</f>
        <v>8.3835000000000003E-3</v>
      </c>
      <c r="G17" s="38">
        <v>32</v>
      </c>
      <c r="H17" s="28">
        <f>0.621*0.19259</f>
        <v>0.11959839000000001</v>
      </c>
      <c r="I17" s="28">
        <f>0.621*0.0439103</f>
        <v>2.7268296299999998E-2</v>
      </c>
    </row>
    <row r="18" spans="2:13" x14ac:dyDescent="0.2">
      <c r="B18" s="28">
        <v>3</v>
      </c>
      <c r="C18" s="39">
        <f>0.621*0.1214</f>
        <v>7.5389399999999995E-2</v>
      </c>
      <c r="D18" s="39">
        <f>0.621*0.0094</f>
        <v>5.8374000000000004E-3</v>
      </c>
      <c r="G18" s="297" t="s">
        <v>224</v>
      </c>
      <c r="H18" s="297"/>
      <c r="I18" s="297"/>
      <c r="L18" s="312" t="s">
        <v>277</v>
      </c>
      <c r="M18" s="313"/>
    </row>
    <row r="19" spans="2:13" x14ac:dyDescent="0.2">
      <c r="B19" s="28">
        <v>4</v>
      </c>
      <c r="C19" s="39">
        <f>0.621*0.0926</f>
        <v>5.7504600000000003E-2</v>
      </c>
      <c r="D19" s="39">
        <f>0.621*0.0074</f>
        <v>4.5954000000000004E-3</v>
      </c>
      <c r="G19" s="38">
        <v>6</v>
      </c>
      <c r="H19" s="28">
        <f>0.621*1.01866</f>
        <v>0.63258785999999989</v>
      </c>
      <c r="I19" s="28">
        <f>0.621*0.266271</f>
        <v>0.16535429099999999</v>
      </c>
      <c r="L19" s="136" t="s">
        <v>273</v>
      </c>
      <c r="M19" s="137" t="s">
        <v>274</v>
      </c>
    </row>
    <row r="20" spans="2:13" x14ac:dyDescent="0.2">
      <c r="B20" s="28">
        <v>5</v>
      </c>
      <c r="C20" s="39">
        <f>0.621*0.0752</f>
        <v>4.6699200000000003E-2</v>
      </c>
      <c r="D20" s="39">
        <f>0.621*0.0061</f>
        <v>3.7881000000000004E-3</v>
      </c>
      <c r="G20" s="38">
        <v>19</v>
      </c>
      <c r="H20" s="28">
        <f>0.621*0.32394</f>
        <v>0.20116674000000001</v>
      </c>
      <c r="I20" s="28">
        <f>0.621*0.084674</f>
        <v>5.2582553999999997E-2</v>
      </c>
      <c r="L20" s="139">
        <v>4.45</v>
      </c>
      <c r="M20" s="140">
        <v>1</v>
      </c>
    </row>
    <row r="21" spans="2:13" x14ac:dyDescent="0.2">
      <c r="B21" s="298" t="s">
        <v>225</v>
      </c>
      <c r="C21" s="299"/>
      <c r="D21" s="300"/>
      <c r="G21" s="38">
        <v>32</v>
      </c>
      <c r="H21" s="28">
        <f>0.621*0.19259</f>
        <v>0.11959839000000001</v>
      </c>
      <c r="I21" s="28">
        <f>0.621*0.0503414</f>
        <v>3.1262009399999999E-2</v>
      </c>
      <c r="L21" s="138" t="s">
        <v>275</v>
      </c>
      <c r="M21" s="42" t="s">
        <v>276</v>
      </c>
    </row>
    <row r="22" spans="2:13" x14ac:dyDescent="0.2">
      <c r="B22" s="28">
        <v>1</v>
      </c>
      <c r="C22" s="39">
        <f>0.621*0.4012</f>
        <v>0.24914520000000001</v>
      </c>
      <c r="D22" s="39">
        <f>0.621*0.093</f>
        <v>5.7752999999999999E-2</v>
      </c>
      <c r="G22" s="297" t="s">
        <v>226</v>
      </c>
      <c r="H22" s="297"/>
      <c r="I22" s="297"/>
      <c r="L22" s="139">
        <v>4.55</v>
      </c>
      <c r="M22" s="140">
        <v>1</v>
      </c>
    </row>
    <row r="23" spans="2:13" x14ac:dyDescent="0.2">
      <c r="B23" s="28">
        <v>2</v>
      </c>
      <c r="C23" s="39">
        <f>0.621*0.2091</f>
        <v>0.1298511</v>
      </c>
      <c r="D23" s="39">
        <f>0.621*0.0195</f>
        <v>1.21095E-2</v>
      </c>
      <c r="G23" s="38">
        <v>6</v>
      </c>
      <c r="H23" s="28">
        <f>0.621*1.01866</f>
        <v>0.63258785999999989</v>
      </c>
      <c r="I23" s="28">
        <f>0.621*0.258679</f>
        <v>0.16063965899999999</v>
      </c>
      <c r="L23" s="136" t="s">
        <v>288</v>
      </c>
      <c r="M23" s="137" t="s">
        <v>289</v>
      </c>
    </row>
    <row r="24" spans="2:13" x14ac:dyDescent="0.2">
      <c r="B24" s="28">
        <v>3</v>
      </c>
      <c r="C24" s="39">
        <f>0.621*0.1451</f>
        <v>9.0107100000000009E-2</v>
      </c>
      <c r="D24" s="39">
        <f>0.621*0.0135</f>
        <v>8.3835000000000003E-3</v>
      </c>
      <c r="G24" s="38">
        <v>19</v>
      </c>
      <c r="H24" s="28">
        <f>0.621*0.32394</f>
        <v>0.20116674000000001</v>
      </c>
      <c r="I24" s="28">
        <f>0.621*0.0822598</f>
        <v>5.1083335799999997E-2</v>
      </c>
      <c r="L24" s="138">
        <v>1</v>
      </c>
      <c r="M24" s="42">
        <v>282.48</v>
      </c>
    </row>
    <row r="25" spans="2:13" x14ac:dyDescent="0.2">
      <c r="B25" s="28">
        <v>4</v>
      </c>
      <c r="C25" s="39">
        <f>0.621*0.113</f>
        <v>7.0172999999999999E-2</v>
      </c>
      <c r="D25" s="39">
        <f>0.621*0.0105</f>
        <v>6.5205000000000003E-3</v>
      </c>
      <c r="G25" s="38">
        <v>32</v>
      </c>
      <c r="H25" s="28">
        <f>0.621*0.19259</f>
        <v>0.11959839000000001</v>
      </c>
      <c r="I25" s="28">
        <f>0.621*0.048906</f>
        <v>3.0370625999999998E-2</v>
      </c>
      <c r="L25" s="138" t="s">
        <v>288</v>
      </c>
      <c r="M25" s="42" t="s">
        <v>290</v>
      </c>
    </row>
    <row r="26" spans="2:13" x14ac:dyDescent="0.2">
      <c r="B26" s="28">
        <v>5</v>
      </c>
      <c r="C26" s="39">
        <f>0.621*0.0938</f>
        <v>5.8249799999999997E-2</v>
      </c>
      <c r="D26" s="39">
        <f>0.621*0.0087</f>
        <v>5.4026999999999999E-3</v>
      </c>
      <c r="L26" s="139">
        <v>1</v>
      </c>
      <c r="M26" s="140">
        <f>M24*0.1/0.621</f>
        <v>45.48792270531402</v>
      </c>
    </row>
    <row r="27" spans="2:13" x14ac:dyDescent="0.2">
      <c r="B27" s="298" t="s">
        <v>227</v>
      </c>
      <c r="C27" s="299"/>
      <c r="D27" s="300"/>
    </row>
    <row r="28" spans="2:13" x14ac:dyDescent="0.2">
      <c r="B28" s="28">
        <v>1</v>
      </c>
      <c r="C28" s="39">
        <f>0.621*0.1426</f>
        <v>8.8554599999999997E-2</v>
      </c>
      <c r="D28" s="39">
        <f>0.621*0.0298</f>
        <v>1.8505799999999999E-2</v>
      </c>
    </row>
    <row r="29" spans="2:13" x14ac:dyDescent="0.2">
      <c r="B29" s="28">
        <v>2</v>
      </c>
      <c r="C29" s="39">
        <f>0.621*0.0713</f>
        <v>4.4277299999999999E-2</v>
      </c>
      <c r="D29" s="39">
        <f>0.621*0.0023</f>
        <v>1.4283E-3</v>
      </c>
    </row>
    <row r="30" spans="2:13" x14ac:dyDescent="0.2">
      <c r="B30" s="298" t="s">
        <v>228</v>
      </c>
      <c r="C30" s="299"/>
      <c r="D30" s="300"/>
    </row>
    <row r="31" spans="2:13" x14ac:dyDescent="0.2">
      <c r="B31" s="28">
        <v>1</v>
      </c>
      <c r="C31" s="39">
        <f>0.621*0.0128</f>
        <v>7.9488000000000007E-3</v>
      </c>
      <c r="D31" s="39">
        <f>0.621*0.0027</f>
        <v>1.6767000000000002E-3</v>
      </c>
    </row>
    <row r="32" spans="2:13" x14ac:dyDescent="0.2">
      <c r="B32" s="298" t="s">
        <v>229</v>
      </c>
      <c r="C32" s="299"/>
      <c r="D32" s="300"/>
    </row>
    <row r="33" spans="2:4" x14ac:dyDescent="0.2">
      <c r="B33" s="28">
        <v>1</v>
      </c>
      <c r="C33" s="39">
        <f>0.621*0.0278</f>
        <v>1.7263799999999999E-2</v>
      </c>
      <c r="D33" s="39">
        <f>0.621*0.0058</f>
        <v>3.6017999999999996E-3</v>
      </c>
    </row>
    <row r="34" spans="2:4" x14ac:dyDescent="0.2">
      <c r="B34" s="298" t="s">
        <v>230</v>
      </c>
      <c r="C34" s="299"/>
      <c r="D34" s="300"/>
    </row>
    <row r="35" spans="2:4" x14ac:dyDescent="0.2">
      <c r="B35" s="38">
        <v>26</v>
      </c>
      <c r="C35" s="39">
        <f>0.621*0.22863</f>
        <v>0.14197923000000001</v>
      </c>
      <c r="D35" s="39">
        <f>0.621*0.047784</f>
        <v>2.9673864000000001E-2</v>
      </c>
    </row>
    <row r="36" spans="2:4" x14ac:dyDescent="0.2">
      <c r="B36" s="38">
        <v>81</v>
      </c>
      <c r="C36" s="39">
        <f>0.621*0.072705</f>
        <v>4.5149805000000001E-2</v>
      </c>
      <c r="D36" s="39">
        <f>0.621*0.0151954</f>
        <v>9.4363434E-3</v>
      </c>
    </row>
    <row r="37" spans="2:4" x14ac:dyDescent="0.2">
      <c r="B37" s="38">
        <v>136</v>
      </c>
      <c r="C37" s="39">
        <f>0.621*0.0432256</f>
        <v>2.6843097600000001E-2</v>
      </c>
      <c r="D37" s="39">
        <f>0.621*0.009034</f>
        <v>5.6101140000000002E-3</v>
      </c>
    </row>
    <row r="38" spans="2:4" x14ac:dyDescent="0.2">
      <c r="B38" s="298" t="s">
        <v>243</v>
      </c>
      <c r="C38" s="299"/>
      <c r="D38" s="300"/>
    </row>
    <row r="39" spans="2:4" x14ac:dyDescent="0.2">
      <c r="B39" s="38">
        <v>40</v>
      </c>
      <c r="C39" s="39">
        <f>0.621*0.38198</f>
        <v>0.23720958</v>
      </c>
      <c r="D39" s="39">
        <f>0.621*0.079833</f>
        <v>4.9576293E-2</v>
      </c>
    </row>
    <row r="40" spans="2:4" x14ac:dyDescent="0.2">
      <c r="B40" s="38">
        <v>126</v>
      </c>
      <c r="C40" s="39">
        <f>0.621*0.12147</f>
        <v>7.5432869999999999E-2</v>
      </c>
      <c r="D40" s="39">
        <f>0.621*0.025387</f>
        <v>1.5765326999999999E-2</v>
      </c>
    </row>
    <row r="41" spans="2:4" x14ac:dyDescent="0.2">
      <c r="B41" s="38">
        <v>212</v>
      </c>
      <c r="C41" s="39">
        <f>0.621*0.072217</f>
        <v>4.4846757000000001E-2</v>
      </c>
      <c r="D41" s="39">
        <f>0.621*0.0150933</f>
        <v>9.3729393000000008E-3</v>
      </c>
    </row>
    <row r="42" spans="2:4" x14ac:dyDescent="0.2">
      <c r="B42" s="298" t="s">
        <v>232</v>
      </c>
      <c r="C42" s="299"/>
      <c r="D42" s="300"/>
    </row>
    <row r="43" spans="2:4" x14ac:dyDescent="0.2">
      <c r="B43" s="38">
        <v>111</v>
      </c>
      <c r="C43" s="39">
        <f>0.621*0.26437</f>
        <v>0.16417377</v>
      </c>
      <c r="D43" s="39">
        <f>0.621*0.055254</f>
        <v>3.4312733999999998E-2</v>
      </c>
    </row>
    <row r="44" spans="2:4" x14ac:dyDescent="0.2">
      <c r="B44" s="38">
        <v>349</v>
      </c>
      <c r="C44" s="39">
        <f>0.621*0.08407</f>
        <v>5.2207470000000006E-2</v>
      </c>
      <c r="D44" s="39">
        <f>0.621*0.01757</f>
        <v>1.0910969999999999E-2</v>
      </c>
    </row>
    <row r="45" spans="2:4" x14ac:dyDescent="0.2">
      <c r="B45" s="38">
        <v>588</v>
      </c>
      <c r="C45" s="39">
        <f>0.621*0.04998</f>
        <v>3.1037579999999999E-2</v>
      </c>
      <c r="D45" s="39">
        <f>0.621*0.010446</f>
        <v>6.4869660000000003E-3</v>
      </c>
    </row>
    <row r="46" spans="2:4" x14ac:dyDescent="0.2">
      <c r="B46" s="298" t="s">
        <v>244</v>
      </c>
      <c r="C46" s="299"/>
      <c r="D46" s="300"/>
    </row>
    <row r="47" spans="2:4" x14ac:dyDescent="0.2">
      <c r="B47" s="38">
        <v>40</v>
      </c>
      <c r="C47" s="39">
        <f>0.621*0.46964</f>
        <v>0.29164644000000001</v>
      </c>
      <c r="D47" s="39">
        <f>0.621*0.12598982</f>
        <v>7.8239678219999997E-2</v>
      </c>
    </row>
    <row r="48" spans="2:4" x14ac:dyDescent="0.2">
      <c r="B48" s="38">
        <v>126</v>
      </c>
      <c r="C48" s="39">
        <f>0.621*0.14935</f>
        <v>9.2746350000000005E-2</v>
      </c>
      <c r="D48" s="39">
        <f>0.621*0.04006476</f>
        <v>2.4880215959999997E-2</v>
      </c>
    </row>
    <row r="49" spans="2:4" x14ac:dyDescent="0.2">
      <c r="B49" s="38">
        <v>212</v>
      </c>
      <c r="C49" s="39">
        <f>0.621*0.0887895</f>
        <v>5.5138279499999998E-2</v>
      </c>
      <c r="D49" s="39">
        <f>0.621*0.0238197</f>
        <v>1.47920337E-2</v>
      </c>
    </row>
    <row r="50" spans="2:4" x14ac:dyDescent="0.2">
      <c r="B50" s="304" t="s">
        <v>234</v>
      </c>
      <c r="C50" s="304"/>
      <c r="D50" s="304"/>
    </row>
    <row r="51" spans="2:4" ht="14.5" customHeight="1" x14ac:dyDescent="0.2">
      <c r="B51" s="21"/>
      <c r="C51" s="120" t="s">
        <v>250</v>
      </c>
      <c r="D51" s="121" t="s">
        <v>251</v>
      </c>
    </row>
    <row r="52" spans="2:4" ht="14.5" customHeight="1" x14ac:dyDescent="0.2">
      <c r="B52" s="301" t="s">
        <v>247</v>
      </c>
      <c r="C52" s="301"/>
      <c r="D52" s="301"/>
    </row>
    <row r="53" spans="2:4" x14ac:dyDescent="0.2">
      <c r="C53" s="122">
        <v>0.8911663138304502</v>
      </c>
      <c r="D53" s="122">
        <v>0.23066290692435654</v>
      </c>
    </row>
    <row r="54" spans="2:4" x14ac:dyDescent="0.2">
      <c r="B54" s="302" t="s">
        <v>248</v>
      </c>
      <c r="C54" s="303"/>
      <c r="D54" s="303"/>
    </row>
    <row r="55" spans="2:4" x14ac:dyDescent="0.2">
      <c r="C55" s="122">
        <v>0.60864409261219621</v>
      </c>
      <c r="D55" s="122">
        <v>0.15753694176435942</v>
      </c>
    </row>
    <row r="56" spans="2:4" x14ac:dyDescent="0.2">
      <c r="B56" s="301" t="s">
        <v>249</v>
      </c>
      <c r="C56" s="301"/>
      <c r="D56" s="301"/>
    </row>
    <row r="57" spans="2:4" x14ac:dyDescent="0.2">
      <c r="C57" s="122">
        <v>0.2420653042518989</v>
      </c>
      <c r="D57" s="122">
        <v>6.2654395568743249E-2</v>
      </c>
    </row>
  </sheetData>
  <mergeCells count="30">
    <mergeCell ref="A1:B1"/>
    <mergeCell ref="B30:D30"/>
    <mergeCell ref="B32:D32"/>
    <mergeCell ref="B34:D34"/>
    <mergeCell ref="B38:D38"/>
    <mergeCell ref="B15:D15"/>
    <mergeCell ref="B3:D3"/>
    <mergeCell ref="G10:I10"/>
    <mergeCell ref="B52:D52"/>
    <mergeCell ref="B12:D12"/>
    <mergeCell ref="G14:I14"/>
    <mergeCell ref="B50:D50"/>
    <mergeCell ref="B42:D42"/>
    <mergeCell ref="B46:D46"/>
    <mergeCell ref="L18:M18"/>
    <mergeCell ref="B54:D54"/>
    <mergeCell ref="B56:D56"/>
    <mergeCell ref="G3:I3"/>
    <mergeCell ref="B4:B5"/>
    <mergeCell ref="C4:C5"/>
    <mergeCell ref="D4:D5"/>
    <mergeCell ref="G4:G5"/>
    <mergeCell ref="H4:H5"/>
    <mergeCell ref="I4:I5"/>
    <mergeCell ref="G18:I18"/>
    <mergeCell ref="B21:D21"/>
    <mergeCell ref="G22:I22"/>
    <mergeCell ref="B27:D27"/>
    <mergeCell ref="B6:D6"/>
    <mergeCell ref="G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60</vt:i4>
      </vt:variant>
    </vt:vector>
  </HeadingPairs>
  <TitlesOfParts>
    <vt:vector size="60" baseType="lpstr">
      <vt:lpstr>instructions</vt:lpstr>
      <vt:lpstr>Austria</vt:lpstr>
      <vt:lpstr>Belgium</vt:lpstr>
      <vt:lpstr>Bulgaria</vt:lpstr>
      <vt:lpstr>Croatia</vt:lpstr>
      <vt:lpstr>Cyprus</vt:lpstr>
      <vt:lpstr>Czech Republic</vt:lpstr>
      <vt:lpstr>Denmark</vt:lpstr>
      <vt:lpstr>Estonia</vt:lpstr>
      <vt:lpstr>EU28</vt:lpstr>
      <vt:lpstr>Finland</vt:lpstr>
      <vt:lpstr>France</vt:lpstr>
      <vt:lpstr>Germany</vt:lpstr>
      <vt:lpstr>Greece</vt:lpstr>
      <vt:lpstr>Hungary</vt:lpstr>
      <vt:lpstr>Lithuania</vt:lpstr>
      <vt:lpstr>Ireland</vt:lpstr>
      <vt:lpstr>Italy</vt:lpstr>
      <vt:lpstr>Latvia</vt:lpstr>
      <vt:lpstr>Luxembourg</vt:lpstr>
      <vt:lpstr>Malta</vt:lpstr>
      <vt:lpstr>Netherlands</vt:lpstr>
      <vt:lpstr>Poland</vt:lpstr>
      <vt:lpstr>Portugal</vt:lpstr>
      <vt:lpstr>Romania</vt:lpstr>
      <vt:lpstr>Slovakia</vt:lpstr>
      <vt:lpstr>Slovenia</vt:lpstr>
      <vt:lpstr>Spain</vt:lpstr>
      <vt:lpstr>Sweden</vt:lpstr>
      <vt:lpstr>United Kingdom</vt:lpstr>
      <vt:lpstr>DATA</vt:lpstr>
      <vt:lpstr>AT </vt:lpstr>
      <vt:lpstr>BE </vt:lpstr>
      <vt:lpstr>BG </vt:lpstr>
      <vt:lpstr>HR </vt:lpstr>
      <vt:lpstr>CY </vt:lpstr>
      <vt:lpstr>CZ </vt:lpstr>
      <vt:lpstr>DE </vt:lpstr>
      <vt:lpstr>DK </vt:lpstr>
      <vt:lpstr>EE </vt:lpstr>
      <vt:lpstr>EL </vt:lpstr>
      <vt:lpstr>ES </vt:lpstr>
      <vt:lpstr>EU-28 </vt:lpstr>
      <vt:lpstr>FI </vt:lpstr>
      <vt:lpstr>FR </vt:lpstr>
      <vt:lpstr>HU </vt:lpstr>
      <vt:lpstr>IE </vt:lpstr>
      <vt:lpstr>IT </vt:lpstr>
      <vt:lpstr>LT </vt:lpstr>
      <vt:lpstr>LU </vt:lpstr>
      <vt:lpstr>LV </vt:lpstr>
      <vt:lpstr>MT </vt:lpstr>
      <vt:lpstr>NL </vt:lpstr>
      <vt:lpstr>PL </vt:lpstr>
      <vt:lpstr>PT </vt:lpstr>
      <vt:lpstr>RO </vt:lpstr>
      <vt:lpstr>SE </vt:lpstr>
      <vt:lpstr>SL </vt:lpstr>
      <vt:lpstr>SK </vt:lpstr>
      <vt:lpstr>UK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CRISTINA SANZ CUADRADO</dc:creator>
  <cp:keywords/>
  <dc:description/>
  <cp:lastModifiedBy>Parisa Rahdan</cp:lastModifiedBy>
  <cp:revision/>
  <dcterms:created xsi:type="dcterms:W3CDTF">2023-10-02T11:35:17Z</dcterms:created>
  <dcterms:modified xsi:type="dcterms:W3CDTF">2024-02-07T09:44:49Z</dcterms:modified>
  <cp:category/>
  <cp:contentStatus/>
</cp:coreProperties>
</file>