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입,출국합계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17" i="1" l="1"/>
  <c r="AO217" i="1" s="1"/>
  <c r="AL217" i="1"/>
  <c r="AM217" i="1" s="1"/>
  <c r="AJ217" i="1"/>
  <c r="AH217" i="1"/>
  <c r="AI217" i="1" s="1"/>
  <c r="AD217" i="1"/>
  <c r="AE217" i="1" s="1"/>
  <c r="AB217" i="1"/>
  <c r="AC217" i="1" s="1"/>
  <c r="V217" i="1"/>
  <c r="W217" i="1" s="1"/>
  <c r="T217" i="1"/>
  <c r="U217" i="1" s="1"/>
  <c r="R217" i="1"/>
  <c r="S217" i="1" s="1"/>
  <c r="P217" i="1"/>
  <c r="Q217" i="1" s="1"/>
  <c r="N217" i="1"/>
  <c r="O217" i="1" s="1"/>
  <c r="L217" i="1"/>
  <c r="M217" i="1" s="1"/>
  <c r="J217" i="1"/>
  <c r="K217" i="1" s="1"/>
  <c r="F217" i="1"/>
  <c r="G217" i="1" s="1"/>
  <c r="C217" i="1"/>
  <c r="D217" i="1" s="1"/>
  <c r="AX216" i="1"/>
  <c r="AY216" i="1" s="1"/>
  <c r="AN216" i="1"/>
  <c r="AL216" i="1"/>
  <c r="AM216" i="1" s="1"/>
  <c r="AH216" i="1"/>
  <c r="AF216" i="1"/>
  <c r="AG216" i="1" s="1"/>
  <c r="AD216" i="1"/>
  <c r="AE216" i="1" s="1"/>
  <c r="AB216" i="1"/>
  <c r="AC216" i="1" s="1"/>
  <c r="Z216" i="1"/>
  <c r="AA216" i="1" s="1"/>
  <c r="X216" i="1"/>
  <c r="Y216" i="1" s="1"/>
  <c r="V216" i="1"/>
  <c r="W216" i="1" s="1"/>
  <c r="T216" i="1"/>
  <c r="U216" i="1" s="1"/>
  <c r="R216" i="1"/>
  <c r="S216" i="1" s="1"/>
  <c r="P216" i="1"/>
  <c r="Q216" i="1" s="1"/>
  <c r="N216" i="1"/>
  <c r="O216" i="1" s="1"/>
  <c r="L216" i="1"/>
  <c r="M216" i="1" s="1"/>
  <c r="J216" i="1"/>
  <c r="K216" i="1" s="1"/>
  <c r="F216" i="1"/>
  <c r="G216" i="1" s="1"/>
  <c r="C216" i="1"/>
  <c r="D216" i="1" s="1"/>
  <c r="AX215" i="1"/>
  <c r="AY215" i="1" s="1"/>
  <c r="AV215" i="1"/>
  <c r="AW215" i="1" s="1"/>
  <c r="AT215" i="1"/>
  <c r="AU215" i="1" s="1"/>
  <c r="AP215" i="1"/>
  <c r="AQ215" i="1" s="1"/>
  <c r="AN215" i="1"/>
  <c r="AL215" i="1"/>
  <c r="AM215" i="1" s="1"/>
  <c r="AJ215" i="1"/>
  <c r="AK215" i="1" s="1"/>
  <c r="AF215" i="1"/>
  <c r="AG215" i="1" s="1"/>
  <c r="AD215" i="1"/>
  <c r="AE215" i="1" s="1"/>
  <c r="AB215" i="1"/>
  <c r="AC215" i="1" s="1"/>
  <c r="Z215" i="1"/>
  <c r="AA215" i="1" s="1"/>
  <c r="X215" i="1"/>
  <c r="Y215" i="1" s="1"/>
  <c r="V215" i="1"/>
  <c r="W215" i="1" s="1"/>
  <c r="T215" i="1"/>
  <c r="U215" i="1" s="1"/>
  <c r="R215" i="1"/>
  <c r="S215" i="1" s="1"/>
  <c r="P215" i="1"/>
  <c r="Q215" i="1" s="1"/>
  <c r="N215" i="1"/>
  <c r="O215" i="1" s="1"/>
  <c r="L215" i="1"/>
  <c r="M215" i="1" s="1"/>
  <c r="J215" i="1"/>
  <c r="K215" i="1" s="1"/>
  <c r="I215" i="1"/>
  <c r="G215" i="1"/>
  <c r="F215" i="1"/>
  <c r="D215" i="1"/>
  <c r="C215" i="1"/>
  <c r="AY214" i="1"/>
  <c r="AX214" i="1"/>
  <c r="AV214" i="1"/>
  <c r="AT214" i="1"/>
  <c r="AS214" i="1"/>
  <c r="AR214" i="1"/>
  <c r="AQ214" i="1"/>
  <c r="AN214" i="1"/>
  <c r="AO214" i="1" s="1"/>
  <c r="AL214" i="1"/>
  <c r="AM214" i="1" s="1"/>
  <c r="AH214" i="1"/>
  <c r="AI214" i="1" s="1"/>
  <c r="AF214" i="1"/>
  <c r="AG214" i="1" s="1"/>
  <c r="AD214" i="1"/>
  <c r="AE214" i="1" s="1"/>
  <c r="AB214" i="1"/>
  <c r="AC214" i="1" s="1"/>
  <c r="Z214" i="1"/>
  <c r="AA214" i="1" s="1"/>
  <c r="X214" i="1"/>
  <c r="Y214" i="1" s="1"/>
  <c r="V214" i="1"/>
  <c r="W214" i="1" s="1"/>
  <c r="T214" i="1"/>
  <c r="U214" i="1" s="1"/>
  <c r="R214" i="1"/>
  <c r="S214" i="1" s="1"/>
  <c r="P214" i="1"/>
  <c r="Q214" i="1" s="1"/>
  <c r="N214" i="1"/>
  <c r="O214" i="1" s="1"/>
  <c r="L214" i="1"/>
  <c r="M214" i="1" s="1"/>
  <c r="J214" i="1"/>
  <c r="K214" i="1" s="1"/>
  <c r="I214" i="1"/>
  <c r="G214" i="1"/>
  <c r="F214" i="1"/>
  <c r="C214" i="1"/>
  <c r="BA213" i="1"/>
  <c r="AZ213" i="1"/>
  <c r="AV213" i="1"/>
  <c r="AT213" i="1"/>
  <c r="AR213" i="1"/>
  <c r="AS213" i="1" s="1"/>
  <c r="AO213" i="1"/>
  <c r="AN213" i="1"/>
  <c r="AM213" i="1"/>
  <c r="AL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F213" i="1"/>
  <c r="G213" i="1" s="1"/>
  <c r="C213" i="1"/>
  <c r="AZ212" i="1"/>
  <c r="BA212" i="1" s="1"/>
  <c r="AX212" i="1"/>
  <c r="AV212" i="1"/>
  <c r="AW212" i="1" s="1"/>
  <c r="AT212" i="1"/>
  <c r="AU212" i="1" s="1"/>
  <c r="AR212" i="1"/>
  <c r="AS212" i="1" s="1"/>
  <c r="AN212" i="1"/>
  <c r="AM212" i="1"/>
  <c r="AL212" i="1"/>
  <c r="AI212" i="1"/>
  <c r="AH212" i="1"/>
  <c r="AG212" i="1"/>
  <c r="AF212" i="1"/>
  <c r="AE212" i="1"/>
  <c r="AD212" i="1"/>
  <c r="AC212" i="1"/>
  <c r="AB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F212" i="1"/>
  <c r="G212" i="1" s="1"/>
  <c r="C212" i="1"/>
  <c r="D212" i="1" s="1"/>
  <c r="AZ211" i="1"/>
  <c r="BA211" i="1" s="1"/>
  <c r="AX211" i="1"/>
  <c r="AY211" i="1" s="1"/>
  <c r="AW211" i="1"/>
  <c r="AU211" i="1"/>
  <c r="AT211" i="1"/>
  <c r="AR211" i="1"/>
  <c r="AP211" i="1"/>
  <c r="AM211" i="1"/>
  <c r="AL211" i="1"/>
  <c r="AI211" i="1"/>
  <c r="AH211" i="1"/>
  <c r="AG211" i="1"/>
  <c r="AF211" i="1"/>
  <c r="AE211" i="1"/>
  <c r="AD211" i="1"/>
  <c r="AC211" i="1"/>
  <c r="X211" i="1"/>
  <c r="Y211" i="1" s="1"/>
  <c r="W211" i="1"/>
  <c r="V211" i="1"/>
  <c r="T211" i="1"/>
  <c r="U211" i="1" s="1"/>
  <c r="R211" i="1"/>
  <c r="S211" i="1" s="1"/>
  <c r="P211" i="1"/>
  <c r="Q211" i="1" s="1"/>
  <c r="N211" i="1"/>
  <c r="O211" i="1" s="1"/>
  <c r="L211" i="1"/>
  <c r="M211" i="1" s="1"/>
  <c r="J211" i="1"/>
  <c r="K211" i="1" s="1"/>
  <c r="I211" i="1"/>
  <c r="G211" i="1"/>
  <c r="F211" i="1"/>
  <c r="D211" i="1"/>
  <c r="C211" i="1"/>
  <c r="BA210" i="1"/>
  <c r="AZ210" i="1"/>
  <c r="AY210" i="1"/>
  <c r="AW210" i="1"/>
  <c r="AU210" i="1"/>
  <c r="AR210" i="1"/>
  <c r="AS211" i="1" s="1"/>
  <c r="AN210" i="1"/>
  <c r="AO210" i="1" s="1"/>
  <c r="AM210" i="1"/>
  <c r="AL210" i="1"/>
  <c r="AI210" i="1"/>
  <c r="AH210" i="1"/>
  <c r="AF210" i="1"/>
  <c r="AG210" i="1" s="1"/>
  <c r="AE210" i="1"/>
  <c r="AD210" i="1"/>
  <c r="AC210" i="1"/>
  <c r="Z210" i="1"/>
  <c r="X210" i="1"/>
  <c r="Y210" i="1" s="1"/>
  <c r="V210" i="1"/>
  <c r="W210" i="1" s="1"/>
  <c r="T210" i="1"/>
  <c r="R210" i="1"/>
  <c r="S210" i="1" s="1"/>
  <c r="P210" i="1"/>
  <c r="Q210" i="1" s="1"/>
  <c r="N210" i="1"/>
  <c r="O210" i="1" s="1"/>
  <c r="L210" i="1"/>
  <c r="M210" i="1" s="1"/>
  <c r="J210" i="1"/>
  <c r="F210" i="1"/>
  <c r="G210" i="1" s="1"/>
  <c r="D210" i="1"/>
  <c r="C210" i="1"/>
  <c r="AZ209" i="1"/>
  <c r="BA209" i="1" s="1"/>
  <c r="AY209" i="1"/>
  <c r="AW209" i="1"/>
  <c r="AU209" i="1"/>
  <c r="AR209" i="1"/>
  <c r="AS209" i="1" s="1"/>
  <c r="AQ209" i="1"/>
  <c r="AN209" i="1"/>
  <c r="AO209" i="1" s="1"/>
  <c r="AM209" i="1"/>
  <c r="AL209" i="1"/>
  <c r="AI209" i="1"/>
  <c r="AH209" i="1"/>
  <c r="AF209" i="1"/>
  <c r="AG209" i="1" s="1"/>
  <c r="AE209" i="1"/>
  <c r="AD209" i="1"/>
  <c r="AC209" i="1"/>
  <c r="Z209" i="1"/>
  <c r="AA209" i="1" s="1"/>
  <c r="X209" i="1"/>
  <c r="Y209" i="1" s="1"/>
  <c r="V209" i="1"/>
  <c r="W209" i="1" s="1"/>
  <c r="T209" i="1"/>
  <c r="U209" i="1" s="1"/>
  <c r="R209" i="1"/>
  <c r="S209" i="1" s="1"/>
  <c r="N209" i="1"/>
  <c r="O209" i="1" s="1"/>
  <c r="M209" i="1"/>
  <c r="L209" i="1"/>
  <c r="J209" i="1"/>
  <c r="K209" i="1" s="1"/>
  <c r="I209" i="1"/>
  <c r="H209" i="1"/>
  <c r="I210" i="1" s="1"/>
  <c r="F209" i="1"/>
  <c r="G209" i="1" s="1"/>
  <c r="D209" i="1"/>
  <c r="AZ208" i="1"/>
  <c r="AY208" i="1"/>
  <c r="AW208" i="1"/>
  <c r="AU208" i="1"/>
  <c r="AR208" i="1"/>
  <c r="AS208" i="1" s="1"/>
  <c r="AQ208" i="1"/>
  <c r="AN208" i="1"/>
  <c r="AL208" i="1"/>
  <c r="AM208" i="1" s="1"/>
  <c r="AH208" i="1"/>
  <c r="AI208" i="1" s="1"/>
  <c r="AF208" i="1"/>
  <c r="AE208" i="1"/>
  <c r="AD208" i="1"/>
  <c r="AC208" i="1"/>
  <c r="Z208" i="1"/>
  <c r="AA208" i="1" s="1"/>
  <c r="Y208" i="1"/>
  <c r="X208" i="1"/>
  <c r="V208" i="1"/>
  <c r="W208" i="1" s="1"/>
  <c r="T208" i="1"/>
  <c r="R208" i="1"/>
  <c r="S208" i="1" s="1"/>
  <c r="P208" i="1"/>
  <c r="Q209" i="1" s="1"/>
  <c r="N208" i="1"/>
  <c r="O208" i="1" s="1"/>
  <c r="L208" i="1"/>
  <c r="J208" i="1"/>
  <c r="K208" i="1" s="1"/>
  <c r="H208" i="1"/>
  <c r="F208" i="1"/>
  <c r="G208" i="1" s="1"/>
  <c r="D208" i="1"/>
  <c r="C208" i="1"/>
  <c r="AZ207" i="1"/>
  <c r="BA207" i="1" s="1"/>
  <c r="AY207" i="1"/>
  <c r="AW207" i="1"/>
  <c r="AU207" i="1"/>
  <c r="AR207" i="1"/>
  <c r="AQ207" i="1"/>
  <c r="AN207" i="1"/>
  <c r="AL207" i="1"/>
  <c r="AM207" i="1" s="1"/>
  <c r="AH207" i="1"/>
  <c r="AI207" i="1" s="1"/>
  <c r="AF207" i="1"/>
  <c r="AG207" i="1" s="1"/>
  <c r="AD207" i="1"/>
  <c r="AE207" i="1" s="1"/>
  <c r="AC207" i="1"/>
  <c r="AA207" i="1"/>
  <c r="X207" i="1"/>
  <c r="Y207" i="1" s="1"/>
  <c r="V207" i="1"/>
  <c r="W207" i="1" s="1"/>
  <c r="U207" i="1"/>
  <c r="T207" i="1"/>
  <c r="U208" i="1" s="1"/>
  <c r="R207" i="1"/>
  <c r="S207" i="1" s="1"/>
  <c r="P207" i="1"/>
  <c r="Q208" i="1" s="1"/>
  <c r="N207" i="1"/>
  <c r="O207" i="1" s="1"/>
  <c r="L207" i="1"/>
  <c r="M208" i="1" s="1"/>
  <c r="J207" i="1"/>
  <c r="K207" i="1" s="1"/>
  <c r="H207" i="1"/>
  <c r="I208" i="1" s="1"/>
  <c r="F207" i="1"/>
  <c r="G207" i="1" s="1"/>
  <c r="D207" i="1"/>
  <c r="C207" i="1"/>
  <c r="BB206" i="1"/>
  <c r="AZ206" i="1"/>
  <c r="BA206" i="1" s="1"/>
  <c r="AY206" i="1"/>
  <c r="AW206" i="1"/>
  <c r="AU206" i="1"/>
  <c r="AS206" i="1"/>
  <c r="AQ206" i="1"/>
  <c r="AN206" i="1"/>
  <c r="AO206" i="1" s="1"/>
  <c r="AM206" i="1"/>
  <c r="AJ206" i="1"/>
  <c r="AH206" i="1"/>
  <c r="AF206" i="1"/>
  <c r="AD206" i="1"/>
  <c r="AE206" i="1" s="1"/>
  <c r="AC206" i="1"/>
  <c r="AA206" i="1"/>
  <c r="X206" i="1"/>
  <c r="Y206" i="1" s="1"/>
  <c r="V206" i="1"/>
  <c r="T206" i="1"/>
  <c r="U206" i="1" s="1"/>
  <c r="R206" i="1"/>
  <c r="P206" i="1"/>
  <c r="Q206" i="1" s="1"/>
  <c r="O206" i="1"/>
  <c r="N206" i="1"/>
  <c r="L206" i="1"/>
  <c r="M206" i="1" s="1"/>
  <c r="J206" i="1"/>
  <c r="H206" i="1"/>
  <c r="I206" i="1" s="1"/>
  <c r="F206" i="1"/>
  <c r="C206" i="1"/>
  <c r="D206" i="1" s="1"/>
  <c r="BB205" i="1"/>
  <c r="AZ205" i="1"/>
  <c r="BA205" i="1" s="1"/>
  <c r="AY205" i="1"/>
  <c r="AW205" i="1"/>
  <c r="AU205" i="1"/>
  <c r="AS205" i="1"/>
  <c r="AR205" i="1"/>
  <c r="AQ205" i="1"/>
  <c r="AN205" i="1"/>
  <c r="AM205" i="1"/>
  <c r="AG205" i="1"/>
  <c r="AF205" i="1"/>
  <c r="AG206" i="1" s="1"/>
  <c r="AD205" i="1"/>
  <c r="AC205" i="1"/>
  <c r="AA205" i="1"/>
  <c r="Y205" i="1"/>
  <c r="X205" i="1"/>
  <c r="V205" i="1"/>
  <c r="W206" i="1" s="1"/>
  <c r="U205" i="1"/>
  <c r="T205" i="1"/>
  <c r="S205" i="1"/>
  <c r="R205" i="1"/>
  <c r="S206" i="1" s="1"/>
  <c r="Q205" i="1"/>
  <c r="N205" i="1"/>
  <c r="O205" i="1" s="1"/>
  <c r="L205" i="1"/>
  <c r="J205" i="1"/>
  <c r="H205" i="1"/>
  <c r="I205" i="1" s="1"/>
  <c r="F205" i="1"/>
  <c r="D205" i="1"/>
  <c r="C205" i="1"/>
  <c r="BA204" i="1"/>
  <c r="AY204" i="1"/>
  <c r="AW204" i="1"/>
  <c r="AU204" i="1"/>
  <c r="AR204" i="1"/>
  <c r="AS204" i="1" s="1"/>
  <c r="AQ204" i="1"/>
  <c r="AN204" i="1"/>
  <c r="AJ204" i="1"/>
  <c r="AK204" i="1" s="1"/>
  <c r="AG204" i="1"/>
  <c r="AF204" i="1"/>
  <c r="AD204" i="1"/>
  <c r="AE204" i="1" s="1"/>
  <c r="AC204" i="1"/>
  <c r="X204" i="1"/>
  <c r="V204" i="1"/>
  <c r="W205" i="1" s="1"/>
  <c r="T204" i="1"/>
  <c r="U204" i="1" s="1"/>
  <c r="R204" i="1"/>
  <c r="Q204" i="1"/>
  <c r="O204" i="1"/>
  <c r="L204" i="1"/>
  <c r="M204" i="1" s="1"/>
  <c r="J204" i="1"/>
  <c r="K204" i="1" s="1"/>
  <c r="I204" i="1"/>
  <c r="F204" i="1"/>
  <c r="D204" i="1"/>
  <c r="C204" i="1"/>
  <c r="BA203" i="1"/>
  <c r="AY203" i="1"/>
  <c r="AU203" i="1"/>
  <c r="AR203" i="1"/>
  <c r="AS203" i="1" s="1"/>
  <c r="AQ203" i="1"/>
  <c r="AG203" i="1"/>
  <c r="AF203" i="1"/>
  <c r="AD203" i="1"/>
  <c r="AE203" i="1" s="1"/>
  <c r="AC203" i="1"/>
  <c r="X203" i="1"/>
  <c r="Y204" i="1" s="1"/>
  <c r="T203" i="1"/>
  <c r="U203" i="1" s="1"/>
  <c r="R203" i="1"/>
  <c r="Q203" i="1"/>
  <c r="P203" i="1"/>
  <c r="M203" i="1"/>
  <c r="L203" i="1"/>
  <c r="K203" i="1"/>
  <c r="J203" i="1"/>
  <c r="I203" i="1"/>
  <c r="F203" i="1"/>
  <c r="G204" i="1" s="1"/>
  <c r="C203" i="1"/>
  <c r="D203" i="1" s="1"/>
  <c r="AS202" i="1"/>
  <c r="AQ202" i="1"/>
  <c r="AF202" i="1"/>
  <c r="AD202" i="1"/>
  <c r="AC202" i="1"/>
  <c r="X202" i="1"/>
  <c r="T202" i="1"/>
  <c r="S202" i="1"/>
  <c r="R202" i="1"/>
  <c r="O202" i="1"/>
  <c r="N202" i="1"/>
  <c r="O203" i="1" s="1"/>
  <c r="M202" i="1"/>
  <c r="L202" i="1"/>
  <c r="K202" i="1"/>
  <c r="J202" i="1"/>
  <c r="I202" i="1"/>
  <c r="H202" i="1"/>
  <c r="G202" i="1"/>
  <c r="F202" i="1"/>
  <c r="D202" i="1"/>
  <c r="AS201" i="1"/>
  <c r="AQ201" i="1"/>
  <c r="AC201" i="1"/>
  <c r="S201" i="1"/>
  <c r="O201" i="1"/>
  <c r="M201" i="1"/>
  <c r="K201" i="1"/>
  <c r="I201" i="1"/>
  <c r="G201" i="1"/>
  <c r="D201" i="1"/>
  <c r="AS200" i="1"/>
  <c r="AQ200" i="1"/>
  <c r="S200" i="1"/>
  <c r="O200" i="1"/>
  <c r="K200" i="1"/>
  <c r="I200" i="1"/>
  <c r="G200" i="1"/>
  <c r="D200" i="1"/>
  <c r="AS199" i="1"/>
  <c r="AQ199" i="1"/>
  <c r="O199" i="1"/>
  <c r="K199" i="1"/>
  <c r="I199" i="1"/>
  <c r="G199" i="1"/>
  <c r="D199" i="1"/>
  <c r="M197" i="1"/>
  <c r="M196" i="1"/>
  <c r="M195" i="1"/>
  <c r="M194" i="1"/>
  <c r="M193" i="1"/>
  <c r="M192" i="1"/>
  <c r="AO191" i="1"/>
  <c r="AM191" i="1"/>
  <c r="W191" i="1"/>
  <c r="S191" i="1"/>
  <c r="Q191" i="1"/>
  <c r="O191" i="1"/>
  <c r="K191" i="1"/>
  <c r="G191" i="1"/>
  <c r="D191" i="1"/>
  <c r="AO190" i="1"/>
  <c r="AM190" i="1"/>
  <c r="AI190" i="1"/>
  <c r="AE190" i="1"/>
  <c r="AC190" i="1"/>
  <c r="W190" i="1"/>
  <c r="U190" i="1"/>
  <c r="S190" i="1"/>
  <c r="Q190" i="1"/>
  <c r="O190" i="1"/>
  <c r="M190" i="1"/>
  <c r="K190" i="1"/>
  <c r="G190" i="1"/>
  <c r="D190" i="1"/>
  <c r="AO189" i="1"/>
  <c r="AM189" i="1"/>
  <c r="AK189" i="1"/>
  <c r="AI189" i="1"/>
  <c r="AE189" i="1"/>
  <c r="AC189" i="1"/>
  <c r="W189" i="1"/>
  <c r="U189" i="1"/>
  <c r="S189" i="1"/>
  <c r="Q189" i="1"/>
  <c r="O189" i="1"/>
  <c r="M189" i="1"/>
  <c r="K189" i="1"/>
  <c r="G189" i="1"/>
  <c r="D189" i="1"/>
  <c r="AO188" i="1"/>
  <c r="AM188" i="1"/>
  <c r="AI188" i="1"/>
  <c r="AE188" i="1"/>
  <c r="AC188" i="1"/>
  <c r="W188" i="1"/>
  <c r="U188" i="1"/>
  <c r="S188" i="1"/>
  <c r="Q188" i="1"/>
  <c r="O188" i="1"/>
  <c r="M188" i="1"/>
  <c r="K188" i="1"/>
  <c r="G188" i="1"/>
  <c r="D188" i="1"/>
  <c r="AO187" i="1"/>
  <c r="AM187" i="1"/>
  <c r="AI187" i="1"/>
  <c r="AE187" i="1"/>
  <c r="AC187" i="1"/>
  <c r="W187" i="1"/>
  <c r="U187" i="1"/>
  <c r="S187" i="1"/>
  <c r="Q187" i="1"/>
  <c r="O187" i="1"/>
  <c r="M187" i="1"/>
  <c r="K187" i="1"/>
  <c r="G187" i="1"/>
  <c r="D187" i="1"/>
  <c r="AO186" i="1"/>
  <c r="AM186" i="1"/>
  <c r="AK186" i="1"/>
  <c r="AI186" i="1"/>
  <c r="AE186" i="1"/>
  <c r="AC186" i="1"/>
  <c r="W186" i="1"/>
  <c r="U186" i="1"/>
  <c r="S186" i="1"/>
  <c r="Q186" i="1"/>
  <c r="O186" i="1"/>
  <c r="M186" i="1"/>
  <c r="K186" i="1"/>
  <c r="G186" i="1"/>
  <c r="D186" i="1"/>
  <c r="AM185" i="1"/>
  <c r="AI185" i="1"/>
  <c r="AG185" i="1"/>
  <c r="AE185" i="1"/>
  <c r="AC185" i="1"/>
  <c r="Y185" i="1"/>
  <c r="W185" i="1"/>
  <c r="U185" i="1"/>
  <c r="S185" i="1"/>
  <c r="Q185" i="1"/>
  <c r="O185" i="1"/>
  <c r="M185" i="1"/>
  <c r="K185" i="1"/>
  <c r="G185" i="1"/>
  <c r="D185" i="1"/>
  <c r="AM184" i="1"/>
  <c r="AI184" i="1"/>
  <c r="AG184" i="1"/>
  <c r="AE184" i="1"/>
  <c r="AC184" i="1"/>
  <c r="Y184" i="1"/>
  <c r="W184" i="1"/>
  <c r="U184" i="1"/>
  <c r="S184" i="1"/>
  <c r="Q184" i="1"/>
  <c r="O184" i="1"/>
  <c r="M184" i="1"/>
  <c r="K184" i="1"/>
  <c r="G184" i="1"/>
  <c r="D184" i="1"/>
  <c r="AM183" i="1"/>
  <c r="AI183" i="1"/>
  <c r="AG183" i="1"/>
  <c r="AE183" i="1"/>
  <c r="AC183" i="1"/>
  <c r="Y183" i="1"/>
  <c r="W183" i="1"/>
  <c r="U183" i="1"/>
  <c r="S183" i="1"/>
  <c r="Q183" i="1"/>
  <c r="O183" i="1"/>
  <c r="M183" i="1"/>
  <c r="K183" i="1"/>
  <c r="G183" i="1"/>
  <c r="D183" i="1"/>
  <c r="AM182" i="1"/>
  <c r="AI182" i="1"/>
  <c r="AG182" i="1"/>
  <c r="AE182" i="1"/>
  <c r="AC182" i="1"/>
  <c r="Y182" i="1"/>
  <c r="W182" i="1"/>
  <c r="U182" i="1"/>
  <c r="S182" i="1"/>
  <c r="Q182" i="1"/>
  <c r="O182" i="1"/>
  <c r="M182" i="1"/>
  <c r="K182" i="1"/>
  <c r="G182" i="1"/>
  <c r="D182" i="1"/>
  <c r="AM181" i="1"/>
  <c r="AI181" i="1"/>
  <c r="AG181" i="1"/>
  <c r="AE181" i="1"/>
  <c r="AC181" i="1"/>
  <c r="Y181" i="1"/>
  <c r="W181" i="1"/>
  <c r="U181" i="1"/>
  <c r="S181" i="1"/>
  <c r="Q181" i="1"/>
  <c r="O181" i="1"/>
  <c r="M181" i="1"/>
  <c r="K181" i="1"/>
  <c r="G181" i="1"/>
  <c r="D181" i="1"/>
  <c r="AM180" i="1"/>
  <c r="AJ180" i="1"/>
  <c r="AK180" i="1" s="1"/>
  <c r="AG180" i="1"/>
  <c r="AE180" i="1"/>
  <c r="AC180" i="1"/>
  <c r="Y180" i="1"/>
  <c r="W180" i="1"/>
  <c r="U180" i="1"/>
  <c r="S180" i="1"/>
  <c r="Q180" i="1"/>
  <c r="O180" i="1"/>
  <c r="M180" i="1"/>
  <c r="K180" i="1"/>
  <c r="G180" i="1"/>
  <c r="D180" i="1"/>
  <c r="AM179" i="1"/>
  <c r="AI179" i="1"/>
  <c r="AG179" i="1"/>
  <c r="AE179" i="1"/>
  <c r="AC179" i="1"/>
  <c r="Y179" i="1"/>
  <c r="W179" i="1"/>
  <c r="U179" i="1"/>
  <c r="S179" i="1"/>
  <c r="Q179" i="1"/>
  <c r="O179" i="1"/>
  <c r="M179" i="1"/>
  <c r="K179" i="1"/>
  <c r="G179" i="1"/>
  <c r="D179" i="1"/>
  <c r="AM178" i="1"/>
  <c r="AI178" i="1"/>
  <c r="AG178" i="1"/>
  <c r="AE178" i="1"/>
  <c r="AC178" i="1"/>
  <c r="Y178" i="1"/>
  <c r="W178" i="1"/>
  <c r="U178" i="1"/>
  <c r="S178" i="1"/>
  <c r="Q178" i="1"/>
  <c r="O178" i="1"/>
  <c r="M178" i="1"/>
  <c r="K178" i="1"/>
  <c r="G178" i="1"/>
  <c r="D178" i="1"/>
  <c r="AM177" i="1"/>
  <c r="AK177" i="1"/>
  <c r="AJ177" i="1"/>
  <c r="AI177" i="1"/>
  <c r="AG177" i="1"/>
  <c r="AE177" i="1"/>
  <c r="AC177" i="1"/>
  <c r="Y177" i="1"/>
  <c r="W177" i="1"/>
  <c r="U177" i="1"/>
  <c r="S177" i="1"/>
  <c r="Q177" i="1"/>
  <c r="O177" i="1"/>
  <c r="M177" i="1"/>
  <c r="K177" i="1"/>
  <c r="G177" i="1"/>
  <c r="D177" i="1"/>
  <c r="AM176" i="1"/>
  <c r="AI176" i="1"/>
  <c r="AG176" i="1"/>
  <c r="AE176" i="1"/>
  <c r="AC176" i="1"/>
  <c r="Y176" i="1"/>
  <c r="W176" i="1"/>
  <c r="U176" i="1"/>
  <c r="S176" i="1"/>
  <c r="Q176" i="1"/>
  <c r="O176" i="1"/>
  <c r="M176" i="1"/>
  <c r="K176" i="1"/>
  <c r="G176" i="1"/>
  <c r="D176" i="1"/>
  <c r="AM175" i="1"/>
  <c r="AI175" i="1"/>
  <c r="AG175" i="1"/>
  <c r="AE175" i="1"/>
  <c r="AC175" i="1"/>
  <c r="Y175" i="1"/>
  <c r="W175" i="1"/>
  <c r="U175" i="1"/>
  <c r="S175" i="1"/>
  <c r="Q175" i="1"/>
  <c r="O175" i="1"/>
  <c r="M175" i="1"/>
  <c r="K175" i="1"/>
  <c r="G175" i="1"/>
  <c r="D175" i="1"/>
  <c r="AY174" i="1"/>
  <c r="AO174" i="1"/>
  <c r="AO216" i="1" s="1"/>
  <c r="AM174" i="1"/>
  <c r="AK174" i="1"/>
  <c r="AI174" i="1"/>
  <c r="AG174" i="1"/>
  <c r="AE174" i="1"/>
  <c r="AC174" i="1"/>
  <c r="AA174" i="1"/>
  <c r="Y174" i="1"/>
  <c r="W174" i="1"/>
  <c r="U174" i="1"/>
  <c r="S174" i="1"/>
  <c r="Q174" i="1"/>
  <c r="O174" i="1"/>
  <c r="M174" i="1"/>
  <c r="K174" i="1"/>
  <c r="G174" i="1"/>
  <c r="D174" i="1"/>
  <c r="AM173" i="1"/>
  <c r="AI173" i="1"/>
  <c r="AG173" i="1"/>
  <c r="AE173" i="1"/>
  <c r="AC173" i="1"/>
  <c r="Y173" i="1"/>
  <c r="W173" i="1"/>
  <c r="U173" i="1"/>
  <c r="S173" i="1"/>
  <c r="Q173" i="1"/>
  <c r="O173" i="1"/>
  <c r="M173" i="1"/>
  <c r="K173" i="1"/>
  <c r="G173" i="1"/>
  <c r="D173" i="1"/>
  <c r="AM172" i="1"/>
  <c r="AI172" i="1"/>
  <c r="AG172" i="1"/>
  <c r="AE172" i="1"/>
  <c r="AC172" i="1"/>
  <c r="Y172" i="1"/>
  <c r="W172" i="1"/>
  <c r="U172" i="1"/>
  <c r="S172" i="1"/>
  <c r="Q172" i="1"/>
  <c r="O172" i="1"/>
  <c r="M172" i="1"/>
  <c r="K172" i="1"/>
  <c r="G172" i="1"/>
  <c r="D172" i="1"/>
  <c r="AM171" i="1"/>
  <c r="AK171" i="1"/>
  <c r="AI171" i="1"/>
  <c r="AG171" i="1"/>
  <c r="AE171" i="1"/>
  <c r="AC171" i="1"/>
  <c r="Y171" i="1"/>
  <c r="W171" i="1"/>
  <c r="U171" i="1"/>
  <c r="S171" i="1"/>
  <c r="Q171" i="1"/>
  <c r="O171" i="1"/>
  <c r="M171" i="1"/>
  <c r="K171" i="1"/>
  <c r="G171" i="1"/>
  <c r="D171" i="1"/>
  <c r="AM170" i="1"/>
  <c r="AI170" i="1"/>
  <c r="AG170" i="1"/>
  <c r="AE170" i="1"/>
  <c r="AC170" i="1"/>
  <c r="Y170" i="1"/>
  <c r="W170" i="1"/>
  <c r="U170" i="1"/>
  <c r="S170" i="1"/>
  <c r="Q170" i="1"/>
  <c r="O170" i="1"/>
  <c r="M170" i="1"/>
  <c r="K170" i="1"/>
  <c r="G170" i="1"/>
  <c r="D170" i="1"/>
  <c r="AM169" i="1"/>
  <c r="AI169" i="1"/>
  <c r="AG169" i="1"/>
  <c r="AE169" i="1"/>
  <c r="AC169" i="1"/>
  <c r="Y169" i="1"/>
  <c r="W169" i="1"/>
  <c r="U169" i="1"/>
  <c r="S169" i="1"/>
  <c r="Q169" i="1"/>
  <c r="O169" i="1"/>
  <c r="M169" i="1"/>
  <c r="K169" i="1"/>
  <c r="G169" i="1"/>
  <c r="D169" i="1"/>
  <c r="AM168" i="1"/>
  <c r="AK168" i="1"/>
  <c r="AH168" i="1"/>
  <c r="AH215" i="1" s="1"/>
  <c r="AI215" i="1" s="1"/>
  <c r="AG168" i="1"/>
  <c r="AE168" i="1"/>
  <c r="AC168" i="1"/>
  <c r="Y168" i="1"/>
  <c r="W168" i="1"/>
  <c r="U168" i="1"/>
  <c r="S168" i="1"/>
  <c r="Q168" i="1"/>
  <c r="O168" i="1"/>
  <c r="M168" i="1"/>
  <c r="K168" i="1"/>
  <c r="G168" i="1"/>
  <c r="D168" i="1"/>
  <c r="AM167" i="1"/>
  <c r="AI167" i="1"/>
  <c r="AG167" i="1"/>
  <c r="AE167" i="1"/>
  <c r="AC167" i="1"/>
  <c r="AA167" i="1"/>
  <c r="Y167" i="1"/>
  <c r="W167" i="1"/>
  <c r="U167" i="1"/>
  <c r="S167" i="1"/>
  <c r="Q167" i="1"/>
  <c r="O167" i="1"/>
  <c r="M167" i="1"/>
  <c r="K167" i="1"/>
  <c r="G167" i="1"/>
  <c r="D167" i="1"/>
  <c r="AM166" i="1"/>
  <c r="AI166" i="1"/>
  <c r="AG166" i="1"/>
  <c r="AE166" i="1"/>
  <c r="AC166" i="1"/>
  <c r="AA166" i="1"/>
  <c r="Y166" i="1"/>
  <c r="W166" i="1"/>
  <c r="U166" i="1"/>
  <c r="S166" i="1"/>
  <c r="Q166" i="1"/>
  <c r="O166" i="1"/>
  <c r="M166" i="1"/>
  <c r="K166" i="1"/>
  <c r="G166" i="1"/>
  <c r="D166" i="1"/>
  <c r="AM165" i="1"/>
  <c r="AK165" i="1"/>
  <c r="AI165" i="1"/>
  <c r="AG165" i="1"/>
  <c r="AE165" i="1"/>
  <c r="AC165" i="1"/>
  <c r="AA165" i="1"/>
  <c r="Y165" i="1"/>
  <c r="W165" i="1"/>
  <c r="U165" i="1"/>
  <c r="S165" i="1"/>
  <c r="Q165" i="1"/>
  <c r="O165" i="1"/>
  <c r="M165" i="1"/>
  <c r="K165" i="1"/>
  <c r="G165" i="1"/>
  <c r="D165" i="1"/>
  <c r="AM164" i="1"/>
  <c r="AI164" i="1"/>
  <c r="AG164" i="1"/>
  <c r="AE164" i="1"/>
  <c r="AC164" i="1"/>
  <c r="AA164" i="1"/>
  <c r="Y164" i="1"/>
  <c r="W164" i="1"/>
  <c r="U164" i="1"/>
  <c r="S164" i="1"/>
  <c r="Q164" i="1"/>
  <c r="O164" i="1"/>
  <c r="M164" i="1"/>
  <c r="K164" i="1"/>
  <c r="G164" i="1"/>
  <c r="D164" i="1"/>
  <c r="AM163" i="1"/>
  <c r="AI163" i="1"/>
  <c r="AG163" i="1"/>
  <c r="AE163" i="1"/>
  <c r="AC163" i="1"/>
  <c r="AA163" i="1"/>
  <c r="Y163" i="1"/>
  <c r="W163" i="1"/>
  <c r="U163" i="1"/>
  <c r="S163" i="1"/>
  <c r="Q163" i="1"/>
  <c r="O163" i="1"/>
  <c r="M163" i="1"/>
  <c r="K163" i="1"/>
  <c r="G163" i="1"/>
  <c r="D163" i="1"/>
  <c r="AY162" i="1"/>
  <c r="AW162" i="1"/>
  <c r="AU162" i="1"/>
  <c r="AQ162" i="1"/>
  <c r="AO162" i="1"/>
  <c r="AM162" i="1"/>
  <c r="AK162" i="1"/>
  <c r="AI162" i="1"/>
  <c r="AG162" i="1"/>
  <c r="AE162" i="1"/>
  <c r="AC162" i="1"/>
  <c r="AA162" i="1"/>
  <c r="Y162" i="1"/>
  <c r="W162" i="1"/>
  <c r="U162" i="1"/>
  <c r="S162" i="1"/>
  <c r="Q162" i="1"/>
  <c r="O162" i="1"/>
  <c r="M162" i="1"/>
  <c r="K162" i="1"/>
  <c r="I162" i="1"/>
  <c r="G162" i="1"/>
  <c r="D162" i="1"/>
  <c r="AS161" i="1"/>
  <c r="AM161" i="1"/>
  <c r="AI161" i="1"/>
  <c r="AG161" i="1"/>
  <c r="AE161" i="1"/>
  <c r="AC161" i="1"/>
  <c r="AA161" i="1"/>
  <c r="Y161" i="1"/>
  <c r="W161" i="1"/>
  <c r="U161" i="1"/>
  <c r="S161" i="1"/>
  <c r="Q161" i="1"/>
  <c r="O161" i="1"/>
  <c r="M161" i="1"/>
  <c r="K161" i="1"/>
  <c r="G161" i="1"/>
  <c r="D161" i="1"/>
  <c r="AS160" i="1"/>
  <c r="AM160" i="1"/>
  <c r="AI160" i="1"/>
  <c r="AG160" i="1"/>
  <c r="AE160" i="1"/>
  <c r="AC160" i="1"/>
  <c r="AA160" i="1"/>
  <c r="Y160" i="1"/>
  <c r="W160" i="1"/>
  <c r="U160" i="1"/>
  <c r="S160" i="1"/>
  <c r="Q160" i="1"/>
  <c r="O160" i="1"/>
  <c r="M160" i="1"/>
  <c r="K160" i="1"/>
  <c r="G160" i="1"/>
  <c r="D160" i="1"/>
  <c r="AS159" i="1"/>
  <c r="AM159" i="1"/>
  <c r="AI159" i="1"/>
  <c r="AG159" i="1"/>
  <c r="AE159" i="1"/>
  <c r="AC159" i="1"/>
  <c r="AA159" i="1"/>
  <c r="Y159" i="1"/>
  <c r="W159" i="1"/>
  <c r="U159" i="1"/>
  <c r="S159" i="1"/>
  <c r="Q159" i="1"/>
  <c r="O159" i="1"/>
  <c r="M159" i="1"/>
  <c r="K159" i="1"/>
  <c r="G159" i="1"/>
  <c r="D159" i="1"/>
  <c r="AS158" i="1"/>
  <c r="AM158" i="1"/>
  <c r="AI158" i="1"/>
  <c r="AG158" i="1"/>
  <c r="AE158" i="1"/>
  <c r="AC158" i="1"/>
  <c r="AA158" i="1"/>
  <c r="Y158" i="1"/>
  <c r="W158" i="1"/>
  <c r="U158" i="1"/>
  <c r="S158" i="1"/>
  <c r="Q158" i="1"/>
  <c r="O158" i="1"/>
  <c r="M158" i="1"/>
  <c r="K158" i="1"/>
  <c r="G158" i="1"/>
  <c r="D158" i="1"/>
  <c r="AS157" i="1"/>
  <c r="AM157" i="1"/>
  <c r="AI157" i="1"/>
  <c r="AG157" i="1"/>
  <c r="AE157" i="1"/>
  <c r="AC157" i="1"/>
  <c r="AA157" i="1"/>
  <c r="Y157" i="1"/>
  <c r="W157" i="1"/>
  <c r="U157" i="1"/>
  <c r="S157" i="1"/>
  <c r="Q157" i="1"/>
  <c r="O157" i="1"/>
  <c r="M157" i="1"/>
  <c r="K157" i="1"/>
  <c r="G157" i="1"/>
  <c r="D157" i="1"/>
  <c r="AS156" i="1"/>
  <c r="AM156" i="1"/>
  <c r="AJ156" i="1"/>
  <c r="AJ214" i="1" s="1"/>
  <c r="AI156" i="1"/>
  <c r="AG156" i="1"/>
  <c r="AE156" i="1"/>
  <c r="AC156" i="1"/>
  <c r="AA156" i="1"/>
  <c r="Y156" i="1"/>
  <c r="W156" i="1"/>
  <c r="U156" i="1"/>
  <c r="S156" i="1"/>
  <c r="Q156" i="1"/>
  <c r="O156" i="1"/>
  <c r="M156" i="1"/>
  <c r="K156" i="1"/>
  <c r="G156" i="1"/>
  <c r="D156" i="1"/>
  <c r="AS155" i="1"/>
  <c r="AM155" i="1"/>
  <c r="AI155" i="1"/>
  <c r="AG155" i="1"/>
  <c r="AE155" i="1"/>
  <c r="AC155" i="1"/>
  <c r="AA155" i="1"/>
  <c r="Y155" i="1"/>
  <c r="W155" i="1"/>
  <c r="U155" i="1"/>
  <c r="S155" i="1"/>
  <c r="Q155" i="1"/>
  <c r="O155" i="1"/>
  <c r="M155" i="1"/>
  <c r="K155" i="1"/>
  <c r="G155" i="1"/>
  <c r="D155" i="1"/>
  <c r="AS154" i="1"/>
  <c r="AM154" i="1"/>
  <c r="AI154" i="1"/>
  <c r="AG154" i="1"/>
  <c r="AE154" i="1"/>
  <c r="AC154" i="1"/>
  <c r="AA154" i="1"/>
  <c r="Y154" i="1"/>
  <c r="W154" i="1"/>
  <c r="U154" i="1"/>
  <c r="S154" i="1"/>
  <c r="Q154" i="1"/>
  <c r="O154" i="1"/>
  <c r="M154" i="1"/>
  <c r="K154" i="1"/>
  <c r="G154" i="1"/>
  <c r="D154" i="1"/>
  <c r="AS153" i="1"/>
  <c r="AM153" i="1"/>
  <c r="AI153" i="1"/>
  <c r="AG153" i="1"/>
  <c r="AE153" i="1"/>
  <c r="AC153" i="1"/>
  <c r="AA153" i="1"/>
  <c r="Y153" i="1"/>
  <c r="W153" i="1"/>
  <c r="U153" i="1"/>
  <c r="S153" i="1"/>
  <c r="Q153" i="1"/>
  <c r="O153" i="1"/>
  <c r="M153" i="1"/>
  <c r="K153" i="1"/>
  <c r="G153" i="1"/>
  <c r="D153" i="1"/>
  <c r="AS152" i="1"/>
  <c r="AM152" i="1"/>
  <c r="AI152" i="1"/>
  <c r="AG152" i="1"/>
  <c r="AE152" i="1"/>
  <c r="AC152" i="1"/>
  <c r="AA152" i="1"/>
  <c r="Y152" i="1"/>
  <c r="W152" i="1"/>
  <c r="U152" i="1"/>
  <c r="S152" i="1"/>
  <c r="Q152" i="1"/>
  <c r="O152" i="1"/>
  <c r="M152" i="1"/>
  <c r="K152" i="1"/>
  <c r="I152" i="1"/>
  <c r="G152" i="1"/>
  <c r="D152" i="1"/>
  <c r="AS151" i="1"/>
  <c r="AM151" i="1"/>
  <c r="AI151" i="1"/>
  <c r="AG151" i="1"/>
  <c r="AE151" i="1"/>
  <c r="AC151" i="1"/>
  <c r="AA151" i="1"/>
  <c r="Y151" i="1"/>
  <c r="W151" i="1"/>
  <c r="U151" i="1"/>
  <c r="S151" i="1"/>
  <c r="Q151" i="1"/>
  <c r="O151" i="1"/>
  <c r="M151" i="1"/>
  <c r="K151" i="1"/>
  <c r="I151" i="1"/>
  <c r="G151" i="1"/>
  <c r="D151" i="1"/>
  <c r="AY150" i="1"/>
  <c r="AW150" i="1"/>
  <c r="AU150" i="1"/>
  <c r="AS150" i="1"/>
  <c r="AQ150" i="1"/>
  <c r="AO150" i="1"/>
  <c r="AM150" i="1"/>
  <c r="AK150" i="1"/>
  <c r="AI150" i="1"/>
  <c r="AG150" i="1"/>
  <c r="AE150" i="1"/>
  <c r="AC150" i="1"/>
  <c r="AA150" i="1"/>
  <c r="Y150" i="1"/>
  <c r="W150" i="1"/>
  <c r="U150" i="1"/>
  <c r="S150" i="1"/>
  <c r="Q150" i="1"/>
  <c r="O150" i="1"/>
  <c r="M150" i="1"/>
  <c r="K150" i="1"/>
  <c r="I150" i="1"/>
  <c r="G150" i="1"/>
  <c r="D150" i="1"/>
  <c r="BA149" i="1"/>
  <c r="AS149" i="1"/>
  <c r="AM149" i="1"/>
  <c r="AI149" i="1"/>
  <c r="AG149" i="1"/>
  <c r="AE149" i="1"/>
  <c r="AC149" i="1"/>
  <c r="AA149" i="1"/>
  <c r="Y149" i="1"/>
  <c r="W149" i="1"/>
  <c r="U149" i="1"/>
  <c r="S149" i="1"/>
  <c r="Q149" i="1"/>
  <c r="O149" i="1"/>
  <c r="M149" i="1"/>
  <c r="K149" i="1"/>
  <c r="I149" i="1"/>
  <c r="G149" i="1"/>
  <c r="D149" i="1"/>
  <c r="BA148" i="1"/>
  <c r="AS148" i="1"/>
  <c r="AM148" i="1"/>
  <c r="AI148" i="1"/>
  <c r="AG148" i="1"/>
  <c r="AE148" i="1"/>
  <c r="AC148" i="1"/>
  <c r="AA148" i="1"/>
  <c r="Y148" i="1"/>
  <c r="W148" i="1"/>
  <c r="U148" i="1"/>
  <c r="S148" i="1"/>
  <c r="Q148" i="1"/>
  <c r="O148" i="1"/>
  <c r="M148" i="1"/>
  <c r="K148" i="1"/>
  <c r="I148" i="1"/>
  <c r="G148" i="1"/>
  <c r="D148" i="1"/>
  <c r="BA147" i="1"/>
  <c r="AS147" i="1"/>
  <c r="AM147" i="1"/>
  <c r="AI147" i="1"/>
  <c r="AG147" i="1"/>
  <c r="AE147" i="1"/>
  <c r="AC147" i="1"/>
  <c r="AA147" i="1"/>
  <c r="Y147" i="1"/>
  <c r="W147" i="1"/>
  <c r="U147" i="1"/>
  <c r="S147" i="1"/>
  <c r="Q147" i="1"/>
  <c r="O147" i="1"/>
  <c r="M147" i="1"/>
  <c r="K147" i="1"/>
  <c r="I147" i="1"/>
  <c r="G147" i="1"/>
  <c r="D147" i="1"/>
  <c r="BA146" i="1"/>
  <c r="AS146" i="1"/>
  <c r="AM146" i="1"/>
  <c r="AI146" i="1"/>
  <c r="AG146" i="1"/>
  <c r="AE146" i="1"/>
  <c r="AC146" i="1"/>
  <c r="AA146" i="1"/>
  <c r="Y146" i="1"/>
  <c r="W146" i="1"/>
  <c r="U146" i="1"/>
  <c r="S146" i="1"/>
  <c r="Q146" i="1"/>
  <c r="O146" i="1"/>
  <c r="M146" i="1"/>
  <c r="K146" i="1"/>
  <c r="I146" i="1"/>
  <c r="G146" i="1"/>
  <c r="D146" i="1"/>
  <c r="BA145" i="1"/>
  <c r="AS145" i="1"/>
  <c r="AM145" i="1"/>
  <c r="AI145" i="1"/>
  <c r="AG145" i="1"/>
  <c r="AE145" i="1"/>
  <c r="AC145" i="1"/>
  <c r="AA145" i="1"/>
  <c r="Y145" i="1"/>
  <c r="W145" i="1"/>
  <c r="U145" i="1"/>
  <c r="S145" i="1"/>
  <c r="Q145" i="1"/>
  <c r="O145" i="1"/>
  <c r="M145" i="1"/>
  <c r="K145" i="1"/>
  <c r="I145" i="1"/>
  <c r="G145" i="1"/>
  <c r="D145" i="1"/>
  <c r="BA144" i="1"/>
  <c r="AS144" i="1"/>
  <c r="AM144" i="1"/>
  <c r="AJ144" i="1"/>
  <c r="AJ147" i="1" s="1"/>
  <c r="AI144" i="1"/>
  <c r="AG144" i="1"/>
  <c r="AE144" i="1"/>
  <c r="AC144" i="1"/>
  <c r="AA144" i="1"/>
  <c r="Y144" i="1"/>
  <c r="W144" i="1"/>
  <c r="U144" i="1"/>
  <c r="S144" i="1"/>
  <c r="Q144" i="1"/>
  <c r="O144" i="1"/>
  <c r="M144" i="1"/>
  <c r="K144" i="1"/>
  <c r="I144" i="1"/>
  <c r="G144" i="1"/>
  <c r="D144" i="1"/>
  <c r="BA143" i="1"/>
  <c r="AS143" i="1"/>
  <c r="AM143" i="1"/>
  <c r="AI143" i="1"/>
  <c r="AG143" i="1"/>
  <c r="AE143" i="1"/>
  <c r="AC143" i="1"/>
  <c r="AA143" i="1"/>
  <c r="Y143" i="1"/>
  <c r="W143" i="1"/>
  <c r="U143" i="1"/>
  <c r="S143" i="1"/>
  <c r="Q143" i="1"/>
  <c r="O143" i="1"/>
  <c r="M143" i="1"/>
  <c r="K143" i="1"/>
  <c r="I143" i="1"/>
  <c r="G143" i="1"/>
  <c r="D143" i="1"/>
  <c r="BA142" i="1"/>
  <c r="AS142" i="1"/>
  <c r="AM142" i="1"/>
  <c r="AI142" i="1"/>
  <c r="AG142" i="1"/>
  <c r="AE142" i="1"/>
  <c r="AC142" i="1"/>
  <c r="AA142" i="1"/>
  <c r="Y142" i="1"/>
  <c r="W142" i="1"/>
  <c r="U142" i="1"/>
  <c r="S142" i="1"/>
  <c r="Q142" i="1"/>
  <c r="O142" i="1"/>
  <c r="M142" i="1"/>
  <c r="K142" i="1"/>
  <c r="I142" i="1"/>
  <c r="G142" i="1"/>
  <c r="D142" i="1"/>
  <c r="BA141" i="1"/>
  <c r="AS141" i="1"/>
  <c r="AM141" i="1"/>
  <c r="AK141" i="1"/>
  <c r="AJ141" i="1"/>
  <c r="AI141" i="1"/>
  <c r="AG141" i="1"/>
  <c r="AE141" i="1"/>
  <c r="AC141" i="1"/>
  <c r="AA141" i="1"/>
  <c r="Y141" i="1"/>
  <c r="W141" i="1"/>
  <c r="U141" i="1"/>
  <c r="S141" i="1"/>
  <c r="Q141" i="1"/>
  <c r="O141" i="1"/>
  <c r="M141" i="1"/>
  <c r="K141" i="1"/>
  <c r="I141" i="1"/>
  <c r="G141" i="1"/>
  <c r="D141" i="1"/>
  <c r="BA140" i="1"/>
  <c r="AS140" i="1"/>
  <c r="AM140" i="1"/>
  <c r="AI140" i="1"/>
  <c r="AG140" i="1"/>
  <c r="AE140" i="1"/>
  <c r="AC140" i="1"/>
  <c r="AA140" i="1"/>
  <c r="Y140" i="1"/>
  <c r="W140" i="1"/>
  <c r="U140" i="1"/>
  <c r="S140" i="1"/>
  <c r="Q140" i="1"/>
  <c r="O140" i="1"/>
  <c r="M140" i="1"/>
  <c r="K140" i="1"/>
  <c r="I140" i="1"/>
  <c r="G140" i="1"/>
  <c r="D140" i="1"/>
  <c r="BA139" i="1"/>
  <c r="AS139" i="1"/>
  <c r="AM139" i="1"/>
  <c r="AI139" i="1"/>
  <c r="AG139" i="1"/>
  <c r="AE139" i="1"/>
  <c r="AC139" i="1"/>
  <c r="AA139" i="1"/>
  <c r="Y139" i="1"/>
  <c r="W139" i="1"/>
  <c r="U139" i="1"/>
  <c r="S139" i="1"/>
  <c r="Q139" i="1"/>
  <c r="O139" i="1"/>
  <c r="M139" i="1"/>
  <c r="K139" i="1"/>
  <c r="I139" i="1"/>
  <c r="G139" i="1"/>
  <c r="D139" i="1"/>
  <c r="BA138" i="1"/>
  <c r="AY138" i="1"/>
  <c r="AW138" i="1"/>
  <c r="AU138" i="1"/>
  <c r="AS138" i="1"/>
  <c r="AQ138" i="1"/>
  <c r="AQ213" i="1" s="1"/>
  <c r="AO138" i="1"/>
  <c r="AM138" i="1"/>
  <c r="AK138" i="1"/>
  <c r="AI138" i="1"/>
  <c r="AG138" i="1"/>
  <c r="AE138" i="1"/>
  <c r="AC138" i="1"/>
  <c r="AA138" i="1"/>
  <c r="Y138" i="1"/>
  <c r="W138" i="1"/>
  <c r="U138" i="1"/>
  <c r="S138" i="1"/>
  <c r="Q138" i="1"/>
  <c r="O138" i="1"/>
  <c r="M138" i="1"/>
  <c r="K138" i="1"/>
  <c r="I138" i="1"/>
  <c r="G138" i="1"/>
  <c r="D138" i="1"/>
  <c r="AS137" i="1"/>
  <c r="AM137" i="1"/>
  <c r="AI137" i="1"/>
  <c r="AG137" i="1"/>
  <c r="AE137" i="1"/>
  <c r="AC137" i="1"/>
  <c r="AA137" i="1"/>
  <c r="Y137" i="1"/>
  <c r="W137" i="1"/>
  <c r="U137" i="1"/>
  <c r="S137" i="1"/>
  <c r="Q137" i="1"/>
  <c r="O137" i="1"/>
  <c r="M137" i="1"/>
  <c r="K137" i="1"/>
  <c r="I137" i="1"/>
  <c r="G137" i="1"/>
  <c r="D137" i="1"/>
  <c r="AS136" i="1"/>
  <c r="AM136" i="1"/>
  <c r="AI136" i="1"/>
  <c r="AG136" i="1"/>
  <c r="AE136" i="1"/>
  <c r="AC136" i="1"/>
  <c r="AA136" i="1"/>
  <c r="Y136" i="1"/>
  <c r="W136" i="1"/>
  <c r="U136" i="1"/>
  <c r="S136" i="1"/>
  <c r="Q136" i="1"/>
  <c r="O136" i="1"/>
  <c r="M136" i="1"/>
  <c r="K136" i="1"/>
  <c r="I136" i="1"/>
  <c r="G136" i="1"/>
  <c r="D136" i="1"/>
  <c r="AS135" i="1"/>
  <c r="AM135" i="1"/>
  <c r="AI135" i="1"/>
  <c r="AG135" i="1"/>
  <c r="AE135" i="1"/>
  <c r="AC135" i="1"/>
  <c r="AA135" i="1"/>
  <c r="Y135" i="1"/>
  <c r="W135" i="1"/>
  <c r="U135" i="1"/>
  <c r="S135" i="1"/>
  <c r="Q135" i="1"/>
  <c r="O135" i="1"/>
  <c r="M135" i="1"/>
  <c r="K135" i="1"/>
  <c r="I135" i="1"/>
  <c r="G135" i="1"/>
  <c r="D135" i="1"/>
  <c r="AS134" i="1"/>
  <c r="AM134" i="1"/>
  <c r="AI134" i="1"/>
  <c r="AG134" i="1"/>
  <c r="AE134" i="1"/>
  <c r="AC134" i="1"/>
  <c r="AA134" i="1"/>
  <c r="Y134" i="1"/>
  <c r="W134" i="1"/>
  <c r="U134" i="1"/>
  <c r="S134" i="1"/>
  <c r="Q134" i="1"/>
  <c r="O134" i="1"/>
  <c r="M134" i="1"/>
  <c r="K134" i="1"/>
  <c r="I134" i="1"/>
  <c r="G134" i="1"/>
  <c r="D134" i="1"/>
  <c r="BA133" i="1"/>
  <c r="AS133" i="1"/>
  <c r="AM133" i="1"/>
  <c r="AI133" i="1"/>
  <c r="AG133" i="1"/>
  <c r="AE133" i="1"/>
  <c r="AC133" i="1"/>
  <c r="AA133" i="1"/>
  <c r="Y133" i="1"/>
  <c r="W133" i="1"/>
  <c r="U133" i="1"/>
  <c r="S133" i="1"/>
  <c r="Q133" i="1"/>
  <c r="O133" i="1"/>
  <c r="M133" i="1"/>
  <c r="K133" i="1"/>
  <c r="I133" i="1"/>
  <c r="G133" i="1"/>
  <c r="D133" i="1"/>
  <c r="BA132" i="1"/>
  <c r="AS132" i="1"/>
  <c r="AM132" i="1"/>
  <c r="AJ132" i="1"/>
  <c r="AJ135" i="1" s="1"/>
  <c r="AI132" i="1"/>
  <c r="AG132" i="1"/>
  <c r="AE132" i="1"/>
  <c r="AC132" i="1"/>
  <c r="AA132" i="1"/>
  <c r="Y132" i="1"/>
  <c r="W132" i="1"/>
  <c r="U132" i="1"/>
  <c r="S132" i="1"/>
  <c r="Q132" i="1"/>
  <c r="O132" i="1"/>
  <c r="M132" i="1"/>
  <c r="K132" i="1"/>
  <c r="I132" i="1"/>
  <c r="G132" i="1"/>
  <c r="D132" i="1"/>
  <c r="BA131" i="1"/>
  <c r="AS131" i="1"/>
  <c r="AM131" i="1"/>
  <c r="AI131" i="1"/>
  <c r="AG131" i="1"/>
  <c r="AE131" i="1"/>
  <c r="AC131" i="1"/>
  <c r="AA131" i="1"/>
  <c r="Y131" i="1"/>
  <c r="W131" i="1"/>
  <c r="U131" i="1"/>
  <c r="S131" i="1"/>
  <c r="Q131" i="1"/>
  <c r="O131" i="1"/>
  <c r="M131" i="1"/>
  <c r="K131" i="1"/>
  <c r="I131" i="1"/>
  <c r="G131" i="1"/>
  <c r="D131" i="1"/>
  <c r="BA130" i="1"/>
  <c r="AS130" i="1"/>
  <c r="AM130" i="1"/>
  <c r="AI130" i="1"/>
  <c r="AG130" i="1"/>
  <c r="AE130" i="1"/>
  <c r="AC130" i="1"/>
  <c r="Y130" i="1"/>
  <c r="W130" i="1"/>
  <c r="U130" i="1"/>
  <c r="S130" i="1"/>
  <c r="Q130" i="1"/>
  <c r="O130" i="1"/>
  <c r="M130" i="1"/>
  <c r="K130" i="1"/>
  <c r="I130" i="1"/>
  <c r="G130" i="1"/>
  <c r="D130" i="1"/>
  <c r="BA129" i="1"/>
  <c r="AS129" i="1"/>
  <c r="AM129" i="1"/>
  <c r="AJ129" i="1"/>
  <c r="AI129" i="1"/>
  <c r="AG129" i="1"/>
  <c r="AE129" i="1"/>
  <c r="AC129" i="1"/>
  <c r="AA129" i="1"/>
  <c r="Y129" i="1"/>
  <c r="W129" i="1"/>
  <c r="U129" i="1"/>
  <c r="S129" i="1"/>
  <c r="Q129" i="1"/>
  <c r="O129" i="1"/>
  <c r="M129" i="1"/>
  <c r="K129" i="1"/>
  <c r="I129" i="1"/>
  <c r="G129" i="1"/>
  <c r="D129" i="1"/>
  <c r="BA128" i="1"/>
  <c r="AS128" i="1"/>
  <c r="AM128" i="1"/>
  <c r="AI128" i="1"/>
  <c r="AG128" i="1"/>
  <c r="AE128" i="1"/>
  <c r="AC128" i="1"/>
  <c r="AA128" i="1"/>
  <c r="Y128" i="1"/>
  <c r="W128" i="1"/>
  <c r="U128" i="1"/>
  <c r="S128" i="1"/>
  <c r="Q128" i="1"/>
  <c r="O128" i="1"/>
  <c r="M128" i="1"/>
  <c r="K128" i="1"/>
  <c r="I128" i="1"/>
  <c r="G128" i="1"/>
  <c r="D128" i="1"/>
  <c r="BA127" i="1"/>
  <c r="AS127" i="1"/>
  <c r="AM127" i="1"/>
  <c r="AI127" i="1"/>
  <c r="AG127" i="1"/>
  <c r="AE127" i="1"/>
  <c r="AC127" i="1"/>
  <c r="AA127" i="1"/>
  <c r="Y127" i="1"/>
  <c r="W127" i="1"/>
  <c r="U127" i="1"/>
  <c r="S127" i="1"/>
  <c r="Q127" i="1"/>
  <c r="O127" i="1"/>
  <c r="M127" i="1"/>
  <c r="K127" i="1"/>
  <c r="I127" i="1"/>
  <c r="G127" i="1"/>
  <c r="D127" i="1"/>
  <c r="BA126" i="1"/>
  <c r="AY126" i="1"/>
  <c r="AW126" i="1"/>
  <c r="AU126" i="1"/>
  <c r="AS126" i="1"/>
  <c r="AQ126" i="1"/>
  <c r="AQ212" i="1" s="1"/>
  <c r="AO126" i="1"/>
  <c r="AO212" i="1" s="1"/>
  <c r="AM126" i="1"/>
  <c r="AK126" i="1"/>
  <c r="AI126" i="1"/>
  <c r="AG126" i="1"/>
  <c r="AE126" i="1"/>
  <c r="AC126" i="1"/>
  <c r="AA126" i="1"/>
  <c r="Y126" i="1"/>
  <c r="W126" i="1"/>
  <c r="U126" i="1"/>
  <c r="S126" i="1"/>
  <c r="Q126" i="1"/>
  <c r="O126" i="1"/>
  <c r="M126" i="1"/>
  <c r="K126" i="1"/>
  <c r="I126" i="1"/>
  <c r="G126" i="1"/>
  <c r="D126" i="1"/>
  <c r="AS125" i="1"/>
  <c r="AM125" i="1"/>
  <c r="AI125" i="1"/>
  <c r="AG125" i="1"/>
  <c r="AE125" i="1"/>
  <c r="AC125" i="1"/>
  <c r="AA125" i="1"/>
  <c r="Y125" i="1"/>
  <c r="W125" i="1"/>
  <c r="U125" i="1"/>
  <c r="S125" i="1"/>
  <c r="Q125" i="1"/>
  <c r="O125" i="1"/>
  <c r="M125" i="1"/>
  <c r="K125" i="1"/>
  <c r="I125" i="1"/>
  <c r="G125" i="1"/>
  <c r="D125" i="1"/>
  <c r="AS124" i="1"/>
  <c r="AM124" i="1"/>
  <c r="AI124" i="1"/>
  <c r="AG124" i="1"/>
  <c r="AE124" i="1"/>
  <c r="AC124" i="1"/>
  <c r="AA124" i="1"/>
  <c r="Y124" i="1"/>
  <c r="W124" i="1"/>
  <c r="U124" i="1"/>
  <c r="S124" i="1"/>
  <c r="Q124" i="1"/>
  <c r="O124" i="1"/>
  <c r="M124" i="1"/>
  <c r="K124" i="1"/>
  <c r="I124" i="1"/>
  <c r="G124" i="1"/>
  <c r="D124" i="1"/>
  <c r="AS123" i="1"/>
  <c r="AM123" i="1"/>
  <c r="AI123" i="1"/>
  <c r="AG123" i="1"/>
  <c r="AE123" i="1"/>
  <c r="AC123" i="1"/>
  <c r="AA123" i="1"/>
  <c r="Y123" i="1"/>
  <c r="W123" i="1"/>
  <c r="U123" i="1"/>
  <c r="S123" i="1"/>
  <c r="Q123" i="1"/>
  <c r="O123" i="1"/>
  <c r="M123" i="1"/>
  <c r="K123" i="1"/>
  <c r="I123" i="1"/>
  <c r="G123" i="1"/>
  <c r="D123" i="1"/>
  <c r="AS122" i="1"/>
  <c r="AM122" i="1"/>
  <c r="AI122" i="1"/>
  <c r="AG122" i="1"/>
  <c r="AE122" i="1"/>
  <c r="AC122" i="1"/>
  <c r="AA122" i="1"/>
  <c r="Y122" i="1"/>
  <c r="W122" i="1"/>
  <c r="U122" i="1"/>
  <c r="S122" i="1"/>
  <c r="Q122" i="1"/>
  <c r="O122" i="1"/>
  <c r="M122" i="1"/>
  <c r="K122" i="1"/>
  <c r="I122" i="1"/>
  <c r="G122" i="1"/>
  <c r="D122" i="1"/>
  <c r="BA121" i="1"/>
  <c r="AS121" i="1"/>
  <c r="AM121" i="1"/>
  <c r="AI121" i="1"/>
  <c r="AG121" i="1"/>
  <c r="AE121" i="1"/>
  <c r="AC121" i="1"/>
  <c r="AA121" i="1"/>
  <c r="Y121" i="1"/>
  <c r="W121" i="1"/>
  <c r="U121" i="1"/>
  <c r="S121" i="1"/>
  <c r="Q121" i="1"/>
  <c r="O121" i="1"/>
  <c r="M121" i="1"/>
  <c r="K121" i="1"/>
  <c r="I121" i="1"/>
  <c r="G121" i="1"/>
  <c r="D121" i="1"/>
  <c r="BA120" i="1"/>
  <c r="AS120" i="1"/>
  <c r="AM120" i="1"/>
  <c r="AI120" i="1"/>
  <c r="AG120" i="1"/>
  <c r="AE120" i="1"/>
  <c r="AC120" i="1"/>
  <c r="Y120" i="1"/>
  <c r="W120" i="1"/>
  <c r="U120" i="1"/>
  <c r="S120" i="1"/>
  <c r="Q120" i="1"/>
  <c r="O120" i="1"/>
  <c r="M120" i="1"/>
  <c r="K120" i="1"/>
  <c r="I120" i="1"/>
  <c r="G120" i="1"/>
  <c r="D120" i="1"/>
  <c r="BA119" i="1"/>
  <c r="AS119" i="1"/>
  <c r="AM119" i="1"/>
  <c r="AI119" i="1"/>
  <c r="AG119" i="1"/>
  <c r="AE119" i="1"/>
  <c r="AC119" i="1"/>
  <c r="Y119" i="1"/>
  <c r="W119" i="1"/>
  <c r="U119" i="1"/>
  <c r="S119" i="1"/>
  <c r="Q119" i="1"/>
  <c r="O119" i="1"/>
  <c r="M119" i="1"/>
  <c r="K119" i="1"/>
  <c r="I119" i="1"/>
  <c r="G119" i="1"/>
  <c r="D119" i="1"/>
  <c r="BA118" i="1"/>
  <c r="AS118" i="1"/>
  <c r="AO118" i="1"/>
  <c r="AN118" i="1"/>
  <c r="AN211" i="1" s="1"/>
  <c r="AO211" i="1" s="1"/>
  <c r="AM118" i="1"/>
  <c r="AI118" i="1"/>
  <c r="AG118" i="1"/>
  <c r="AE118" i="1"/>
  <c r="AC118" i="1"/>
  <c r="Z118" i="1"/>
  <c r="Z211" i="1" s="1"/>
  <c r="AA211" i="1" s="1"/>
  <c r="Y118" i="1"/>
  <c r="W118" i="1"/>
  <c r="U118" i="1"/>
  <c r="S118" i="1"/>
  <c r="Q118" i="1"/>
  <c r="O118" i="1"/>
  <c r="M118" i="1"/>
  <c r="K118" i="1"/>
  <c r="I118" i="1"/>
  <c r="G118" i="1"/>
  <c r="D118" i="1"/>
  <c r="BA117" i="1"/>
  <c r="AS117" i="1"/>
  <c r="AO117" i="1"/>
  <c r="AM117" i="1"/>
  <c r="AJ117" i="1"/>
  <c r="AI117" i="1"/>
  <c r="AG117" i="1"/>
  <c r="AE117" i="1"/>
  <c r="AC117" i="1"/>
  <c r="Y117" i="1"/>
  <c r="W117" i="1"/>
  <c r="U117" i="1"/>
  <c r="S117" i="1"/>
  <c r="Q117" i="1"/>
  <c r="O117" i="1"/>
  <c r="M117" i="1"/>
  <c r="K117" i="1"/>
  <c r="I117" i="1"/>
  <c r="G117" i="1"/>
  <c r="D117" i="1"/>
  <c r="BA116" i="1"/>
  <c r="AS116" i="1"/>
  <c r="AO116" i="1"/>
  <c r="AM116" i="1"/>
  <c r="AI116" i="1"/>
  <c r="AG116" i="1"/>
  <c r="AE116" i="1"/>
  <c r="AC116" i="1"/>
  <c r="Y116" i="1"/>
  <c r="W116" i="1"/>
  <c r="U116" i="1"/>
  <c r="S116" i="1"/>
  <c r="Q116" i="1"/>
  <c r="O116" i="1"/>
  <c r="M116" i="1"/>
  <c r="K116" i="1"/>
  <c r="I116" i="1"/>
  <c r="G116" i="1"/>
  <c r="D116" i="1"/>
  <c r="BA115" i="1"/>
  <c r="AS115" i="1"/>
  <c r="AO115" i="1"/>
  <c r="AM115" i="1"/>
  <c r="AI115" i="1"/>
  <c r="AG115" i="1"/>
  <c r="AE115" i="1"/>
  <c r="AC115" i="1"/>
  <c r="Y115" i="1"/>
  <c r="W115" i="1"/>
  <c r="U115" i="1"/>
  <c r="S115" i="1"/>
  <c r="Q115" i="1"/>
  <c r="O115" i="1"/>
  <c r="M115" i="1"/>
  <c r="K115" i="1"/>
  <c r="I115" i="1"/>
  <c r="G115" i="1"/>
  <c r="D115" i="1"/>
  <c r="BA114" i="1"/>
  <c r="AY114" i="1"/>
  <c r="AW114" i="1"/>
  <c r="AU114" i="1"/>
  <c r="AS114" i="1"/>
  <c r="AQ114" i="1"/>
  <c r="AQ211" i="1" s="1"/>
  <c r="AO114" i="1"/>
  <c r="AM114" i="1"/>
  <c r="AK114" i="1"/>
  <c r="AI114" i="1"/>
  <c r="AG114" i="1"/>
  <c r="AE114" i="1"/>
  <c r="AC114" i="1"/>
  <c r="AA114" i="1"/>
  <c r="Y114" i="1"/>
  <c r="W114" i="1"/>
  <c r="U114" i="1"/>
  <c r="S114" i="1"/>
  <c r="Q114" i="1"/>
  <c r="O114" i="1"/>
  <c r="M114" i="1"/>
  <c r="K114" i="1"/>
  <c r="I114" i="1"/>
  <c r="G114" i="1"/>
  <c r="D114" i="1"/>
  <c r="BA113" i="1"/>
  <c r="AS113" i="1"/>
  <c r="AO113" i="1"/>
  <c r="AM113" i="1"/>
  <c r="AI113" i="1"/>
  <c r="AG113" i="1"/>
  <c r="AE113" i="1"/>
  <c r="AC113" i="1"/>
  <c r="AA113" i="1"/>
  <c r="Y113" i="1"/>
  <c r="W113" i="1"/>
  <c r="U113" i="1"/>
  <c r="S113" i="1"/>
  <c r="O113" i="1"/>
  <c r="M113" i="1"/>
  <c r="K113" i="1"/>
  <c r="I113" i="1"/>
  <c r="G113" i="1"/>
  <c r="D113" i="1"/>
  <c r="BA112" i="1"/>
  <c r="AS112" i="1"/>
  <c r="AO112" i="1"/>
  <c r="AM112" i="1"/>
  <c r="AI112" i="1"/>
  <c r="AG112" i="1"/>
  <c r="AE112" i="1"/>
  <c r="AC112" i="1"/>
  <c r="AA112" i="1"/>
  <c r="Y112" i="1"/>
  <c r="W112" i="1"/>
  <c r="U112" i="1"/>
  <c r="S112" i="1"/>
  <c r="Q112" i="1"/>
  <c r="O112" i="1"/>
  <c r="M112" i="1"/>
  <c r="K112" i="1"/>
  <c r="I112" i="1"/>
  <c r="G112" i="1"/>
  <c r="D112" i="1"/>
  <c r="BA111" i="1"/>
  <c r="AS111" i="1"/>
  <c r="AO111" i="1"/>
  <c r="AM111" i="1"/>
  <c r="AI111" i="1"/>
  <c r="AG111" i="1"/>
  <c r="AE111" i="1"/>
  <c r="AC111" i="1"/>
  <c r="AA111" i="1"/>
  <c r="Y111" i="1"/>
  <c r="W111" i="1"/>
  <c r="U111" i="1"/>
  <c r="S111" i="1"/>
  <c r="Q111" i="1"/>
  <c r="O111" i="1"/>
  <c r="M111" i="1"/>
  <c r="K111" i="1"/>
  <c r="I111" i="1"/>
  <c r="G111" i="1"/>
  <c r="D111" i="1"/>
  <c r="BA110" i="1"/>
  <c r="AS110" i="1"/>
  <c r="AO110" i="1"/>
  <c r="AM110" i="1"/>
  <c r="AI110" i="1"/>
  <c r="AG110" i="1"/>
  <c r="AE110" i="1"/>
  <c r="AC110" i="1"/>
  <c r="AA110" i="1"/>
  <c r="Y110" i="1"/>
  <c r="W110" i="1"/>
  <c r="U110" i="1"/>
  <c r="S110" i="1"/>
  <c r="Q110" i="1"/>
  <c r="O110" i="1"/>
  <c r="M110" i="1"/>
  <c r="K110" i="1"/>
  <c r="I110" i="1"/>
  <c r="G110" i="1"/>
  <c r="D110" i="1"/>
  <c r="BA109" i="1"/>
  <c r="AS109" i="1"/>
  <c r="AO109" i="1"/>
  <c r="AM109" i="1"/>
  <c r="AI109" i="1"/>
  <c r="AG109" i="1"/>
  <c r="AE109" i="1"/>
  <c r="AC109" i="1"/>
  <c r="AA109" i="1"/>
  <c r="Y109" i="1"/>
  <c r="W109" i="1"/>
  <c r="U109" i="1"/>
  <c r="S109" i="1"/>
  <c r="Q109" i="1"/>
  <c r="O109" i="1"/>
  <c r="M109" i="1"/>
  <c r="K109" i="1"/>
  <c r="I109" i="1"/>
  <c r="G109" i="1"/>
  <c r="D109" i="1"/>
  <c r="BA108" i="1"/>
  <c r="AS108" i="1"/>
  <c r="AO108" i="1"/>
  <c r="AM108" i="1"/>
  <c r="AI108" i="1"/>
  <c r="AG108" i="1"/>
  <c r="AE108" i="1"/>
  <c r="AC108" i="1"/>
  <c r="Y108" i="1"/>
  <c r="W108" i="1"/>
  <c r="U108" i="1"/>
  <c r="S108" i="1"/>
  <c r="Q108" i="1"/>
  <c r="O108" i="1"/>
  <c r="M108" i="1"/>
  <c r="K108" i="1"/>
  <c r="I108" i="1"/>
  <c r="G108" i="1"/>
  <c r="D108" i="1"/>
  <c r="BA107" i="1"/>
  <c r="AS107" i="1"/>
  <c r="AO107" i="1"/>
  <c r="AM107" i="1"/>
  <c r="AI107" i="1"/>
  <c r="AG107" i="1"/>
  <c r="AE107" i="1"/>
  <c r="AC107" i="1"/>
  <c r="Y107" i="1"/>
  <c r="W107" i="1"/>
  <c r="U107" i="1"/>
  <c r="S107" i="1"/>
  <c r="Q107" i="1"/>
  <c r="O107" i="1"/>
  <c r="M107" i="1"/>
  <c r="K107" i="1"/>
  <c r="I107" i="1"/>
  <c r="G107" i="1"/>
  <c r="D107" i="1"/>
  <c r="BA106" i="1"/>
  <c r="AS106" i="1"/>
  <c r="AO106" i="1"/>
  <c r="AM106" i="1"/>
  <c r="AI106" i="1"/>
  <c r="AG106" i="1"/>
  <c r="AE106" i="1"/>
  <c r="AC106" i="1"/>
  <c r="Y106" i="1"/>
  <c r="W106" i="1"/>
  <c r="U106" i="1"/>
  <c r="S106" i="1"/>
  <c r="Q106" i="1"/>
  <c r="O106" i="1"/>
  <c r="M106" i="1"/>
  <c r="K106" i="1"/>
  <c r="I106" i="1"/>
  <c r="G106" i="1"/>
  <c r="D106" i="1"/>
  <c r="BA105" i="1"/>
  <c r="AS105" i="1"/>
  <c r="AO105" i="1"/>
  <c r="AM105" i="1"/>
  <c r="AJ105" i="1"/>
  <c r="AJ108" i="1" s="1"/>
  <c r="AI105" i="1"/>
  <c r="AG105" i="1"/>
  <c r="AE105" i="1"/>
  <c r="AC105" i="1"/>
  <c r="Y105" i="1"/>
  <c r="W105" i="1"/>
  <c r="U105" i="1"/>
  <c r="S105" i="1"/>
  <c r="Q105" i="1"/>
  <c r="O105" i="1"/>
  <c r="M105" i="1"/>
  <c r="K105" i="1"/>
  <c r="I105" i="1"/>
  <c r="G105" i="1"/>
  <c r="D105" i="1"/>
  <c r="BA104" i="1"/>
  <c r="AS104" i="1"/>
  <c r="AO104" i="1"/>
  <c r="AM104" i="1"/>
  <c r="AI104" i="1"/>
  <c r="AG104" i="1"/>
  <c r="AE104" i="1"/>
  <c r="AC104" i="1"/>
  <c r="Y104" i="1"/>
  <c r="W104" i="1"/>
  <c r="U104" i="1"/>
  <c r="S104" i="1"/>
  <c r="Q104" i="1"/>
  <c r="O104" i="1"/>
  <c r="M104" i="1"/>
  <c r="K104" i="1"/>
  <c r="I104" i="1"/>
  <c r="G104" i="1"/>
  <c r="D104" i="1"/>
  <c r="BA103" i="1"/>
  <c r="AS103" i="1"/>
  <c r="AO103" i="1"/>
  <c r="AM103" i="1"/>
  <c r="AI103" i="1"/>
  <c r="AG103" i="1"/>
  <c r="AE103" i="1"/>
  <c r="AC103" i="1"/>
  <c r="Y103" i="1"/>
  <c r="W103" i="1"/>
  <c r="U103" i="1"/>
  <c r="S103" i="1"/>
  <c r="Q103" i="1"/>
  <c r="O103" i="1"/>
  <c r="M103" i="1"/>
  <c r="K103" i="1"/>
  <c r="I103" i="1"/>
  <c r="G103" i="1"/>
  <c r="D103" i="1"/>
  <c r="BA102" i="1"/>
  <c r="AY102" i="1"/>
  <c r="AW102" i="1"/>
  <c r="AU102" i="1"/>
  <c r="AS102" i="1"/>
  <c r="AO102" i="1"/>
  <c r="AM102" i="1"/>
  <c r="AK102" i="1"/>
  <c r="AI102" i="1"/>
  <c r="AG102" i="1"/>
  <c r="AE102" i="1"/>
  <c r="AC102" i="1"/>
  <c r="AA102" i="1"/>
  <c r="Y102" i="1"/>
  <c r="W102" i="1"/>
  <c r="U102" i="1"/>
  <c r="S102" i="1"/>
  <c r="Q102" i="1"/>
  <c r="O102" i="1"/>
  <c r="M102" i="1"/>
  <c r="K102" i="1"/>
  <c r="I102" i="1"/>
  <c r="G102" i="1"/>
  <c r="D102" i="1"/>
  <c r="BA101" i="1"/>
  <c r="AY101" i="1"/>
  <c r="AS101" i="1"/>
  <c r="AO101" i="1"/>
  <c r="AM101" i="1"/>
  <c r="AI101" i="1"/>
  <c r="AG101" i="1"/>
  <c r="AE101" i="1"/>
  <c r="AC101" i="1"/>
  <c r="Y101" i="1"/>
  <c r="W101" i="1"/>
  <c r="U101" i="1"/>
  <c r="S101" i="1"/>
  <c r="Q101" i="1"/>
  <c r="O101" i="1"/>
  <c r="M101" i="1"/>
  <c r="K101" i="1"/>
  <c r="I101" i="1"/>
  <c r="G101" i="1"/>
  <c r="D101" i="1"/>
  <c r="BA100" i="1"/>
  <c r="AY100" i="1"/>
  <c r="AS100" i="1"/>
  <c r="AO100" i="1"/>
  <c r="AM100" i="1"/>
  <c r="AI100" i="1"/>
  <c r="AG100" i="1"/>
  <c r="AE100" i="1"/>
  <c r="AC100" i="1"/>
  <c r="Y100" i="1"/>
  <c r="W100" i="1"/>
  <c r="U100" i="1"/>
  <c r="S100" i="1"/>
  <c r="Q100" i="1"/>
  <c r="O100" i="1"/>
  <c r="M100" i="1"/>
  <c r="K100" i="1"/>
  <c r="I100" i="1"/>
  <c r="G100" i="1"/>
  <c r="D100" i="1"/>
  <c r="BA99" i="1"/>
  <c r="AY99" i="1"/>
  <c r="AS99" i="1"/>
  <c r="AQ99" i="1"/>
  <c r="AP99" i="1"/>
  <c r="AO99" i="1"/>
  <c r="AM99" i="1"/>
  <c r="AI99" i="1"/>
  <c r="AG99" i="1"/>
  <c r="AE99" i="1"/>
  <c r="AC99" i="1"/>
  <c r="AA99" i="1"/>
  <c r="Y99" i="1"/>
  <c r="W99" i="1"/>
  <c r="U99" i="1"/>
  <c r="S99" i="1"/>
  <c r="Q99" i="1"/>
  <c r="O99" i="1"/>
  <c r="M99" i="1"/>
  <c r="K99" i="1"/>
  <c r="I99" i="1"/>
  <c r="G99" i="1"/>
  <c r="D99" i="1"/>
  <c r="BA98" i="1"/>
  <c r="AY98" i="1"/>
  <c r="AS98" i="1"/>
  <c r="AO98" i="1"/>
  <c r="AM98" i="1"/>
  <c r="AI98" i="1"/>
  <c r="AG98" i="1"/>
  <c r="AE98" i="1"/>
  <c r="AC98" i="1"/>
  <c r="AA98" i="1"/>
  <c r="Y98" i="1"/>
  <c r="W98" i="1"/>
  <c r="U98" i="1"/>
  <c r="S98" i="1"/>
  <c r="Q98" i="1"/>
  <c r="O98" i="1"/>
  <c r="M98" i="1"/>
  <c r="K98" i="1"/>
  <c r="I98" i="1"/>
  <c r="G98" i="1"/>
  <c r="D98" i="1"/>
  <c r="BA97" i="1"/>
  <c r="AY97" i="1"/>
  <c r="AS97" i="1"/>
  <c r="AO97" i="1"/>
  <c r="AM97" i="1"/>
  <c r="AI97" i="1"/>
  <c r="AG97" i="1"/>
  <c r="AE97" i="1"/>
  <c r="AC97" i="1"/>
  <c r="Y97" i="1"/>
  <c r="W97" i="1"/>
  <c r="U97" i="1"/>
  <c r="S97" i="1"/>
  <c r="Q97" i="1"/>
  <c r="O97" i="1"/>
  <c r="M97" i="1"/>
  <c r="K97" i="1"/>
  <c r="I97" i="1"/>
  <c r="G97" i="1"/>
  <c r="D97" i="1"/>
  <c r="BA96" i="1"/>
  <c r="AY96" i="1"/>
  <c r="AS96" i="1"/>
  <c r="AQ96" i="1"/>
  <c r="AP96" i="1"/>
  <c r="AO96" i="1"/>
  <c r="AM96" i="1"/>
  <c r="AI96" i="1"/>
  <c r="AG96" i="1"/>
  <c r="AE96" i="1"/>
  <c r="AC96" i="1"/>
  <c r="Y96" i="1"/>
  <c r="W96" i="1"/>
  <c r="U96" i="1"/>
  <c r="S96" i="1"/>
  <c r="Q96" i="1"/>
  <c r="O96" i="1"/>
  <c r="M96" i="1"/>
  <c r="K96" i="1"/>
  <c r="I96" i="1"/>
  <c r="G96" i="1"/>
  <c r="D96" i="1"/>
  <c r="BA95" i="1"/>
  <c r="AY95" i="1"/>
  <c r="AS95" i="1"/>
  <c r="AO95" i="1"/>
  <c r="AM95" i="1"/>
  <c r="AI95" i="1"/>
  <c r="AG95" i="1"/>
  <c r="AE95" i="1"/>
  <c r="AC95" i="1"/>
  <c r="Y95" i="1"/>
  <c r="W95" i="1"/>
  <c r="U95" i="1"/>
  <c r="S95" i="1"/>
  <c r="Q95" i="1"/>
  <c r="O95" i="1"/>
  <c r="M95" i="1"/>
  <c r="K95" i="1"/>
  <c r="I95" i="1"/>
  <c r="G95" i="1"/>
  <c r="D95" i="1"/>
  <c r="BA94" i="1"/>
  <c r="AY94" i="1"/>
  <c r="AS94" i="1"/>
  <c r="AO94" i="1"/>
  <c r="AM94" i="1"/>
  <c r="AI94" i="1"/>
  <c r="AG94" i="1"/>
  <c r="AE94" i="1"/>
  <c r="AC94" i="1"/>
  <c r="Y94" i="1"/>
  <c r="W94" i="1"/>
  <c r="U94" i="1"/>
  <c r="S94" i="1"/>
  <c r="Q94" i="1"/>
  <c r="O94" i="1"/>
  <c r="M94" i="1"/>
  <c r="I94" i="1"/>
  <c r="D94" i="1"/>
  <c r="BA93" i="1"/>
  <c r="AY93" i="1"/>
  <c r="AS93" i="1"/>
  <c r="AQ93" i="1"/>
  <c r="AP93" i="1"/>
  <c r="AO93" i="1"/>
  <c r="AM93" i="1"/>
  <c r="AJ93" i="1"/>
  <c r="AJ96" i="1" s="1"/>
  <c r="AI93" i="1"/>
  <c r="AG93" i="1"/>
  <c r="AE93" i="1"/>
  <c r="AC93" i="1"/>
  <c r="Y93" i="1"/>
  <c r="W93" i="1"/>
  <c r="U93" i="1"/>
  <c r="S93" i="1"/>
  <c r="Q93" i="1"/>
  <c r="O93" i="1"/>
  <c r="M93" i="1"/>
  <c r="K93" i="1"/>
  <c r="I93" i="1"/>
  <c r="G93" i="1"/>
  <c r="D93" i="1"/>
  <c r="BA92" i="1"/>
  <c r="AY92" i="1"/>
  <c r="AS92" i="1"/>
  <c r="AO92" i="1"/>
  <c r="AM92" i="1"/>
  <c r="AI92" i="1"/>
  <c r="AG92" i="1"/>
  <c r="AE92" i="1"/>
  <c r="AC92" i="1"/>
  <c r="Y92" i="1"/>
  <c r="W92" i="1"/>
  <c r="U92" i="1"/>
  <c r="S92" i="1"/>
  <c r="Q92" i="1"/>
  <c r="O92" i="1"/>
  <c r="M92" i="1"/>
  <c r="K92" i="1"/>
  <c r="G92" i="1"/>
  <c r="D92" i="1"/>
  <c r="BA91" i="1"/>
  <c r="AY91" i="1"/>
  <c r="AS91" i="1"/>
  <c r="AO91" i="1"/>
  <c r="AM91" i="1"/>
  <c r="AI91" i="1"/>
  <c r="AG91" i="1"/>
  <c r="AE91" i="1"/>
  <c r="AC91" i="1"/>
  <c r="Y91" i="1"/>
  <c r="W91" i="1"/>
  <c r="U91" i="1"/>
  <c r="S91" i="1"/>
  <c r="Q91" i="1"/>
  <c r="O91" i="1"/>
  <c r="M91" i="1"/>
  <c r="K91" i="1"/>
  <c r="G91" i="1"/>
  <c r="D91" i="1"/>
  <c r="BA90" i="1"/>
  <c r="AY90" i="1"/>
  <c r="AW90" i="1"/>
  <c r="AU90" i="1"/>
  <c r="AS90" i="1"/>
  <c r="AQ90" i="1"/>
  <c r="AP90" i="1"/>
  <c r="AQ210" i="1" s="1"/>
  <c r="AO90" i="1"/>
  <c r="AM90" i="1"/>
  <c r="AK90" i="1"/>
  <c r="AI90" i="1"/>
  <c r="AG90" i="1"/>
  <c r="AE90" i="1"/>
  <c r="AA90" i="1"/>
  <c r="Y90" i="1"/>
  <c r="W90" i="1"/>
  <c r="U90" i="1"/>
  <c r="Q90" i="1"/>
  <c r="O90" i="1"/>
  <c r="I90" i="1"/>
  <c r="G90" i="1"/>
  <c r="BA89" i="1"/>
  <c r="AY89" i="1"/>
  <c r="AS89" i="1"/>
  <c r="AO89" i="1"/>
  <c r="AM89" i="1"/>
  <c r="AI89" i="1"/>
  <c r="AG89" i="1"/>
  <c r="AE89" i="1"/>
  <c r="Y89" i="1"/>
  <c r="W89" i="1"/>
  <c r="U89" i="1"/>
  <c r="O89" i="1"/>
  <c r="BA88" i="1"/>
  <c r="AY88" i="1"/>
  <c r="AS88" i="1"/>
  <c r="AO88" i="1"/>
  <c r="AM88" i="1"/>
  <c r="AI88" i="1"/>
  <c r="AG88" i="1"/>
  <c r="Y88" i="1"/>
  <c r="W88" i="1"/>
  <c r="U88" i="1"/>
  <c r="O88" i="1"/>
  <c r="BA87" i="1"/>
  <c r="AY87" i="1"/>
  <c r="AS87" i="1"/>
  <c r="AQ87" i="1"/>
  <c r="AP87" i="1"/>
  <c r="AO87" i="1"/>
  <c r="AM87" i="1"/>
  <c r="AI87" i="1"/>
  <c r="AG87" i="1"/>
  <c r="AA87" i="1"/>
  <c r="Y87" i="1"/>
  <c r="W87" i="1"/>
  <c r="S87" i="1"/>
  <c r="Q87" i="1"/>
  <c r="O87" i="1"/>
  <c r="M87" i="1"/>
  <c r="K87" i="1"/>
  <c r="I87" i="1"/>
  <c r="G87" i="1"/>
  <c r="BA86" i="1"/>
  <c r="AY86" i="1"/>
  <c r="AS86" i="1"/>
  <c r="AO86" i="1"/>
  <c r="AM86" i="1"/>
  <c r="AI86" i="1"/>
  <c r="AG86" i="1"/>
  <c r="AA86" i="1"/>
  <c r="Y86" i="1"/>
  <c r="W86" i="1"/>
  <c r="U86" i="1"/>
  <c r="S86" i="1"/>
  <c r="Q86" i="1"/>
  <c r="O86" i="1"/>
  <c r="M86" i="1"/>
  <c r="K86" i="1"/>
  <c r="I86" i="1"/>
  <c r="G86" i="1"/>
  <c r="BA85" i="1"/>
  <c r="AY85" i="1"/>
  <c r="AS85" i="1"/>
  <c r="AO85" i="1"/>
  <c r="AM85" i="1"/>
  <c r="AI85" i="1"/>
  <c r="AG85" i="1"/>
  <c r="Y85" i="1"/>
  <c r="W85" i="1"/>
  <c r="U85" i="1"/>
  <c r="S85" i="1"/>
  <c r="Q85" i="1"/>
  <c r="O85" i="1"/>
  <c r="M85" i="1"/>
  <c r="K85" i="1"/>
  <c r="I85" i="1"/>
  <c r="G85" i="1"/>
  <c r="BA84" i="1"/>
  <c r="AY84" i="1"/>
  <c r="AS84" i="1"/>
  <c r="AQ84" i="1"/>
  <c r="AP84" i="1"/>
  <c r="AO84" i="1"/>
  <c r="AM84" i="1"/>
  <c r="AI84" i="1"/>
  <c r="AG84" i="1"/>
  <c r="Y84" i="1"/>
  <c r="W84" i="1"/>
  <c r="U84" i="1"/>
  <c r="S84" i="1"/>
  <c r="Q84" i="1"/>
  <c r="O84" i="1"/>
  <c r="M84" i="1"/>
  <c r="K84" i="1"/>
  <c r="I84" i="1"/>
  <c r="G84" i="1"/>
  <c r="BA83" i="1"/>
  <c r="AY83" i="1"/>
  <c r="AS83" i="1"/>
  <c r="AO83" i="1"/>
  <c r="AM83" i="1"/>
  <c r="AI83" i="1"/>
  <c r="AG83" i="1"/>
  <c r="AA83" i="1"/>
  <c r="Y83" i="1"/>
  <c r="W83" i="1"/>
  <c r="U83" i="1"/>
  <c r="S83" i="1"/>
  <c r="Q83" i="1"/>
  <c r="O83" i="1"/>
  <c r="M83" i="1"/>
  <c r="K83" i="1"/>
  <c r="I83" i="1"/>
  <c r="G83" i="1"/>
  <c r="BA82" i="1"/>
  <c r="AY82" i="1"/>
  <c r="AS82" i="1"/>
  <c r="AO82" i="1"/>
  <c r="AM82" i="1"/>
  <c r="AI82" i="1"/>
  <c r="AG82" i="1"/>
  <c r="Y82" i="1"/>
  <c r="W82" i="1"/>
  <c r="U82" i="1"/>
  <c r="S82" i="1"/>
  <c r="Q82" i="1"/>
  <c r="O82" i="1"/>
  <c r="M82" i="1"/>
  <c r="K82" i="1"/>
  <c r="I82" i="1"/>
  <c r="G82" i="1"/>
  <c r="BA81" i="1"/>
  <c r="AY81" i="1"/>
  <c r="AS81" i="1"/>
  <c r="AQ81" i="1"/>
  <c r="AP81" i="1"/>
  <c r="AO81" i="1"/>
  <c r="AM81" i="1"/>
  <c r="AJ81" i="1"/>
  <c r="AJ84" i="1" s="1"/>
  <c r="AI81" i="1"/>
  <c r="AG81" i="1"/>
  <c r="AA81" i="1"/>
  <c r="Y81" i="1"/>
  <c r="W81" i="1"/>
  <c r="U81" i="1"/>
  <c r="S81" i="1"/>
  <c r="Q81" i="1"/>
  <c r="O81" i="1"/>
  <c r="M81" i="1"/>
  <c r="K81" i="1"/>
  <c r="I81" i="1"/>
  <c r="G81" i="1"/>
  <c r="BA80" i="1"/>
  <c r="AY80" i="1"/>
  <c r="AS80" i="1"/>
  <c r="AO80" i="1"/>
  <c r="AM80" i="1"/>
  <c r="AI80" i="1"/>
  <c r="AG80" i="1"/>
  <c r="Y80" i="1"/>
  <c r="W80" i="1"/>
  <c r="U80" i="1"/>
  <c r="S80" i="1"/>
  <c r="Q80" i="1"/>
  <c r="O80" i="1"/>
  <c r="M80" i="1"/>
  <c r="K80" i="1"/>
  <c r="I80" i="1"/>
  <c r="G80" i="1"/>
  <c r="BA79" i="1"/>
  <c r="AY79" i="1"/>
  <c r="AS79" i="1"/>
  <c r="AO79" i="1"/>
  <c r="AM79" i="1"/>
  <c r="AI79" i="1"/>
  <c r="AG79" i="1"/>
  <c r="Y79" i="1"/>
  <c r="W79" i="1"/>
  <c r="U79" i="1"/>
  <c r="S79" i="1"/>
  <c r="Q79" i="1"/>
  <c r="O79" i="1"/>
  <c r="K79" i="1"/>
  <c r="I79" i="1"/>
  <c r="G79" i="1"/>
  <c r="BA78" i="1"/>
  <c r="AY78" i="1"/>
  <c r="AW78" i="1"/>
  <c r="AU78" i="1"/>
  <c r="AS78" i="1"/>
  <c r="AQ78" i="1"/>
  <c r="AP78" i="1"/>
  <c r="AO78" i="1"/>
  <c r="AM78" i="1"/>
  <c r="AK78" i="1"/>
  <c r="AI78" i="1"/>
  <c r="AG78" i="1"/>
  <c r="AE78" i="1"/>
  <c r="AA78" i="1"/>
  <c r="Y78" i="1"/>
  <c r="W78" i="1"/>
  <c r="U78" i="1"/>
  <c r="S78" i="1"/>
  <c r="Q78" i="1"/>
  <c r="O78" i="1"/>
  <c r="K78" i="1"/>
  <c r="I78" i="1"/>
  <c r="G78" i="1"/>
  <c r="BA77" i="1"/>
  <c r="AS77" i="1"/>
  <c r="AO77" i="1"/>
  <c r="AI77" i="1"/>
  <c r="AG77" i="1"/>
  <c r="AE77" i="1"/>
  <c r="AA77" i="1"/>
  <c r="Y77" i="1"/>
  <c r="W77" i="1"/>
  <c r="U77" i="1"/>
  <c r="S77" i="1"/>
  <c r="Q77" i="1"/>
  <c r="O77" i="1"/>
  <c r="K77" i="1"/>
  <c r="I77" i="1"/>
  <c r="G77" i="1"/>
  <c r="BA76" i="1"/>
  <c r="AS76" i="1"/>
  <c r="AO76" i="1"/>
  <c r="AI76" i="1"/>
  <c r="AG76" i="1"/>
  <c r="AE76" i="1"/>
  <c r="AA76" i="1"/>
  <c r="Y76" i="1"/>
  <c r="W76" i="1"/>
  <c r="U76" i="1"/>
  <c r="S76" i="1"/>
  <c r="Q76" i="1"/>
  <c r="O76" i="1"/>
  <c r="K76" i="1"/>
  <c r="I76" i="1"/>
  <c r="G76" i="1"/>
  <c r="BA75" i="1"/>
  <c r="AS75" i="1"/>
  <c r="AQ75" i="1"/>
  <c r="AP75" i="1"/>
  <c r="AO75" i="1"/>
  <c r="AI75" i="1"/>
  <c r="AG75" i="1"/>
  <c r="AE75" i="1"/>
  <c r="AA75" i="1"/>
  <c r="Y75" i="1"/>
  <c r="W75" i="1"/>
  <c r="U75" i="1"/>
  <c r="S75" i="1"/>
  <c r="Q75" i="1"/>
  <c r="O75" i="1"/>
  <c r="K75" i="1"/>
  <c r="I75" i="1"/>
  <c r="G75" i="1"/>
  <c r="BA74" i="1"/>
  <c r="AS74" i="1"/>
  <c r="AO74" i="1"/>
  <c r="AI74" i="1"/>
  <c r="AG74" i="1"/>
  <c r="AE74" i="1"/>
  <c r="AA74" i="1"/>
  <c r="Y74" i="1"/>
  <c r="W74" i="1"/>
  <c r="U74" i="1"/>
  <c r="S74" i="1"/>
  <c r="Q74" i="1"/>
  <c r="O74" i="1"/>
  <c r="K74" i="1"/>
  <c r="I74" i="1"/>
  <c r="G74" i="1"/>
  <c r="BA73" i="1"/>
  <c r="AS73" i="1"/>
  <c r="AO73" i="1"/>
  <c r="AI73" i="1"/>
  <c r="AG73" i="1"/>
  <c r="AE73" i="1"/>
  <c r="AA73" i="1"/>
  <c r="Y73" i="1"/>
  <c r="W73" i="1"/>
  <c r="U73" i="1"/>
  <c r="S73" i="1"/>
  <c r="Q73" i="1"/>
  <c r="O73" i="1"/>
  <c r="K73" i="1"/>
  <c r="I73" i="1"/>
  <c r="G73" i="1"/>
  <c r="BA72" i="1"/>
  <c r="AS72" i="1"/>
  <c r="AQ72" i="1"/>
  <c r="AP72" i="1"/>
  <c r="AO72" i="1"/>
  <c r="AJ72" i="1"/>
  <c r="AJ207" i="1" s="1"/>
  <c r="AK207" i="1" s="1"/>
  <c r="AI72" i="1"/>
  <c r="AG72" i="1"/>
  <c r="AE72" i="1"/>
  <c r="AA72" i="1"/>
  <c r="Y72" i="1"/>
  <c r="W72" i="1"/>
  <c r="U72" i="1"/>
  <c r="S72" i="1"/>
  <c r="Q72" i="1"/>
  <c r="O72" i="1"/>
  <c r="K72" i="1"/>
  <c r="I72" i="1"/>
  <c r="G72" i="1"/>
  <c r="BA71" i="1"/>
  <c r="AS71" i="1"/>
  <c r="AO71" i="1"/>
  <c r="AI71" i="1"/>
  <c r="AG71" i="1"/>
  <c r="AE71" i="1"/>
  <c r="AA71" i="1"/>
  <c r="Y71" i="1"/>
  <c r="W71" i="1"/>
  <c r="U71" i="1"/>
  <c r="S71" i="1"/>
  <c r="Q71" i="1"/>
  <c r="O71" i="1"/>
  <c r="K71" i="1"/>
  <c r="I71" i="1"/>
  <c r="G71" i="1"/>
  <c r="BA70" i="1"/>
  <c r="AS70" i="1"/>
  <c r="AO70" i="1"/>
  <c r="AI70" i="1"/>
  <c r="AG70" i="1"/>
  <c r="AE70" i="1"/>
  <c r="AA70" i="1"/>
  <c r="Y70" i="1"/>
  <c r="W70" i="1"/>
  <c r="U70" i="1"/>
  <c r="S70" i="1"/>
  <c r="Q70" i="1"/>
  <c r="O70" i="1"/>
  <c r="K70" i="1"/>
  <c r="I70" i="1"/>
  <c r="G70" i="1"/>
  <c r="BA69" i="1"/>
  <c r="AS69" i="1"/>
  <c r="AQ69" i="1"/>
  <c r="AP69" i="1"/>
  <c r="AO69" i="1"/>
  <c r="AI69" i="1"/>
  <c r="AG69" i="1"/>
  <c r="AE69" i="1"/>
  <c r="AA69" i="1"/>
  <c r="Y69" i="1"/>
  <c r="W69" i="1"/>
  <c r="U69" i="1"/>
  <c r="S69" i="1"/>
  <c r="Q69" i="1"/>
  <c r="O69" i="1"/>
  <c r="K69" i="1"/>
  <c r="I69" i="1"/>
  <c r="G69" i="1"/>
  <c r="BA68" i="1"/>
  <c r="AS68" i="1"/>
  <c r="AO68" i="1"/>
  <c r="AI68" i="1"/>
  <c r="AG68" i="1"/>
  <c r="AE68" i="1"/>
  <c r="AA68" i="1"/>
  <c r="Y68" i="1"/>
  <c r="W68" i="1"/>
  <c r="U68" i="1"/>
  <c r="S68" i="1"/>
  <c r="Q68" i="1"/>
  <c r="O68" i="1"/>
  <c r="K68" i="1"/>
  <c r="I68" i="1"/>
  <c r="G68" i="1"/>
  <c r="BA67" i="1"/>
  <c r="AS67" i="1"/>
  <c r="AO67" i="1"/>
  <c r="AI67" i="1"/>
  <c r="AG67" i="1"/>
  <c r="AE67" i="1"/>
  <c r="AA67" i="1"/>
  <c r="Y67" i="1"/>
  <c r="W67" i="1"/>
  <c r="U67" i="1"/>
  <c r="S67" i="1"/>
  <c r="Q67" i="1"/>
  <c r="O67" i="1"/>
  <c r="K67" i="1"/>
  <c r="I67" i="1"/>
  <c r="G67" i="1"/>
  <c r="BA66" i="1"/>
  <c r="AW66" i="1"/>
  <c r="AU66" i="1"/>
  <c r="AS66" i="1"/>
  <c r="AP66" i="1"/>
  <c r="AO66" i="1"/>
  <c r="AK66" i="1"/>
  <c r="AI66" i="1"/>
  <c r="AG66" i="1"/>
  <c r="AE66" i="1"/>
  <c r="AA66" i="1"/>
  <c r="Y66" i="1"/>
  <c r="W66" i="1"/>
  <c r="U66" i="1"/>
  <c r="S66" i="1"/>
  <c r="Q66" i="1"/>
  <c r="O66" i="1"/>
  <c r="K66" i="1"/>
  <c r="I66" i="1"/>
  <c r="G66" i="1"/>
  <c r="BC65" i="1"/>
  <c r="BA65" i="1"/>
  <c r="AS65" i="1"/>
  <c r="AO65" i="1"/>
  <c r="AG65" i="1"/>
  <c r="AE65" i="1"/>
  <c r="AA65" i="1"/>
  <c r="Y65" i="1"/>
  <c r="W65" i="1"/>
  <c r="U65" i="1"/>
  <c r="S65" i="1"/>
  <c r="Q65" i="1"/>
  <c r="O65" i="1"/>
  <c r="K65" i="1"/>
  <c r="I65" i="1"/>
  <c r="G65" i="1"/>
  <c r="BC64" i="1"/>
  <c r="BA64" i="1"/>
  <c r="AS64" i="1"/>
  <c r="AO64" i="1"/>
  <c r="AG64" i="1"/>
  <c r="AE64" i="1"/>
  <c r="AA64" i="1"/>
  <c r="Y64" i="1"/>
  <c r="W64" i="1"/>
  <c r="U64" i="1"/>
  <c r="S64" i="1"/>
  <c r="Q64" i="1"/>
  <c r="O64" i="1"/>
  <c r="K64" i="1"/>
  <c r="I64" i="1"/>
  <c r="G64" i="1"/>
  <c r="BC63" i="1"/>
  <c r="BA63" i="1"/>
  <c r="AS63" i="1"/>
  <c r="AP63" i="1"/>
  <c r="AO63" i="1"/>
  <c r="AG63" i="1"/>
  <c r="AE63" i="1"/>
  <c r="AA63" i="1"/>
  <c r="Y63" i="1"/>
  <c r="W63" i="1"/>
  <c r="U63" i="1"/>
  <c r="S63" i="1"/>
  <c r="Q63" i="1"/>
  <c r="O63" i="1"/>
  <c r="K63" i="1"/>
  <c r="I63" i="1"/>
  <c r="G63" i="1"/>
  <c r="BC62" i="1"/>
  <c r="BA62" i="1"/>
  <c r="AS62" i="1"/>
  <c r="AO62" i="1"/>
  <c r="AG62" i="1"/>
  <c r="AE62" i="1"/>
  <c r="AA62" i="1"/>
  <c r="Y62" i="1"/>
  <c r="W62" i="1"/>
  <c r="U62" i="1"/>
  <c r="S62" i="1"/>
  <c r="Q62" i="1"/>
  <c r="O62" i="1"/>
  <c r="K62" i="1"/>
  <c r="I62" i="1"/>
  <c r="G62" i="1"/>
  <c r="BC61" i="1"/>
  <c r="BA61" i="1"/>
  <c r="AS61" i="1"/>
  <c r="AO61" i="1"/>
  <c r="AG61" i="1"/>
  <c r="AE61" i="1"/>
  <c r="AA61" i="1"/>
  <c r="Y61" i="1"/>
  <c r="W61" i="1"/>
  <c r="U61" i="1"/>
  <c r="S61" i="1"/>
  <c r="Q61" i="1"/>
  <c r="O61" i="1"/>
  <c r="K61" i="1"/>
  <c r="I61" i="1"/>
  <c r="G61" i="1"/>
  <c r="BC60" i="1"/>
  <c r="BA60" i="1"/>
  <c r="AS60" i="1"/>
  <c r="AP60" i="1"/>
  <c r="AO60" i="1"/>
  <c r="AG60" i="1"/>
  <c r="AE60" i="1"/>
  <c r="AA60" i="1"/>
  <c r="Y60" i="1"/>
  <c r="W60" i="1"/>
  <c r="U60" i="1"/>
  <c r="S60" i="1"/>
  <c r="Q60" i="1"/>
  <c r="O60" i="1"/>
  <c r="K60" i="1"/>
  <c r="I60" i="1"/>
  <c r="G60" i="1"/>
  <c r="BC59" i="1"/>
  <c r="BA59" i="1"/>
  <c r="AS59" i="1"/>
  <c r="AO59" i="1"/>
  <c r="AG59" i="1"/>
  <c r="AE59" i="1"/>
  <c r="AA59" i="1"/>
  <c r="Y59" i="1"/>
  <c r="W59" i="1"/>
  <c r="U59" i="1"/>
  <c r="S59" i="1"/>
  <c r="Q59" i="1"/>
  <c r="O59" i="1"/>
  <c r="K59" i="1"/>
  <c r="I59" i="1"/>
  <c r="G59" i="1"/>
  <c r="BA58" i="1"/>
  <c r="AS58" i="1"/>
  <c r="AO58" i="1"/>
  <c r="AG58" i="1"/>
  <c r="AA58" i="1"/>
  <c r="Y58" i="1"/>
  <c r="W58" i="1"/>
  <c r="U58" i="1"/>
  <c r="Q58" i="1"/>
  <c r="O58" i="1"/>
  <c r="I58" i="1"/>
  <c r="G58" i="1"/>
  <c r="BA57" i="1"/>
  <c r="AS57" i="1"/>
  <c r="AP57" i="1"/>
  <c r="AO57" i="1"/>
  <c r="AG57" i="1"/>
  <c r="AA57" i="1"/>
  <c r="Y57" i="1"/>
  <c r="W57" i="1"/>
  <c r="U57" i="1"/>
  <c r="Q57" i="1"/>
  <c r="O57" i="1"/>
  <c r="I57" i="1"/>
  <c r="G57" i="1"/>
  <c r="BA56" i="1"/>
  <c r="AS56" i="1"/>
  <c r="AO56" i="1"/>
  <c r="AG56" i="1"/>
  <c r="AA56" i="1"/>
  <c r="Y56" i="1"/>
  <c r="W56" i="1"/>
  <c r="U56" i="1"/>
  <c r="S56" i="1"/>
  <c r="Q56" i="1"/>
  <c r="O56" i="1"/>
  <c r="K56" i="1"/>
  <c r="G56" i="1"/>
  <c r="BA55" i="1"/>
  <c r="AS55" i="1"/>
  <c r="AO55" i="1"/>
  <c r="AG55" i="1"/>
  <c r="AA55" i="1"/>
  <c r="Y55" i="1"/>
  <c r="W55" i="1"/>
  <c r="U55" i="1"/>
  <c r="S55" i="1"/>
  <c r="Q55" i="1"/>
  <c r="O55" i="1"/>
  <c r="K55" i="1"/>
  <c r="G55" i="1"/>
  <c r="BA54" i="1"/>
  <c r="AW54" i="1"/>
  <c r="AS54" i="1"/>
  <c r="AP54" i="1"/>
  <c r="AQ66" i="1" s="1"/>
  <c r="AO54" i="1"/>
  <c r="AK54" i="1"/>
  <c r="AG54" i="1"/>
  <c r="AA54" i="1"/>
  <c r="Y54" i="1"/>
  <c r="W54" i="1"/>
  <c r="U54" i="1"/>
  <c r="S54" i="1"/>
  <c r="Q54" i="1"/>
  <c r="O54" i="1"/>
  <c r="M54" i="1"/>
  <c r="K54" i="1"/>
  <c r="G54" i="1"/>
  <c r="AS53" i="1"/>
  <c r="AO53" i="1"/>
  <c r="AG53" i="1"/>
  <c r="AE53" i="1"/>
  <c r="Y53" i="1"/>
  <c r="W53" i="1"/>
  <c r="U53" i="1"/>
  <c r="S53" i="1"/>
  <c r="Q53" i="1"/>
  <c r="O53" i="1"/>
  <c r="M53" i="1"/>
  <c r="K53" i="1"/>
  <c r="I53" i="1"/>
  <c r="G53" i="1"/>
  <c r="AS52" i="1"/>
  <c r="AO52" i="1"/>
  <c r="AG52" i="1"/>
  <c r="AE52" i="1"/>
  <c r="Y52" i="1"/>
  <c r="W52" i="1"/>
  <c r="U52" i="1"/>
  <c r="S52" i="1"/>
  <c r="Q52" i="1"/>
  <c r="O52" i="1"/>
  <c r="M52" i="1"/>
  <c r="K52" i="1"/>
  <c r="I52" i="1"/>
  <c r="G52" i="1"/>
  <c r="AS51" i="1"/>
  <c r="AP51" i="1"/>
  <c r="AQ63" i="1" s="1"/>
  <c r="AO51" i="1"/>
  <c r="AG51" i="1"/>
  <c r="AE51" i="1"/>
  <c r="Y51" i="1"/>
  <c r="W51" i="1"/>
  <c r="U51" i="1"/>
  <c r="S51" i="1"/>
  <c r="Q51" i="1"/>
  <c r="O51" i="1"/>
  <c r="M51" i="1"/>
  <c r="K51" i="1"/>
  <c r="I51" i="1"/>
  <c r="G51" i="1"/>
  <c r="AS50" i="1"/>
  <c r="AO50" i="1"/>
  <c r="AG50" i="1"/>
  <c r="AE50" i="1"/>
  <c r="Y50" i="1"/>
  <c r="W50" i="1"/>
  <c r="U50" i="1"/>
  <c r="S50" i="1"/>
  <c r="Q50" i="1"/>
  <c r="O50" i="1"/>
  <c r="M50" i="1"/>
  <c r="K50" i="1"/>
  <c r="I50" i="1"/>
  <c r="G50" i="1"/>
  <c r="AS49" i="1"/>
  <c r="AO49" i="1"/>
  <c r="AG49" i="1"/>
  <c r="AE49" i="1"/>
  <c r="Y49" i="1"/>
  <c r="W49" i="1"/>
  <c r="U49" i="1"/>
  <c r="S49" i="1"/>
  <c r="Q49" i="1"/>
  <c r="O49" i="1"/>
  <c r="M49" i="1"/>
  <c r="K49" i="1"/>
  <c r="I49" i="1"/>
  <c r="G49" i="1"/>
  <c r="AS48" i="1"/>
  <c r="AP48" i="1"/>
  <c r="AQ60" i="1" s="1"/>
  <c r="AO48" i="1"/>
  <c r="AK48" i="1"/>
  <c r="AJ48" i="1"/>
  <c r="AJ205" i="1" s="1"/>
  <c r="AK205" i="1" s="1"/>
  <c r="AG48" i="1"/>
  <c r="AE48" i="1"/>
  <c r="Y48" i="1"/>
  <c r="W48" i="1"/>
  <c r="U48" i="1"/>
  <c r="S48" i="1"/>
  <c r="Q48" i="1"/>
  <c r="O48" i="1"/>
  <c r="M48" i="1"/>
  <c r="K48" i="1"/>
  <c r="I48" i="1"/>
  <c r="G48" i="1"/>
  <c r="AS47" i="1"/>
  <c r="AO47" i="1"/>
  <c r="AG47" i="1"/>
  <c r="AE47" i="1"/>
  <c r="Y47" i="1"/>
  <c r="W47" i="1"/>
  <c r="U47" i="1"/>
  <c r="S47" i="1"/>
  <c r="Q47" i="1"/>
  <c r="O47" i="1"/>
  <c r="M47" i="1"/>
  <c r="K47" i="1"/>
  <c r="I47" i="1"/>
  <c r="G47" i="1"/>
  <c r="AS46" i="1"/>
  <c r="AO46" i="1"/>
  <c r="AG46" i="1"/>
  <c r="AE46" i="1"/>
  <c r="Y46" i="1"/>
  <c r="W46" i="1"/>
  <c r="U46" i="1"/>
  <c r="S46" i="1"/>
  <c r="Q46" i="1"/>
  <c r="O46" i="1"/>
  <c r="M46" i="1"/>
  <c r="K46" i="1"/>
  <c r="I46" i="1"/>
  <c r="G46" i="1"/>
  <c r="AS45" i="1"/>
  <c r="AP45" i="1"/>
  <c r="AQ45" i="1" s="1"/>
  <c r="AO45" i="1"/>
  <c r="AG45" i="1"/>
  <c r="AE45" i="1"/>
  <c r="Y45" i="1"/>
  <c r="W45" i="1"/>
  <c r="U45" i="1"/>
  <c r="S45" i="1"/>
  <c r="Q45" i="1"/>
  <c r="O45" i="1"/>
  <c r="M45" i="1"/>
  <c r="K45" i="1"/>
  <c r="I45" i="1"/>
  <c r="G45" i="1"/>
  <c r="AS44" i="1"/>
  <c r="AO44" i="1"/>
  <c r="AG44" i="1"/>
  <c r="AE44" i="1"/>
  <c r="Y44" i="1"/>
  <c r="W44" i="1"/>
  <c r="U44" i="1"/>
  <c r="S44" i="1"/>
  <c r="Q44" i="1"/>
  <c r="O44" i="1"/>
  <c r="M44" i="1"/>
  <c r="K44" i="1"/>
  <c r="I44" i="1"/>
  <c r="G44" i="1"/>
  <c r="AS43" i="1"/>
  <c r="AO43" i="1"/>
  <c r="AG43" i="1"/>
  <c r="AE43" i="1"/>
  <c r="Y43" i="1"/>
  <c r="W43" i="1"/>
  <c r="U43" i="1"/>
  <c r="S43" i="1"/>
  <c r="Q43" i="1"/>
  <c r="O43" i="1"/>
  <c r="M43" i="1"/>
  <c r="K43" i="1"/>
  <c r="I43" i="1"/>
  <c r="G43" i="1"/>
  <c r="D43" i="1"/>
  <c r="AW42" i="1"/>
  <c r="AS42" i="1"/>
  <c r="AP42" i="1"/>
  <c r="AQ42" i="1" s="1"/>
  <c r="AO42" i="1"/>
  <c r="AK42" i="1"/>
  <c r="AG42" i="1"/>
  <c r="AE42" i="1"/>
  <c r="Y42" i="1"/>
  <c r="W42" i="1"/>
  <c r="U42" i="1"/>
  <c r="S42" i="1"/>
  <c r="Q42" i="1"/>
  <c r="O42" i="1"/>
  <c r="M42" i="1"/>
  <c r="K42" i="1"/>
  <c r="I42" i="1"/>
  <c r="G42" i="1"/>
  <c r="D42" i="1"/>
  <c r="AS41" i="1"/>
  <c r="AG41" i="1"/>
  <c r="AE41" i="1"/>
  <c r="Y41" i="1"/>
  <c r="U41" i="1"/>
  <c r="S41" i="1"/>
  <c r="Q41" i="1"/>
  <c r="O41" i="1"/>
  <c r="M41" i="1"/>
  <c r="K41" i="1"/>
  <c r="I41" i="1"/>
  <c r="G41" i="1"/>
  <c r="D41" i="1"/>
  <c r="AS40" i="1"/>
  <c r="AG40" i="1"/>
  <c r="AE40" i="1"/>
  <c r="Y40" i="1"/>
  <c r="U40" i="1"/>
  <c r="S40" i="1"/>
  <c r="Q40" i="1"/>
  <c r="O40" i="1"/>
  <c r="M40" i="1"/>
  <c r="K40" i="1"/>
  <c r="I40" i="1"/>
  <c r="G40" i="1"/>
  <c r="D40" i="1"/>
  <c r="AS39" i="1"/>
  <c r="AP39" i="1"/>
  <c r="AQ39" i="1" s="1"/>
  <c r="AG39" i="1"/>
  <c r="AE39" i="1"/>
  <c r="Y39" i="1"/>
  <c r="U39" i="1"/>
  <c r="S39" i="1"/>
  <c r="Q39" i="1"/>
  <c r="O39" i="1"/>
  <c r="M39" i="1"/>
  <c r="K39" i="1"/>
  <c r="I39" i="1"/>
  <c r="G39" i="1"/>
  <c r="D39" i="1"/>
  <c r="AS38" i="1"/>
  <c r="AG38" i="1"/>
  <c r="AE38" i="1"/>
  <c r="Y38" i="1"/>
  <c r="U38" i="1"/>
  <c r="S38" i="1"/>
  <c r="Q38" i="1"/>
  <c r="O38" i="1"/>
  <c r="M38" i="1"/>
  <c r="K38" i="1"/>
  <c r="I38" i="1"/>
  <c r="G38" i="1"/>
  <c r="D38" i="1"/>
  <c r="AS37" i="1"/>
  <c r="AG37" i="1"/>
  <c r="AE37" i="1"/>
  <c r="Y37" i="1"/>
  <c r="U37" i="1"/>
  <c r="S37" i="1"/>
  <c r="Q37" i="1"/>
  <c r="O37" i="1"/>
  <c r="M37" i="1"/>
  <c r="K37" i="1"/>
  <c r="I37" i="1"/>
  <c r="G37" i="1"/>
  <c r="D37" i="1"/>
  <c r="AS36" i="1"/>
  <c r="AQ36" i="1"/>
  <c r="AP36" i="1"/>
  <c r="AG36" i="1"/>
  <c r="AE36" i="1"/>
  <c r="Y36" i="1"/>
  <c r="U36" i="1"/>
  <c r="S36" i="1"/>
  <c r="Q36" i="1"/>
  <c r="O36" i="1"/>
  <c r="M36" i="1"/>
  <c r="K36" i="1"/>
  <c r="I36" i="1"/>
  <c r="G36" i="1"/>
  <c r="D36" i="1"/>
  <c r="AS35" i="1"/>
  <c r="AG35" i="1"/>
  <c r="AE35" i="1"/>
  <c r="Y35" i="1"/>
  <c r="U35" i="1"/>
  <c r="S35" i="1"/>
  <c r="Q35" i="1"/>
  <c r="O35" i="1"/>
  <c r="M35" i="1"/>
  <c r="K35" i="1"/>
  <c r="I35" i="1"/>
  <c r="G35" i="1"/>
  <c r="D35" i="1"/>
  <c r="AS34" i="1"/>
  <c r="AG34" i="1"/>
  <c r="AE34" i="1"/>
  <c r="Y34" i="1"/>
  <c r="U34" i="1"/>
  <c r="S34" i="1"/>
  <c r="Q34" i="1"/>
  <c r="O34" i="1"/>
  <c r="M34" i="1"/>
  <c r="K34" i="1"/>
  <c r="I34" i="1"/>
  <c r="G34" i="1"/>
  <c r="D34" i="1"/>
  <c r="AS33" i="1"/>
  <c r="AP33" i="1"/>
  <c r="AQ33" i="1" s="1"/>
  <c r="AG33" i="1"/>
  <c r="AE33" i="1"/>
  <c r="Y33" i="1"/>
  <c r="U33" i="1"/>
  <c r="S33" i="1"/>
  <c r="Q33" i="1"/>
  <c r="O33" i="1"/>
  <c r="M33" i="1"/>
  <c r="K33" i="1"/>
  <c r="I33" i="1"/>
  <c r="G33" i="1"/>
  <c r="D33" i="1"/>
  <c r="AS32" i="1"/>
  <c r="AG32" i="1"/>
  <c r="AE32" i="1"/>
  <c r="Y32" i="1"/>
  <c r="U32" i="1"/>
  <c r="S32" i="1"/>
  <c r="Q32" i="1"/>
  <c r="O32" i="1"/>
  <c r="M32" i="1"/>
  <c r="K32" i="1"/>
  <c r="I32" i="1"/>
  <c r="G32" i="1"/>
  <c r="D32" i="1"/>
  <c r="AS31" i="1"/>
  <c r="AG31" i="1"/>
  <c r="AE31" i="1"/>
  <c r="Y31" i="1"/>
  <c r="U31" i="1"/>
  <c r="S31" i="1"/>
  <c r="Q31" i="1"/>
  <c r="O31" i="1"/>
  <c r="M31" i="1"/>
  <c r="K31" i="1"/>
  <c r="I31" i="1"/>
  <c r="G31" i="1"/>
  <c r="D31" i="1"/>
  <c r="AW30" i="1"/>
  <c r="AS30" i="1"/>
  <c r="AP30" i="1"/>
  <c r="AQ30" i="1" s="1"/>
  <c r="AG30" i="1"/>
  <c r="AE30" i="1"/>
  <c r="Y30" i="1"/>
  <c r="U30" i="1"/>
  <c r="S30" i="1"/>
  <c r="Q30" i="1"/>
  <c r="O30" i="1"/>
  <c r="M30" i="1"/>
  <c r="K30" i="1"/>
  <c r="I30" i="1"/>
  <c r="G30" i="1"/>
  <c r="D30" i="1"/>
  <c r="AG29" i="1"/>
  <c r="AE29" i="1"/>
  <c r="Y29" i="1"/>
  <c r="U29" i="1"/>
  <c r="S29" i="1"/>
  <c r="O29" i="1"/>
  <c r="M29" i="1"/>
  <c r="K29" i="1"/>
  <c r="I29" i="1"/>
  <c r="G29" i="1"/>
  <c r="D29" i="1"/>
  <c r="AG28" i="1"/>
  <c r="AE28" i="1"/>
  <c r="Y28" i="1"/>
  <c r="U28" i="1"/>
  <c r="S28" i="1"/>
  <c r="O28" i="1"/>
  <c r="M28" i="1"/>
  <c r="K28" i="1"/>
  <c r="I28" i="1"/>
  <c r="G28" i="1"/>
  <c r="D28" i="1"/>
  <c r="AP27" i="1"/>
  <c r="AQ27" i="1" s="1"/>
  <c r="AG27" i="1"/>
  <c r="AE27" i="1"/>
  <c r="Y27" i="1"/>
  <c r="U27" i="1"/>
  <c r="S27" i="1"/>
  <c r="O27" i="1"/>
  <c r="M27" i="1"/>
  <c r="K27" i="1"/>
  <c r="I27" i="1"/>
  <c r="G27" i="1"/>
  <c r="D27" i="1"/>
  <c r="AG26" i="1"/>
  <c r="AE26" i="1"/>
  <c r="Y26" i="1"/>
  <c r="U26" i="1"/>
  <c r="S26" i="1"/>
  <c r="O26" i="1"/>
  <c r="M26" i="1"/>
  <c r="K26" i="1"/>
  <c r="I26" i="1"/>
  <c r="G26" i="1"/>
  <c r="D26" i="1"/>
  <c r="AG25" i="1"/>
  <c r="AE25" i="1"/>
  <c r="Y25" i="1"/>
  <c r="U25" i="1"/>
  <c r="S25" i="1"/>
  <c r="O25" i="1"/>
  <c r="M25" i="1"/>
  <c r="K25" i="1"/>
  <c r="I25" i="1"/>
  <c r="G25" i="1"/>
  <c r="D25" i="1"/>
  <c r="AP24" i="1"/>
  <c r="AG24" i="1"/>
  <c r="AE24" i="1"/>
  <c r="Y24" i="1"/>
  <c r="U24" i="1"/>
  <c r="S24" i="1"/>
  <c r="O24" i="1"/>
  <c r="M24" i="1"/>
  <c r="K24" i="1"/>
  <c r="I24" i="1"/>
  <c r="G24" i="1"/>
  <c r="D24" i="1"/>
  <c r="AG23" i="1"/>
  <c r="AE23" i="1"/>
  <c r="Y23" i="1"/>
  <c r="U23" i="1"/>
  <c r="S23" i="1"/>
  <c r="O23" i="1"/>
  <c r="M23" i="1"/>
  <c r="K23" i="1"/>
  <c r="I23" i="1"/>
  <c r="G23" i="1"/>
  <c r="D23" i="1"/>
  <c r="AG22" i="1"/>
  <c r="AE22" i="1"/>
  <c r="Y22" i="1"/>
  <c r="U22" i="1"/>
  <c r="S22" i="1"/>
  <c r="O22" i="1"/>
  <c r="M22" i="1"/>
  <c r="K22" i="1"/>
  <c r="I22" i="1"/>
  <c r="G22" i="1"/>
  <c r="D22" i="1"/>
  <c r="AP21" i="1"/>
  <c r="AG21" i="1"/>
  <c r="AE21" i="1"/>
  <c r="Y21" i="1"/>
  <c r="U21" i="1"/>
  <c r="S21" i="1"/>
  <c r="O21" i="1"/>
  <c r="M21" i="1"/>
  <c r="K21" i="1"/>
  <c r="I21" i="1"/>
  <c r="G21" i="1"/>
  <c r="D21" i="1"/>
  <c r="AG20" i="1"/>
  <c r="AE20" i="1"/>
  <c r="Y20" i="1"/>
  <c r="U20" i="1"/>
  <c r="S20" i="1"/>
  <c r="O20" i="1"/>
  <c r="M20" i="1"/>
  <c r="K20" i="1"/>
  <c r="I20" i="1"/>
  <c r="G20" i="1"/>
  <c r="D20" i="1"/>
  <c r="AG19" i="1"/>
  <c r="AE19" i="1"/>
  <c r="Y19" i="1"/>
  <c r="U19" i="1"/>
  <c r="S19" i="1"/>
  <c r="O19" i="1"/>
  <c r="M19" i="1"/>
  <c r="K19" i="1"/>
  <c r="I19" i="1"/>
  <c r="G19" i="1"/>
  <c r="D19" i="1"/>
  <c r="AP18" i="1"/>
  <c r="AG18" i="1"/>
  <c r="AE18" i="1"/>
  <c r="Y18" i="1"/>
  <c r="U18" i="1"/>
  <c r="S18" i="1"/>
  <c r="O18" i="1"/>
  <c r="M18" i="1"/>
  <c r="K18" i="1"/>
  <c r="I18" i="1"/>
  <c r="G18" i="1"/>
  <c r="D18" i="1"/>
  <c r="AP15" i="1"/>
  <c r="AP6" i="1"/>
  <c r="AQ18" i="1" s="1"/>
  <c r="AK147" i="1" l="1"/>
  <c r="AK159" i="1"/>
  <c r="AJ87" i="1"/>
  <c r="AK87" i="1" s="1"/>
  <c r="AK84" i="1"/>
  <c r="AK214" i="1"/>
  <c r="AK96" i="1"/>
  <c r="AJ99" i="1"/>
  <c r="AK99" i="1" s="1"/>
  <c r="AK108" i="1"/>
  <c r="AJ111" i="1"/>
  <c r="K205" i="1"/>
  <c r="K210" i="1"/>
  <c r="AA210" i="1"/>
  <c r="AJ210" i="1"/>
  <c r="AK210" i="1" s="1"/>
  <c r="D213" i="1"/>
  <c r="D214" i="1"/>
  <c r="AQ48" i="1"/>
  <c r="AQ51" i="1"/>
  <c r="AQ54" i="1"/>
  <c r="AK60" i="1"/>
  <c r="AQ102" i="1"/>
  <c r="AK105" i="1"/>
  <c r="AK117" i="1"/>
  <c r="AJ212" i="1"/>
  <c r="AA130" i="1"/>
  <c r="AK132" i="1"/>
  <c r="AJ213" i="1"/>
  <c r="AK213" i="1" s="1"/>
  <c r="AK144" i="1"/>
  <c r="AK153" i="1"/>
  <c r="AI168" i="1"/>
  <c r="AI180" i="1"/>
  <c r="AJ183" i="1"/>
  <c r="AK183" i="1" s="1"/>
  <c r="G203" i="1"/>
  <c r="S203" i="1"/>
  <c r="S204" i="1"/>
  <c r="G205" i="1"/>
  <c r="AO205" i="1"/>
  <c r="G206" i="1"/>
  <c r="K206" i="1"/>
  <c r="Q207" i="1"/>
  <c r="AG208" i="1"/>
  <c r="AJ209" i="1"/>
  <c r="AA212" i="1"/>
  <c r="AI216" i="1"/>
  <c r="AK217" i="1"/>
  <c r="AK156" i="1"/>
  <c r="M205" i="1"/>
  <c r="BC206" i="1"/>
  <c r="M207" i="1"/>
  <c r="AO207" i="1"/>
  <c r="BA208" i="1"/>
  <c r="AY212" i="1"/>
  <c r="AY213" i="1"/>
  <c r="AU213" i="1"/>
  <c r="AO215" i="1"/>
  <c r="AJ120" i="1"/>
  <c r="Y203" i="1"/>
  <c r="AE205" i="1"/>
  <c r="AJ208" i="1"/>
  <c r="AK208" i="1" s="1"/>
  <c r="AQ57" i="1"/>
  <c r="AK93" i="1"/>
  <c r="AK129" i="1"/>
  <c r="AK72" i="1"/>
  <c r="AJ216" i="1"/>
  <c r="AK216" i="1" s="1"/>
  <c r="AK206" i="1"/>
  <c r="I207" i="1"/>
  <c r="AO208" i="1"/>
  <c r="U210" i="1"/>
  <c r="AS210" i="1"/>
  <c r="AW213" i="1"/>
  <c r="AW214" i="1"/>
  <c r="AU214" i="1"/>
  <c r="AK209" i="1" l="1"/>
  <c r="AK111" i="1"/>
  <c r="AJ123" i="1"/>
  <c r="AK120" i="1"/>
  <c r="AK123" i="1" l="1"/>
  <c r="AK135" i="1"/>
  <c r="AJ211" i="1"/>
  <c r="AK211" i="1" s="1"/>
  <c r="AK212" i="1"/>
</calcChain>
</file>

<file path=xl/comments1.xml><?xml version="1.0" encoding="utf-8"?>
<comments xmlns="http://schemas.openxmlformats.org/spreadsheetml/2006/main">
  <authors>
    <author>User</author>
    <author>Windows 사용자</author>
    <author>owner</author>
  </authors>
  <commentList>
    <comment ref="AH17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7/4 </t>
        </r>
        <r>
          <rPr>
            <sz val="9"/>
            <color indexed="81"/>
            <rFont val="돋움"/>
            <family val="3"/>
            <charset val="129"/>
          </rPr>
          <t>변경</t>
        </r>
      </text>
    </comment>
    <comment ref="T18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싱가포르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, 2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7/22 </t>
        </r>
        <r>
          <rPr>
            <sz val="9"/>
            <color indexed="81"/>
            <rFont val="돋움"/>
            <family val="3"/>
            <charset val="129"/>
          </rPr>
          <t>확정치로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</text>
    </comment>
    <comment ref="AB187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인도네시아
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조사에서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수정됨</t>
        </r>
      </text>
    </comment>
    <comment ref="T188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싱가포르
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월자료에서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수정됨</t>
        </r>
      </text>
    </comment>
    <comment ref="T189" authorId="1" shapeId="0">
      <text>
        <r>
          <rPr>
            <b/>
            <sz val="9"/>
            <color indexed="81"/>
            <rFont val="돋움"/>
            <family val="3"/>
            <charset val="129"/>
          </rPr>
          <t>싱가포르
7월자료에서 수정됨</t>
        </r>
      </text>
    </comment>
    <comment ref="P202" authorId="2" shapeId="0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공표값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2" authorId="2" shapeId="0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공표값
</t>
        </r>
      </text>
    </comment>
    <comment ref="P204" authorId="2" shapeId="0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</text>
    </comment>
    <comment ref="P205" authorId="2" shapeId="0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</text>
    </comment>
    <comment ref="P209" authorId="2" shapeId="0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P210" authorId="2" shapeId="0">
      <text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관광국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공표값</t>
        </r>
      </text>
    </comment>
  </commentList>
</comments>
</file>

<file path=xl/sharedStrings.xml><?xml version="1.0" encoding="utf-8"?>
<sst xmlns="http://schemas.openxmlformats.org/spreadsheetml/2006/main" count="591" uniqueCount="120">
  <si>
    <r>
      <t xml:space="preserve">주요국 한국인 출국 통계 </t>
    </r>
    <r>
      <rPr>
        <b/>
        <sz val="10"/>
        <rFont val="맑은 고딕"/>
        <family val="3"/>
        <charset val="129"/>
      </rPr>
      <t>(관광빅데이터센터, 2019.08.01)</t>
    </r>
    <phoneticPr fontId="6" type="noConversion"/>
  </si>
  <si>
    <t>한국인 출국자수</t>
  </si>
  <si>
    <r>
      <t xml:space="preserve">아시아 </t>
    </r>
    <r>
      <rPr>
        <b/>
        <sz val="10"/>
        <rFont val="맑은 고딕"/>
        <family val="3"/>
        <charset val="129"/>
      </rPr>
      <t>(25개국)</t>
    </r>
    <phoneticPr fontId="6" type="noConversion"/>
  </si>
  <si>
    <t>법무부・KTO</t>
  </si>
  <si>
    <t>일본 JNTO</t>
    <phoneticPr fontId="6" type="noConversion"/>
  </si>
  <si>
    <t>중국 국가관광국</t>
  </si>
  <si>
    <t>대만 교통부 관광국</t>
  </si>
  <si>
    <t>홍콩 정부관광국</t>
  </si>
  <si>
    <t>태국 정부관광국</t>
  </si>
  <si>
    <t>베트남 정부 관광국</t>
    <phoneticPr fontId="6" type="noConversion"/>
  </si>
  <si>
    <t>마카오정부 관광국</t>
    <phoneticPr fontId="6" type="noConversion"/>
  </si>
  <si>
    <t>싱가포르 정부관광국</t>
    <phoneticPr fontId="6" type="noConversion"/>
  </si>
  <si>
    <t>스리랑카 관광국</t>
    <phoneticPr fontId="6" type="noConversion"/>
  </si>
  <si>
    <t>필리핀 관광청</t>
    <phoneticPr fontId="6" type="noConversion"/>
  </si>
  <si>
    <t>캄보디아 관광청</t>
    <phoneticPr fontId="6" type="noConversion"/>
  </si>
  <si>
    <t>인도네시아관광국</t>
    <phoneticPr fontId="6" type="noConversion"/>
  </si>
  <si>
    <t>말레이시아 정부 관광국</t>
    <phoneticPr fontId="6" type="noConversion"/>
  </si>
  <si>
    <t>이스라엘 관광국</t>
    <phoneticPr fontId="6" type="noConversion"/>
  </si>
  <si>
    <t>터키 관광국</t>
    <phoneticPr fontId="6" type="noConversion"/>
  </si>
  <si>
    <t>몽골 통계청</t>
    <phoneticPr fontId="6" type="noConversion"/>
  </si>
  <si>
    <t>몰디브 관광국</t>
    <phoneticPr fontId="6" type="noConversion"/>
  </si>
  <si>
    <t>미얀마 관광국</t>
    <phoneticPr fontId="6" type="noConversion"/>
  </si>
  <si>
    <t>인도 관광청</t>
    <phoneticPr fontId="6" type="noConversion"/>
  </si>
  <si>
    <t>키프로스 통계청</t>
    <phoneticPr fontId="6" type="noConversion"/>
  </si>
  <si>
    <t>부탄 관광국</t>
    <phoneticPr fontId="6" type="noConversion"/>
  </si>
  <si>
    <t>요르단 관광국</t>
    <phoneticPr fontId="6" type="noConversion"/>
  </si>
  <si>
    <t>라오스 통계청</t>
    <phoneticPr fontId="6" type="noConversion"/>
  </si>
  <si>
    <t>네팔 관광국</t>
    <phoneticPr fontId="6" type="noConversion"/>
  </si>
  <si>
    <t>예멘 관광국</t>
    <phoneticPr fontId="6" type="noConversion"/>
  </si>
  <si>
    <t>출국자수</t>
  </si>
  <si>
    <t>국적기준</t>
  </si>
  <si>
    <t>입국자 수</t>
  </si>
  <si>
    <t>입국자 수</t>
    <phoneticPr fontId="6" type="noConversion"/>
  </si>
  <si>
    <t>거주지 기준</t>
  </si>
  <si>
    <t>국적기준</t>
    <phoneticPr fontId="6" type="noConversion"/>
  </si>
  <si>
    <t>국적 기준</t>
    <phoneticPr fontId="6" type="noConversion"/>
  </si>
  <si>
    <t>거주국기준</t>
    <phoneticPr fontId="6" type="noConversion"/>
  </si>
  <si>
    <t>거주지 기준</t>
    <phoneticPr fontId="6" type="noConversion"/>
  </si>
  <si>
    <t>명수</t>
  </si>
  <si>
    <t>전년대비</t>
  </si>
  <si>
    <t>전년대비</t>
    <phoneticPr fontId="6" type="noConversion"/>
  </si>
  <si>
    <t>명수</t>
    <phoneticPr fontId="6" type="noConversion"/>
  </si>
  <si>
    <t>2004년</t>
    <phoneticPr fontId="6" type="noConversion"/>
  </si>
  <si>
    <t>1월</t>
    <phoneticPr fontId="6" type="noConversion"/>
  </si>
  <si>
    <t>2월</t>
    <phoneticPr fontId="6" type="noConversion"/>
  </si>
  <si>
    <t>3월</t>
  </si>
  <si>
    <t>4월</t>
  </si>
  <si>
    <t>5월</t>
  </si>
  <si>
    <t xml:space="preserve"> </t>
    <phoneticPr fontId="6" type="noConversion"/>
  </si>
  <si>
    <t>6월</t>
  </si>
  <si>
    <t>7월</t>
  </si>
  <si>
    <t>8월</t>
  </si>
  <si>
    <t>9월</t>
  </si>
  <si>
    <t>10월</t>
  </si>
  <si>
    <t>11월</t>
  </si>
  <si>
    <t>12월</t>
  </si>
  <si>
    <t>2005년</t>
    <phoneticPr fontId="6" type="noConversion"/>
  </si>
  <si>
    <t>2월</t>
    <phoneticPr fontId="6" type="noConversion"/>
  </si>
  <si>
    <t>2006년</t>
    <phoneticPr fontId="6" type="noConversion"/>
  </si>
  <si>
    <t>2007년</t>
    <phoneticPr fontId="6" type="noConversion"/>
  </si>
  <si>
    <t>2월</t>
  </si>
  <si>
    <t>3월</t>
    <phoneticPr fontId="6" type="noConversion"/>
  </si>
  <si>
    <t>4월</t>
    <phoneticPr fontId="6" type="noConversion"/>
  </si>
  <si>
    <t>5월</t>
    <phoneticPr fontId="6" type="noConversion"/>
  </si>
  <si>
    <t>6월</t>
    <phoneticPr fontId="6" type="noConversion"/>
  </si>
  <si>
    <t>7월</t>
    <phoneticPr fontId="6" type="noConversion"/>
  </si>
  <si>
    <t>8월</t>
    <phoneticPr fontId="6" type="noConversion"/>
  </si>
  <si>
    <t>9월</t>
    <phoneticPr fontId="6" type="noConversion"/>
  </si>
  <si>
    <t>10월</t>
    <phoneticPr fontId="6" type="noConversion"/>
  </si>
  <si>
    <t>12월</t>
    <phoneticPr fontId="6" type="noConversion"/>
  </si>
  <si>
    <t>2008년</t>
    <phoneticPr fontId="6" type="noConversion"/>
  </si>
  <si>
    <t>2009년</t>
    <phoneticPr fontId="6" type="noConversion"/>
  </si>
  <si>
    <t>1월</t>
    <phoneticPr fontId="6" type="noConversion"/>
  </si>
  <si>
    <t>2010년</t>
    <phoneticPr fontId="6" type="noConversion"/>
  </si>
  <si>
    <t>11월</t>
    <phoneticPr fontId="6" type="noConversion"/>
  </si>
  <si>
    <t>2011년</t>
    <phoneticPr fontId="6" type="noConversion"/>
  </si>
  <si>
    <t>2012년</t>
    <phoneticPr fontId="6" type="noConversion"/>
  </si>
  <si>
    <t>2월</t>
    <phoneticPr fontId="6" type="noConversion"/>
  </si>
  <si>
    <t>2013년</t>
    <phoneticPr fontId="6" type="noConversion"/>
  </si>
  <si>
    <t>1월</t>
    <phoneticPr fontId="6" type="noConversion"/>
  </si>
  <si>
    <t>-</t>
    <phoneticPr fontId="6" type="noConversion"/>
  </si>
  <si>
    <t>-</t>
    <phoneticPr fontId="6" type="noConversion"/>
  </si>
  <si>
    <t>2014년</t>
    <phoneticPr fontId="6" type="noConversion"/>
  </si>
  <si>
    <t>2015년</t>
    <phoneticPr fontId="6" type="noConversion"/>
  </si>
  <si>
    <t>2월</t>
    <phoneticPr fontId="6" type="noConversion"/>
  </si>
  <si>
    <t>2016년</t>
    <phoneticPr fontId="6" type="noConversion"/>
  </si>
  <si>
    <t>3월</t>
    <phoneticPr fontId="6" type="noConversion"/>
  </si>
  <si>
    <t>4월</t>
    <phoneticPr fontId="6" type="noConversion"/>
  </si>
  <si>
    <t>5월</t>
    <phoneticPr fontId="6" type="noConversion"/>
  </si>
  <si>
    <t>8월</t>
    <phoneticPr fontId="6" type="noConversion"/>
  </si>
  <si>
    <t>2017년</t>
    <phoneticPr fontId="6" type="noConversion"/>
  </si>
  <si>
    <t>6월</t>
    <phoneticPr fontId="6" type="noConversion"/>
  </si>
  <si>
    <t>9월</t>
    <phoneticPr fontId="6" type="noConversion"/>
  </si>
  <si>
    <t>10월</t>
    <phoneticPr fontId="6" type="noConversion"/>
  </si>
  <si>
    <t>12월</t>
    <phoneticPr fontId="6" type="noConversion"/>
  </si>
  <si>
    <t>2018년</t>
    <phoneticPr fontId="6" type="noConversion"/>
  </si>
  <si>
    <t>1월</t>
    <phoneticPr fontId="6" type="noConversion"/>
  </si>
  <si>
    <t>7월</t>
    <phoneticPr fontId="6" type="noConversion"/>
  </si>
  <si>
    <t>9월</t>
    <phoneticPr fontId="6" type="noConversion"/>
  </si>
  <si>
    <t>11월</t>
    <phoneticPr fontId="6" type="noConversion"/>
  </si>
  <si>
    <t>12월</t>
    <phoneticPr fontId="6" type="noConversion"/>
  </si>
  <si>
    <t>2019년</t>
    <phoneticPr fontId="6" type="noConversion"/>
  </si>
  <si>
    <t>2000년</t>
    <phoneticPr fontId="6" type="noConversion"/>
  </si>
  <si>
    <t>누계</t>
  </si>
  <si>
    <t>-</t>
  </si>
  <si>
    <t>-</t>
    <phoneticPr fontId="6" type="noConversion"/>
  </si>
  <si>
    <t>2001년</t>
    <phoneticPr fontId="6" type="noConversion"/>
  </si>
  <si>
    <t>2002년</t>
  </si>
  <si>
    <t>2003년</t>
  </si>
  <si>
    <t>2004년</t>
  </si>
  <si>
    <t>2005년</t>
  </si>
  <si>
    <t>2006년</t>
  </si>
  <si>
    <t>2007년</t>
  </si>
  <si>
    <t>누계</t>
    <phoneticPr fontId="6" type="noConversion"/>
  </si>
  <si>
    <t>2013년</t>
    <phoneticPr fontId="6" type="noConversion"/>
  </si>
  <si>
    <t>2014년</t>
    <phoneticPr fontId="6" type="noConversion"/>
  </si>
  <si>
    <t>2015년</t>
    <phoneticPr fontId="6" type="noConversion"/>
  </si>
  <si>
    <t>2016년</t>
    <phoneticPr fontId="6" type="noConversion"/>
  </si>
  <si>
    <t>2018년</t>
    <phoneticPr fontId="6" type="noConversion"/>
  </si>
  <si>
    <t>2019년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</si>
</sst>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.0%"/>
    <numFmt numFmtId="178" formatCode="#,##0_);\(#,##0\)"/>
    <numFmt numFmtId="179" formatCode="_(* #,##0_);_(* \(#,##0\);_(* &quot;-&quot;??_);_(@_)"/>
    <numFmt numFmtId="180" formatCode="0_);[Red]\(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2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u/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hair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 style="medium">
        <color indexed="64"/>
      </right>
      <top style="thin">
        <color theme="0" tint="-0.14996795556505021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21">
    <xf numFmtId="0" fontId="0" fillId="0" borderId="0" xfId="0">
      <alignment vertical="center"/>
    </xf>
    <xf numFmtId="176" fontId="2" fillId="0" borderId="1" xfId="0" applyNumberFormat="1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41" fontId="2" fillId="2" borderId="0" xfId="2" applyFont="1" applyFill="1" applyBorder="1">
      <alignment vertical="center"/>
    </xf>
    <xf numFmtId="0" fontId="2" fillId="2" borderId="2" xfId="0" applyFont="1" applyFill="1" applyBorder="1">
      <alignment vertical="center"/>
    </xf>
    <xf numFmtId="176" fontId="2" fillId="2" borderId="0" xfId="0" applyNumberFormat="1" applyFont="1" applyFill="1" applyBorder="1">
      <alignment vertical="center"/>
    </xf>
    <xf numFmtId="41" fontId="2" fillId="2" borderId="0" xfId="2" applyFont="1" applyFill="1">
      <alignment vertical="center"/>
    </xf>
    <xf numFmtId="0" fontId="7" fillId="2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76" fontId="2" fillId="0" borderId="22" xfId="0" applyNumberFormat="1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41" fontId="2" fillId="0" borderId="27" xfId="2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176" fontId="2" fillId="0" borderId="9" xfId="0" applyNumberFormat="1" applyFont="1" applyBorder="1">
      <alignment vertical="center"/>
    </xf>
    <xf numFmtId="0" fontId="2" fillId="0" borderId="31" xfId="0" applyFont="1" applyBorder="1">
      <alignment vertical="center"/>
    </xf>
    <xf numFmtId="176" fontId="2" fillId="0" borderId="32" xfId="0" applyNumberFormat="1" applyFont="1" applyBorder="1">
      <alignment vertical="center"/>
    </xf>
    <xf numFmtId="0" fontId="2" fillId="0" borderId="1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2" fillId="0" borderId="33" xfId="0" applyFont="1" applyBorder="1">
      <alignment vertical="center"/>
    </xf>
    <xf numFmtId="0" fontId="2" fillId="0" borderId="32" xfId="0" applyFont="1" applyBorder="1">
      <alignment vertical="center"/>
    </xf>
    <xf numFmtId="41" fontId="2" fillId="0" borderId="0" xfId="2" applyFont="1" applyBorder="1">
      <alignment vertical="center"/>
    </xf>
    <xf numFmtId="41" fontId="2" fillId="0" borderId="32" xfId="2" applyFont="1" applyBorder="1">
      <alignment vertical="center"/>
    </xf>
    <xf numFmtId="177" fontId="2" fillId="0" borderId="31" xfId="0" applyNumberFormat="1" applyFont="1" applyBorder="1">
      <alignment vertical="center"/>
    </xf>
    <xf numFmtId="41" fontId="2" fillId="0" borderId="34" xfId="2" applyFont="1" applyBorder="1" applyAlignment="1">
      <alignment horizontal="center" vertical="center"/>
    </xf>
    <xf numFmtId="177" fontId="2" fillId="0" borderId="35" xfId="0" applyNumberFormat="1" applyFont="1" applyBorder="1" applyAlignment="1">
      <alignment horizontal="center" vertical="center"/>
    </xf>
    <xf numFmtId="0" fontId="2" fillId="0" borderId="36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7" xfId="0" applyFont="1" applyBorder="1" applyAlignment="1">
      <alignment horizontal="center" vertical="center"/>
    </xf>
    <xf numFmtId="41" fontId="2" fillId="0" borderId="32" xfId="2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41" fontId="2" fillId="0" borderId="9" xfId="2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176" fontId="2" fillId="0" borderId="13" xfId="0" applyNumberFormat="1" applyFont="1" applyBorder="1">
      <alignment vertical="center"/>
    </xf>
    <xf numFmtId="177" fontId="2" fillId="0" borderId="39" xfId="0" applyNumberFormat="1" applyFont="1" applyBorder="1">
      <alignment vertical="center"/>
    </xf>
    <xf numFmtId="41" fontId="2" fillId="0" borderId="40" xfId="2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0" xfId="0" applyFont="1" applyBorder="1">
      <alignment vertical="center"/>
    </xf>
    <xf numFmtId="176" fontId="10" fillId="0" borderId="41" xfId="0" applyNumberFormat="1" applyFont="1" applyBorder="1">
      <alignment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76" fontId="2" fillId="0" borderId="34" xfId="0" applyNumberFormat="1" applyFont="1" applyBorder="1">
      <alignment vertical="center"/>
    </xf>
    <xf numFmtId="177" fontId="2" fillId="0" borderId="44" xfId="0" applyNumberFormat="1" applyFont="1" applyBorder="1">
      <alignment vertical="center"/>
    </xf>
    <xf numFmtId="176" fontId="2" fillId="0" borderId="45" xfId="0" applyNumberFormat="1" applyFont="1" applyBorder="1">
      <alignment vertical="center"/>
    </xf>
    <xf numFmtId="177" fontId="2" fillId="0" borderId="35" xfId="0" applyNumberFormat="1" applyFont="1" applyBorder="1">
      <alignment vertical="center"/>
    </xf>
    <xf numFmtId="176" fontId="2" fillId="0" borderId="46" xfId="0" applyNumberFormat="1" applyFont="1" applyBorder="1">
      <alignment vertical="center"/>
    </xf>
    <xf numFmtId="177" fontId="2" fillId="0" borderId="47" xfId="0" applyNumberFormat="1" applyFont="1" applyBorder="1">
      <alignment vertical="center"/>
    </xf>
    <xf numFmtId="41" fontId="2" fillId="0" borderId="45" xfId="2" applyFont="1" applyBorder="1">
      <alignment vertical="center"/>
    </xf>
    <xf numFmtId="41" fontId="2" fillId="0" borderId="35" xfId="2" applyFont="1" applyBorder="1">
      <alignment vertical="center"/>
    </xf>
    <xf numFmtId="41" fontId="2" fillId="0" borderId="46" xfId="2" applyFont="1" applyBorder="1">
      <alignment vertical="center"/>
    </xf>
    <xf numFmtId="41" fontId="2" fillId="0" borderId="34" xfId="2" applyFont="1" applyBorder="1">
      <alignment vertical="center"/>
    </xf>
    <xf numFmtId="177" fontId="2" fillId="0" borderId="44" xfId="0" applyNumberFormat="1" applyFont="1" applyBorder="1" applyAlignment="1">
      <alignment vertical="center"/>
    </xf>
    <xf numFmtId="177" fontId="2" fillId="0" borderId="35" xfId="3" applyNumberFormat="1" applyFont="1" applyBorder="1" applyAlignment="1">
      <alignment horizontal="right" vertical="center"/>
    </xf>
    <xf numFmtId="41" fontId="2" fillId="0" borderId="45" xfId="2" applyFont="1" applyBorder="1" applyAlignment="1">
      <alignment vertical="center"/>
    </xf>
    <xf numFmtId="41" fontId="2" fillId="0" borderId="45" xfId="2" applyFont="1" applyBorder="1" applyAlignment="1">
      <alignment horizontal="center" vertical="center"/>
    </xf>
    <xf numFmtId="177" fontId="2" fillId="0" borderId="44" xfId="3" applyNumberFormat="1" applyFont="1" applyBorder="1" applyAlignment="1">
      <alignment vertical="center"/>
    </xf>
    <xf numFmtId="176" fontId="2" fillId="0" borderId="45" xfId="0" applyNumberFormat="1" applyFont="1" applyBorder="1" applyAlignment="1">
      <alignment vertical="center"/>
    </xf>
    <xf numFmtId="177" fontId="2" fillId="0" borderId="10" xfId="0" applyNumberFormat="1" applyFont="1" applyBorder="1">
      <alignment vertical="center"/>
    </xf>
    <xf numFmtId="177" fontId="2" fillId="0" borderId="33" xfId="0" applyNumberFormat="1" applyFont="1" applyBorder="1">
      <alignment vertical="center"/>
    </xf>
    <xf numFmtId="41" fontId="2" fillId="0" borderId="10" xfId="2" applyFont="1" applyBorder="1">
      <alignment vertical="center"/>
    </xf>
    <xf numFmtId="41" fontId="2" fillId="0" borderId="9" xfId="2" applyFont="1" applyBorder="1">
      <alignment vertical="center"/>
    </xf>
    <xf numFmtId="177" fontId="2" fillId="0" borderId="31" xfId="0" applyNumberFormat="1" applyFont="1" applyBorder="1" applyAlignment="1">
      <alignment vertical="center"/>
    </xf>
    <xf numFmtId="177" fontId="2" fillId="0" borderId="10" xfId="3" applyNumberFormat="1" applyFont="1" applyBorder="1" applyAlignment="1">
      <alignment horizontal="right" vertical="center"/>
    </xf>
    <xf numFmtId="41" fontId="2" fillId="0" borderId="32" xfId="2" applyFont="1" applyBorder="1" applyAlignment="1">
      <alignment horizontal="center" vertical="center"/>
    </xf>
    <xf numFmtId="177" fontId="2" fillId="0" borderId="31" xfId="3" applyNumberFormat="1" applyFont="1" applyBorder="1" applyAlignment="1">
      <alignment vertical="center"/>
    </xf>
    <xf numFmtId="176" fontId="2" fillId="0" borderId="32" xfId="0" applyNumberFormat="1" applyFont="1" applyBorder="1" applyAlignment="1">
      <alignment vertical="center"/>
    </xf>
    <xf numFmtId="177" fontId="2" fillId="0" borderId="10" xfId="0" applyNumberFormat="1" applyFont="1" applyBorder="1" applyAlignment="1">
      <alignment horizontal="right" vertical="center"/>
    </xf>
    <xf numFmtId="0" fontId="2" fillId="0" borderId="48" xfId="0" applyFont="1" applyBorder="1" applyAlignment="1">
      <alignment horizontal="center" vertical="center"/>
    </xf>
    <xf numFmtId="176" fontId="2" fillId="0" borderId="40" xfId="0" applyNumberFormat="1" applyFont="1" applyBorder="1">
      <alignment vertical="center"/>
    </xf>
    <xf numFmtId="177" fontId="2" fillId="0" borderId="14" xfId="0" applyNumberFormat="1" applyFont="1" applyBorder="1">
      <alignment vertical="center"/>
    </xf>
    <xf numFmtId="176" fontId="2" fillId="0" borderId="49" xfId="0" applyNumberFormat="1" applyFont="1" applyBorder="1">
      <alignment vertical="center"/>
    </xf>
    <xf numFmtId="177" fontId="2" fillId="0" borderId="50" xfId="0" applyNumberFormat="1" applyFont="1" applyBorder="1">
      <alignment vertical="center"/>
    </xf>
    <xf numFmtId="41" fontId="2" fillId="0" borderId="40" xfId="2" applyFont="1" applyBorder="1">
      <alignment vertical="center"/>
    </xf>
    <xf numFmtId="41" fontId="2" fillId="0" borderId="14" xfId="2" applyFont="1" applyBorder="1">
      <alignment vertical="center"/>
    </xf>
    <xf numFmtId="41" fontId="2" fillId="0" borderId="49" xfId="2" applyFont="1" applyBorder="1">
      <alignment vertical="center"/>
    </xf>
    <xf numFmtId="41" fontId="2" fillId="0" borderId="13" xfId="2" applyFont="1" applyBorder="1">
      <alignment vertical="center"/>
    </xf>
    <xf numFmtId="177" fontId="2" fillId="0" borderId="39" xfId="0" applyNumberFormat="1" applyFont="1" applyBorder="1" applyAlignment="1">
      <alignment vertical="center"/>
    </xf>
    <xf numFmtId="176" fontId="2" fillId="0" borderId="41" xfId="0" applyNumberFormat="1" applyFont="1" applyBorder="1">
      <alignment vertical="center"/>
    </xf>
    <xf numFmtId="41" fontId="2" fillId="0" borderId="40" xfId="2" applyFont="1" applyBorder="1" applyAlignment="1">
      <alignment horizontal="center" vertical="center"/>
    </xf>
    <xf numFmtId="177" fontId="2" fillId="0" borderId="39" xfId="3" applyNumberFormat="1" applyFont="1" applyBorder="1" applyAlignment="1">
      <alignment vertical="center"/>
    </xf>
    <xf numFmtId="176" fontId="2" fillId="0" borderId="40" xfId="0" applyNumberFormat="1" applyFont="1" applyBorder="1" applyAlignment="1">
      <alignment vertical="center"/>
    </xf>
    <xf numFmtId="9" fontId="2" fillId="0" borderId="44" xfId="3" applyFont="1" applyBorder="1" applyAlignment="1">
      <alignment horizontal="right" vertical="center"/>
    </xf>
    <xf numFmtId="176" fontId="2" fillId="0" borderId="45" xfId="0" applyNumberFormat="1" applyFont="1" applyBorder="1" applyAlignment="1">
      <alignment horizontal="center" vertical="center"/>
    </xf>
    <xf numFmtId="177" fontId="2" fillId="0" borderId="44" xfId="3" applyNumberFormat="1" applyFont="1" applyBorder="1" applyAlignment="1">
      <alignment horizontal="center" vertical="center"/>
    </xf>
    <xf numFmtId="177" fontId="2" fillId="0" borderId="31" xfId="0" applyNumberFormat="1" applyFont="1" applyBorder="1" applyAlignment="1">
      <alignment horizontal="right" vertical="center"/>
    </xf>
    <xf numFmtId="176" fontId="2" fillId="0" borderId="32" xfId="0" applyNumberFormat="1" applyFont="1" applyBorder="1" applyAlignment="1">
      <alignment horizontal="center" vertical="center"/>
    </xf>
    <xf numFmtId="177" fontId="2" fillId="0" borderId="31" xfId="3" applyNumberFormat="1" applyFont="1" applyBorder="1" applyAlignment="1">
      <alignment horizontal="center" vertical="center"/>
    </xf>
    <xf numFmtId="176" fontId="2" fillId="0" borderId="51" xfId="0" applyNumberFormat="1" applyFont="1" applyBorder="1">
      <alignment vertical="center"/>
    </xf>
    <xf numFmtId="3" fontId="2" fillId="0" borderId="32" xfId="0" applyNumberFormat="1" applyFont="1" applyBorder="1" applyAlignment="1">
      <alignment horizontal="right" vertical="center"/>
    </xf>
    <xf numFmtId="177" fontId="2" fillId="0" borderId="14" xfId="0" applyNumberFormat="1" applyFont="1" applyBorder="1" applyAlignment="1">
      <alignment horizontal="center" vertical="center"/>
    </xf>
    <xf numFmtId="176" fontId="2" fillId="0" borderId="40" xfId="0" applyNumberFormat="1" applyFont="1" applyBorder="1" applyAlignment="1">
      <alignment horizontal="center" vertical="center"/>
    </xf>
    <xf numFmtId="177" fontId="2" fillId="0" borderId="39" xfId="3" applyNumberFormat="1" applyFont="1" applyBorder="1" applyAlignment="1">
      <alignment horizontal="center" vertical="center"/>
    </xf>
    <xf numFmtId="177" fontId="2" fillId="0" borderId="35" xfId="0" applyNumberFormat="1" applyFont="1" applyBorder="1" applyAlignment="1">
      <alignment horizontal="right" vertical="center"/>
    </xf>
    <xf numFmtId="177" fontId="2" fillId="0" borderId="44" xfId="0" applyNumberFormat="1" applyFont="1" applyBorder="1" applyAlignment="1">
      <alignment horizontal="right" vertical="center"/>
    </xf>
    <xf numFmtId="177" fontId="2" fillId="0" borderId="0" xfId="0" applyNumberFormat="1" applyFont="1" applyBorder="1">
      <alignment vertical="center"/>
    </xf>
    <xf numFmtId="176" fontId="11" fillId="0" borderId="32" xfId="0" applyNumberFormat="1" applyFont="1" applyBorder="1">
      <alignment vertical="center"/>
    </xf>
    <xf numFmtId="177" fontId="2" fillId="0" borderId="14" xfId="0" applyNumberFormat="1" applyFont="1" applyBorder="1" applyAlignment="1">
      <alignment horizontal="right" vertical="center"/>
    </xf>
    <xf numFmtId="41" fontId="2" fillId="0" borderId="13" xfId="2" applyFont="1" applyBorder="1" applyAlignment="1">
      <alignment horizontal="center" vertical="center"/>
    </xf>
    <xf numFmtId="176" fontId="11" fillId="0" borderId="45" xfId="0" applyNumberFormat="1" applyFont="1" applyBorder="1">
      <alignment vertical="center"/>
    </xf>
    <xf numFmtId="176" fontId="2" fillId="0" borderId="52" xfId="0" applyNumberFormat="1" applyFont="1" applyBorder="1">
      <alignment vertical="center"/>
    </xf>
    <xf numFmtId="41" fontId="2" fillId="0" borderId="52" xfId="2" applyFont="1" applyBorder="1">
      <alignment vertical="center"/>
    </xf>
    <xf numFmtId="41" fontId="2" fillId="0" borderId="51" xfId="2" applyFont="1" applyBorder="1">
      <alignment vertical="center"/>
    </xf>
    <xf numFmtId="176" fontId="11" fillId="0" borderId="53" xfId="0" applyNumberFormat="1" applyFont="1" applyBorder="1" applyAlignment="1">
      <alignment vertical="center"/>
    </xf>
    <xf numFmtId="0" fontId="2" fillId="2" borderId="54" xfId="0" applyFont="1" applyFill="1" applyBorder="1" applyAlignment="1">
      <alignment vertical="center"/>
    </xf>
    <xf numFmtId="41" fontId="2" fillId="0" borderId="41" xfId="2" applyFont="1" applyBorder="1">
      <alignment vertical="center"/>
    </xf>
    <xf numFmtId="177" fontId="2" fillId="0" borderId="14" xfId="3" applyNumberFormat="1" applyFont="1" applyBorder="1" applyAlignment="1">
      <alignment horizontal="right" vertical="center"/>
    </xf>
    <xf numFmtId="177" fontId="2" fillId="0" borderId="39" xfId="0" applyNumberFormat="1" applyFont="1" applyBorder="1" applyAlignment="1">
      <alignment horizontal="right" vertical="center"/>
    </xf>
    <xf numFmtId="176" fontId="2" fillId="0" borderId="51" xfId="0" applyNumberFormat="1" applyFont="1" applyBorder="1" applyAlignment="1">
      <alignment vertical="center"/>
    </xf>
    <xf numFmtId="177" fontId="2" fillId="0" borderId="31" xfId="0" applyNumberFormat="1" applyFont="1" applyBorder="1" applyAlignment="1">
      <alignment horizontal="right" vertical="center"/>
    </xf>
    <xf numFmtId="178" fontId="2" fillId="0" borderId="53" xfId="0" applyNumberFormat="1" applyFont="1" applyBorder="1" applyAlignment="1">
      <alignment vertical="center"/>
    </xf>
    <xf numFmtId="176" fontId="2" fillId="0" borderId="41" xfId="0" applyNumberFormat="1" applyFont="1" applyBorder="1" applyAlignment="1">
      <alignment vertical="center"/>
    </xf>
    <xf numFmtId="177" fontId="2" fillId="0" borderId="39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41" fontId="2" fillId="0" borderId="52" xfId="2" applyFont="1" applyBorder="1" applyAlignment="1">
      <alignment horizontal="center" vertical="center"/>
    </xf>
    <xf numFmtId="177" fontId="2" fillId="0" borderId="47" xfId="0" applyNumberFormat="1" applyFont="1" applyBorder="1" applyAlignment="1">
      <alignment horizontal="right" vertical="center"/>
    </xf>
    <xf numFmtId="176" fontId="2" fillId="0" borderId="52" xfId="0" applyNumberFormat="1" applyFont="1" applyBorder="1" applyAlignment="1">
      <alignment vertical="center"/>
    </xf>
    <xf numFmtId="177" fontId="2" fillId="0" borderId="44" xfId="0" applyNumberFormat="1" applyFont="1" applyBorder="1" applyAlignment="1">
      <alignment horizontal="right" vertical="center"/>
    </xf>
    <xf numFmtId="41" fontId="2" fillId="0" borderId="51" xfId="2" applyFont="1" applyBorder="1" applyAlignment="1">
      <alignment horizontal="center" vertical="center"/>
    </xf>
    <xf numFmtId="177" fontId="2" fillId="0" borderId="33" xfId="0" applyNumberFormat="1" applyFont="1" applyBorder="1" applyAlignment="1">
      <alignment horizontal="right" vertical="center"/>
    </xf>
    <xf numFmtId="176" fontId="2" fillId="0" borderId="9" xfId="0" quotePrefix="1" applyNumberFormat="1" applyFont="1" applyBorder="1">
      <alignment vertical="center"/>
    </xf>
    <xf numFmtId="177" fontId="2" fillId="0" borderId="33" xfId="3" applyNumberFormat="1" applyFont="1" applyBorder="1" applyAlignment="1">
      <alignment horizontal="right" vertical="center"/>
    </xf>
    <xf numFmtId="177" fontId="2" fillId="0" borderId="0" xfId="3" applyNumberFormat="1" applyFont="1" applyBorder="1" applyAlignment="1">
      <alignment horizontal="right" vertical="center"/>
    </xf>
    <xf numFmtId="41" fontId="2" fillId="0" borderId="51" xfId="2" applyFont="1" applyBorder="1" applyAlignment="1">
      <alignment vertical="center"/>
    </xf>
    <xf numFmtId="177" fontId="2" fillId="0" borderId="33" xfId="0" applyNumberFormat="1" applyFont="1" applyBorder="1" applyAlignment="1">
      <alignment vertical="center"/>
    </xf>
    <xf numFmtId="41" fontId="2" fillId="0" borderId="41" xfId="2" applyFont="1" applyBorder="1" applyAlignment="1">
      <alignment horizontal="center" vertical="center"/>
    </xf>
    <xf numFmtId="177" fontId="2" fillId="0" borderId="50" xfId="0" applyNumberFormat="1" applyFont="1" applyBorder="1" applyAlignment="1">
      <alignment horizontal="right" vertical="center"/>
    </xf>
    <xf numFmtId="177" fontId="2" fillId="0" borderId="55" xfId="0" applyNumberFormat="1" applyFont="1" applyBorder="1">
      <alignment vertical="center"/>
    </xf>
    <xf numFmtId="177" fontId="2" fillId="0" borderId="44" xfId="0" applyNumberFormat="1" applyFont="1" applyBorder="1" applyAlignment="1">
      <alignment horizontal="center" vertical="center"/>
    </xf>
    <xf numFmtId="177" fontId="2" fillId="0" borderId="46" xfId="3" applyNumberFormat="1" applyFont="1" applyBorder="1" applyAlignment="1">
      <alignment horizontal="right" vertical="center"/>
    </xf>
    <xf numFmtId="177" fontId="2" fillId="0" borderId="56" xfId="0" applyNumberFormat="1" applyFont="1" applyBorder="1">
      <alignment vertical="center"/>
    </xf>
    <xf numFmtId="177" fontId="2" fillId="0" borderId="31" xfId="0" applyNumberFormat="1" applyFont="1" applyBorder="1" applyAlignment="1">
      <alignment horizontal="center" vertical="center"/>
    </xf>
    <xf numFmtId="176" fontId="2" fillId="0" borderId="32" xfId="0" applyNumberFormat="1" applyFont="1" applyFill="1" applyBorder="1">
      <alignment vertical="center"/>
    </xf>
    <xf numFmtId="177" fontId="2" fillId="0" borderId="57" xfId="0" applyNumberFormat="1" applyFont="1" applyBorder="1">
      <alignment vertical="center"/>
    </xf>
    <xf numFmtId="41" fontId="2" fillId="0" borderId="41" xfId="2" applyFont="1" applyBorder="1" applyAlignment="1">
      <alignment vertical="center"/>
    </xf>
    <xf numFmtId="177" fontId="2" fillId="0" borderId="58" xfId="0" applyNumberFormat="1" applyFont="1" applyBorder="1">
      <alignment vertical="center"/>
    </xf>
    <xf numFmtId="177" fontId="2" fillId="0" borderId="35" xfId="3" applyNumberFormat="1" applyFont="1" applyBorder="1" applyAlignment="1">
      <alignment horizontal="center" vertical="center"/>
    </xf>
    <xf numFmtId="177" fontId="2" fillId="0" borderId="10" xfId="3" applyNumberFormat="1" applyFont="1" applyBorder="1" applyAlignment="1">
      <alignment horizontal="center" vertical="center"/>
    </xf>
    <xf numFmtId="176" fontId="2" fillId="0" borderId="51" xfId="0" applyNumberFormat="1" applyFont="1" applyFill="1" applyBorder="1">
      <alignment vertical="center"/>
    </xf>
    <xf numFmtId="0" fontId="2" fillId="0" borderId="30" xfId="0" applyFont="1" applyFill="1" applyBorder="1" applyAlignment="1">
      <alignment horizontal="center" vertical="center"/>
    </xf>
    <xf numFmtId="177" fontId="2" fillId="0" borderId="31" xfId="0" applyNumberFormat="1" applyFont="1" applyFill="1" applyBorder="1">
      <alignment vertical="center"/>
    </xf>
    <xf numFmtId="177" fontId="2" fillId="0" borderId="33" xfId="0" applyNumberFormat="1" applyFont="1" applyFill="1" applyBorder="1">
      <alignment vertical="center"/>
    </xf>
    <xf numFmtId="176" fontId="2" fillId="0" borderId="9" xfId="0" applyNumberFormat="1" applyFont="1" applyFill="1" applyBorder="1">
      <alignment vertical="center"/>
    </xf>
    <xf numFmtId="177" fontId="2" fillId="0" borderId="58" xfId="0" applyNumberFormat="1" applyFont="1" applyFill="1" applyBorder="1">
      <alignment vertical="center"/>
    </xf>
    <xf numFmtId="41" fontId="2" fillId="0" borderId="51" xfId="2" applyFont="1" applyFill="1" applyBorder="1">
      <alignment vertical="center"/>
    </xf>
    <xf numFmtId="41" fontId="2" fillId="0" borderId="51" xfId="2" applyFont="1" applyFill="1" applyBorder="1" applyAlignment="1">
      <alignment vertical="center"/>
    </xf>
    <xf numFmtId="177" fontId="2" fillId="0" borderId="0" xfId="3" applyNumberFormat="1" applyFont="1" applyBorder="1">
      <alignment vertical="center"/>
    </xf>
    <xf numFmtId="177" fontId="2" fillId="0" borderId="50" xfId="0" applyNumberFormat="1" applyFont="1" applyFill="1" applyBorder="1">
      <alignment vertical="center"/>
    </xf>
    <xf numFmtId="177" fontId="2" fillId="0" borderId="39" xfId="0" applyNumberFormat="1" applyFont="1" applyFill="1" applyBorder="1">
      <alignment vertical="center"/>
    </xf>
    <xf numFmtId="177" fontId="2" fillId="0" borderId="14" xfId="3" applyNumberFormat="1" applyFont="1" applyBorder="1" applyAlignment="1">
      <alignment horizontal="center" vertical="center"/>
    </xf>
    <xf numFmtId="177" fontId="2" fillId="0" borderId="39" xfId="0" applyNumberFormat="1" applyFont="1" applyBorder="1" applyAlignment="1">
      <alignment horizontal="center" vertical="center"/>
    </xf>
    <xf numFmtId="177" fontId="2" fillId="0" borderId="44" xfId="3" applyNumberFormat="1" applyFont="1" applyBorder="1" applyAlignment="1">
      <alignment horizontal="right" vertical="center"/>
    </xf>
    <xf numFmtId="0" fontId="0" fillId="0" borderId="37" xfId="0" applyFont="1" applyBorder="1">
      <alignment vertical="center"/>
    </xf>
    <xf numFmtId="0" fontId="12" fillId="0" borderId="31" xfId="0" applyFont="1" applyBorder="1">
      <alignment vertical="center"/>
    </xf>
    <xf numFmtId="177" fontId="2" fillId="0" borderId="31" xfId="3" applyNumberFormat="1" applyFont="1" applyBorder="1" applyAlignment="1">
      <alignment horizontal="right" vertical="center"/>
    </xf>
    <xf numFmtId="177" fontId="2" fillId="0" borderId="31" xfId="0" applyNumberFormat="1" applyFont="1" applyFill="1" applyBorder="1" applyAlignment="1">
      <alignment horizontal="right" vertical="center"/>
    </xf>
    <xf numFmtId="41" fontId="2" fillId="0" borderId="32" xfId="0" applyNumberFormat="1" applyFont="1" applyBorder="1">
      <alignment vertical="center"/>
    </xf>
    <xf numFmtId="177" fontId="2" fillId="0" borderId="31" xfId="0" applyNumberFormat="1" applyFont="1" applyFill="1" applyBorder="1" applyAlignment="1">
      <alignment horizontal="center" vertical="center"/>
    </xf>
    <xf numFmtId="176" fontId="2" fillId="0" borderId="32" xfId="0" applyNumberFormat="1" applyFont="1" applyFill="1" applyBorder="1" applyAlignment="1">
      <alignment horizontal="right" vertical="center"/>
    </xf>
    <xf numFmtId="0" fontId="0" fillId="0" borderId="38" xfId="0" applyFont="1" applyBorder="1">
      <alignment vertical="center"/>
    </xf>
    <xf numFmtId="177" fontId="2" fillId="0" borderId="39" xfId="0" applyNumberFormat="1" applyFont="1" applyFill="1" applyBorder="1" applyAlignment="1">
      <alignment horizontal="center" vertical="center"/>
    </xf>
    <xf numFmtId="177" fontId="2" fillId="0" borderId="39" xfId="0" applyNumberFormat="1" applyFont="1" applyFill="1" applyBorder="1" applyAlignment="1">
      <alignment horizontal="right" vertical="center"/>
    </xf>
    <xf numFmtId="176" fontId="2" fillId="0" borderId="40" xfId="0" applyNumberFormat="1" applyFont="1" applyFill="1" applyBorder="1" applyAlignment="1">
      <alignment horizontal="right" vertical="center"/>
    </xf>
    <xf numFmtId="41" fontId="2" fillId="0" borderId="9" xfId="0" applyNumberFormat="1" applyFont="1" applyBorder="1">
      <alignment vertical="center"/>
    </xf>
    <xf numFmtId="177" fontId="2" fillId="0" borderId="10" xfId="0" applyNumberFormat="1" applyFont="1" applyFill="1" applyBorder="1" applyAlignment="1">
      <alignment horizontal="right" vertical="center"/>
    </xf>
    <xf numFmtId="3" fontId="2" fillId="0" borderId="9" xfId="0" applyNumberFormat="1" applyFont="1" applyBorder="1">
      <alignment vertical="center"/>
    </xf>
    <xf numFmtId="0" fontId="2" fillId="0" borderId="9" xfId="0" applyFont="1" applyBorder="1">
      <alignment vertical="center"/>
    </xf>
    <xf numFmtId="179" fontId="2" fillId="0" borderId="9" xfId="0" applyNumberFormat="1" applyFont="1" applyBorder="1">
      <alignment vertical="center"/>
    </xf>
    <xf numFmtId="176" fontId="2" fillId="0" borderId="0" xfId="0" applyNumberFormat="1" applyFont="1" applyFill="1" applyBorder="1">
      <alignment vertical="center"/>
    </xf>
    <xf numFmtId="41" fontId="2" fillId="0" borderId="13" xfId="0" applyNumberFormat="1" applyFont="1" applyBorder="1">
      <alignment vertical="center"/>
    </xf>
    <xf numFmtId="176" fontId="2" fillId="0" borderId="49" xfId="0" applyNumberFormat="1" applyFont="1" applyFill="1" applyBorder="1">
      <alignment vertical="center"/>
    </xf>
    <xf numFmtId="177" fontId="2" fillId="0" borderId="39" xfId="3" applyNumberFormat="1" applyFont="1" applyBorder="1" applyAlignment="1">
      <alignment horizontal="right" vertical="center"/>
    </xf>
    <xf numFmtId="177" fontId="2" fillId="0" borderId="14" xfId="0" applyNumberFormat="1" applyFont="1" applyFill="1" applyBorder="1" applyAlignment="1">
      <alignment horizontal="right" vertical="center"/>
    </xf>
    <xf numFmtId="3" fontId="2" fillId="0" borderId="13" xfId="0" applyNumberFormat="1" applyFont="1" applyBorder="1">
      <alignment vertical="center"/>
    </xf>
    <xf numFmtId="0" fontId="2" fillId="0" borderId="37" xfId="0" applyFont="1" applyFill="1" applyBorder="1" applyAlignment="1">
      <alignment horizontal="center" vertical="center"/>
    </xf>
    <xf numFmtId="176" fontId="2" fillId="0" borderId="32" xfId="0" applyNumberFormat="1" applyFont="1" applyFill="1" applyBorder="1" applyAlignment="1">
      <alignment vertical="center"/>
    </xf>
    <xf numFmtId="177" fontId="2" fillId="0" borderId="31" xfId="0" applyNumberFormat="1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177" fontId="2" fillId="0" borderId="33" xfId="0" applyNumberFormat="1" applyFont="1" applyFill="1" applyBorder="1" applyAlignment="1">
      <alignment vertical="center"/>
    </xf>
    <xf numFmtId="176" fontId="2" fillId="0" borderId="51" xfId="0" applyNumberFormat="1" applyFont="1" applyFill="1" applyBorder="1" applyAlignment="1">
      <alignment vertical="center"/>
    </xf>
    <xf numFmtId="41" fontId="2" fillId="0" borderId="45" xfId="2" applyFont="1" applyFill="1" applyBorder="1" applyAlignment="1">
      <alignment horizontal="center" vertical="center"/>
    </xf>
    <xf numFmtId="177" fontId="2" fillId="0" borderId="31" xfId="3" applyNumberFormat="1" applyFont="1" applyFill="1" applyBorder="1" applyAlignment="1">
      <alignment horizontal="right" vertical="center"/>
    </xf>
    <xf numFmtId="176" fontId="2" fillId="0" borderId="45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7" fontId="2" fillId="0" borderId="10" xfId="3" applyNumberFormat="1" applyFont="1" applyFill="1" applyBorder="1" applyAlignment="1">
      <alignment horizontal="center" vertical="center"/>
    </xf>
    <xf numFmtId="176" fontId="2" fillId="0" borderId="32" xfId="0" applyNumberFormat="1" applyFont="1" applyFill="1" applyBorder="1" applyAlignment="1">
      <alignment horizontal="center" vertical="center"/>
    </xf>
    <xf numFmtId="177" fontId="2" fillId="0" borderId="31" xfId="0" applyNumberFormat="1" applyFont="1" applyFill="1" applyBorder="1" applyAlignment="1">
      <alignment horizontal="right" vertical="center"/>
    </xf>
    <xf numFmtId="177" fontId="2" fillId="0" borderId="44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0" fillId="0" borderId="37" xfId="0" applyFont="1" applyFill="1" applyBorder="1" applyAlignment="1">
      <alignment vertical="center"/>
    </xf>
    <xf numFmtId="176" fontId="2" fillId="0" borderId="9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41" fontId="2" fillId="0" borderId="32" xfId="2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176" fontId="2" fillId="0" borderId="40" xfId="0" applyNumberFormat="1" applyFont="1" applyFill="1" applyBorder="1" applyAlignment="1">
      <alignment vertical="center"/>
    </xf>
    <xf numFmtId="41" fontId="2" fillId="0" borderId="40" xfId="2" applyFont="1" applyFill="1" applyBorder="1" applyAlignment="1">
      <alignment horizontal="center" vertical="center"/>
    </xf>
    <xf numFmtId="176" fontId="2" fillId="0" borderId="40" xfId="0" applyNumberFormat="1" applyFont="1" applyFill="1" applyBorder="1" applyAlignment="1">
      <alignment horizontal="center" vertical="center"/>
    </xf>
    <xf numFmtId="176" fontId="2" fillId="0" borderId="13" xfId="0" applyNumberFormat="1" applyFont="1" applyFill="1" applyBorder="1" applyAlignment="1">
      <alignment horizontal="center" vertical="center"/>
    </xf>
    <xf numFmtId="177" fontId="2" fillId="0" borderId="14" xfId="3" applyNumberFormat="1" applyFont="1" applyFill="1" applyBorder="1" applyAlignment="1">
      <alignment horizontal="center" vertical="center"/>
    </xf>
    <xf numFmtId="177" fontId="2" fillId="0" borderId="39" xfId="0" applyNumberFormat="1" applyFont="1" applyFill="1" applyBorder="1" applyAlignment="1">
      <alignment horizontal="right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/>
    </xf>
    <xf numFmtId="3" fontId="2" fillId="0" borderId="46" xfId="0" applyNumberFormat="1" applyFont="1" applyFill="1" applyBorder="1" applyAlignment="1">
      <alignment vertical="center"/>
    </xf>
    <xf numFmtId="177" fontId="2" fillId="0" borderId="44" xfId="0" applyNumberFormat="1" applyFont="1" applyFill="1" applyBorder="1" applyAlignment="1">
      <alignment vertical="center"/>
    </xf>
    <xf numFmtId="176" fontId="2" fillId="0" borderId="45" xfId="0" applyNumberFormat="1" applyFont="1" applyFill="1" applyBorder="1" applyAlignment="1">
      <alignment vertical="center"/>
    </xf>
    <xf numFmtId="176" fontId="2" fillId="0" borderId="34" xfId="0" applyNumberFormat="1" applyFont="1" applyFill="1" applyBorder="1" applyAlignment="1">
      <alignment vertical="center"/>
    </xf>
    <xf numFmtId="176" fontId="2" fillId="0" borderId="46" xfId="0" applyNumberFormat="1" applyFont="1" applyFill="1" applyBorder="1" applyAlignment="1">
      <alignment vertical="center"/>
    </xf>
    <xf numFmtId="177" fontId="2" fillId="0" borderId="47" xfId="0" applyNumberFormat="1" applyFont="1" applyFill="1" applyBorder="1" applyAlignment="1">
      <alignment vertical="center"/>
    </xf>
    <xf numFmtId="177" fontId="2" fillId="0" borderId="44" xfId="3" applyNumberFormat="1" applyFont="1" applyFill="1" applyBorder="1" applyAlignment="1">
      <alignment vertical="center"/>
    </xf>
    <xf numFmtId="176" fontId="2" fillId="0" borderId="52" xfId="0" applyNumberFormat="1" applyFont="1" applyFill="1" applyBorder="1" applyAlignment="1">
      <alignment vertical="center"/>
    </xf>
    <xf numFmtId="177" fontId="2" fillId="0" borderId="35" xfId="0" applyNumberFormat="1" applyFont="1" applyFill="1" applyBorder="1" applyAlignment="1">
      <alignment horizontal="right" vertical="center"/>
    </xf>
    <xf numFmtId="0" fontId="7" fillId="2" borderId="0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77" fontId="2" fillId="0" borderId="31" xfId="3" applyNumberFormat="1" applyFont="1" applyFill="1" applyBorder="1" applyAlignment="1">
      <alignment vertical="center"/>
    </xf>
    <xf numFmtId="176" fontId="2" fillId="0" borderId="32" xfId="0" applyNumberFormat="1" applyFont="1" applyFill="1" applyBorder="1" applyAlignment="1">
      <alignment vertical="center"/>
    </xf>
    <xf numFmtId="177" fontId="2" fillId="0" borderId="31" xfId="0" applyNumberFormat="1" applyFont="1" applyFill="1" applyBorder="1" applyAlignment="1">
      <alignment vertical="center"/>
    </xf>
    <xf numFmtId="176" fontId="2" fillId="0" borderId="40" xfId="0" applyNumberFormat="1" applyFont="1" applyFill="1" applyBorder="1" applyAlignment="1">
      <alignment vertical="center"/>
    </xf>
    <xf numFmtId="177" fontId="2" fillId="0" borderId="39" xfId="0" applyNumberFormat="1" applyFont="1" applyFill="1" applyBorder="1" applyAlignment="1">
      <alignment vertical="center"/>
    </xf>
    <xf numFmtId="176" fontId="2" fillId="0" borderId="49" xfId="0" applyNumberFormat="1" applyFont="1" applyFill="1" applyBorder="1" applyAlignment="1">
      <alignment vertical="center"/>
    </xf>
    <xf numFmtId="177" fontId="2" fillId="0" borderId="39" xfId="0" applyNumberFormat="1" applyFont="1" applyFill="1" applyBorder="1" applyAlignment="1">
      <alignment vertical="center"/>
    </xf>
    <xf numFmtId="0" fontId="7" fillId="2" borderId="0" xfId="0" applyFont="1" applyFill="1" applyBorder="1">
      <alignment vertical="center"/>
    </xf>
    <xf numFmtId="176" fontId="2" fillId="0" borderId="45" xfId="0" applyNumberFormat="1" applyFont="1" applyFill="1" applyBorder="1" applyAlignment="1">
      <alignment vertical="center"/>
    </xf>
    <xf numFmtId="177" fontId="2" fillId="0" borderId="44" xfId="0" applyNumberFormat="1" applyFont="1" applyFill="1" applyBorder="1" applyAlignment="1">
      <alignment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3" fontId="2" fillId="0" borderId="49" xfId="0" applyNumberFormat="1" applyFont="1" applyFill="1" applyBorder="1" applyAlignment="1">
      <alignment vertical="center"/>
    </xf>
    <xf numFmtId="176" fontId="2" fillId="0" borderId="13" xfId="0" applyNumberFormat="1" applyFont="1" applyFill="1" applyBorder="1" applyAlignment="1">
      <alignment vertical="center"/>
    </xf>
    <xf numFmtId="177" fontId="2" fillId="0" borderId="39" xfId="3" applyNumberFormat="1" applyFont="1" applyFill="1" applyBorder="1" applyAlignment="1">
      <alignment vertical="center"/>
    </xf>
    <xf numFmtId="176" fontId="2" fillId="0" borderId="41" xfId="0" applyNumberFormat="1" applyFont="1" applyFill="1" applyBorder="1" applyAlignment="1">
      <alignment vertical="center"/>
    </xf>
    <xf numFmtId="180" fontId="2" fillId="0" borderId="9" xfId="0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Alignment="1">
      <alignment vertical="center"/>
    </xf>
    <xf numFmtId="180" fontId="2" fillId="0" borderId="13" xfId="0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6" fontId="2" fillId="0" borderId="32" xfId="0" applyNumberFormat="1" applyFont="1" applyFill="1" applyBorder="1" applyAlignment="1">
      <alignment horizontal="center" vertical="center"/>
    </xf>
    <xf numFmtId="177" fontId="2" fillId="0" borderId="31" xfId="0" applyNumberFormat="1" applyFont="1" applyFill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41" fontId="2" fillId="0" borderId="63" xfId="2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176" fontId="2" fillId="0" borderId="36" xfId="0" applyNumberFormat="1" applyFont="1" applyBorder="1">
      <alignment vertical="center"/>
    </xf>
    <xf numFmtId="177" fontId="2" fillId="0" borderId="65" xfId="0" applyNumberFormat="1" applyFont="1" applyBorder="1">
      <alignment vertical="center"/>
    </xf>
    <xf numFmtId="176" fontId="2" fillId="0" borderId="36" xfId="0" applyNumberFormat="1" applyFont="1" applyFill="1" applyBorder="1">
      <alignment vertical="center"/>
    </xf>
    <xf numFmtId="177" fontId="2" fillId="0" borderId="65" xfId="0" applyNumberFormat="1" applyFont="1" applyFill="1" applyBorder="1">
      <alignment vertical="center"/>
    </xf>
    <xf numFmtId="177" fontId="2" fillId="0" borderId="65" xfId="0" applyNumberFormat="1" applyFont="1" applyFill="1" applyBorder="1" applyAlignment="1">
      <alignment horizontal="right" vertical="center"/>
    </xf>
    <xf numFmtId="176" fontId="2" fillId="0" borderId="36" xfId="0" applyNumberFormat="1" applyFont="1" applyFill="1" applyBorder="1" applyAlignment="1">
      <alignment horizontal="right" vertical="center"/>
    </xf>
    <xf numFmtId="41" fontId="2" fillId="0" borderId="66" xfId="2" applyFont="1" applyFill="1" applyBorder="1" applyAlignment="1">
      <alignment horizontal="right" vertical="center"/>
    </xf>
    <xf numFmtId="41" fontId="2" fillId="0" borderId="36" xfId="2" applyFont="1" applyFill="1" applyBorder="1" applyAlignment="1">
      <alignment horizontal="right" vertical="center"/>
    </xf>
    <xf numFmtId="177" fontId="2" fillId="0" borderId="65" xfId="0" quotePrefix="1" applyNumberFormat="1" applyFont="1" applyFill="1" applyBorder="1" applyAlignment="1">
      <alignment horizontal="right" vertical="center"/>
    </xf>
    <xf numFmtId="177" fontId="2" fillId="0" borderId="67" xfId="0" applyNumberFormat="1" applyFont="1" applyFill="1" applyBorder="1" applyAlignment="1">
      <alignment horizontal="right" vertical="center"/>
    </xf>
    <xf numFmtId="176" fontId="2" fillId="0" borderId="3" xfId="0" applyNumberFormat="1" applyFont="1" applyFill="1" applyBorder="1" applyAlignment="1">
      <alignment horizontal="right" vertical="center"/>
    </xf>
    <xf numFmtId="177" fontId="2" fillId="0" borderId="4" xfId="0" applyNumberFormat="1" applyFont="1" applyFill="1" applyBorder="1" applyAlignment="1">
      <alignment horizontal="right" vertical="center"/>
    </xf>
    <xf numFmtId="176" fontId="2" fillId="0" borderId="66" xfId="0" applyNumberFormat="1" applyFont="1" applyFill="1" applyBorder="1" applyAlignment="1">
      <alignment horizontal="right" vertical="center"/>
    </xf>
    <xf numFmtId="0" fontId="0" fillId="2" borderId="0" xfId="0" applyFont="1" applyFill="1">
      <alignment vertical="center"/>
    </xf>
    <xf numFmtId="0" fontId="2" fillId="0" borderId="37" xfId="0" applyFont="1" applyBorder="1" applyAlignment="1">
      <alignment horizontal="center" vertical="center"/>
    </xf>
    <xf numFmtId="41" fontId="2" fillId="0" borderId="51" xfId="2" applyFont="1" applyFill="1" applyBorder="1" applyAlignment="1">
      <alignment horizontal="right" vertical="center"/>
    </xf>
    <xf numFmtId="41" fontId="2" fillId="0" borderId="32" xfId="2" applyFont="1" applyFill="1" applyBorder="1" applyAlignment="1">
      <alignment horizontal="right" vertical="center"/>
    </xf>
    <xf numFmtId="177" fontId="2" fillId="0" borderId="33" xfId="0" applyNumberFormat="1" applyFont="1" applyFill="1" applyBorder="1" applyAlignment="1">
      <alignment horizontal="right" vertical="center"/>
    </xf>
    <xf numFmtId="176" fontId="2" fillId="0" borderId="9" xfId="0" applyNumberFormat="1" applyFont="1" applyFill="1" applyBorder="1" applyAlignment="1">
      <alignment horizontal="right" vertical="center"/>
    </xf>
    <xf numFmtId="177" fontId="2" fillId="0" borderId="10" xfId="0" applyNumberFormat="1" applyFont="1" applyFill="1" applyBorder="1">
      <alignment vertical="center"/>
    </xf>
    <xf numFmtId="176" fontId="2" fillId="0" borderId="51" xfId="0" applyNumberFormat="1" applyFont="1" applyFill="1" applyBorder="1" applyAlignment="1">
      <alignment horizontal="right" vertical="center"/>
    </xf>
    <xf numFmtId="10" fontId="2" fillId="0" borderId="31" xfId="0" applyNumberFormat="1" applyFont="1" applyFill="1" applyBorder="1">
      <alignment vertical="center"/>
    </xf>
    <xf numFmtId="41" fontId="2" fillId="0" borderId="32" xfId="2" applyFont="1" applyFill="1" applyBorder="1">
      <alignment vertical="center"/>
    </xf>
    <xf numFmtId="41" fontId="2" fillId="0" borderId="9" xfId="2" applyFont="1" applyFill="1" applyBorder="1">
      <alignment vertical="center"/>
    </xf>
    <xf numFmtId="0" fontId="2" fillId="0" borderId="37" xfId="0" applyFont="1" applyFill="1" applyBorder="1" applyAlignment="1">
      <alignment horizontal="center" vertical="center"/>
    </xf>
    <xf numFmtId="177" fontId="2" fillId="0" borderId="31" xfId="3" applyNumberFormat="1" applyFont="1" applyFill="1" applyBorder="1">
      <alignment vertical="center"/>
    </xf>
    <xf numFmtId="0" fontId="2" fillId="0" borderId="68" xfId="0" applyFont="1" applyFill="1" applyBorder="1" applyAlignment="1">
      <alignment horizontal="center" vertical="center"/>
    </xf>
    <xf numFmtId="0" fontId="2" fillId="0" borderId="69" xfId="0" applyFont="1" applyFill="1" applyBorder="1" applyAlignment="1">
      <alignment horizontal="center" vertical="center"/>
    </xf>
    <xf numFmtId="177" fontId="2" fillId="0" borderId="70" xfId="3" applyNumberFormat="1" applyFont="1" applyFill="1" applyBorder="1">
      <alignment vertical="center"/>
    </xf>
    <xf numFmtId="176" fontId="2" fillId="0" borderId="71" xfId="0" applyNumberFormat="1" applyFont="1" applyFill="1" applyBorder="1">
      <alignment vertical="center"/>
    </xf>
    <xf numFmtId="177" fontId="2" fillId="0" borderId="72" xfId="3" applyNumberFormat="1" applyFont="1" applyFill="1" applyBorder="1">
      <alignment vertical="center"/>
    </xf>
    <xf numFmtId="176" fontId="2" fillId="0" borderId="5" xfId="0" applyNumberFormat="1" applyFont="1" applyFill="1" applyBorder="1">
      <alignment vertical="center"/>
    </xf>
    <xf numFmtId="177" fontId="2" fillId="0" borderId="6" xfId="3" applyNumberFormat="1" applyFont="1" applyFill="1" applyBorder="1">
      <alignment vertical="center"/>
    </xf>
    <xf numFmtId="177" fontId="2" fillId="0" borderId="70" xfId="3" applyNumberFormat="1" applyFont="1" applyFill="1" applyBorder="1" applyAlignment="1">
      <alignment horizontal="right" vertical="center"/>
    </xf>
    <xf numFmtId="0" fontId="0" fillId="0" borderId="0" xfId="0" applyFont="1" applyFill="1">
      <alignment vertical="center"/>
    </xf>
    <xf numFmtId="176" fontId="0" fillId="2" borderId="0" xfId="0" applyNumberFormat="1" applyFont="1" applyFill="1">
      <alignment vertical="center"/>
    </xf>
    <xf numFmtId="3" fontId="0" fillId="2" borderId="0" xfId="0" applyNumberFormat="1" applyFont="1" applyFill="1">
      <alignment vertical="center"/>
    </xf>
    <xf numFmtId="41" fontId="0" fillId="2" borderId="0" xfId="2" applyFont="1" applyFill="1">
      <alignment vertical="center"/>
    </xf>
    <xf numFmtId="0" fontId="13" fillId="2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3" fontId="0" fillId="0" borderId="0" xfId="0" applyNumberFormat="1" applyFont="1" applyFill="1">
      <alignment vertical="center"/>
    </xf>
    <xf numFmtId="176" fontId="14" fillId="0" borderId="0" xfId="0" applyNumberFormat="1" applyFont="1" applyFill="1">
      <alignment vertical="center"/>
    </xf>
    <xf numFmtId="41" fontId="0" fillId="0" borderId="0" xfId="2" applyFont="1" applyFill="1">
      <alignment vertical="center"/>
    </xf>
    <xf numFmtId="41" fontId="0" fillId="0" borderId="0" xfId="0" applyNumberFormat="1" applyFont="1" applyFill="1">
      <alignment vertical="center"/>
    </xf>
    <xf numFmtId="177" fontId="0" fillId="0" borderId="0" xfId="3" applyNumberFormat="1" applyFont="1" applyFill="1">
      <alignment vertical="center"/>
    </xf>
    <xf numFmtId="179" fontId="2" fillId="0" borderId="0" xfId="1" applyNumberFormat="1" applyFont="1" applyFill="1" applyAlignment="1"/>
    <xf numFmtId="0" fontId="15" fillId="0" borderId="0" xfId="0" applyFont="1" applyFill="1">
      <alignment vertical="center"/>
    </xf>
  </cellXfs>
  <cellStyles count="4">
    <cellStyle name="백분율" xfId="3" builtinId="5"/>
    <cellStyle name="쉼표" xfId="1" builtinId="3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3</xdr:col>
      <xdr:colOff>9525</xdr:colOff>
      <xdr:row>41</xdr:row>
      <xdr:rowOff>165735</xdr:rowOff>
    </xdr:to>
    <xdr:pic>
      <xdr:nvPicPr>
        <xdr:cNvPr id="2" name="Picture 1" descr="line_v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0680" y="7353300"/>
          <a:ext cx="9525" cy="1962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256"/>
  <sheetViews>
    <sheetView tabSelected="1" workbookViewId="0">
      <selection sqref="A1:XFD1048576"/>
    </sheetView>
  </sheetViews>
  <sheetFormatPr defaultColWidth="8.8984375" defaultRowHeight="17.399999999999999"/>
  <cols>
    <col min="1" max="1" width="6.09765625" style="287" customWidth="1"/>
    <col min="2" max="2" width="4.59765625" style="287" bestFit="1" customWidth="1"/>
    <col min="3" max="3" width="10.69921875" style="287" bestFit="1" customWidth="1"/>
    <col min="4" max="4" width="7.69921875" style="287" bestFit="1" customWidth="1"/>
    <col min="5" max="5" width="2.59765625" style="287" customWidth="1"/>
    <col min="6" max="17" width="8.8984375" style="287" customWidth="1"/>
    <col min="18" max="18" width="8.69921875" style="287" bestFit="1" customWidth="1"/>
    <col min="19" max="19" width="8.09765625" style="287" bestFit="1" customWidth="1"/>
    <col min="20" max="20" width="8" style="287" bestFit="1" customWidth="1"/>
    <col min="21" max="21" width="9.69921875" style="287" bestFit="1" customWidth="1"/>
    <col min="22" max="22" width="8.09765625" style="311" bestFit="1" customWidth="1"/>
    <col min="23" max="23" width="9.19921875" style="287" bestFit="1" customWidth="1"/>
    <col min="24" max="24" width="8.3984375" style="287" bestFit="1" customWidth="1"/>
    <col min="25" max="25" width="9.69921875" style="287" bestFit="1" customWidth="1"/>
    <col min="26" max="26" width="8.3984375" style="287" bestFit="1" customWidth="1"/>
    <col min="27" max="27" width="9.8984375" style="287" bestFit="1" customWidth="1"/>
    <col min="28" max="28" width="7.8984375" style="287" bestFit="1" customWidth="1"/>
    <col min="29" max="29" width="9" style="287" bestFit="1" customWidth="1"/>
    <col min="30" max="30" width="8.59765625" style="287" bestFit="1" customWidth="1"/>
    <col min="31" max="31" width="9.3984375" style="287" bestFit="1" customWidth="1"/>
    <col min="32" max="32" width="7.8984375" style="287" bestFit="1" customWidth="1"/>
    <col min="33" max="33" width="9" style="287" bestFit="1" customWidth="1"/>
    <col min="34" max="34" width="8.3984375" style="287" bestFit="1" customWidth="1"/>
    <col min="35" max="35" width="7.8984375" style="287" bestFit="1" customWidth="1"/>
    <col min="36" max="36" width="7.796875" style="287" bestFit="1" customWidth="1"/>
    <col min="37" max="37" width="8.8984375" style="287" bestFit="1" customWidth="1"/>
    <col min="38" max="38" width="7.796875" style="287" bestFit="1" customWidth="1"/>
    <col min="39" max="39" width="8.8984375" style="287" bestFit="1" customWidth="1"/>
    <col min="40" max="40" width="7.796875" style="287" bestFit="1" customWidth="1"/>
    <col min="41" max="41" width="8.8984375" style="287" bestFit="1" customWidth="1"/>
    <col min="42" max="42" width="7.796875" style="287" bestFit="1" customWidth="1"/>
    <col min="43" max="43" width="8.8984375" style="287" bestFit="1" customWidth="1"/>
    <col min="44" max="44" width="7.796875" style="287" bestFit="1" customWidth="1"/>
    <col min="45" max="45" width="8.8984375" style="287" bestFit="1" customWidth="1"/>
    <col min="46" max="46" width="7.796875" style="287" bestFit="1" customWidth="1"/>
    <col min="47" max="47" width="8.8984375" style="287" bestFit="1" customWidth="1"/>
    <col min="48" max="48" width="7.796875" style="287" bestFit="1" customWidth="1"/>
    <col min="49" max="49" width="8.8984375" style="287" bestFit="1" customWidth="1"/>
    <col min="50" max="50" width="7.796875" style="287" bestFit="1" customWidth="1"/>
    <col min="51" max="51" width="8.8984375" style="287" bestFit="1" customWidth="1"/>
    <col min="52" max="52" width="7.796875" style="311" customWidth="1"/>
    <col min="53" max="53" width="8.8984375" style="287" bestFit="1" customWidth="1"/>
    <col min="54" max="54" width="7.796875" style="287" bestFit="1" customWidth="1"/>
    <col min="55" max="55" width="8.8984375" style="287" bestFit="1" customWidth="1"/>
    <col min="56" max="16384" width="8.8984375" style="287"/>
  </cols>
  <sheetData>
    <row r="1" spans="1:55" s="9" customFormat="1" ht="30.6" thickBot="1">
      <c r="A1" s="2"/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6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7"/>
      <c r="AQ1" s="6"/>
      <c r="AR1" s="4"/>
      <c r="AS1" s="4"/>
      <c r="AT1" s="4"/>
      <c r="AU1" s="4"/>
      <c r="AV1" s="4"/>
      <c r="AW1" s="4"/>
      <c r="AX1" s="4"/>
      <c r="AY1" s="4"/>
      <c r="AZ1" s="8"/>
      <c r="BA1" s="4"/>
      <c r="BB1" s="4"/>
      <c r="BC1" s="4"/>
    </row>
    <row r="2" spans="1:55" s="9" customFormat="1" ht="24.6" thickBot="1">
      <c r="A2" s="10"/>
      <c r="B2" s="11"/>
      <c r="C2" s="12" t="s">
        <v>1</v>
      </c>
      <c r="D2" s="13"/>
      <c r="E2" s="14"/>
      <c r="F2" s="15" t="s">
        <v>2</v>
      </c>
      <c r="G2" s="16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8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8"/>
    </row>
    <row r="3" spans="1:55" s="9" customFormat="1" ht="17.25" customHeight="1">
      <c r="A3" s="19"/>
      <c r="B3" s="20"/>
      <c r="C3" s="21" t="s">
        <v>3</v>
      </c>
      <c r="D3" s="22"/>
      <c r="E3" s="14"/>
      <c r="F3" s="23" t="s">
        <v>4</v>
      </c>
      <c r="G3" s="24"/>
      <c r="H3" s="23" t="s">
        <v>5</v>
      </c>
      <c r="I3" s="24"/>
      <c r="J3" s="23" t="s">
        <v>6</v>
      </c>
      <c r="K3" s="24"/>
      <c r="L3" s="23" t="s">
        <v>7</v>
      </c>
      <c r="M3" s="24"/>
      <c r="N3" s="23" t="s">
        <v>8</v>
      </c>
      <c r="O3" s="24"/>
      <c r="P3" s="21" t="s">
        <v>9</v>
      </c>
      <c r="Q3" s="22"/>
      <c r="R3" s="21" t="s">
        <v>10</v>
      </c>
      <c r="S3" s="22"/>
      <c r="T3" s="21" t="s">
        <v>11</v>
      </c>
      <c r="U3" s="22"/>
      <c r="V3" s="21" t="s">
        <v>12</v>
      </c>
      <c r="W3" s="22"/>
      <c r="X3" s="25" t="s">
        <v>13</v>
      </c>
      <c r="Y3" s="22"/>
      <c r="Z3" s="21" t="s">
        <v>14</v>
      </c>
      <c r="AA3" s="22"/>
      <c r="AB3" s="21" t="s">
        <v>15</v>
      </c>
      <c r="AC3" s="22"/>
      <c r="AD3" s="21" t="s">
        <v>16</v>
      </c>
      <c r="AE3" s="22"/>
      <c r="AF3" s="21" t="s">
        <v>17</v>
      </c>
      <c r="AG3" s="22"/>
      <c r="AH3" s="21" t="s">
        <v>18</v>
      </c>
      <c r="AI3" s="22"/>
      <c r="AJ3" s="21" t="s">
        <v>19</v>
      </c>
      <c r="AK3" s="22"/>
      <c r="AL3" s="21" t="s">
        <v>20</v>
      </c>
      <c r="AM3" s="22"/>
      <c r="AN3" s="21" t="s">
        <v>21</v>
      </c>
      <c r="AO3" s="22"/>
      <c r="AP3" s="21" t="s">
        <v>22</v>
      </c>
      <c r="AQ3" s="22"/>
      <c r="AR3" s="25" t="s">
        <v>23</v>
      </c>
      <c r="AS3" s="22"/>
      <c r="AT3" s="23" t="s">
        <v>24</v>
      </c>
      <c r="AU3" s="24"/>
      <c r="AV3" s="23" t="s">
        <v>25</v>
      </c>
      <c r="AW3" s="24"/>
      <c r="AX3" s="21" t="s">
        <v>26</v>
      </c>
      <c r="AY3" s="22"/>
      <c r="AZ3" s="21" t="s">
        <v>27</v>
      </c>
      <c r="BA3" s="22"/>
      <c r="BB3" s="21" t="s">
        <v>28</v>
      </c>
      <c r="BC3" s="22"/>
    </row>
    <row r="4" spans="1:55" s="9" customFormat="1" ht="15.6">
      <c r="A4" s="19"/>
      <c r="B4" s="20"/>
      <c r="C4" s="26" t="s">
        <v>29</v>
      </c>
      <c r="D4" s="27" t="s">
        <v>30</v>
      </c>
      <c r="E4" s="14"/>
      <c r="F4" s="26" t="s">
        <v>31</v>
      </c>
      <c r="G4" s="27" t="s">
        <v>30</v>
      </c>
      <c r="H4" s="26" t="s">
        <v>31</v>
      </c>
      <c r="I4" s="27" t="s">
        <v>30</v>
      </c>
      <c r="J4" s="26" t="s">
        <v>32</v>
      </c>
      <c r="K4" s="27" t="s">
        <v>33</v>
      </c>
      <c r="L4" s="26" t="s">
        <v>31</v>
      </c>
      <c r="M4" s="28" t="s">
        <v>33</v>
      </c>
      <c r="N4" s="26" t="s">
        <v>31</v>
      </c>
      <c r="O4" s="27" t="s">
        <v>34</v>
      </c>
      <c r="P4" s="26" t="s">
        <v>31</v>
      </c>
      <c r="Q4" s="27" t="s">
        <v>35</v>
      </c>
      <c r="R4" s="28" t="s">
        <v>31</v>
      </c>
      <c r="S4" s="28" t="s">
        <v>35</v>
      </c>
      <c r="T4" s="26" t="s">
        <v>31</v>
      </c>
      <c r="U4" s="27" t="s">
        <v>33</v>
      </c>
      <c r="V4" s="26" t="s">
        <v>31</v>
      </c>
      <c r="W4" s="27" t="s">
        <v>36</v>
      </c>
      <c r="X4" s="28" t="s">
        <v>32</v>
      </c>
      <c r="Y4" s="27" t="s">
        <v>37</v>
      </c>
      <c r="Z4" s="28" t="s">
        <v>32</v>
      </c>
      <c r="AA4" s="28" t="s">
        <v>37</v>
      </c>
      <c r="AB4" s="26" t="s">
        <v>31</v>
      </c>
      <c r="AC4" s="27" t="s">
        <v>36</v>
      </c>
      <c r="AD4" s="26" t="s">
        <v>31</v>
      </c>
      <c r="AE4" s="27" t="s">
        <v>33</v>
      </c>
      <c r="AF4" s="26" t="s">
        <v>31</v>
      </c>
      <c r="AG4" s="27" t="s">
        <v>36</v>
      </c>
      <c r="AH4" s="29" t="s">
        <v>32</v>
      </c>
      <c r="AI4" s="30" t="s">
        <v>35</v>
      </c>
      <c r="AJ4" s="26" t="s">
        <v>31</v>
      </c>
      <c r="AK4" s="27" t="s">
        <v>36</v>
      </c>
      <c r="AL4" s="26" t="s">
        <v>31</v>
      </c>
      <c r="AM4" s="28" t="s">
        <v>36</v>
      </c>
      <c r="AN4" s="26" t="s">
        <v>31</v>
      </c>
      <c r="AO4" s="27" t="s">
        <v>36</v>
      </c>
      <c r="AP4" s="26" t="s">
        <v>31</v>
      </c>
      <c r="AQ4" s="27" t="s">
        <v>36</v>
      </c>
      <c r="AR4" s="26" t="s">
        <v>31</v>
      </c>
      <c r="AS4" s="27" t="s">
        <v>36</v>
      </c>
      <c r="AT4" s="26" t="s">
        <v>31</v>
      </c>
      <c r="AU4" s="27" t="s">
        <v>36</v>
      </c>
      <c r="AV4" s="26" t="s">
        <v>31</v>
      </c>
      <c r="AW4" s="27" t="s">
        <v>36</v>
      </c>
      <c r="AX4" s="26" t="s">
        <v>31</v>
      </c>
      <c r="AY4" s="27" t="s">
        <v>36</v>
      </c>
      <c r="AZ4" s="26" t="s">
        <v>31</v>
      </c>
      <c r="BA4" s="27" t="s">
        <v>36</v>
      </c>
      <c r="BB4" s="26" t="s">
        <v>31</v>
      </c>
      <c r="BC4" s="27" t="s">
        <v>36</v>
      </c>
    </row>
    <row r="5" spans="1:55" s="9" customFormat="1" ht="16.2" thickBot="1">
      <c r="A5" s="31"/>
      <c r="B5" s="32"/>
      <c r="C5" s="33" t="s">
        <v>38</v>
      </c>
      <c r="D5" s="34" t="s">
        <v>39</v>
      </c>
      <c r="E5" s="14"/>
      <c r="F5" s="35" t="s">
        <v>38</v>
      </c>
      <c r="G5" s="36" t="s">
        <v>39</v>
      </c>
      <c r="H5" s="37" t="s">
        <v>38</v>
      </c>
      <c r="I5" s="38" t="s">
        <v>39</v>
      </c>
      <c r="J5" s="39" t="s">
        <v>38</v>
      </c>
      <c r="K5" s="36" t="s">
        <v>39</v>
      </c>
      <c r="L5" s="37" t="s">
        <v>38</v>
      </c>
      <c r="M5" s="40" t="s">
        <v>39</v>
      </c>
      <c r="N5" s="35" t="s">
        <v>38</v>
      </c>
      <c r="O5" s="36" t="s">
        <v>39</v>
      </c>
      <c r="P5" s="37" t="s">
        <v>38</v>
      </c>
      <c r="Q5" s="38" t="s">
        <v>39</v>
      </c>
      <c r="R5" s="41" t="s">
        <v>38</v>
      </c>
      <c r="S5" s="40" t="s">
        <v>39</v>
      </c>
      <c r="T5" s="35" t="s">
        <v>38</v>
      </c>
      <c r="U5" s="36" t="s">
        <v>39</v>
      </c>
      <c r="V5" s="35" t="s">
        <v>38</v>
      </c>
      <c r="W5" s="36" t="s">
        <v>40</v>
      </c>
      <c r="X5" s="42" t="s">
        <v>41</v>
      </c>
      <c r="Y5" s="38" t="s">
        <v>40</v>
      </c>
      <c r="Z5" s="42" t="s">
        <v>41</v>
      </c>
      <c r="AA5" s="40" t="s">
        <v>40</v>
      </c>
      <c r="AB5" s="35" t="s">
        <v>38</v>
      </c>
      <c r="AC5" s="36" t="s">
        <v>39</v>
      </c>
      <c r="AD5" s="37" t="s">
        <v>38</v>
      </c>
      <c r="AE5" s="38" t="s">
        <v>39</v>
      </c>
      <c r="AF5" s="35" t="s">
        <v>38</v>
      </c>
      <c r="AG5" s="36" t="s">
        <v>40</v>
      </c>
      <c r="AH5" s="37" t="s">
        <v>41</v>
      </c>
      <c r="AI5" s="36" t="s">
        <v>40</v>
      </c>
      <c r="AJ5" s="35" t="s">
        <v>38</v>
      </c>
      <c r="AK5" s="36" t="s">
        <v>40</v>
      </c>
      <c r="AL5" s="35" t="s">
        <v>38</v>
      </c>
      <c r="AM5" s="41" t="s">
        <v>40</v>
      </c>
      <c r="AN5" s="35" t="s">
        <v>38</v>
      </c>
      <c r="AO5" s="36" t="s">
        <v>40</v>
      </c>
      <c r="AP5" s="37" t="s">
        <v>38</v>
      </c>
      <c r="AQ5" s="36" t="s">
        <v>40</v>
      </c>
      <c r="AR5" s="43" t="s">
        <v>38</v>
      </c>
      <c r="AS5" s="36" t="s">
        <v>40</v>
      </c>
      <c r="AT5" s="35" t="s">
        <v>38</v>
      </c>
      <c r="AU5" s="36" t="s">
        <v>40</v>
      </c>
      <c r="AV5" s="35" t="s">
        <v>38</v>
      </c>
      <c r="AW5" s="36" t="s">
        <v>40</v>
      </c>
      <c r="AX5" s="35" t="s">
        <v>38</v>
      </c>
      <c r="AY5" s="36" t="s">
        <v>40</v>
      </c>
      <c r="AZ5" s="35" t="s">
        <v>38</v>
      </c>
      <c r="BA5" s="36" t="s">
        <v>40</v>
      </c>
      <c r="BB5" s="35" t="s">
        <v>38</v>
      </c>
      <c r="BC5" s="36" t="s">
        <v>40</v>
      </c>
    </row>
    <row r="6" spans="1:55" s="9" customFormat="1" ht="13.5" customHeight="1">
      <c r="A6" s="44" t="s">
        <v>42</v>
      </c>
      <c r="B6" s="45" t="s">
        <v>43</v>
      </c>
      <c r="C6" s="46">
        <v>793478</v>
      </c>
      <c r="D6" s="47"/>
      <c r="E6" s="14"/>
      <c r="F6" s="48">
        <v>164785</v>
      </c>
      <c r="G6" s="49"/>
      <c r="H6" s="46">
        <v>186246</v>
      </c>
      <c r="I6" s="47"/>
      <c r="J6" s="48">
        <v>12193</v>
      </c>
      <c r="K6" s="49"/>
      <c r="L6" s="50">
        <v>37006</v>
      </c>
      <c r="M6" s="51"/>
      <c r="N6" s="48">
        <v>102299</v>
      </c>
      <c r="O6" s="49"/>
      <c r="P6" s="46"/>
      <c r="Q6" s="47"/>
      <c r="R6" s="50">
        <v>5677</v>
      </c>
      <c r="S6" s="51"/>
      <c r="T6" s="48">
        <v>30255</v>
      </c>
      <c r="U6" s="49"/>
      <c r="V6" s="52"/>
      <c r="W6" s="49"/>
      <c r="X6" s="53">
        <v>37526</v>
      </c>
      <c r="Y6" s="47"/>
      <c r="Z6" s="53"/>
      <c r="AA6" s="51"/>
      <c r="AB6" s="52"/>
      <c r="AC6" s="49"/>
      <c r="AD6" s="46">
        <v>5892</v>
      </c>
      <c r="AE6" s="47"/>
      <c r="AF6" s="54">
        <v>2562</v>
      </c>
      <c r="AG6" s="49"/>
      <c r="AH6" s="46"/>
      <c r="AI6" s="55"/>
      <c r="AJ6" s="52"/>
      <c r="AK6" s="49"/>
      <c r="AL6" s="53"/>
      <c r="AM6" s="51"/>
      <c r="AN6" s="52"/>
      <c r="AO6" s="51"/>
      <c r="AP6" s="56">
        <f>AP202*0.353</f>
        <v>16885.754999999997</v>
      </c>
      <c r="AQ6" s="57"/>
      <c r="AR6" s="50"/>
      <c r="AS6" s="51"/>
      <c r="AT6" s="52"/>
      <c r="AU6" s="49"/>
      <c r="AV6" s="52"/>
      <c r="AW6" s="49"/>
      <c r="AX6" s="50"/>
      <c r="AY6" s="51"/>
      <c r="AZ6" s="52"/>
      <c r="BA6" s="49"/>
      <c r="BB6" s="58"/>
      <c r="BC6" s="59"/>
    </row>
    <row r="7" spans="1:55" s="9" customFormat="1" ht="13.5" customHeight="1">
      <c r="A7" s="60"/>
      <c r="B7" s="45" t="s">
        <v>44</v>
      </c>
      <c r="C7" s="46">
        <v>670447</v>
      </c>
      <c r="D7" s="47"/>
      <c r="E7" s="14"/>
      <c r="F7" s="48">
        <v>142718</v>
      </c>
      <c r="G7" s="49"/>
      <c r="H7" s="46">
        <v>215373</v>
      </c>
      <c r="I7" s="47"/>
      <c r="J7" s="48">
        <v>13916</v>
      </c>
      <c r="K7" s="49"/>
      <c r="L7" s="50">
        <v>37513</v>
      </c>
      <c r="M7" s="51"/>
      <c r="N7" s="48">
        <v>59455</v>
      </c>
      <c r="O7" s="49"/>
      <c r="P7" s="46"/>
      <c r="Q7" s="47"/>
      <c r="R7" s="50">
        <v>3770</v>
      </c>
      <c r="S7" s="51"/>
      <c r="T7" s="48">
        <v>29835</v>
      </c>
      <c r="U7" s="49"/>
      <c r="V7" s="52"/>
      <c r="W7" s="49"/>
      <c r="X7" s="53">
        <v>32196</v>
      </c>
      <c r="Y7" s="47"/>
      <c r="Z7" s="53"/>
      <c r="AA7" s="51"/>
      <c r="AB7" s="52"/>
      <c r="AC7" s="49"/>
      <c r="AD7" s="46">
        <v>6901</v>
      </c>
      <c r="AE7" s="47"/>
      <c r="AF7" s="54">
        <v>2234</v>
      </c>
      <c r="AG7" s="49"/>
      <c r="AH7" s="46"/>
      <c r="AI7" s="55"/>
      <c r="AJ7" s="61"/>
      <c r="AK7" s="62"/>
      <c r="AL7" s="53"/>
      <c r="AM7" s="51"/>
      <c r="AN7" s="52"/>
      <c r="AO7" s="51"/>
      <c r="AP7" s="63"/>
      <c r="AQ7" s="64"/>
      <c r="AR7" s="50"/>
      <c r="AS7" s="51"/>
      <c r="AT7" s="52"/>
      <c r="AU7" s="49"/>
      <c r="AV7" s="52"/>
      <c r="AW7" s="49"/>
      <c r="AX7" s="50"/>
      <c r="AY7" s="51"/>
      <c r="AZ7" s="61"/>
      <c r="BA7" s="62"/>
      <c r="BB7" s="52"/>
      <c r="BC7" s="49"/>
    </row>
    <row r="8" spans="1:55" s="9" customFormat="1" ht="13.5" customHeight="1">
      <c r="A8" s="60"/>
      <c r="B8" s="45" t="s">
        <v>45</v>
      </c>
      <c r="C8" s="46">
        <v>587629</v>
      </c>
      <c r="D8" s="47"/>
      <c r="E8" s="14"/>
      <c r="F8" s="48">
        <v>112516</v>
      </c>
      <c r="G8" s="49"/>
      <c r="H8" s="46">
        <v>190382</v>
      </c>
      <c r="I8" s="47"/>
      <c r="J8" s="48">
        <v>12077</v>
      </c>
      <c r="K8" s="49"/>
      <c r="L8" s="50">
        <v>37622</v>
      </c>
      <c r="M8" s="51"/>
      <c r="N8" s="48">
        <v>47499</v>
      </c>
      <c r="O8" s="49"/>
      <c r="P8" s="46"/>
      <c r="Q8" s="47"/>
      <c r="R8" s="50">
        <v>3098</v>
      </c>
      <c r="S8" s="51"/>
      <c r="T8" s="48">
        <v>25853</v>
      </c>
      <c r="U8" s="49"/>
      <c r="V8" s="52"/>
      <c r="W8" s="49"/>
      <c r="X8" s="53">
        <v>25858</v>
      </c>
      <c r="Y8" s="47"/>
      <c r="Z8" s="53"/>
      <c r="AA8" s="51"/>
      <c r="AB8" s="52"/>
      <c r="AC8" s="49"/>
      <c r="AD8" s="46">
        <v>3394</v>
      </c>
      <c r="AE8" s="47"/>
      <c r="AF8" s="54">
        <v>1710</v>
      </c>
      <c r="AG8" s="49"/>
      <c r="AH8" s="46"/>
      <c r="AI8" s="55"/>
      <c r="AJ8" s="61"/>
      <c r="AK8" s="62"/>
      <c r="AL8" s="53"/>
      <c r="AM8" s="51"/>
      <c r="AN8" s="52"/>
      <c r="AO8" s="51"/>
      <c r="AP8" s="63"/>
      <c r="AQ8" s="64"/>
      <c r="AR8" s="50"/>
      <c r="AS8" s="51"/>
      <c r="AT8" s="52"/>
      <c r="AU8" s="49"/>
      <c r="AV8" s="52"/>
      <c r="AW8" s="49"/>
      <c r="AX8" s="50"/>
      <c r="AY8" s="51"/>
      <c r="AZ8" s="61"/>
      <c r="BA8" s="62"/>
      <c r="BB8" s="52"/>
      <c r="BC8" s="49"/>
    </row>
    <row r="9" spans="1:55" s="9" customFormat="1" ht="13.5" customHeight="1">
      <c r="A9" s="60"/>
      <c r="B9" s="45" t="s">
        <v>46</v>
      </c>
      <c r="C9" s="46">
        <v>642413</v>
      </c>
      <c r="D9" s="47"/>
      <c r="E9" s="14"/>
      <c r="F9" s="48">
        <v>120427</v>
      </c>
      <c r="G9" s="49"/>
      <c r="H9" s="46">
        <v>223062</v>
      </c>
      <c r="I9" s="47"/>
      <c r="J9" s="48">
        <v>12802</v>
      </c>
      <c r="K9" s="49"/>
      <c r="L9" s="50">
        <v>44722</v>
      </c>
      <c r="M9" s="51"/>
      <c r="N9" s="48">
        <v>58876</v>
      </c>
      <c r="O9" s="49"/>
      <c r="P9" s="46"/>
      <c r="Q9" s="47"/>
      <c r="R9" s="50">
        <v>4163</v>
      </c>
      <c r="S9" s="51"/>
      <c r="T9" s="48">
        <v>26705</v>
      </c>
      <c r="U9" s="49"/>
      <c r="V9" s="52"/>
      <c r="W9" s="49"/>
      <c r="X9" s="53">
        <v>26749</v>
      </c>
      <c r="Y9" s="47"/>
      <c r="Z9" s="53"/>
      <c r="AA9" s="51"/>
      <c r="AB9" s="52"/>
      <c r="AC9" s="49"/>
      <c r="AD9" s="46">
        <v>3278</v>
      </c>
      <c r="AE9" s="47"/>
      <c r="AF9" s="54">
        <v>1464</v>
      </c>
      <c r="AG9" s="49"/>
      <c r="AH9" s="46"/>
      <c r="AI9" s="55"/>
      <c r="AJ9" s="61"/>
      <c r="AK9" s="62"/>
      <c r="AL9" s="53"/>
      <c r="AM9" s="51"/>
      <c r="AN9" s="52"/>
      <c r="AO9" s="51"/>
      <c r="AP9" s="63"/>
      <c r="AQ9" s="64"/>
      <c r="AR9" s="50"/>
      <c r="AS9" s="51"/>
      <c r="AT9" s="52"/>
      <c r="AU9" s="49"/>
      <c r="AV9" s="52"/>
      <c r="AW9" s="49"/>
      <c r="AX9" s="50"/>
      <c r="AY9" s="51"/>
      <c r="AZ9" s="61"/>
      <c r="BA9" s="62"/>
      <c r="BB9" s="52"/>
      <c r="BC9" s="49"/>
    </row>
    <row r="10" spans="1:55" s="9" customFormat="1" ht="13.5" customHeight="1">
      <c r="A10" s="60"/>
      <c r="B10" s="45" t="s">
        <v>47</v>
      </c>
      <c r="C10" s="46">
        <v>680185</v>
      </c>
      <c r="D10" s="47"/>
      <c r="E10" s="14"/>
      <c r="F10" s="48">
        <v>115659</v>
      </c>
      <c r="G10" s="49"/>
      <c r="H10" s="46">
        <v>202592</v>
      </c>
      <c r="I10" s="47"/>
      <c r="J10" s="48">
        <v>11188</v>
      </c>
      <c r="K10" s="49"/>
      <c r="L10" s="50">
        <v>38076</v>
      </c>
      <c r="M10" s="51" t="s">
        <v>48</v>
      </c>
      <c r="N10" s="48">
        <v>71516</v>
      </c>
      <c r="O10" s="49"/>
      <c r="P10" s="46"/>
      <c r="Q10" s="47"/>
      <c r="R10" s="50">
        <v>3729</v>
      </c>
      <c r="S10" s="51"/>
      <c r="T10" s="48">
        <v>31469</v>
      </c>
      <c r="U10" s="49"/>
      <c r="V10" s="52"/>
      <c r="W10" s="49"/>
      <c r="X10" s="53">
        <v>29353</v>
      </c>
      <c r="Y10" s="47"/>
      <c r="Z10" s="53"/>
      <c r="AA10" s="51"/>
      <c r="AB10" s="52"/>
      <c r="AC10" s="49"/>
      <c r="AD10" s="46">
        <v>6121</v>
      </c>
      <c r="AE10" s="47"/>
      <c r="AF10" s="54">
        <v>1175</v>
      </c>
      <c r="AG10" s="49"/>
      <c r="AH10" s="46"/>
      <c r="AI10" s="55"/>
      <c r="AJ10" s="61"/>
      <c r="AK10" s="62"/>
      <c r="AL10" s="53"/>
      <c r="AM10" s="51"/>
      <c r="AN10" s="52"/>
      <c r="AO10" s="51"/>
      <c r="AP10" s="63"/>
      <c r="AQ10" s="64"/>
      <c r="AR10" s="50"/>
      <c r="AS10" s="51"/>
      <c r="AT10" s="52"/>
      <c r="AU10" s="49"/>
      <c r="AV10" s="52"/>
      <c r="AW10" s="49"/>
      <c r="AX10" s="50"/>
      <c r="AY10" s="51"/>
      <c r="AZ10" s="61"/>
      <c r="BA10" s="62"/>
      <c r="BB10" s="52"/>
      <c r="BC10" s="49"/>
    </row>
    <row r="11" spans="1:55" s="9" customFormat="1" ht="13.5" customHeight="1">
      <c r="A11" s="60"/>
      <c r="B11" s="45" t="s">
        <v>49</v>
      </c>
      <c r="C11" s="46">
        <v>712260</v>
      </c>
      <c r="D11" s="47"/>
      <c r="E11" s="14"/>
      <c r="F11" s="48">
        <v>116269</v>
      </c>
      <c r="G11" s="49"/>
      <c r="H11" s="46">
        <v>227553</v>
      </c>
      <c r="I11" s="47"/>
      <c r="J11" s="48">
        <v>12724</v>
      </c>
      <c r="K11" s="49"/>
      <c r="L11" s="50">
        <v>41469</v>
      </c>
      <c r="M11" s="51"/>
      <c r="N11" s="48">
        <v>70418</v>
      </c>
      <c r="O11" s="49"/>
      <c r="P11" s="46"/>
      <c r="Q11" s="47"/>
      <c r="R11" s="50">
        <v>4082</v>
      </c>
      <c r="S11" s="51"/>
      <c r="T11" s="48">
        <v>29905</v>
      </c>
      <c r="U11" s="49"/>
      <c r="V11" s="52"/>
      <c r="W11" s="49"/>
      <c r="X11" s="53">
        <v>27389</v>
      </c>
      <c r="Y11" s="47"/>
      <c r="Z11" s="53"/>
      <c r="AA11" s="51"/>
      <c r="AB11" s="52"/>
      <c r="AC11" s="49"/>
      <c r="AD11" s="46">
        <v>7470</v>
      </c>
      <c r="AE11" s="47"/>
      <c r="AF11" s="54">
        <v>1297</v>
      </c>
      <c r="AG11" s="49"/>
      <c r="AH11" s="46"/>
      <c r="AI11" s="55"/>
      <c r="AJ11" s="61"/>
      <c r="AK11" s="62"/>
      <c r="AL11" s="53"/>
      <c r="AM11" s="51"/>
      <c r="AN11" s="52"/>
      <c r="AO11" s="51"/>
      <c r="AP11" s="63"/>
      <c r="AQ11" s="64"/>
      <c r="AR11" s="50"/>
      <c r="AS11" s="51"/>
      <c r="AT11" s="52"/>
      <c r="AU11" s="49"/>
      <c r="AV11" s="52"/>
      <c r="AW11" s="49"/>
      <c r="AX11" s="50"/>
      <c r="AY11" s="51"/>
      <c r="AZ11" s="61"/>
      <c r="BA11" s="62"/>
      <c r="BB11" s="52"/>
      <c r="BC11" s="49"/>
    </row>
    <row r="12" spans="1:55" s="9" customFormat="1" ht="13.5" customHeight="1">
      <c r="A12" s="60"/>
      <c r="B12" s="45" t="s">
        <v>50</v>
      </c>
      <c r="C12" s="46">
        <v>897234</v>
      </c>
      <c r="D12" s="47"/>
      <c r="E12" s="14"/>
      <c r="F12" s="48">
        <v>160770</v>
      </c>
      <c r="G12" s="49"/>
      <c r="H12" s="46">
        <v>284034</v>
      </c>
      <c r="I12" s="47"/>
      <c r="J12" s="48">
        <v>11197</v>
      </c>
      <c r="K12" s="49"/>
      <c r="L12" s="50">
        <v>49663</v>
      </c>
      <c r="M12" s="51"/>
      <c r="N12" s="48">
        <v>74736</v>
      </c>
      <c r="O12" s="49"/>
      <c r="P12" s="46"/>
      <c r="Q12" s="47"/>
      <c r="R12" s="50">
        <v>5738</v>
      </c>
      <c r="S12" s="51"/>
      <c r="T12" s="48">
        <v>35560</v>
      </c>
      <c r="U12" s="49"/>
      <c r="V12" s="52"/>
      <c r="W12" s="49"/>
      <c r="X12" s="53">
        <v>31148</v>
      </c>
      <c r="Y12" s="47"/>
      <c r="Z12" s="53"/>
      <c r="AA12" s="51"/>
      <c r="AB12" s="52"/>
      <c r="AC12" s="49"/>
      <c r="AD12" s="46">
        <v>6631</v>
      </c>
      <c r="AE12" s="47"/>
      <c r="AF12" s="54">
        <v>1269</v>
      </c>
      <c r="AG12" s="49"/>
      <c r="AH12" s="46"/>
      <c r="AI12" s="55"/>
      <c r="AJ12" s="61"/>
      <c r="AK12" s="62"/>
      <c r="AL12" s="53"/>
      <c r="AM12" s="51"/>
      <c r="AN12" s="52"/>
      <c r="AO12" s="51"/>
      <c r="AP12" s="56"/>
      <c r="AQ12" s="57"/>
      <c r="AR12" s="50"/>
      <c r="AS12" s="51"/>
      <c r="AT12" s="52"/>
      <c r="AU12" s="49"/>
      <c r="AV12" s="52"/>
      <c r="AW12" s="49"/>
      <c r="AX12" s="50"/>
      <c r="AY12" s="51"/>
      <c r="AZ12" s="61"/>
      <c r="BA12" s="62"/>
      <c r="BB12" s="52"/>
      <c r="BC12" s="49"/>
    </row>
    <row r="13" spans="1:55" s="9" customFormat="1" ht="13.5" customHeight="1">
      <c r="A13" s="60"/>
      <c r="B13" s="45" t="s">
        <v>51</v>
      </c>
      <c r="C13" s="46">
        <v>930573</v>
      </c>
      <c r="D13" s="47"/>
      <c r="E13" s="14"/>
      <c r="F13" s="48">
        <v>170182</v>
      </c>
      <c r="G13" s="49"/>
      <c r="H13" s="46">
        <v>334568</v>
      </c>
      <c r="I13" s="47"/>
      <c r="J13" s="48">
        <v>11628</v>
      </c>
      <c r="K13" s="49"/>
      <c r="L13" s="50">
        <v>52703</v>
      </c>
      <c r="M13" s="51"/>
      <c r="N13" s="48">
        <v>89965</v>
      </c>
      <c r="O13" s="49"/>
      <c r="P13" s="46"/>
      <c r="Q13" s="47"/>
      <c r="R13" s="50">
        <v>7230</v>
      </c>
      <c r="S13" s="51"/>
      <c r="T13" s="48">
        <v>38530</v>
      </c>
      <c r="U13" s="49"/>
      <c r="V13" s="52"/>
      <c r="W13" s="49"/>
      <c r="X13" s="53">
        <v>35341</v>
      </c>
      <c r="Y13" s="47"/>
      <c r="Z13" s="53"/>
      <c r="AA13" s="51"/>
      <c r="AB13" s="52"/>
      <c r="AC13" s="49"/>
      <c r="AD13" s="46">
        <v>9456</v>
      </c>
      <c r="AE13" s="47"/>
      <c r="AF13" s="54">
        <v>2952</v>
      </c>
      <c r="AG13" s="49"/>
      <c r="AH13" s="46"/>
      <c r="AI13" s="55"/>
      <c r="AJ13" s="61"/>
      <c r="AK13" s="62"/>
      <c r="AL13" s="53"/>
      <c r="AM13" s="51"/>
      <c r="AN13" s="52"/>
      <c r="AO13" s="51"/>
      <c r="AP13" s="63"/>
      <c r="AQ13" s="64"/>
      <c r="AR13" s="50"/>
      <c r="AS13" s="51"/>
      <c r="AT13" s="52"/>
      <c r="AU13" s="49"/>
      <c r="AV13" s="52"/>
      <c r="AW13" s="49"/>
      <c r="AX13" s="50"/>
      <c r="AY13" s="51"/>
      <c r="AZ13" s="61"/>
      <c r="BA13" s="62"/>
      <c r="BB13" s="52"/>
      <c r="BC13" s="49"/>
    </row>
    <row r="14" spans="1:55" s="9" customFormat="1" ht="13.5" customHeight="1">
      <c r="A14" s="60"/>
      <c r="B14" s="45" t="s">
        <v>52</v>
      </c>
      <c r="C14" s="46">
        <v>682244</v>
      </c>
      <c r="D14" s="47"/>
      <c r="E14" s="14"/>
      <c r="F14" s="48">
        <v>113083</v>
      </c>
      <c r="G14" s="49"/>
      <c r="H14" s="46">
        <v>239549</v>
      </c>
      <c r="I14" s="47"/>
      <c r="J14" s="48">
        <v>11686</v>
      </c>
      <c r="K14" s="49"/>
      <c r="L14" s="50">
        <v>44670</v>
      </c>
      <c r="M14" s="51"/>
      <c r="N14" s="48">
        <v>65546</v>
      </c>
      <c r="O14" s="49"/>
      <c r="P14" s="46"/>
      <c r="Q14" s="47"/>
      <c r="R14" s="50">
        <v>6322</v>
      </c>
      <c r="S14" s="51"/>
      <c r="T14" s="48">
        <v>25956</v>
      </c>
      <c r="U14" s="49"/>
      <c r="V14" s="52"/>
      <c r="W14" s="49"/>
      <c r="X14" s="53">
        <v>26187</v>
      </c>
      <c r="Y14" s="47"/>
      <c r="Z14" s="53"/>
      <c r="AA14" s="51"/>
      <c r="AB14" s="52"/>
      <c r="AC14" s="49"/>
      <c r="AD14" s="46">
        <v>11996</v>
      </c>
      <c r="AE14" s="47"/>
      <c r="AF14" s="54">
        <v>846</v>
      </c>
      <c r="AG14" s="49"/>
      <c r="AH14" s="46"/>
      <c r="AI14" s="55"/>
      <c r="AJ14" s="61"/>
      <c r="AK14" s="62"/>
      <c r="AL14" s="53"/>
      <c r="AM14" s="51"/>
      <c r="AN14" s="52"/>
      <c r="AO14" s="51"/>
      <c r="AP14" s="63"/>
      <c r="AQ14" s="64"/>
      <c r="AR14" s="50"/>
      <c r="AS14" s="51"/>
      <c r="AT14" s="52"/>
      <c r="AU14" s="49"/>
      <c r="AV14" s="52"/>
      <c r="AW14" s="49"/>
      <c r="AX14" s="50"/>
      <c r="AY14" s="51"/>
      <c r="AZ14" s="61"/>
      <c r="BA14" s="62"/>
      <c r="BB14" s="52"/>
      <c r="BC14" s="49"/>
    </row>
    <row r="15" spans="1:55" s="9" customFormat="1" ht="13.5" customHeight="1">
      <c r="A15" s="60"/>
      <c r="B15" s="45" t="s">
        <v>53</v>
      </c>
      <c r="C15" s="46">
        <v>757538</v>
      </c>
      <c r="D15" s="47"/>
      <c r="E15" s="14"/>
      <c r="F15" s="48">
        <v>122877</v>
      </c>
      <c r="G15" s="49"/>
      <c r="H15" s="46">
        <v>272800</v>
      </c>
      <c r="I15" s="47"/>
      <c r="J15" s="48">
        <v>11811</v>
      </c>
      <c r="K15" s="49"/>
      <c r="L15" s="50">
        <v>48786</v>
      </c>
      <c r="M15" s="51"/>
      <c r="N15" s="48">
        <v>77567</v>
      </c>
      <c r="O15" s="49"/>
      <c r="P15" s="46"/>
      <c r="Q15" s="47"/>
      <c r="R15" s="50">
        <v>6688</v>
      </c>
      <c r="S15" s="51"/>
      <c r="T15" s="48">
        <v>26935</v>
      </c>
      <c r="U15" s="49"/>
      <c r="V15" s="52"/>
      <c r="W15" s="49"/>
      <c r="X15" s="53">
        <v>29445</v>
      </c>
      <c r="Y15" s="47"/>
      <c r="Z15" s="53"/>
      <c r="AA15" s="51"/>
      <c r="AB15" s="52"/>
      <c r="AC15" s="49"/>
      <c r="AD15" s="46">
        <v>10403</v>
      </c>
      <c r="AE15" s="47"/>
      <c r="AF15" s="54">
        <v>1427</v>
      </c>
      <c r="AG15" s="49"/>
      <c r="AH15" s="46"/>
      <c r="AI15" s="55"/>
      <c r="AJ15" s="61"/>
      <c r="AK15" s="62"/>
      <c r="AL15" s="53"/>
      <c r="AM15" s="51"/>
      <c r="AN15" s="52"/>
      <c r="AO15" s="51"/>
      <c r="AP15" s="63">
        <f>AP202*0.272</f>
        <v>13011.12</v>
      </c>
      <c r="AQ15" s="64"/>
      <c r="AR15" s="50"/>
      <c r="AS15" s="51"/>
      <c r="AT15" s="52"/>
      <c r="AU15" s="49"/>
      <c r="AV15" s="52"/>
      <c r="AW15" s="49"/>
      <c r="AX15" s="50"/>
      <c r="AY15" s="51"/>
      <c r="AZ15" s="61"/>
      <c r="BA15" s="62"/>
      <c r="BB15" s="52"/>
      <c r="BC15" s="49"/>
    </row>
    <row r="16" spans="1:55" s="9" customFormat="1" ht="13.5" customHeight="1">
      <c r="A16" s="60"/>
      <c r="B16" s="45" t="s">
        <v>54</v>
      </c>
      <c r="C16" s="46">
        <v>745887</v>
      </c>
      <c r="D16" s="47"/>
      <c r="E16" s="14"/>
      <c r="F16" s="48">
        <v>128369</v>
      </c>
      <c r="G16" s="49"/>
      <c r="H16" s="46">
        <v>243734</v>
      </c>
      <c r="I16" s="47"/>
      <c r="J16" s="48">
        <v>13879</v>
      </c>
      <c r="K16" s="49"/>
      <c r="L16" s="50">
        <v>55822</v>
      </c>
      <c r="M16" s="51"/>
      <c r="N16" s="48">
        <v>103051</v>
      </c>
      <c r="O16" s="49"/>
      <c r="P16" s="46"/>
      <c r="Q16" s="47"/>
      <c r="R16" s="50">
        <v>7453</v>
      </c>
      <c r="S16" s="51"/>
      <c r="T16" s="48">
        <v>31623</v>
      </c>
      <c r="U16" s="49"/>
      <c r="V16" s="52"/>
      <c r="W16" s="49"/>
      <c r="X16" s="53">
        <v>39294</v>
      </c>
      <c r="Y16" s="47"/>
      <c r="Z16" s="53"/>
      <c r="AA16" s="51"/>
      <c r="AB16" s="52"/>
      <c r="AC16" s="49"/>
      <c r="AD16" s="46">
        <v>8982</v>
      </c>
      <c r="AE16" s="47"/>
      <c r="AF16" s="54">
        <v>838</v>
      </c>
      <c r="AG16" s="49"/>
      <c r="AH16" s="46"/>
      <c r="AI16" s="55"/>
      <c r="AJ16" s="61"/>
      <c r="AK16" s="62"/>
      <c r="AL16" s="53"/>
      <c r="AM16" s="51"/>
      <c r="AN16" s="52"/>
      <c r="AO16" s="51"/>
      <c r="AP16" s="63"/>
      <c r="AQ16" s="64"/>
      <c r="AR16" s="50"/>
      <c r="AS16" s="51"/>
      <c r="AT16" s="52"/>
      <c r="AU16" s="49"/>
      <c r="AV16" s="52"/>
      <c r="AW16" s="49"/>
      <c r="AX16" s="50"/>
      <c r="AY16" s="51"/>
      <c r="AZ16" s="61"/>
      <c r="BA16" s="62"/>
      <c r="BB16" s="52"/>
      <c r="BC16" s="49"/>
    </row>
    <row r="17" spans="1:55" s="9" customFormat="1" ht="13.5" customHeight="1">
      <c r="A17" s="65"/>
      <c r="B17" s="45" t="s">
        <v>55</v>
      </c>
      <c r="C17" s="46">
        <v>725697</v>
      </c>
      <c r="D17" s="47"/>
      <c r="E17" s="14"/>
      <c r="F17" s="48">
        <v>120817</v>
      </c>
      <c r="G17" s="49"/>
      <c r="H17" s="46">
        <v>225000</v>
      </c>
      <c r="I17" s="47"/>
      <c r="J17" s="48">
        <v>12994</v>
      </c>
      <c r="K17" s="49"/>
      <c r="L17" s="50">
        <v>51138</v>
      </c>
      <c r="M17" s="51"/>
      <c r="N17" s="48">
        <v>89963</v>
      </c>
      <c r="O17" s="49"/>
      <c r="P17" s="46"/>
      <c r="Q17" s="47"/>
      <c r="R17" s="50">
        <v>7681</v>
      </c>
      <c r="S17" s="51"/>
      <c r="T17" s="48">
        <v>28244</v>
      </c>
      <c r="U17" s="49"/>
      <c r="V17" s="52"/>
      <c r="W17" s="49"/>
      <c r="X17" s="53">
        <v>38116</v>
      </c>
      <c r="Y17" s="47"/>
      <c r="Z17" s="53"/>
      <c r="AA17" s="51"/>
      <c r="AB17" s="52"/>
      <c r="AC17" s="49"/>
      <c r="AD17" s="46">
        <v>10746</v>
      </c>
      <c r="AE17" s="47"/>
      <c r="AF17" s="54">
        <v>729</v>
      </c>
      <c r="AG17" s="49"/>
      <c r="AH17" s="66"/>
      <c r="AI17" s="67"/>
      <c r="AJ17" s="68"/>
      <c r="AK17" s="69"/>
      <c r="AL17" s="54"/>
      <c r="AM17" s="70"/>
      <c r="AN17" s="52"/>
      <c r="AO17" s="51"/>
      <c r="AP17" s="63"/>
      <c r="AQ17" s="64"/>
      <c r="AR17" s="71"/>
      <c r="AS17" s="51"/>
      <c r="AT17" s="52"/>
      <c r="AU17" s="49"/>
      <c r="AV17" s="52"/>
      <c r="AW17" s="49"/>
      <c r="AX17" s="50"/>
      <c r="AY17" s="51"/>
      <c r="AZ17" s="68"/>
      <c r="BA17" s="69"/>
      <c r="BB17" s="52"/>
      <c r="BC17" s="49"/>
    </row>
    <row r="18" spans="1:55" s="9" customFormat="1" ht="13.5" customHeight="1">
      <c r="A18" s="72" t="s">
        <v>56</v>
      </c>
      <c r="B18" s="73" t="s">
        <v>43</v>
      </c>
      <c r="C18" s="74">
        <v>897406</v>
      </c>
      <c r="D18" s="75">
        <f t="shared" ref="D18:D43" si="0">(C18-C6)/C6</f>
        <v>0.13097779648585089</v>
      </c>
      <c r="E18" s="14"/>
      <c r="F18" s="76">
        <v>174775</v>
      </c>
      <c r="G18" s="77">
        <f t="shared" ref="G18:G81" si="1">(F18-F6)/F6</f>
        <v>6.0624450040962466E-2</v>
      </c>
      <c r="H18" s="74">
        <v>301458</v>
      </c>
      <c r="I18" s="75">
        <f t="shared" ref="I18:I53" si="2">(H18-H6)/H6</f>
        <v>0.61860120485809089</v>
      </c>
      <c r="J18" s="76">
        <v>19213</v>
      </c>
      <c r="K18" s="77">
        <f t="shared" ref="K18:K56" si="3">(J18-J6)/J6</f>
        <v>0.57574017879110961</v>
      </c>
      <c r="L18" s="78">
        <v>53643</v>
      </c>
      <c r="M18" s="79">
        <f t="shared" ref="M18:M54" si="4">(L18-L6)/L6</f>
        <v>0.44957574447386911</v>
      </c>
      <c r="N18" s="76">
        <v>52732</v>
      </c>
      <c r="O18" s="77">
        <f t="shared" ref="O18:O81" si="5">(N18-N6)/N6</f>
        <v>-0.48453064057322165</v>
      </c>
      <c r="P18" s="74">
        <v>25326</v>
      </c>
      <c r="Q18" s="75"/>
      <c r="R18" s="78">
        <v>12988</v>
      </c>
      <c r="S18" s="79">
        <f t="shared" ref="S18:S55" si="6">(R18-R6)/R6</f>
        <v>1.2878280782103224</v>
      </c>
      <c r="T18" s="76">
        <v>20390</v>
      </c>
      <c r="U18" s="77">
        <f t="shared" ref="U18:U53" si="7">(T18-T6)/T6</f>
        <v>-0.32606180796562551</v>
      </c>
      <c r="V18" s="80"/>
      <c r="W18" s="81"/>
      <c r="X18" s="82">
        <v>45130</v>
      </c>
      <c r="Y18" s="75">
        <f t="shared" ref="Y18:Y81" si="8">X18/X6-1</f>
        <v>0.20263284123008041</v>
      </c>
      <c r="Z18" s="82"/>
      <c r="AA18" s="79"/>
      <c r="AB18" s="76">
        <v>15726</v>
      </c>
      <c r="AC18" s="77">
        <v>-0.48669908933642325</v>
      </c>
      <c r="AD18" s="74">
        <v>11461</v>
      </c>
      <c r="AE18" s="75">
        <f t="shared" ref="AE18:AE53" si="9">(AD18-AD6)/AD6</f>
        <v>0.94517990495587234</v>
      </c>
      <c r="AF18" s="83">
        <v>3280</v>
      </c>
      <c r="AG18" s="77">
        <f>(AF18-AF6)/AF6</f>
        <v>0.28024980483996875</v>
      </c>
      <c r="AH18" s="46"/>
      <c r="AI18" s="55"/>
      <c r="AJ18" s="80"/>
      <c r="AK18" s="81"/>
      <c r="AL18" s="80"/>
      <c r="AM18" s="82"/>
      <c r="AN18" s="83"/>
      <c r="AO18" s="84"/>
      <c r="AP18" s="56">
        <f>AP203*0.293</f>
        <v>14619.234999999999</v>
      </c>
      <c r="AQ18" s="85">
        <f>(AP18/AP6-1)</f>
        <v>-0.13422674911486032</v>
      </c>
      <c r="AR18" s="50">
        <v>0</v>
      </c>
      <c r="AS18" s="84"/>
      <c r="AT18" s="86"/>
      <c r="AU18" s="84"/>
      <c r="AV18" s="87">
        <v>8706</v>
      </c>
      <c r="AW18" s="88"/>
      <c r="AX18" s="83"/>
      <c r="AY18" s="84"/>
      <c r="AZ18" s="89"/>
      <c r="BA18" s="84"/>
      <c r="BB18" s="83"/>
      <c r="BC18" s="84"/>
    </row>
    <row r="19" spans="1:55" s="9" customFormat="1" ht="13.5" customHeight="1">
      <c r="A19" s="60"/>
      <c r="B19" s="45" t="s">
        <v>57</v>
      </c>
      <c r="C19" s="46">
        <v>745998</v>
      </c>
      <c r="D19" s="55">
        <f t="shared" si="0"/>
        <v>0.1126875055000619</v>
      </c>
      <c r="E19" s="14"/>
      <c r="F19" s="48">
        <v>148946</v>
      </c>
      <c r="G19" s="90">
        <f t="shared" si="1"/>
        <v>4.3638503902801329E-2</v>
      </c>
      <c r="H19" s="46">
        <v>263822</v>
      </c>
      <c r="I19" s="55">
        <f t="shared" si="2"/>
        <v>0.22495391715767529</v>
      </c>
      <c r="J19" s="48">
        <v>15695</v>
      </c>
      <c r="K19" s="90">
        <f t="shared" si="3"/>
        <v>0.12783845932739293</v>
      </c>
      <c r="L19" s="50">
        <v>46151</v>
      </c>
      <c r="M19" s="91">
        <f t="shared" si="4"/>
        <v>0.23026684082851279</v>
      </c>
      <c r="N19" s="48">
        <v>54819</v>
      </c>
      <c r="O19" s="90">
        <f t="shared" si="5"/>
        <v>-7.7974939029518117E-2</v>
      </c>
      <c r="P19" s="46">
        <v>26261</v>
      </c>
      <c r="Q19" s="55"/>
      <c r="R19" s="50">
        <v>9682</v>
      </c>
      <c r="S19" s="91">
        <f t="shared" si="6"/>
        <v>1.5681697612732095</v>
      </c>
      <c r="T19" s="48">
        <v>24546</v>
      </c>
      <c r="U19" s="90">
        <f t="shared" si="7"/>
        <v>-0.17727501256913022</v>
      </c>
      <c r="V19" s="54"/>
      <c r="W19" s="92"/>
      <c r="X19" s="53">
        <v>35883</v>
      </c>
      <c r="Y19" s="55">
        <f t="shared" si="8"/>
        <v>0.11451733134550879</v>
      </c>
      <c r="Z19" s="53"/>
      <c r="AA19" s="91"/>
      <c r="AB19" s="48">
        <v>19555</v>
      </c>
      <c r="AC19" s="90">
        <v>-0.12521248993468731</v>
      </c>
      <c r="AD19" s="46">
        <v>12450</v>
      </c>
      <c r="AE19" s="55">
        <f t="shared" si="9"/>
        <v>0.80408636429502967</v>
      </c>
      <c r="AF19" s="93">
        <v>3249</v>
      </c>
      <c r="AG19" s="90">
        <f t="shared" ref="AG19:AG29" si="10">(AF19-AF7)/AF7</f>
        <v>0.45434198746642795</v>
      </c>
      <c r="AH19" s="46"/>
      <c r="AI19" s="55"/>
      <c r="AJ19" s="54"/>
      <c r="AK19" s="92"/>
      <c r="AL19" s="54"/>
      <c r="AM19" s="53"/>
      <c r="AN19" s="93"/>
      <c r="AO19" s="94"/>
      <c r="AP19" s="63"/>
      <c r="AQ19" s="95"/>
      <c r="AR19" s="50">
        <v>0</v>
      </c>
      <c r="AS19" s="94"/>
      <c r="AT19" s="61"/>
      <c r="AU19" s="94"/>
      <c r="AV19" s="96"/>
      <c r="AW19" s="97"/>
      <c r="AX19" s="93"/>
      <c r="AY19" s="94"/>
      <c r="AZ19" s="98"/>
      <c r="BA19" s="94"/>
      <c r="BB19" s="93"/>
      <c r="BC19" s="94"/>
    </row>
    <row r="20" spans="1:55" s="9" customFormat="1" ht="13.5" customHeight="1">
      <c r="A20" s="60"/>
      <c r="B20" s="45" t="s">
        <v>45</v>
      </c>
      <c r="C20" s="46">
        <v>707058</v>
      </c>
      <c r="D20" s="55">
        <f t="shared" si="0"/>
        <v>0.20323877820869971</v>
      </c>
      <c r="E20" s="14"/>
      <c r="F20" s="48">
        <v>130963</v>
      </c>
      <c r="G20" s="90">
        <f t="shared" si="1"/>
        <v>0.16395001599772477</v>
      </c>
      <c r="H20" s="46">
        <v>258586</v>
      </c>
      <c r="I20" s="55">
        <f t="shared" si="2"/>
        <v>0.35824815371201058</v>
      </c>
      <c r="J20" s="48">
        <v>13555</v>
      </c>
      <c r="K20" s="90">
        <f t="shared" si="3"/>
        <v>0.12238138610582099</v>
      </c>
      <c r="L20" s="50">
        <v>42506</v>
      </c>
      <c r="M20" s="91">
        <f t="shared" si="4"/>
        <v>0.12981765987985752</v>
      </c>
      <c r="N20" s="48">
        <v>51889</v>
      </c>
      <c r="O20" s="90">
        <f t="shared" si="5"/>
        <v>9.242299837891324E-2</v>
      </c>
      <c r="P20" s="46">
        <v>23513</v>
      </c>
      <c r="Q20" s="55"/>
      <c r="R20" s="50">
        <v>7067</v>
      </c>
      <c r="S20" s="91">
        <f t="shared" si="6"/>
        <v>1.2811491284699805</v>
      </c>
      <c r="T20" s="48">
        <v>23479</v>
      </c>
      <c r="U20" s="90">
        <f t="shared" si="7"/>
        <v>-9.1826867288129041E-2</v>
      </c>
      <c r="V20" s="54"/>
      <c r="W20" s="92"/>
      <c r="X20" s="53">
        <v>32478</v>
      </c>
      <c r="Y20" s="55">
        <f t="shared" si="8"/>
        <v>0.25601361280841517</v>
      </c>
      <c r="Z20" s="53"/>
      <c r="AA20" s="91"/>
      <c r="AB20" s="48">
        <v>17323</v>
      </c>
      <c r="AC20" s="90">
        <v>-6.3925213444288337E-2</v>
      </c>
      <c r="AD20" s="46">
        <v>11963</v>
      </c>
      <c r="AE20" s="55">
        <f t="shared" si="9"/>
        <v>2.5247495580436063</v>
      </c>
      <c r="AF20" s="93">
        <v>1595</v>
      </c>
      <c r="AG20" s="90">
        <f t="shared" si="10"/>
        <v>-6.725146198830409E-2</v>
      </c>
      <c r="AH20" s="46"/>
      <c r="AI20" s="55"/>
      <c r="AJ20" s="54"/>
      <c r="AK20" s="92"/>
      <c r="AL20" s="54"/>
      <c r="AM20" s="53"/>
      <c r="AN20" s="93"/>
      <c r="AO20" s="94"/>
      <c r="AP20" s="63"/>
      <c r="AQ20" s="95"/>
      <c r="AR20" s="53">
        <v>11</v>
      </c>
      <c r="AS20" s="94"/>
      <c r="AT20" s="61"/>
      <c r="AU20" s="94"/>
      <c r="AV20" s="96"/>
      <c r="AW20" s="97"/>
      <c r="AX20" s="93"/>
      <c r="AY20" s="94"/>
      <c r="AZ20" s="98"/>
      <c r="BA20" s="94"/>
      <c r="BB20" s="93"/>
      <c r="BC20" s="94"/>
    </row>
    <row r="21" spans="1:55" s="9" customFormat="1" ht="13.5" customHeight="1">
      <c r="A21" s="60"/>
      <c r="B21" s="45" t="s">
        <v>46</v>
      </c>
      <c r="C21" s="46">
        <v>762096</v>
      </c>
      <c r="D21" s="55">
        <f t="shared" si="0"/>
        <v>0.18630226972368244</v>
      </c>
      <c r="E21" s="14"/>
      <c r="F21" s="48">
        <v>122084</v>
      </c>
      <c r="G21" s="90">
        <f t="shared" si="1"/>
        <v>1.3759372898104246E-2</v>
      </c>
      <c r="H21" s="46">
        <v>292795</v>
      </c>
      <c r="I21" s="55">
        <f t="shared" si="2"/>
        <v>0.31261711990388324</v>
      </c>
      <c r="J21" s="48">
        <v>14924</v>
      </c>
      <c r="K21" s="90">
        <f t="shared" si="3"/>
        <v>0.16575535072644898</v>
      </c>
      <c r="L21" s="50">
        <v>51457</v>
      </c>
      <c r="M21" s="91">
        <f t="shared" si="4"/>
        <v>0.15059702160010732</v>
      </c>
      <c r="N21" s="48">
        <v>47738</v>
      </c>
      <c r="O21" s="90">
        <f t="shared" si="5"/>
        <v>-0.18917725388953055</v>
      </c>
      <c r="P21" s="46">
        <v>25928</v>
      </c>
      <c r="Q21" s="55"/>
      <c r="R21" s="50">
        <v>8225</v>
      </c>
      <c r="S21" s="91">
        <f t="shared" si="6"/>
        <v>0.97573865001201054</v>
      </c>
      <c r="T21" s="48">
        <v>29034</v>
      </c>
      <c r="U21" s="90">
        <f t="shared" si="7"/>
        <v>8.7212132559445793E-2</v>
      </c>
      <c r="V21" s="54"/>
      <c r="W21" s="92"/>
      <c r="X21" s="53">
        <v>34180</v>
      </c>
      <c r="Y21" s="55">
        <f t="shared" si="8"/>
        <v>0.27780477774870094</v>
      </c>
      <c r="Z21" s="53"/>
      <c r="AA21" s="91"/>
      <c r="AB21" s="48">
        <v>20772</v>
      </c>
      <c r="AC21" s="90">
        <v>0.15316715705323933</v>
      </c>
      <c r="AD21" s="46">
        <v>10926</v>
      </c>
      <c r="AE21" s="55">
        <f t="shared" si="9"/>
        <v>2.3331299572910309</v>
      </c>
      <c r="AF21" s="93">
        <v>1852</v>
      </c>
      <c r="AG21" s="90">
        <f t="shared" si="10"/>
        <v>0.2650273224043716</v>
      </c>
      <c r="AH21" s="46"/>
      <c r="AI21" s="55"/>
      <c r="AJ21" s="54"/>
      <c r="AK21" s="92"/>
      <c r="AL21" s="54"/>
      <c r="AM21" s="53"/>
      <c r="AN21" s="93"/>
      <c r="AO21" s="94"/>
      <c r="AP21" s="63">
        <f>AP203*0.166</f>
        <v>8282.57</v>
      </c>
      <c r="AQ21" s="99"/>
      <c r="AR21" s="53">
        <v>20</v>
      </c>
      <c r="AS21" s="94"/>
      <c r="AT21" s="61"/>
      <c r="AU21" s="94"/>
      <c r="AV21" s="96"/>
      <c r="AW21" s="97"/>
      <c r="AX21" s="93"/>
      <c r="AY21" s="94"/>
      <c r="AZ21" s="98"/>
      <c r="BA21" s="94"/>
      <c r="BB21" s="93"/>
      <c r="BC21" s="94"/>
    </row>
    <row r="22" spans="1:55" s="9" customFormat="1" ht="13.5" customHeight="1">
      <c r="A22" s="60"/>
      <c r="B22" s="45" t="s">
        <v>47</v>
      </c>
      <c r="C22" s="46">
        <v>802497</v>
      </c>
      <c r="D22" s="55">
        <f t="shared" si="0"/>
        <v>0.17982166616435236</v>
      </c>
      <c r="E22" s="14"/>
      <c r="F22" s="48">
        <v>114151</v>
      </c>
      <c r="G22" s="90">
        <f t="shared" si="1"/>
        <v>-1.3038328188900128E-2</v>
      </c>
      <c r="H22" s="46">
        <v>303391</v>
      </c>
      <c r="I22" s="55">
        <f t="shared" si="2"/>
        <v>0.49754679355552045</v>
      </c>
      <c r="J22" s="48">
        <v>16167</v>
      </c>
      <c r="K22" s="90">
        <f t="shared" si="3"/>
        <v>0.44503038970325348</v>
      </c>
      <c r="L22" s="50">
        <v>50832</v>
      </c>
      <c r="M22" s="91">
        <f t="shared" si="4"/>
        <v>0.3350141821619918</v>
      </c>
      <c r="N22" s="48">
        <v>62025</v>
      </c>
      <c r="O22" s="90">
        <f t="shared" si="5"/>
        <v>-0.1327115610492757</v>
      </c>
      <c r="P22" s="46">
        <v>24274</v>
      </c>
      <c r="Q22" s="55"/>
      <c r="R22" s="50">
        <v>9092</v>
      </c>
      <c r="S22" s="91">
        <f t="shared" si="6"/>
        <v>1.4381871815500133</v>
      </c>
      <c r="T22" s="48">
        <v>28927</v>
      </c>
      <c r="U22" s="90">
        <f t="shared" si="7"/>
        <v>-8.0777908417808006E-2</v>
      </c>
      <c r="V22" s="54"/>
      <c r="W22" s="92"/>
      <c r="X22" s="53">
        <v>37510</v>
      </c>
      <c r="Y22" s="55">
        <f t="shared" si="8"/>
        <v>0.27789323067488847</v>
      </c>
      <c r="Z22" s="53"/>
      <c r="AA22" s="91"/>
      <c r="AB22" s="48">
        <v>22945</v>
      </c>
      <c r="AC22" s="90">
        <v>4.7573391772816512E-2</v>
      </c>
      <c r="AD22" s="46">
        <v>12026</v>
      </c>
      <c r="AE22" s="55">
        <f t="shared" si="9"/>
        <v>0.96471164842346024</v>
      </c>
      <c r="AF22" s="93">
        <v>1719</v>
      </c>
      <c r="AG22" s="90">
        <f t="shared" si="10"/>
        <v>0.46297872340425533</v>
      </c>
      <c r="AH22" s="46"/>
      <c r="AI22" s="55"/>
      <c r="AJ22" s="54"/>
      <c r="AK22" s="92"/>
      <c r="AL22" s="54"/>
      <c r="AM22" s="53"/>
      <c r="AN22" s="93"/>
      <c r="AO22" s="94"/>
      <c r="AP22" s="63"/>
      <c r="AQ22" s="99"/>
      <c r="AR22" s="50">
        <v>0</v>
      </c>
      <c r="AS22" s="94"/>
      <c r="AT22" s="61"/>
      <c r="AU22" s="94"/>
      <c r="AV22" s="96"/>
      <c r="AW22" s="97"/>
      <c r="AX22" s="93"/>
      <c r="AY22" s="94"/>
      <c r="AZ22" s="98"/>
      <c r="BA22" s="94"/>
      <c r="BB22" s="93"/>
      <c r="BC22" s="94"/>
    </row>
    <row r="23" spans="1:55" s="9" customFormat="1" ht="13.5" customHeight="1">
      <c r="A23" s="60"/>
      <c r="B23" s="45" t="s">
        <v>49</v>
      </c>
      <c r="C23" s="46">
        <v>865693</v>
      </c>
      <c r="D23" s="55">
        <f t="shared" si="0"/>
        <v>0.21541712296071661</v>
      </c>
      <c r="E23" s="14"/>
      <c r="F23" s="48">
        <v>133177</v>
      </c>
      <c r="G23" s="90">
        <f t="shared" si="1"/>
        <v>0.14542139349267647</v>
      </c>
      <c r="H23" s="46">
        <v>305043</v>
      </c>
      <c r="I23" s="55">
        <f t="shared" si="2"/>
        <v>0.34053605094197836</v>
      </c>
      <c r="J23" s="48">
        <v>16919</v>
      </c>
      <c r="K23" s="90">
        <f t="shared" si="3"/>
        <v>0.32969192077962906</v>
      </c>
      <c r="L23" s="50">
        <v>57555</v>
      </c>
      <c r="M23" s="91">
        <f t="shared" si="4"/>
        <v>0.38790421760833393</v>
      </c>
      <c r="N23" s="48">
        <v>76232</v>
      </c>
      <c r="O23" s="90">
        <f t="shared" si="5"/>
        <v>8.2564117129143119E-2</v>
      </c>
      <c r="P23" s="46">
        <v>28188</v>
      </c>
      <c r="Q23" s="55"/>
      <c r="R23" s="50">
        <v>9246</v>
      </c>
      <c r="S23" s="91">
        <f t="shared" si="6"/>
        <v>1.2650661440470357</v>
      </c>
      <c r="T23" s="48">
        <v>32366</v>
      </c>
      <c r="U23" s="90">
        <f t="shared" si="7"/>
        <v>8.229393078080588E-2</v>
      </c>
      <c r="V23" s="54"/>
      <c r="W23" s="92"/>
      <c r="X23" s="53">
        <v>39800</v>
      </c>
      <c r="Y23" s="55">
        <f t="shared" si="8"/>
        <v>0.45313812114352481</v>
      </c>
      <c r="Z23" s="53"/>
      <c r="AA23" s="91"/>
      <c r="AB23" s="48">
        <v>21648</v>
      </c>
      <c r="AC23" s="90">
        <v>0.18703734166803751</v>
      </c>
      <c r="AD23" s="46">
        <v>10620</v>
      </c>
      <c r="AE23" s="55">
        <f t="shared" si="9"/>
        <v>0.42168674698795183</v>
      </c>
      <c r="AF23" s="93">
        <v>2445</v>
      </c>
      <c r="AG23" s="90">
        <f t="shared" si="10"/>
        <v>0.88511950655358518</v>
      </c>
      <c r="AH23" s="46"/>
      <c r="AI23" s="55"/>
      <c r="AJ23" s="54"/>
      <c r="AK23" s="92"/>
      <c r="AL23" s="54"/>
      <c r="AM23" s="53"/>
      <c r="AN23" s="93"/>
      <c r="AO23" s="94"/>
      <c r="AP23" s="63"/>
      <c r="AQ23" s="99"/>
      <c r="AR23" s="50">
        <v>0</v>
      </c>
      <c r="AS23" s="94"/>
      <c r="AT23" s="61"/>
      <c r="AU23" s="94"/>
      <c r="AV23" s="96"/>
      <c r="AW23" s="97"/>
      <c r="AX23" s="93"/>
      <c r="AY23" s="94"/>
      <c r="AZ23" s="98"/>
      <c r="BA23" s="94"/>
      <c r="BB23" s="93"/>
      <c r="BC23" s="94"/>
    </row>
    <row r="24" spans="1:55" s="9" customFormat="1" ht="13.5" customHeight="1">
      <c r="A24" s="60"/>
      <c r="B24" s="45" t="s">
        <v>50</v>
      </c>
      <c r="C24" s="46">
        <v>1020757</v>
      </c>
      <c r="D24" s="55">
        <f t="shared" si="0"/>
        <v>0.13767088630167826</v>
      </c>
      <c r="E24" s="14"/>
      <c r="F24" s="48">
        <v>170420</v>
      </c>
      <c r="G24" s="90">
        <f t="shared" si="1"/>
        <v>6.0023636250544257E-2</v>
      </c>
      <c r="H24" s="46">
        <v>336050</v>
      </c>
      <c r="I24" s="55">
        <f t="shared" si="2"/>
        <v>0.18313300520360237</v>
      </c>
      <c r="J24" s="48">
        <v>14237</v>
      </c>
      <c r="K24" s="90">
        <f t="shared" si="3"/>
        <v>0.27150129498972941</v>
      </c>
      <c r="L24" s="50">
        <v>57983</v>
      </c>
      <c r="M24" s="91">
        <f t="shared" si="4"/>
        <v>0.16752914644705313</v>
      </c>
      <c r="N24" s="48">
        <v>82743</v>
      </c>
      <c r="O24" s="90">
        <f t="shared" si="5"/>
        <v>0.10713712267180475</v>
      </c>
      <c r="P24" s="46">
        <v>25624</v>
      </c>
      <c r="Q24" s="55"/>
      <c r="R24" s="50">
        <v>10235</v>
      </c>
      <c r="S24" s="91">
        <f t="shared" si="6"/>
        <v>0.78372255141164171</v>
      </c>
      <c r="T24" s="48">
        <v>42961</v>
      </c>
      <c r="U24" s="90">
        <f t="shared" si="7"/>
        <v>0.20812710911136109</v>
      </c>
      <c r="V24" s="54"/>
      <c r="W24" s="92"/>
      <c r="X24" s="53">
        <v>47265</v>
      </c>
      <c r="Y24" s="55">
        <f t="shared" si="8"/>
        <v>0.51743290098882744</v>
      </c>
      <c r="Z24" s="53"/>
      <c r="AA24" s="91"/>
      <c r="AB24" s="48">
        <v>30276</v>
      </c>
      <c r="AC24" s="90">
        <v>0.50029732408325078</v>
      </c>
      <c r="AD24" s="46">
        <v>16227</v>
      </c>
      <c r="AE24" s="55">
        <f t="shared" si="9"/>
        <v>1.4471422108279295</v>
      </c>
      <c r="AF24" s="93">
        <v>1693</v>
      </c>
      <c r="AG24" s="90">
        <f t="shared" si="10"/>
        <v>0.33412135539795113</v>
      </c>
      <c r="AH24" s="46"/>
      <c r="AI24" s="55"/>
      <c r="AJ24" s="54"/>
      <c r="AK24" s="92"/>
      <c r="AL24" s="54"/>
      <c r="AM24" s="53"/>
      <c r="AN24" s="93"/>
      <c r="AO24" s="94"/>
      <c r="AP24" s="63">
        <f>AP203*0.253</f>
        <v>12623.434999999999</v>
      </c>
      <c r="AQ24" s="95"/>
      <c r="AR24" s="50">
        <v>0</v>
      </c>
      <c r="AS24" s="94"/>
      <c r="AT24" s="61"/>
      <c r="AU24" s="94"/>
      <c r="AV24" s="96"/>
      <c r="AW24" s="97"/>
      <c r="AX24" s="93"/>
      <c r="AY24" s="94"/>
      <c r="AZ24" s="98"/>
      <c r="BA24" s="94"/>
      <c r="BB24" s="93"/>
      <c r="BC24" s="94"/>
    </row>
    <row r="25" spans="1:55" s="9" customFormat="1" ht="13.5" customHeight="1">
      <c r="A25" s="60"/>
      <c r="B25" s="45" t="s">
        <v>51</v>
      </c>
      <c r="C25" s="46">
        <v>1070289</v>
      </c>
      <c r="D25" s="55">
        <f t="shared" si="0"/>
        <v>0.15013975260404075</v>
      </c>
      <c r="E25" s="14"/>
      <c r="F25" s="48">
        <v>193279</v>
      </c>
      <c r="G25" s="90">
        <f t="shared" si="1"/>
        <v>0.13571940628268558</v>
      </c>
      <c r="H25" s="46">
        <v>393475</v>
      </c>
      <c r="I25" s="55">
        <f t="shared" si="2"/>
        <v>0.17606884101288825</v>
      </c>
      <c r="J25" s="48">
        <v>16092</v>
      </c>
      <c r="K25" s="90">
        <f t="shared" si="3"/>
        <v>0.38390092879256965</v>
      </c>
      <c r="L25" s="50">
        <v>61937</v>
      </c>
      <c r="M25" s="91">
        <f t="shared" si="4"/>
        <v>0.17520824241504279</v>
      </c>
      <c r="N25" s="48">
        <v>88053</v>
      </c>
      <c r="O25" s="90">
        <f t="shared" si="5"/>
        <v>-2.1252709386983828E-2</v>
      </c>
      <c r="P25" s="46">
        <v>32408</v>
      </c>
      <c r="Q25" s="55"/>
      <c r="R25" s="50">
        <v>11708</v>
      </c>
      <c r="S25" s="91">
        <f t="shared" si="6"/>
        <v>0.61936376210235133</v>
      </c>
      <c r="T25" s="48">
        <v>42791</v>
      </c>
      <c r="U25" s="90">
        <f t="shared" si="7"/>
        <v>0.11058915131066702</v>
      </c>
      <c r="V25" s="54"/>
      <c r="W25" s="92"/>
      <c r="X25" s="53">
        <v>46366</v>
      </c>
      <c r="Y25" s="55">
        <f t="shared" si="8"/>
        <v>0.3119606123199683</v>
      </c>
      <c r="Z25" s="53"/>
      <c r="AA25" s="91"/>
      <c r="AB25" s="48">
        <v>27500</v>
      </c>
      <c r="AC25" s="90">
        <v>0.2008209248504432</v>
      </c>
      <c r="AD25" s="46">
        <v>18067</v>
      </c>
      <c r="AE25" s="55">
        <f t="shared" si="9"/>
        <v>0.91063874788494081</v>
      </c>
      <c r="AF25" s="93">
        <v>4394</v>
      </c>
      <c r="AG25" s="90">
        <f t="shared" si="10"/>
        <v>0.48848238482384826</v>
      </c>
      <c r="AH25" s="46"/>
      <c r="AI25" s="55"/>
      <c r="AJ25" s="54"/>
      <c r="AK25" s="92"/>
      <c r="AL25" s="54"/>
      <c r="AM25" s="53"/>
      <c r="AN25" s="93"/>
      <c r="AO25" s="94"/>
      <c r="AP25" s="63"/>
      <c r="AQ25" s="95"/>
      <c r="AR25" s="50">
        <v>0</v>
      </c>
      <c r="AS25" s="94"/>
      <c r="AT25" s="61"/>
      <c r="AU25" s="94"/>
      <c r="AV25" s="96"/>
      <c r="AW25" s="97"/>
      <c r="AX25" s="93"/>
      <c r="AY25" s="94"/>
      <c r="AZ25" s="98"/>
      <c r="BA25" s="94"/>
      <c r="BB25" s="93"/>
      <c r="BC25" s="94"/>
    </row>
    <row r="26" spans="1:55" s="9" customFormat="1" ht="13.5" customHeight="1">
      <c r="A26" s="60"/>
      <c r="B26" s="45" t="s">
        <v>52</v>
      </c>
      <c r="C26" s="46">
        <v>785549</v>
      </c>
      <c r="D26" s="55">
        <f t="shared" si="0"/>
        <v>0.15141943351645451</v>
      </c>
      <c r="E26" s="14"/>
      <c r="F26" s="48">
        <v>130269</v>
      </c>
      <c r="G26" s="90">
        <f t="shared" si="1"/>
        <v>0.15197686654934872</v>
      </c>
      <c r="H26" s="46">
        <v>284540</v>
      </c>
      <c r="I26" s="55">
        <f t="shared" si="2"/>
        <v>0.18781543650777086</v>
      </c>
      <c r="J26" s="48">
        <v>12056</v>
      </c>
      <c r="K26" s="90">
        <f t="shared" si="3"/>
        <v>3.1661817559472873E-2</v>
      </c>
      <c r="L26" s="50">
        <v>52034</v>
      </c>
      <c r="M26" s="91">
        <f t="shared" si="4"/>
        <v>0.16485336915155585</v>
      </c>
      <c r="N26" s="48">
        <v>58794</v>
      </c>
      <c r="O26" s="90">
        <f t="shared" si="5"/>
        <v>-0.1030116254233668</v>
      </c>
      <c r="P26" s="46">
        <v>22975</v>
      </c>
      <c r="Q26" s="55"/>
      <c r="R26" s="50">
        <v>7553</v>
      </c>
      <c r="S26" s="91">
        <f t="shared" si="6"/>
        <v>0.19471686175260994</v>
      </c>
      <c r="T26" s="48">
        <v>25572</v>
      </c>
      <c r="U26" s="90">
        <f t="shared" si="7"/>
        <v>-1.4794267221451687E-2</v>
      </c>
      <c r="V26" s="54"/>
      <c r="W26" s="92"/>
      <c r="X26" s="53">
        <v>30481</v>
      </c>
      <c r="Y26" s="55">
        <f t="shared" si="8"/>
        <v>0.16397449115973584</v>
      </c>
      <c r="Z26" s="53"/>
      <c r="AA26" s="91"/>
      <c r="AB26" s="48">
        <v>20840</v>
      </c>
      <c r="AC26" s="90">
        <v>0.68499353169469601</v>
      </c>
      <c r="AD26" s="46">
        <v>14425</v>
      </c>
      <c r="AE26" s="55">
        <f t="shared" si="9"/>
        <v>0.20248416138712905</v>
      </c>
      <c r="AF26" s="93">
        <v>1071</v>
      </c>
      <c r="AG26" s="90">
        <f t="shared" si="10"/>
        <v>0.26595744680851063</v>
      </c>
      <c r="AH26" s="46"/>
      <c r="AI26" s="55"/>
      <c r="AJ26" s="54"/>
      <c r="AK26" s="92"/>
      <c r="AL26" s="54"/>
      <c r="AM26" s="53"/>
      <c r="AN26" s="93"/>
      <c r="AO26" s="94"/>
      <c r="AP26" s="63"/>
      <c r="AQ26" s="95"/>
      <c r="AR26" s="50">
        <v>0</v>
      </c>
      <c r="AS26" s="94"/>
      <c r="AT26" s="61"/>
      <c r="AU26" s="94"/>
      <c r="AV26" s="96"/>
      <c r="AW26" s="97"/>
      <c r="AX26" s="93"/>
      <c r="AY26" s="94"/>
      <c r="AZ26" s="98"/>
      <c r="BA26" s="94"/>
      <c r="BB26" s="93"/>
      <c r="BC26" s="94"/>
    </row>
    <row r="27" spans="1:55" s="9" customFormat="1" ht="13.5" customHeight="1">
      <c r="A27" s="60"/>
      <c r="B27" s="45" t="s">
        <v>53</v>
      </c>
      <c r="C27" s="46">
        <v>848088</v>
      </c>
      <c r="D27" s="55">
        <f t="shared" si="0"/>
        <v>0.11953195747276044</v>
      </c>
      <c r="E27" s="14"/>
      <c r="F27" s="48">
        <v>146650</v>
      </c>
      <c r="G27" s="90">
        <f t="shared" si="1"/>
        <v>0.19346989265688452</v>
      </c>
      <c r="H27" s="46">
        <v>314111</v>
      </c>
      <c r="I27" s="55">
        <f t="shared" si="2"/>
        <v>0.151433284457478</v>
      </c>
      <c r="J27" s="48">
        <v>14055</v>
      </c>
      <c r="K27" s="90">
        <f t="shared" si="3"/>
        <v>0.18999237998475996</v>
      </c>
      <c r="L27" s="50">
        <v>57183</v>
      </c>
      <c r="M27" s="91">
        <f t="shared" si="4"/>
        <v>0.17211905054728815</v>
      </c>
      <c r="N27" s="48">
        <v>75330</v>
      </c>
      <c r="O27" s="90">
        <f t="shared" si="5"/>
        <v>-2.883958384364485E-2</v>
      </c>
      <c r="P27" s="46">
        <v>27588</v>
      </c>
      <c r="Q27" s="55"/>
      <c r="R27" s="50">
        <v>9594</v>
      </c>
      <c r="S27" s="91">
        <f t="shared" si="6"/>
        <v>0.43450956937799046</v>
      </c>
      <c r="T27" s="48">
        <v>30060</v>
      </c>
      <c r="U27" s="90">
        <f t="shared" si="7"/>
        <v>0.11602004826434008</v>
      </c>
      <c r="V27" s="54"/>
      <c r="W27" s="92"/>
      <c r="X27" s="53">
        <v>42044</v>
      </c>
      <c r="Y27" s="55">
        <f t="shared" si="8"/>
        <v>0.42788249278315504</v>
      </c>
      <c r="Z27" s="53"/>
      <c r="AA27" s="91"/>
      <c r="AB27" s="48">
        <v>18038</v>
      </c>
      <c r="AC27" s="90">
        <v>0.13883452238146349</v>
      </c>
      <c r="AD27" s="46">
        <v>11202</v>
      </c>
      <c r="AE27" s="55">
        <f t="shared" si="9"/>
        <v>7.6804767855426323E-2</v>
      </c>
      <c r="AF27" s="93">
        <v>1838</v>
      </c>
      <c r="AG27" s="90">
        <f t="shared" si="10"/>
        <v>0.28801681850035038</v>
      </c>
      <c r="AH27" s="46"/>
      <c r="AI27" s="55"/>
      <c r="AJ27" s="54"/>
      <c r="AK27" s="92"/>
      <c r="AL27" s="54"/>
      <c r="AM27" s="53"/>
      <c r="AN27" s="93"/>
      <c r="AO27" s="94"/>
      <c r="AP27" s="63">
        <f>AP203*0.287</f>
        <v>14319.864999999998</v>
      </c>
      <c r="AQ27" s="95">
        <f>(AP27/AP15-1)</f>
        <v>0.10058665203303008</v>
      </c>
      <c r="AR27" s="50">
        <v>0</v>
      </c>
      <c r="AS27" s="94"/>
      <c r="AT27" s="61"/>
      <c r="AU27" s="94"/>
      <c r="AV27" s="96"/>
      <c r="AW27" s="97"/>
      <c r="AX27" s="93"/>
      <c r="AY27" s="94"/>
      <c r="AZ27" s="98"/>
      <c r="BA27" s="94"/>
      <c r="BB27" s="93"/>
      <c r="BC27" s="94"/>
    </row>
    <row r="28" spans="1:55" s="9" customFormat="1" ht="13.5" customHeight="1">
      <c r="A28" s="60"/>
      <c r="B28" s="45" t="s">
        <v>54</v>
      </c>
      <c r="C28" s="46">
        <v>784031</v>
      </c>
      <c r="D28" s="55">
        <f t="shared" si="0"/>
        <v>5.1139113565459644E-2</v>
      </c>
      <c r="E28" s="14"/>
      <c r="F28" s="48">
        <v>140442</v>
      </c>
      <c r="G28" s="90">
        <f t="shared" si="1"/>
        <v>9.4049186330032952E-2</v>
      </c>
      <c r="H28" s="46">
        <v>255440</v>
      </c>
      <c r="I28" s="55">
        <f t="shared" si="2"/>
        <v>4.8027767976564613E-2</v>
      </c>
      <c r="J28" s="48">
        <v>15199</v>
      </c>
      <c r="K28" s="90">
        <f t="shared" si="3"/>
        <v>9.5107716694286332E-2</v>
      </c>
      <c r="L28" s="50">
        <v>53115</v>
      </c>
      <c r="M28" s="91">
        <f t="shared" si="4"/>
        <v>-4.8493425531152594E-2</v>
      </c>
      <c r="N28" s="48">
        <v>81795</v>
      </c>
      <c r="O28" s="90">
        <f t="shared" si="5"/>
        <v>-0.20626679993401326</v>
      </c>
      <c r="P28" s="46">
        <v>27656</v>
      </c>
      <c r="Q28" s="55"/>
      <c r="R28" s="50">
        <v>10870</v>
      </c>
      <c r="S28" s="91">
        <f t="shared" si="6"/>
        <v>0.45847309808130954</v>
      </c>
      <c r="T28" s="48">
        <v>31277</v>
      </c>
      <c r="U28" s="90">
        <f t="shared" si="7"/>
        <v>-1.0941403408911235E-2</v>
      </c>
      <c r="V28" s="54"/>
      <c r="W28" s="92"/>
      <c r="X28" s="53">
        <v>47685</v>
      </c>
      <c r="Y28" s="55">
        <f t="shared" si="8"/>
        <v>0.21354405252710329</v>
      </c>
      <c r="Z28" s="53"/>
      <c r="AA28" s="91"/>
      <c r="AB28" s="48">
        <v>30936</v>
      </c>
      <c r="AC28" s="90">
        <v>0.62317015583189039</v>
      </c>
      <c r="AD28" s="46">
        <v>14208</v>
      </c>
      <c r="AE28" s="55">
        <f t="shared" si="9"/>
        <v>0.58183032732130924</v>
      </c>
      <c r="AF28" s="93">
        <v>907</v>
      </c>
      <c r="AG28" s="90">
        <f t="shared" si="10"/>
        <v>8.2338902147971363E-2</v>
      </c>
      <c r="AH28" s="46"/>
      <c r="AI28" s="55"/>
      <c r="AJ28" s="54"/>
      <c r="AK28" s="92"/>
      <c r="AL28" s="54"/>
      <c r="AM28" s="53"/>
      <c r="AN28" s="93"/>
      <c r="AO28" s="94"/>
      <c r="AP28" s="63"/>
      <c r="AQ28" s="95"/>
      <c r="AR28" s="53">
        <v>20</v>
      </c>
      <c r="AS28" s="94"/>
      <c r="AT28" s="61"/>
      <c r="AU28" s="94"/>
      <c r="AV28" s="96"/>
      <c r="AW28" s="97"/>
      <c r="AX28" s="93"/>
      <c r="AY28" s="94"/>
      <c r="AZ28" s="98"/>
      <c r="BA28" s="94"/>
      <c r="BB28" s="93"/>
      <c r="BC28" s="94"/>
    </row>
    <row r="29" spans="1:55" s="9" customFormat="1" ht="13.5" customHeight="1">
      <c r="A29" s="65"/>
      <c r="B29" s="100" t="s">
        <v>55</v>
      </c>
      <c r="C29" s="66">
        <v>790681</v>
      </c>
      <c r="D29" s="67">
        <f t="shared" si="0"/>
        <v>8.9547014800943098E-2</v>
      </c>
      <c r="E29" s="14"/>
      <c r="F29" s="101">
        <v>142015</v>
      </c>
      <c r="G29" s="102">
        <f t="shared" si="1"/>
        <v>0.17545544087338702</v>
      </c>
      <c r="H29" s="66">
        <v>234074</v>
      </c>
      <c r="I29" s="67">
        <f t="shared" si="2"/>
        <v>4.0328888888888886E-2</v>
      </c>
      <c r="J29" s="101">
        <v>14405</v>
      </c>
      <c r="K29" s="102">
        <f t="shared" si="3"/>
        <v>0.10858857934431276</v>
      </c>
      <c r="L29" s="103">
        <v>58084</v>
      </c>
      <c r="M29" s="104">
        <f t="shared" si="4"/>
        <v>0.13582854237553288</v>
      </c>
      <c r="N29" s="101">
        <v>84351</v>
      </c>
      <c r="O29" s="102">
        <f t="shared" si="5"/>
        <v>-6.2381201160477087E-2</v>
      </c>
      <c r="P29" s="66">
        <v>27472</v>
      </c>
      <c r="Q29" s="67"/>
      <c r="R29" s="103">
        <v>14479</v>
      </c>
      <c r="S29" s="104">
        <f t="shared" si="6"/>
        <v>0.88504101028511917</v>
      </c>
      <c r="T29" s="101">
        <v>32789</v>
      </c>
      <c r="U29" s="102">
        <f t="shared" si="7"/>
        <v>0.16091913326724261</v>
      </c>
      <c r="V29" s="105"/>
      <c r="W29" s="106"/>
      <c r="X29" s="107">
        <v>50643</v>
      </c>
      <c r="Y29" s="67">
        <f t="shared" si="8"/>
        <v>0.32865463322489252</v>
      </c>
      <c r="Z29" s="107"/>
      <c r="AA29" s="104"/>
      <c r="AB29" s="101">
        <v>17797</v>
      </c>
      <c r="AC29" s="102">
        <v>-0.32962935061021548</v>
      </c>
      <c r="AD29" s="66">
        <v>14602</v>
      </c>
      <c r="AE29" s="67">
        <f t="shared" si="9"/>
        <v>0.3588311930020473</v>
      </c>
      <c r="AF29" s="108">
        <v>1845</v>
      </c>
      <c r="AG29" s="102">
        <f t="shared" si="10"/>
        <v>1.5308641975308641</v>
      </c>
      <c r="AH29" s="46"/>
      <c r="AI29" s="55"/>
      <c r="AJ29" s="105"/>
      <c r="AK29" s="106"/>
      <c r="AL29" s="105"/>
      <c r="AM29" s="107"/>
      <c r="AN29" s="108"/>
      <c r="AO29" s="109"/>
      <c r="AP29" s="63"/>
      <c r="AQ29" s="95"/>
      <c r="AR29" s="110">
        <v>0</v>
      </c>
      <c r="AS29" s="109"/>
      <c r="AT29" s="68"/>
      <c r="AU29" s="109"/>
      <c r="AV29" s="111"/>
      <c r="AW29" s="112"/>
      <c r="AX29" s="108"/>
      <c r="AY29" s="109"/>
      <c r="AZ29" s="113"/>
      <c r="BA29" s="109"/>
      <c r="BB29" s="108"/>
      <c r="BC29" s="109"/>
    </row>
    <row r="30" spans="1:55" s="9" customFormat="1" ht="13.5" customHeight="1">
      <c r="A30" s="72" t="s">
        <v>58</v>
      </c>
      <c r="B30" s="45" t="s">
        <v>43</v>
      </c>
      <c r="C30" s="46">
        <v>985287</v>
      </c>
      <c r="D30" s="55">
        <f t="shared" si="0"/>
        <v>9.7927805252026393E-2</v>
      </c>
      <c r="E30" s="14"/>
      <c r="F30" s="48">
        <v>192590</v>
      </c>
      <c r="G30" s="90">
        <f t="shared" si="1"/>
        <v>0.10193105421255901</v>
      </c>
      <c r="H30" s="46">
        <v>268689</v>
      </c>
      <c r="I30" s="55">
        <f t="shared" si="2"/>
        <v>-0.10870170969090222</v>
      </c>
      <c r="J30" s="48">
        <v>20001</v>
      </c>
      <c r="K30" s="90">
        <f t="shared" si="3"/>
        <v>4.101389684068079E-2</v>
      </c>
      <c r="L30" s="50">
        <v>60723</v>
      </c>
      <c r="M30" s="91">
        <f t="shared" si="4"/>
        <v>0.13198366981712431</v>
      </c>
      <c r="N30" s="48">
        <v>118919</v>
      </c>
      <c r="O30" s="90">
        <f t="shared" si="5"/>
        <v>1.2551581582340894</v>
      </c>
      <c r="P30" s="46">
        <v>38758</v>
      </c>
      <c r="Q30" s="55">
        <f t="shared" ref="Q30:Q60" si="11">(P30-P18)/P18</f>
        <v>0.5303640527521124</v>
      </c>
      <c r="R30" s="50">
        <v>18451</v>
      </c>
      <c r="S30" s="91">
        <f t="shared" si="6"/>
        <v>0.42061903295349551</v>
      </c>
      <c r="T30" s="48">
        <v>40604</v>
      </c>
      <c r="U30" s="90">
        <f t="shared" si="7"/>
        <v>0.99136831780284451</v>
      </c>
      <c r="V30" s="46">
        <v>660</v>
      </c>
      <c r="W30" s="75"/>
      <c r="X30" s="53">
        <v>58583</v>
      </c>
      <c r="Y30" s="55">
        <f t="shared" si="8"/>
        <v>0.298094393972967</v>
      </c>
      <c r="Z30" s="53"/>
      <c r="AA30" s="91"/>
      <c r="AB30" s="48">
        <v>23988</v>
      </c>
      <c r="AC30" s="90">
        <v>0.52537199542159485</v>
      </c>
      <c r="AD30" s="46">
        <v>15051</v>
      </c>
      <c r="AE30" s="55">
        <f t="shared" si="9"/>
        <v>0.31323619230433647</v>
      </c>
      <c r="AF30" s="46">
        <v>3615</v>
      </c>
      <c r="AG30" s="77">
        <f>(AF30-AF18)/AF18</f>
        <v>0.10213414634146341</v>
      </c>
      <c r="AH30" s="74"/>
      <c r="AI30" s="75"/>
      <c r="AJ30" s="87">
        <v>25753</v>
      </c>
      <c r="AK30" s="57"/>
      <c r="AL30" s="46"/>
      <c r="AM30" s="79"/>
      <c r="AN30" s="46">
        <v>1316</v>
      </c>
      <c r="AO30" s="75"/>
      <c r="AP30" s="56">
        <f>AP204*0.321</f>
        <v>22600.647000000001</v>
      </c>
      <c r="AQ30" s="85">
        <f>(AP30/AP18-1)</f>
        <v>0.54595278070295761</v>
      </c>
      <c r="AR30" s="50">
        <v>0</v>
      </c>
      <c r="AS30" s="114" t="str">
        <f>IFERROR(AR30/AR18-1,"-")</f>
        <v>-</v>
      </c>
      <c r="AT30" s="89"/>
      <c r="AU30" s="84"/>
      <c r="AV30" s="115">
        <v>11824</v>
      </c>
      <c r="AW30" s="116">
        <f>AV30/AV18-1</f>
        <v>0.35814380886744779</v>
      </c>
      <c r="AX30" s="46"/>
      <c r="AY30" s="75"/>
      <c r="AZ30" s="89"/>
      <c r="BA30" s="84"/>
      <c r="BB30" s="46"/>
      <c r="BC30" s="75"/>
    </row>
    <row r="31" spans="1:55" s="9" customFormat="1" ht="13.5" customHeight="1">
      <c r="A31" s="60"/>
      <c r="B31" s="45" t="s">
        <v>44</v>
      </c>
      <c r="C31" s="46">
        <v>944596</v>
      </c>
      <c r="D31" s="55">
        <f t="shared" si="0"/>
        <v>0.2662178718977799</v>
      </c>
      <c r="E31" s="14"/>
      <c r="F31" s="48">
        <v>174239</v>
      </c>
      <c r="G31" s="90">
        <f t="shared" si="1"/>
        <v>0.16981322089884926</v>
      </c>
      <c r="H31" s="46">
        <v>322009</v>
      </c>
      <c r="I31" s="55">
        <f t="shared" si="2"/>
        <v>0.2205540099006148</v>
      </c>
      <c r="J31" s="48">
        <v>18518</v>
      </c>
      <c r="K31" s="90">
        <f t="shared" si="3"/>
        <v>0.17986619942656898</v>
      </c>
      <c r="L31" s="50">
        <v>59013</v>
      </c>
      <c r="M31" s="91">
        <f t="shared" si="4"/>
        <v>0.27869385278758857</v>
      </c>
      <c r="N31" s="48">
        <v>113858</v>
      </c>
      <c r="O31" s="90">
        <f t="shared" si="5"/>
        <v>1.0769806089129681</v>
      </c>
      <c r="P31" s="46">
        <v>42231</v>
      </c>
      <c r="Q31" s="55">
        <f t="shared" si="11"/>
        <v>0.60812611857888121</v>
      </c>
      <c r="R31" s="50">
        <v>18200</v>
      </c>
      <c r="S31" s="91">
        <f t="shared" si="6"/>
        <v>0.87977690559801691</v>
      </c>
      <c r="T31" s="48">
        <v>40835</v>
      </c>
      <c r="U31" s="90">
        <f t="shared" si="7"/>
        <v>0.66361117901083677</v>
      </c>
      <c r="V31" s="46">
        <v>451</v>
      </c>
      <c r="W31" s="55"/>
      <c r="X31" s="53">
        <v>47678</v>
      </c>
      <c r="Y31" s="55">
        <f t="shared" si="8"/>
        <v>0.32870718724744319</v>
      </c>
      <c r="Z31" s="53"/>
      <c r="AA31" s="91"/>
      <c r="AB31" s="48">
        <v>23621</v>
      </c>
      <c r="AC31" s="90">
        <v>0.20792636154436206</v>
      </c>
      <c r="AD31" s="46">
        <v>17705</v>
      </c>
      <c r="AE31" s="55">
        <f t="shared" si="9"/>
        <v>0.42208835341365464</v>
      </c>
      <c r="AF31" s="46">
        <v>5782</v>
      </c>
      <c r="AG31" s="90">
        <f t="shared" ref="AG31:AG41" si="12">(AF31-AF19)/AF19</f>
        <v>0.77962449984610649</v>
      </c>
      <c r="AH31" s="46"/>
      <c r="AI31" s="55"/>
      <c r="AJ31" s="96"/>
      <c r="AK31" s="64"/>
      <c r="AL31" s="46"/>
      <c r="AM31" s="91"/>
      <c r="AN31" s="46">
        <v>1127</v>
      </c>
      <c r="AO31" s="55"/>
      <c r="AP31" s="63"/>
      <c r="AQ31" s="95"/>
      <c r="AR31" s="50">
        <v>0</v>
      </c>
      <c r="AS31" s="117" t="str">
        <f t="shared" ref="AS31:AS94" si="13">IFERROR(AR31/AR19-1,"-")</f>
        <v>-</v>
      </c>
      <c r="AT31" s="98"/>
      <c r="AU31" s="94"/>
      <c r="AV31" s="118"/>
      <c r="AW31" s="119"/>
      <c r="AX31" s="46"/>
      <c r="AY31" s="55"/>
      <c r="AZ31" s="98"/>
      <c r="BA31" s="94"/>
      <c r="BB31" s="46"/>
      <c r="BC31" s="55"/>
    </row>
    <row r="32" spans="1:55" s="9" customFormat="1" ht="13.5" customHeight="1">
      <c r="A32" s="60"/>
      <c r="B32" s="45" t="s">
        <v>45</v>
      </c>
      <c r="C32" s="46">
        <v>823918</v>
      </c>
      <c r="D32" s="55">
        <f t="shared" si="0"/>
        <v>0.16527639882442458</v>
      </c>
      <c r="E32" s="14"/>
      <c r="F32" s="48">
        <v>149071</v>
      </c>
      <c r="G32" s="90">
        <f t="shared" si="1"/>
        <v>0.13826806044455303</v>
      </c>
      <c r="H32" s="46">
        <v>270025</v>
      </c>
      <c r="I32" s="55">
        <f t="shared" si="2"/>
        <v>4.4236733620536303E-2</v>
      </c>
      <c r="J32" s="48">
        <v>15970</v>
      </c>
      <c r="K32" s="90">
        <f t="shared" si="3"/>
        <v>0.17816303946883069</v>
      </c>
      <c r="L32" s="50">
        <v>53903</v>
      </c>
      <c r="M32" s="91">
        <f t="shared" si="4"/>
        <v>0.26812685267962172</v>
      </c>
      <c r="N32" s="48">
        <v>91948</v>
      </c>
      <c r="O32" s="90">
        <f t="shared" si="5"/>
        <v>0.77201333615987977</v>
      </c>
      <c r="P32" s="46">
        <v>40629</v>
      </c>
      <c r="Q32" s="55">
        <f t="shared" si="11"/>
        <v>0.72793773657125849</v>
      </c>
      <c r="R32" s="50">
        <v>12279</v>
      </c>
      <c r="S32" s="91">
        <f t="shared" si="6"/>
        <v>0.73751238149143905</v>
      </c>
      <c r="T32" s="48">
        <v>36144</v>
      </c>
      <c r="U32" s="90">
        <f t="shared" si="7"/>
        <v>0.53941820350100089</v>
      </c>
      <c r="V32" s="46">
        <v>482</v>
      </c>
      <c r="W32" s="55"/>
      <c r="X32" s="53">
        <v>38507</v>
      </c>
      <c r="Y32" s="55">
        <f t="shared" si="8"/>
        <v>0.18563335180737739</v>
      </c>
      <c r="Z32" s="53"/>
      <c r="AA32" s="91"/>
      <c r="AB32" s="48">
        <v>22605</v>
      </c>
      <c r="AC32" s="90">
        <v>0.30491254401662532</v>
      </c>
      <c r="AD32" s="46">
        <v>15529</v>
      </c>
      <c r="AE32" s="55">
        <f t="shared" si="9"/>
        <v>0.29808576444035778</v>
      </c>
      <c r="AF32" s="46">
        <v>3560</v>
      </c>
      <c r="AG32" s="90">
        <f t="shared" si="12"/>
        <v>1.2319749216300941</v>
      </c>
      <c r="AH32" s="46"/>
      <c r="AI32" s="55"/>
      <c r="AJ32" s="96"/>
      <c r="AK32" s="64"/>
      <c r="AL32" s="46"/>
      <c r="AM32" s="91"/>
      <c r="AN32" s="46">
        <v>1115</v>
      </c>
      <c r="AO32" s="55"/>
      <c r="AP32" s="63"/>
      <c r="AQ32" s="95"/>
      <c r="AR32" s="50">
        <v>0</v>
      </c>
      <c r="AS32" s="117">
        <f t="shared" si="13"/>
        <v>-1</v>
      </c>
      <c r="AT32" s="98"/>
      <c r="AU32" s="94"/>
      <c r="AV32" s="118"/>
      <c r="AW32" s="119"/>
      <c r="AX32" s="46"/>
      <c r="AY32" s="55"/>
      <c r="AZ32" s="98"/>
      <c r="BA32" s="94"/>
      <c r="BB32" s="46"/>
      <c r="BC32" s="55"/>
    </row>
    <row r="33" spans="1:55" s="9" customFormat="1" ht="13.5" customHeight="1">
      <c r="A33" s="60"/>
      <c r="B33" s="45" t="s">
        <v>46</v>
      </c>
      <c r="C33" s="46">
        <v>855083</v>
      </c>
      <c r="D33" s="55">
        <f t="shared" si="0"/>
        <v>0.12201481178224266</v>
      </c>
      <c r="E33" s="14"/>
      <c r="F33" s="48">
        <v>162657</v>
      </c>
      <c r="G33" s="90">
        <f t="shared" si="1"/>
        <v>0.33233675174470034</v>
      </c>
      <c r="H33" s="46">
        <v>296361</v>
      </c>
      <c r="I33" s="55">
        <f t="shared" si="2"/>
        <v>1.2179169726258987E-2</v>
      </c>
      <c r="J33" s="48">
        <v>13682</v>
      </c>
      <c r="K33" s="90">
        <f t="shared" si="3"/>
        <v>-8.3221656392388099E-2</v>
      </c>
      <c r="L33" s="50">
        <v>55107</v>
      </c>
      <c r="M33" s="91">
        <f t="shared" si="4"/>
        <v>7.0933012029461492E-2</v>
      </c>
      <c r="N33" s="48">
        <v>76343</v>
      </c>
      <c r="O33" s="90">
        <f t="shared" si="5"/>
        <v>0.59920817797142734</v>
      </c>
      <c r="P33" s="46">
        <v>33282</v>
      </c>
      <c r="Q33" s="55">
        <f t="shared" si="11"/>
        <v>0.2836315951866708</v>
      </c>
      <c r="R33" s="50">
        <v>10509</v>
      </c>
      <c r="S33" s="91">
        <f t="shared" si="6"/>
        <v>0.2776899696048632</v>
      </c>
      <c r="T33" s="48">
        <v>31775</v>
      </c>
      <c r="U33" s="90">
        <f t="shared" si="7"/>
        <v>9.4406557828752499E-2</v>
      </c>
      <c r="V33" s="48">
        <v>322</v>
      </c>
      <c r="W33" s="55"/>
      <c r="X33" s="53">
        <v>39115</v>
      </c>
      <c r="Y33" s="55">
        <f t="shared" si="8"/>
        <v>0.1443826799297836</v>
      </c>
      <c r="Z33" s="53"/>
      <c r="AA33" s="91"/>
      <c r="AB33" s="48">
        <v>23086</v>
      </c>
      <c r="AC33" s="90">
        <v>0.1113999614866166</v>
      </c>
      <c r="AD33" s="46">
        <v>14233</v>
      </c>
      <c r="AE33" s="55">
        <f t="shared" si="9"/>
        <v>0.30267252425407287</v>
      </c>
      <c r="AF33" s="48">
        <v>2660</v>
      </c>
      <c r="AG33" s="90">
        <f t="shared" si="12"/>
        <v>0.43628509719222464</v>
      </c>
      <c r="AH33" s="46"/>
      <c r="AI33" s="55"/>
      <c r="AJ33" s="96"/>
      <c r="AK33" s="64"/>
      <c r="AL33" s="48"/>
      <c r="AM33" s="91"/>
      <c r="AN33" s="48">
        <v>684</v>
      </c>
      <c r="AO33" s="55"/>
      <c r="AP33" s="63">
        <f>AP204*0.153</f>
        <v>10772.271000000001</v>
      </c>
      <c r="AQ33" s="99">
        <f>(AP33/AP21-1)</f>
        <v>0.30059522587795828</v>
      </c>
      <c r="AR33" s="120">
        <v>0</v>
      </c>
      <c r="AS33" s="117">
        <f t="shared" si="13"/>
        <v>-1</v>
      </c>
      <c r="AT33" s="98"/>
      <c r="AU33" s="94"/>
      <c r="AV33" s="118"/>
      <c r="AW33" s="119"/>
      <c r="AX33" s="48"/>
      <c r="AY33" s="55"/>
      <c r="AZ33" s="98"/>
      <c r="BA33" s="94"/>
      <c r="BB33" s="48"/>
      <c r="BC33" s="55"/>
    </row>
    <row r="34" spans="1:55" s="9" customFormat="1" ht="13.5" customHeight="1">
      <c r="A34" s="60"/>
      <c r="B34" s="45" t="s">
        <v>47</v>
      </c>
      <c r="C34" s="46">
        <v>906482</v>
      </c>
      <c r="D34" s="55">
        <f t="shared" si="0"/>
        <v>0.12957680838682262</v>
      </c>
      <c r="E34" s="14"/>
      <c r="F34" s="48">
        <v>161080</v>
      </c>
      <c r="G34" s="90">
        <f t="shared" si="1"/>
        <v>0.41111334986114884</v>
      </c>
      <c r="H34" s="46">
        <v>318514</v>
      </c>
      <c r="I34" s="55">
        <f t="shared" si="2"/>
        <v>4.9846567630549357E-2</v>
      </c>
      <c r="J34" s="48">
        <v>14007</v>
      </c>
      <c r="K34" s="90">
        <f t="shared" si="3"/>
        <v>-0.13360549267025423</v>
      </c>
      <c r="L34" s="50">
        <v>52803</v>
      </c>
      <c r="M34" s="91">
        <f t="shared" si="4"/>
        <v>3.8774787535410762E-2</v>
      </c>
      <c r="N34" s="48">
        <v>79708</v>
      </c>
      <c r="O34" s="90">
        <f t="shared" si="5"/>
        <v>0.28509471987101975</v>
      </c>
      <c r="P34" s="46">
        <v>27155</v>
      </c>
      <c r="Q34" s="55">
        <f t="shared" si="11"/>
        <v>0.11868666062453655</v>
      </c>
      <c r="R34" s="50">
        <v>10705</v>
      </c>
      <c r="S34" s="91">
        <f t="shared" si="6"/>
        <v>0.17740871095468544</v>
      </c>
      <c r="T34" s="48">
        <v>34237</v>
      </c>
      <c r="U34" s="90">
        <f t="shared" si="7"/>
        <v>0.18356552701628237</v>
      </c>
      <c r="V34" s="48">
        <v>375</v>
      </c>
      <c r="W34" s="55"/>
      <c r="X34" s="53">
        <v>41376</v>
      </c>
      <c r="Y34" s="55">
        <f t="shared" si="8"/>
        <v>0.10306584910690475</v>
      </c>
      <c r="Z34" s="53"/>
      <c r="AA34" s="91"/>
      <c r="AB34" s="48">
        <v>24454</v>
      </c>
      <c r="AC34" s="90">
        <v>6.5765962083242535E-2</v>
      </c>
      <c r="AD34" s="46">
        <v>12685</v>
      </c>
      <c r="AE34" s="55">
        <f t="shared" si="9"/>
        <v>5.4797937801430233E-2</v>
      </c>
      <c r="AF34" s="48">
        <v>2172</v>
      </c>
      <c r="AG34" s="90">
        <f t="shared" si="12"/>
        <v>0.26352530541012215</v>
      </c>
      <c r="AH34" s="46"/>
      <c r="AI34" s="55"/>
      <c r="AJ34" s="96"/>
      <c r="AK34" s="64"/>
      <c r="AL34" s="48"/>
      <c r="AM34" s="91"/>
      <c r="AN34" s="48">
        <v>1106</v>
      </c>
      <c r="AO34" s="55"/>
      <c r="AP34" s="63"/>
      <c r="AQ34" s="99"/>
      <c r="AR34" s="120">
        <v>9</v>
      </c>
      <c r="AS34" s="117" t="str">
        <f t="shared" si="13"/>
        <v>-</v>
      </c>
      <c r="AT34" s="98"/>
      <c r="AU34" s="94"/>
      <c r="AV34" s="118"/>
      <c r="AW34" s="119"/>
      <c r="AX34" s="48"/>
      <c r="AY34" s="55"/>
      <c r="AZ34" s="98"/>
      <c r="BA34" s="94"/>
      <c r="BB34" s="48"/>
      <c r="BC34" s="55"/>
    </row>
    <row r="35" spans="1:55" s="9" customFormat="1" ht="13.5" customHeight="1">
      <c r="A35" s="60"/>
      <c r="B35" s="45" t="s">
        <v>49</v>
      </c>
      <c r="C35" s="46">
        <v>915942</v>
      </c>
      <c r="D35" s="55">
        <f t="shared" si="0"/>
        <v>5.8044826514711337E-2</v>
      </c>
      <c r="E35" s="14"/>
      <c r="F35" s="48">
        <v>153706</v>
      </c>
      <c r="G35" s="90">
        <f t="shared" si="1"/>
        <v>0.15414823881000472</v>
      </c>
      <c r="H35" s="46">
        <v>309209</v>
      </c>
      <c r="I35" s="55">
        <f t="shared" si="2"/>
        <v>1.3657090967502943E-2</v>
      </c>
      <c r="J35" s="48">
        <v>16478</v>
      </c>
      <c r="K35" s="90">
        <f t="shared" si="3"/>
        <v>-2.6065370293752586E-2</v>
      </c>
      <c r="L35" s="50">
        <v>52135</v>
      </c>
      <c r="M35" s="91">
        <f t="shared" si="4"/>
        <v>-9.4170793154374072E-2</v>
      </c>
      <c r="N35" s="48">
        <v>77669</v>
      </c>
      <c r="O35" s="90">
        <f t="shared" si="5"/>
        <v>1.8850351558400671E-2</v>
      </c>
      <c r="P35" s="46">
        <v>25839</v>
      </c>
      <c r="Q35" s="55">
        <f t="shared" si="11"/>
        <v>-8.3333333333333329E-2</v>
      </c>
      <c r="R35" s="50">
        <v>10482</v>
      </c>
      <c r="S35" s="91">
        <f t="shared" si="6"/>
        <v>0.1336794289422453</v>
      </c>
      <c r="T35" s="48">
        <v>36325</v>
      </c>
      <c r="U35" s="90">
        <f t="shared" si="7"/>
        <v>0.12231971822282642</v>
      </c>
      <c r="V35" s="48">
        <v>361</v>
      </c>
      <c r="W35" s="55"/>
      <c r="X35" s="53">
        <v>42158</v>
      </c>
      <c r="Y35" s="55">
        <f t="shared" si="8"/>
        <v>5.9246231155778872E-2</v>
      </c>
      <c r="Z35" s="53"/>
      <c r="AA35" s="91"/>
      <c r="AB35" s="48">
        <v>22741</v>
      </c>
      <c r="AC35" s="90">
        <v>5.0489652623798967E-2</v>
      </c>
      <c r="AD35" s="46">
        <v>13686</v>
      </c>
      <c r="AE35" s="55">
        <f t="shared" si="9"/>
        <v>0.28870056497175139</v>
      </c>
      <c r="AF35" s="48">
        <v>1823</v>
      </c>
      <c r="AG35" s="90">
        <f t="shared" si="12"/>
        <v>-0.25439672801635993</v>
      </c>
      <c r="AH35" s="46"/>
      <c r="AI35" s="55"/>
      <c r="AJ35" s="96"/>
      <c r="AK35" s="64"/>
      <c r="AL35" s="48"/>
      <c r="AM35" s="91"/>
      <c r="AN35" s="48">
        <v>2143</v>
      </c>
      <c r="AO35" s="55"/>
      <c r="AP35" s="63"/>
      <c r="AQ35" s="99"/>
      <c r="AR35" s="120">
        <v>13</v>
      </c>
      <c r="AS35" s="117" t="str">
        <f t="shared" si="13"/>
        <v>-</v>
      </c>
      <c r="AT35" s="98"/>
      <c r="AU35" s="94"/>
      <c r="AV35" s="118"/>
      <c r="AW35" s="119"/>
      <c r="AX35" s="48"/>
      <c r="AY35" s="55"/>
      <c r="AZ35" s="98"/>
      <c r="BA35" s="94"/>
      <c r="BB35" s="48"/>
      <c r="BC35" s="55"/>
    </row>
    <row r="36" spans="1:55" s="9" customFormat="1" ht="13.5" customHeight="1">
      <c r="A36" s="60"/>
      <c r="B36" s="45" t="s">
        <v>50</v>
      </c>
      <c r="C36" s="46">
        <v>1098740</v>
      </c>
      <c r="D36" s="55">
        <f t="shared" si="0"/>
        <v>7.6397222845398072E-2</v>
      </c>
      <c r="E36" s="14"/>
      <c r="F36" s="48">
        <v>197622</v>
      </c>
      <c r="G36" s="90">
        <f t="shared" si="1"/>
        <v>0.15961741579626804</v>
      </c>
      <c r="H36" s="46">
        <v>363925</v>
      </c>
      <c r="I36" s="55">
        <f t="shared" si="2"/>
        <v>8.2948965927689328E-2</v>
      </c>
      <c r="J36" s="48">
        <v>14462</v>
      </c>
      <c r="K36" s="90">
        <f t="shared" si="3"/>
        <v>1.5803891269228067E-2</v>
      </c>
      <c r="L36" s="50">
        <v>60239</v>
      </c>
      <c r="M36" s="91">
        <f t="shared" si="4"/>
        <v>3.8907955780142459E-2</v>
      </c>
      <c r="N36" s="48">
        <v>89563</v>
      </c>
      <c r="O36" s="90">
        <f t="shared" si="5"/>
        <v>8.2423890842729899E-2</v>
      </c>
      <c r="P36" s="46">
        <v>28534</v>
      </c>
      <c r="Q36" s="55">
        <f t="shared" si="11"/>
        <v>0.11356540743053388</v>
      </c>
      <c r="R36" s="50">
        <v>13314</v>
      </c>
      <c r="S36" s="91">
        <f t="shared" si="6"/>
        <v>0.3008304836345872</v>
      </c>
      <c r="T36" s="48">
        <v>45671</v>
      </c>
      <c r="U36" s="90">
        <f t="shared" si="7"/>
        <v>6.3080468331742745E-2</v>
      </c>
      <c r="V36" s="48">
        <v>581</v>
      </c>
      <c r="W36" s="55"/>
      <c r="X36" s="53">
        <v>53891</v>
      </c>
      <c r="Y36" s="55">
        <f t="shared" si="8"/>
        <v>0.14018830001057858</v>
      </c>
      <c r="Z36" s="53"/>
      <c r="AA36" s="91"/>
      <c r="AB36" s="48">
        <v>23438</v>
      </c>
      <c r="AC36" s="90">
        <v>-0.22585546307306117</v>
      </c>
      <c r="AD36" s="46">
        <v>15781</v>
      </c>
      <c r="AE36" s="55">
        <f t="shared" si="9"/>
        <v>-2.7485055771245454E-2</v>
      </c>
      <c r="AF36" s="48">
        <v>1704</v>
      </c>
      <c r="AG36" s="90">
        <f t="shared" si="12"/>
        <v>6.4973419964559952E-3</v>
      </c>
      <c r="AH36" s="46"/>
      <c r="AI36" s="55"/>
      <c r="AJ36" s="96">
        <v>14177</v>
      </c>
      <c r="AK36" s="64"/>
      <c r="AL36" s="48"/>
      <c r="AM36" s="91"/>
      <c r="AN36" s="48">
        <v>2857</v>
      </c>
      <c r="AO36" s="55"/>
      <c r="AP36" s="63">
        <f>AP204*0.239</f>
        <v>16827.273000000001</v>
      </c>
      <c r="AQ36" s="95">
        <f>(AP36/AP24-1)</f>
        <v>0.33301854843788581</v>
      </c>
      <c r="AR36" s="120">
        <v>0</v>
      </c>
      <c r="AS36" s="117" t="str">
        <f t="shared" si="13"/>
        <v>-</v>
      </c>
      <c r="AT36" s="98"/>
      <c r="AU36" s="94"/>
      <c r="AV36" s="118"/>
      <c r="AW36" s="119"/>
      <c r="AX36" s="48"/>
      <c r="AY36" s="55"/>
      <c r="AZ36" s="98"/>
      <c r="BA36" s="94"/>
      <c r="BB36" s="48"/>
      <c r="BC36" s="55"/>
    </row>
    <row r="37" spans="1:55" s="9" customFormat="1" ht="13.5" customHeight="1">
      <c r="A37" s="60"/>
      <c r="B37" s="45" t="s">
        <v>51</v>
      </c>
      <c r="C37" s="46">
        <v>1159874</v>
      </c>
      <c r="D37" s="55">
        <f t="shared" si="0"/>
        <v>8.3701691786050303E-2</v>
      </c>
      <c r="E37" s="14"/>
      <c r="F37" s="48">
        <v>220332</v>
      </c>
      <c r="G37" s="90">
        <f t="shared" si="1"/>
        <v>0.13996864636096007</v>
      </c>
      <c r="H37" s="46">
        <v>407126</v>
      </c>
      <c r="I37" s="55">
        <f t="shared" si="2"/>
        <v>3.4693436685939383E-2</v>
      </c>
      <c r="J37" s="48">
        <v>16598</v>
      </c>
      <c r="K37" s="90">
        <f t="shared" si="3"/>
        <v>3.1444195873726072E-2</v>
      </c>
      <c r="L37" s="50">
        <v>67950</v>
      </c>
      <c r="M37" s="91">
        <f t="shared" si="4"/>
        <v>9.7082519334162135E-2</v>
      </c>
      <c r="N37" s="48">
        <v>96122</v>
      </c>
      <c r="O37" s="90">
        <f t="shared" si="5"/>
        <v>9.1637990755567666E-2</v>
      </c>
      <c r="P37" s="46">
        <v>37756</v>
      </c>
      <c r="Q37" s="55">
        <f t="shared" si="11"/>
        <v>0.16502098247346333</v>
      </c>
      <c r="R37" s="50">
        <v>15697</v>
      </c>
      <c r="S37" s="91">
        <f t="shared" si="6"/>
        <v>0.34070720874615645</v>
      </c>
      <c r="T37" s="48">
        <v>44853</v>
      </c>
      <c r="U37" s="90">
        <f t="shared" si="7"/>
        <v>4.8187703021663433E-2</v>
      </c>
      <c r="V37" s="48">
        <v>637</v>
      </c>
      <c r="W37" s="55"/>
      <c r="X37" s="53">
        <v>47251</v>
      </c>
      <c r="Y37" s="55">
        <f t="shared" si="8"/>
        <v>1.9087262218004497E-2</v>
      </c>
      <c r="Z37" s="53"/>
      <c r="AA37" s="91"/>
      <c r="AB37" s="48">
        <v>25713</v>
      </c>
      <c r="AC37" s="90">
        <v>-6.4981818181818182E-2</v>
      </c>
      <c r="AD37" s="46">
        <v>18751</v>
      </c>
      <c r="AE37" s="55">
        <f t="shared" si="9"/>
        <v>3.7859080090773232E-2</v>
      </c>
      <c r="AF37" s="48">
        <v>974</v>
      </c>
      <c r="AG37" s="90">
        <f t="shared" si="12"/>
        <v>-0.7783340919435594</v>
      </c>
      <c r="AH37" s="46"/>
      <c r="AI37" s="55"/>
      <c r="AJ37" s="96"/>
      <c r="AK37" s="64"/>
      <c r="AL37" s="48"/>
      <c r="AM37" s="91"/>
      <c r="AN37" s="48">
        <v>3096</v>
      </c>
      <c r="AO37" s="55"/>
      <c r="AP37" s="63"/>
      <c r="AQ37" s="95"/>
      <c r="AR37" s="120">
        <v>0</v>
      </c>
      <c r="AS37" s="117" t="str">
        <f t="shared" si="13"/>
        <v>-</v>
      </c>
      <c r="AT37" s="98"/>
      <c r="AU37" s="94"/>
      <c r="AV37" s="118"/>
      <c r="AW37" s="119"/>
      <c r="AX37" s="48"/>
      <c r="AY37" s="55"/>
      <c r="AZ37" s="98"/>
      <c r="BA37" s="94"/>
      <c r="BB37" s="48"/>
      <c r="BC37" s="55"/>
    </row>
    <row r="38" spans="1:55" s="9" customFormat="1" ht="13.5" customHeight="1">
      <c r="A38" s="60"/>
      <c r="B38" s="45" t="s">
        <v>52</v>
      </c>
      <c r="C38" s="46">
        <v>931946</v>
      </c>
      <c r="D38" s="55">
        <f t="shared" si="0"/>
        <v>0.18636265847197311</v>
      </c>
      <c r="E38" s="14"/>
      <c r="F38" s="48">
        <v>156451</v>
      </c>
      <c r="G38" s="90">
        <f t="shared" si="1"/>
        <v>0.20098411747998374</v>
      </c>
      <c r="H38" s="46">
        <v>334169</v>
      </c>
      <c r="I38" s="55">
        <f t="shared" si="2"/>
        <v>0.17441835945736978</v>
      </c>
      <c r="J38" s="48">
        <v>13004</v>
      </c>
      <c r="K38" s="90">
        <f t="shared" si="3"/>
        <v>7.8633045786330458E-2</v>
      </c>
      <c r="L38" s="50">
        <v>51784</v>
      </c>
      <c r="M38" s="91">
        <f t="shared" si="4"/>
        <v>-4.8045508705846177E-3</v>
      </c>
      <c r="N38" s="48">
        <v>68166</v>
      </c>
      <c r="O38" s="90">
        <f t="shared" si="5"/>
        <v>0.15940402081845087</v>
      </c>
      <c r="P38" s="46">
        <v>32012</v>
      </c>
      <c r="Q38" s="55">
        <f t="shared" si="11"/>
        <v>0.39334058759521218</v>
      </c>
      <c r="R38" s="50">
        <v>9321</v>
      </c>
      <c r="S38" s="91">
        <f t="shared" si="6"/>
        <v>0.23407917383820998</v>
      </c>
      <c r="T38" s="48">
        <v>29314</v>
      </c>
      <c r="U38" s="90">
        <f t="shared" si="7"/>
        <v>0.14633192554356328</v>
      </c>
      <c r="V38" s="48">
        <v>411</v>
      </c>
      <c r="W38" s="55"/>
      <c r="X38" s="53">
        <v>37921</v>
      </c>
      <c r="Y38" s="55">
        <f t="shared" si="8"/>
        <v>0.24408648010235878</v>
      </c>
      <c r="Z38" s="53"/>
      <c r="AA38" s="91"/>
      <c r="AB38" s="48">
        <v>22375</v>
      </c>
      <c r="AC38" s="90">
        <v>7.365642994241843E-2</v>
      </c>
      <c r="AD38" s="46">
        <v>14846</v>
      </c>
      <c r="AE38" s="55">
        <f t="shared" si="9"/>
        <v>2.9185441941074523E-2</v>
      </c>
      <c r="AF38" s="48">
        <v>1068</v>
      </c>
      <c r="AG38" s="90">
        <f t="shared" si="12"/>
        <v>-2.8011204481792717E-3</v>
      </c>
      <c r="AH38" s="46"/>
      <c r="AI38" s="55"/>
      <c r="AJ38" s="96"/>
      <c r="AK38" s="64"/>
      <c r="AL38" s="48"/>
      <c r="AM38" s="91"/>
      <c r="AN38" s="48">
        <v>872</v>
      </c>
      <c r="AO38" s="55"/>
      <c r="AP38" s="63"/>
      <c r="AQ38" s="95"/>
      <c r="AR38" s="120">
        <v>16</v>
      </c>
      <c r="AS38" s="117" t="str">
        <f t="shared" si="13"/>
        <v>-</v>
      </c>
      <c r="AT38" s="98"/>
      <c r="AU38" s="94"/>
      <c r="AV38" s="118"/>
      <c r="AW38" s="119"/>
      <c r="AX38" s="48"/>
      <c r="AY38" s="55"/>
      <c r="AZ38" s="98"/>
      <c r="BA38" s="94"/>
      <c r="BB38" s="48"/>
      <c r="BC38" s="55"/>
    </row>
    <row r="39" spans="1:55" s="9" customFormat="1" ht="13.5" customHeight="1">
      <c r="A39" s="60"/>
      <c r="B39" s="45" t="s">
        <v>53</v>
      </c>
      <c r="C39" s="46">
        <v>984649</v>
      </c>
      <c r="D39" s="55">
        <f t="shared" si="0"/>
        <v>0.16102220524285216</v>
      </c>
      <c r="E39" s="14"/>
      <c r="F39" s="48">
        <v>187601</v>
      </c>
      <c r="G39" s="90">
        <f t="shared" si="1"/>
        <v>0.27924309580634166</v>
      </c>
      <c r="H39" s="46">
        <v>371216</v>
      </c>
      <c r="I39" s="55">
        <f t="shared" si="2"/>
        <v>0.18179879087329001</v>
      </c>
      <c r="J39" s="48">
        <v>16737</v>
      </c>
      <c r="K39" s="90">
        <f t="shared" si="3"/>
        <v>0.19082177161152614</v>
      </c>
      <c r="L39" s="50">
        <v>61428</v>
      </c>
      <c r="M39" s="91">
        <f t="shared" si="4"/>
        <v>7.4235349666859032E-2</v>
      </c>
      <c r="N39" s="48">
        <v>77956</v>
      </c>
      <c r="O39" s="90">
        <f t="shared" si="5"/>
        <v>3.4859949555290058E-2</v>
      </c>
      <c r="P39" s="46">
        <v>32746</v>
      </c>
      <c r="Q39" s="55">
        <f t="shared" si="11"/>
        <v>0.18696534725242858</v>
      </c>
      <c r="R39" s="50">
        <v>11394</v>
      </c>
      <c r="S39" s="91">
        <f t="shared" si="6"/>
        <v>0.18761726078799248</v>
      </c>
      <c r="T39" s="48">
        <v>35012</v>
      </c>
      <c r="U39" s="90">
        <f t="shared" si="7"/>
        <v>0.16473719228210246</v>
      </c>
      <c r="V39" s="48">
        <v>232</v>
      </c>
      <c r="W39" s="55"/>
      <c r="X39" s="53">
        <v>46359</v>
      </c>
      <c r="Y39" s="55">
        <f t="shared" si="8"/>
        <v>0.10263057749024829</v>
      </c>
      <c r="Z39" s="53"/>
      <c r="AA39" s="91"/>
      <c r="AB39" s="48">
        <v>24307</v>
      </c>
      <c r="AC39" s="90">
        <v>0.34754407362235279</v>
      </c>
      <c r="AD39" s="46">
        <v>14249</v>
      </c>
      <c r="AE39" s="55">
        <f t="shared" si="9"/>
        <v>0.27200499910730225</v>
      </c>
      <c r="AF39" s="48">
        <v>1781</v>
      </c>
      <c r="AG39" s="90">
        <f t="shared" si="12"/>
        <v>-3.1011969532100107E-2</v>
      </c>
      <c r="AH39" s="46"/>
      <c r="AI39" s="55"/>
      <c r="AJ39" s="96"/>
      <c r="AK39" s="64"/>
      <c r="AL39" s="48"/>
      <c r="AM39" s="91"/>
      <c r="AN39" s="48">
        <v>1174</v>
      </c>
      <c r="AO39" s="55"/>
      <c r="AP39" s="63">
        <f>AP204*0.287</f>
        <v>20206.808999999997</v>
      </c>
      <c r="AQ39" s="95">
        <f>(AP39/AP27-1)</f>
        <v>0.41110331696562774</v>
      </c>
      <c r="AR39" s="120">
        <v>0</v>
      </c>
      <c r="AS39" s="117" t="str">
        <f t="shared" si="13"/>
        <v>-</v>
      </c>
      <c r="AT39" s="98"/>
      <c r="AU39" s="94"/>
      <c r="AV39" s="118"/>
      <c r="AW39" s="119"/>
      <c r="AX39" s="48"/>
      <c r="AY39" s="55"/>
      <c r="AZ39" s="98"/>
      <c r="BA39" s="94"/>
      <c r="BB39" s="48"/>
      <c r="BC39" s="55"/>
    </row>
    <row r="40" spans="1:55" s="9" customFormat="1" ht="13.5" customHeight="1">
      <c r="A40" s="60"/>
      <c r="B40" s="45" t="s">
        <v>54</v>
      </c>
      <c r="C40" s="46">
        <v>987488</v>
      </c>
      <c r="D40" s="55">
        <f t="shared" si="0"/>
        <v>0.25950121870181153</v>
      </c>
      <c r="E40" s="14"/>
      <c r="F40" s="48">
        <v>177298</v>
      </c>
      <c r="G40" s="90">
        <f t="shared" si="1"/>
        <v>0.26242861821962093</v>
      </c>
      <c r="H40" s="46">
        <v>333138</v>
      </c>
      <c r="I40" s="55">
        <f t="shared" si="2"/>
        <v>0.30417319135609144</v>
      </c>
      <c r="J40" s="48">
        <v>17763</v>
      </c>
      <c r="K40" s="90">
        <f t="shared" si="3"/>
        <v>0.16869530890190143</v>
      </c>
      <c r="L40" s="50">
        <v>64470</v>
      </c>
      <c r="M40" s="91">
        <f t="shared" si="4"/>
        <v>0.21378141767862185</v>
      </c>
      <c r="N40" s="48">
        <v>100890</v>
      </c>
      <c r="O40" s="90">
        <f t="shared" si="5"/>
        <v>0.23344947735191637</v>
      </c>
      <c r="P40" s="46">
        <v>39434</v>
      </c>
      <c r="Q40" s="55">
        <f t="shared" si="11"/>
        <v>0.42587503615851896</v>
      </c>
      <c r="R40" s="50">
        <v>13406</v>
      </c>
      <c r="S40" s="91">
        <f t="shared" si="6"/>
        <v>0.23330266789328427</v>
      </c>
      <c r="T40" s="48">
        <v>43778</v>
      </c>
      <c r="U40" s="90">
        <f t="shared" si="7"/>
        <v>0.39968667071650094</v>
      </c>
      <c r="V40" s="48">
        <v>441</v>
      </c>
      <c r="W40" s="55"/>
      <c r="X40" s="53">
        <v>58438</v>
      </c>
      <c r="Y40" s="55">
        <f t="shared" si="8"/>
        <v>0.22550068155604497</v>
      </c>
      <c r="Z40" s="53"/>
      <c r="AA40" s="91"/>
      <c r="AB40" s="48">
        <v>32861</v>
      </c>
      <c r="AC40" s="90">
        <v>6.2225239203516941E-2</v>
      </c>
      <c r="AD40" s="46">
        <v>19820</v>
      </c>
      <c r="AE40" s="55">
        <f t="shared" si="9"/>
        <v>0.39498873873873874</v>
      </c>
      <c r="AF40" s="48">
        <v>1682</v>
      </c>
      <c r="AG40" s="90">
        <f t="shared" si="12"/>
        <v>0.85446527012127893</v>
      </c>
      <c r="AH40" s="46"/>
      <c r="AI40" s="55"/>
      <c r="AJ40" s="96"/>
      <c r="AK40" s="64"/>
      <c r="AL40" s="48"/>
      <c r="AM40" s="91"/>
      <c r="AN40" s="48">
        <v>1396</v>
      </c>
      <c r="AO40" s="55"/>
      <c r="AP40" s="63"/>
      <c r="AQ40" s="95"/>
      <c r="AR40" s="120">
        <v>10</v>
      </c>
      <c r="AS40" s="117">
        <f t="shared" si="13"/>
        <v>-0.5</v>
      </c>
      <c r="AT40" s="98"/>
      <c r="AU40" s="94"/>
      <c r="AV40" s="118"/>
      <c r="AW40" s="119"/>
      <c r="AX40" s="48"/>
      <c r="AY40" s="55"/>
      <c r="AZ40" s="98"/>
      <c r="BA40" s="94"/>
      <c r="BB40" s="48"/>
      <c r="BC40" s="55"/>
    </row>
    <row r="41" spans="1:55" s="9" customFormat="1" ht="13.5" customHeight="1">
      <c r="A41" s="65"/>
      <c r="B41" s="45" t="s">
        <v>55</v>
      </c>
      <c r="C41" s="121">
        <v>1015874</v>
      </c>
      <c r="D41" s="55">
        <f t="shared" si="0"/>
        <v>0.28480891788218005</v>
      </c>
      <c r="E41" s="14"/>
      <c r="F41" s="48">
        <v>184678</v>
      </c>
      <c r="G41" s="90">
        <f t="shared" si="1"/>
        <v>0.30041192831743124</v>
      </c>
      <c r="H41" s="46">
        <v>327636</v>
      </c>
      <c r="I41" s="55">
        <f t="shared" si="2"/>
        <v>0.39971120244025393</v>
      </c>
      <c r="J41" s="48">
        <v>19040</v>
      </c>
      <c r="K41" s="90">
        <f t="shared" si="3"/>
        <v>0.32176327664005555</v>
      </c>
      <c r="L41" s="50">
        <v>79203</v>
      </c>
      <c r="M41" s="91">
        <f t="shared" si="4"/>
        <v>0.36359410508918116</v>
      </c>
      <c r="N41" s="48">
        <v>101641</v>
      </c>
      <c r="O41" s="90">
        <f t="shared" si="5"/>
        <v>0.20497682303707129</v>
      </c>
      <c r="P41" s="46">
        <v>43428</v>
      </c>
      <c r="Q41" s="55">
        <f t="shared" si="11"/>
        <v>0.58080955154338965</v>
      </c>
      <c r="R41" s="50">
        <v>18951</v>
      </c>
      <c r="S41" s="91">
        <f t="shared" si="6"/>
        <v>0.30886110919262377</v>
      </c>
      <c r="T41" s="48">
        <v>36113</v>
      </c>
      <c r="U41" s="90">
        <f t="shared" si="7"/>
        <v>0.10137546128274726</v>
      </c>
      <c r="V41" s="101">
        <v>345</v>
      </c>
      <c r="W41" s="55"/>
      <c r="X41" s="107">
        <v>60856</v>
      </c>
      <c r="Y41" s="67">
        <f t="shared" si="8"/>
        <v>0.20166656793633875</v>
      </c>
      <c r="Z41" s="53"/>
      <c r="AA41" s="91"/>
      <c r="AB41" s="101">
        <v>29039</v>
      </c>
      <c r="AC41" s="90">
        <v>0.6316794965443614</v>
      </c>
      <c r="AD41" s="46">
        <v>17128</v>
      </c>
      <c r="AE41" s="55">
        <f t="shared" si="9"/>
        <v>0.17299000136967538</v>
      </c>
      <c r="AF41" s="101">
        <v>1214</v>
      </c>
      <c r="AG41" s="102">
        <f t="shared" si="12"/>
        <v>-0.34200542005420054</v>
      </c>
      <c r="AH41" s="46"/>
      <c r="AI41" s="55"/>
      <c r="AJ41" s="111"/>
      <c r="AK41" s="122"/>
      <c r="AL41" s="101"/>
      <c r="AM41" s="91"/>
      <c r="AN41" s="101">
        <v>1379</v>
      </c>
      <c r="AO41" s="67"/>
      <c r="AP41" s="63"/>
      <c r="AQ41" s="95"/>
      <c r="AR41" s="110">
        <v>0</v>
      </c>
      <c r="AS41" s="117" t="str">
        <f t="shared" si="13"/>
        <v>-</v>
      </c>
      <c r="AT41" s="113"/>
      <c r="AU41" s="109"/>
      <c r="AV41" s="123"/>
      <c r="AW41" s="124"/>
      <c r="AX41" s="101"/>
      <c r="AY41" s="55"/>
      <c r="AZ41" s="113"/>
      <c r="BA41" s="109"/>
      <c r="BB41" s="101"/>
      <c r="BC41" s="55"/>
    </row>
    <row r="42" spans="1:55" s="9" customFormat="1" ht="13.5" customHeight="1">
      <c r="A42" s="72" t="s">
        <v>59</v>
      </c>
      <c r="B42" s="73" t="s">
        <v>43</v>
      </c>
      <c r="C42" s="74">
        <v>1281530</v>
      </c>
      <c r="D42" s="75">
        <f t="shared" si="0"/>
        <v>0.30066670929384026</v>
      </c>
      <c r="E42" s="14"/>
      <c r="F42" s="74">
        <v>240350</v>
      </c>
      <c r="G42" s="75">
        <f t="shared" si="1"/>
        <v>0.2479879536839919</v>
      </c>
      <c r="H42" s="74">
        <v>410312</v>
      </c>
      <c r="I42" s="75">
        <f t="shared" si="2"/>
        <v>0.52708893925691036</v>
      </c>
      <c r="J42" s="74">
        <v>24548</v>
      </c>
      <c r="K42" s="75">
        <f t="shared" si="3"/>
        <v>0.22733863306834659</v>
      </c>
      <c r="L42" s="78">
        <v>79438</v>
      </c>
      <c r="M42" s="79">
        <f t="shared" si="4"/>
        <v>0.3082028226536897</v>
      </c>
      <c r="N42" s="74">
        <v>126492</v>
      </c>
      <c r="O42" s="75">
        <f t="shared" si="5"/>
        <v>6.3682002034998617E-2</v>
      </c>
      <c r="P42" s="74">
        <v>48442</v>
      </c>
      <c r="Q42" s="75">
        <f t="shared" si="11"/>
        <v>0.24985809381289023</v>
      </c>
      <c r="R42" s="78">
        <v>25627</v>
      </c>
      <c r="S42" s="79">
        <f t="shared" si="6"/>
        <v>0.38892200964717361</v>
      </c>
      <c r="T42" s="74">
        <v>46725</v>
      </c>
      <c r="U42" s="75">
        <f t="shared" si="7"/>
        <v>0.15074869470988081</v>
      </c>
      <c r="V42" s="46">
        <v>759</v>
      </c>
      <c r="W42" s="75">
        <f t="shared" ref="W42:W89" si="14">(V42-V30)/V30</f>
        <v>0.15</v>
      </c>
      <c r="X42" s="53">
        <v>70733</v>
      </c>
      <c r="Y42" s="55">
        <f t="shared" si="8"/>
        <v>0.20739805062902206</v>
      </c>
      <c r="Z42" s="82">
        <v>47808</v>
      </c>
      <c r="AA42" s="79"/>
      <c r="AB42" s="74">
        <v>33501</v>
      </c>
      <c r="AC42" s="75">
        <v>0.39657328664332164</v>
      </c>
      <c r="AD42" s="74">
        <v>27254</v>
      </c>
      <c r="AE42" s="75">
        <f t="shared" si="9"/>
        <v>0.81077669257856622</v>
      </c>
      <c r="AF42" s="46">
        <v>4910</v>
      </c>
      <c r="AG42" s="77">
        <f>(AF42-AF30)/AF30</f>
        <v>0.35822959889349931</v>
      </c>
      <c r="AH42" s="74"/>
      <c r="AI42" s="75"/>
      <c r="AJ42" s="87">
        <v>11657</v>
      </c>
      <c r="AK42" s="125">
        <f>(SUM(AJ42:AJ47)/AJ30-1)</f>
        <v>-0.54735370636430702</v>
      </c>
      <c r="AL42" s="46"/>
      <c r="AM42" s="79"/>
      <c r="AN42" s="46">
        <v>2405</v>
      </c>
      <c r="AO42" s="55">
        <f>(AN42/AN30-1)</f>
        <v>0.82750759878419444</v>
      </c>
      <c r="AP42" s="56">
        <f>AP205*0.322</f>
        <v>27235.726000000002</v>
      </c>
      <c r="AQ42" s="85">
        <f>(AP42/AP30-1)</f>
        <v>0.20508611987966541</v>
      </c>
      <c r="AR42" s="50">
        <v>0</v>
      </c>
      <c r="AS42" s="126" t="str">
        <f>IFERROR(AR42/AR30-1,"-")</f>
        <v>-</v>
      </c>
      <c r="AT42" s="89"/>
      <c r="AU42" s="84"/>
      <c r="AV42" s="115">
        <v>12811</v>
      </c>
      <c r="AW42" s="116">
        <f>AV42/AV30-1</f>
        <v>8.3474289580514283E-2</v>
      </c>
      <c r="AX42" s="46"/>
      <c r="AY42" s="75"/>
      <c r="AZ42" s="74">
        <v>2548</v>
      </c>
      <c r="BA42" s="84"/>
      <c r="BB42" s="46">
        <v>178</v>
      </c>
      <c r="BC42" s="75"/>
    </row>
    <row r="43" spans="1:55" s="9" customFormat="1" ht="13.5" customHeight="1">
      <c r="A43" s="60"/>
      <c r="B43" s="45" t="s">
        <v>60</v>
      </c>
      <c r="C43" s="46">
        <v>982591</v>
      </c>
      <c r="D43" s="55">
        <f t="shared" si="0"/>
        <v>4.0223545304024153E-2</v>
      </c>
      <c r="E43" s="14"/>
      <c r="F43" s="46">
        <v>202365</v>
      </c>
      <c r="G43" s="55">
        <f t="shared" si="1"/>
        <v>0.16142195490102676</v>
      </c>
      <c r="H43" s="46">
        <v>349648</v>
      </c>
      <c r="I43" s="55">
        <f t="shared" si="2"/>
        <v>8.5833004667571405E-2</v>
      </c>
      <c r="J43" s="46">
        <v>18583</v>
      </c>
      <c r="K43" s="55">
        <f t="shared" si="3"/>
        <v>3.5100982827519171E-3</v>
      </c>
      <c r="L43" s="50">
        <v>64272</v>
      </c>
      <c r="M43" s="91">
        <f t="shared" si="4"/>
        <v>8.9115957500889631E-2</v>
      </c>
      <c r="N43" s="46">
        <v>86443</v>
      </c>
      <c r="O43" s="55">
        <f t="shared" si="5"/>
        <v>-0.24078237804985156</v>
      </c>
      <c r="P43" s="46">
        <v>44722</v>
      </c>
      <c r="Q43" s="55">
        <f t="shared" si="11"/>
        <v>5.8985105728019703E-2</v>
      </c>
      <c r="R43" s="50">
        <v>16886</v>
      </c>
      <c r="S43" s="91">
        <f t="shared" si="6"/>
        <v>-7.2197802197802197E-2</v>
      </c>
      <c r="T43" s="46">
        <v>31395</v>
      </c>
      <c r="U43" s="55">
        <f t="shared" si="7"/>
        <v>-0.23117423778621279</v>
      </c>
      <c r="V43" s="46">
        <v>396</v>
      </c>
      <c r="W43" s="55">
        <f t="shared" si="14"/>
        <v>-0.12195121951219512</v>
      </c>
      <c r="X43" s="53">
        <v>49579</v>
      </c>
      <c r="Y43" s="55">
        <f t="shared" si="8"/>
        <v>3.9871638911028073E-2</v>
      </c>
      <c r="Z43" s="53">
        <v>34676</v>
      </c>
      <c r="AA43" s="91"/>
      <c r="AB43" s="46">
        <v>22552</v>
      </c>
      <c r="AC43" s="55">
        <v>-4.5256339697726598E-2</v>
      </c>
      <c r="AD43" s="46">
        <v>19973</v>
      </c>
      <c r="AE43" s="55">
        <f t="shared" si="9"/>
        <v>0.12809940694719005</v>
      </c>
      <c r="AF43" s="46">
        <v>4526</v>
      </c>
      <c r="AG43" s="90">
        <f t="shared" ref="AG43:AG53" si="15">(AF43-AF31)/AF31</f>
        <v>-0.21722587340020755</v>
      </c>
      <c r="AH43" s="46"/>
      <c r="AI43" s="55"/>
      <c r="AJ43" s="96"/>
      <c r="AK43" s="99"/>
      <c r="AL43" s="46"/>
      <c r="AM43" s="91"/>
      <c r="AN43" s="46">
        <v>1348</v>
      </c>
      <c r="AO43" s="55">
        <f t="shared" ref="AO43:AO53" si="16">(AN43/AN31-1)</f>
        <v>0.19609582963620231</v>
      </c>
      <c r="AP43" s="63"/>
      <c r="AQ43" s="95"/>
      <c r="AR43" s="50">
        <v>0</v>
      </c>
      <c r="AS43" s="117" t="str">
        <f t="shared" si="13"/>
        <v>-</v>
      </c>
      <c r="AT43" s="98"/>
      <c r="AU43" s="94"/>
      <c r="AV43" s="118"/>
      <c r="AW43" s="119"/>
      <c r="AX43" s="46"/>
      <c r="AY43" s="55"/>
      <c r="AZ43" s="46">
        <v>1261</v>
      </c>
      <c r="BA43" s="94"/>
      <c r="BB43" s="46">
        <v>115</v>
      </c>
      <c r="BC43" s="55"/>
    </row>
    <row r="44" spans="1:55" s="9" customFormat="1" ht="13.5" customHeight="1">
      <c r="A44" s="60"/>
      <c r="B44" s="45" t="s">
        <v>61</v>
      </c>
      <c r="C44" s="46">
        <v>1046055</v>
      </c>
      <c r="D44" s="55">
        <v>0.27</v>
      </c>
      <c r="E44" s="14"/>
      <c r="F44" s="46">
        <v>188721</v>
      </c>
      <c r="G44" s="55">
        <f t="shared" si="1"/>
        <v>0.26598064009767158</v>
      </c>
      <c r="H44" s="46">
        <v>392147</v>
      </c>
      <c r="I44" s="55">
        <f t="shared" si="2"/>
        <v>0.45226182760855477</v>
      </c>
      <c r="J44" s="46">
        <v>20390</v>
      </c>
      <c r="K44" s="55">
        <f t="shared" si="3"/>
        <v>0.27676894176581091</v>
      </c>
      <c r="L44" s="50">
        <v>64220</v>
      </c>
      <c r="M44" s="91">
        <f t="shared" si="4"/>
        <v>0.1913993655269651</v>
      </c>
      <c r="N44" s="46">
        <v>96387</v>
      </c>
      <c r="O44" s="55">
        <f t="shared" si="5"/>
        <v>4.8277287162309133E-2</v>
      </c>
      <c r="P44" s="46">
        <v>49367</v>
      </c>
      <c r="Q44" s="55">
        <f t="shared" si="11"/>
        <v>0.21506805483767752</v>
      </c>
      <c r="R44" s="50">
        <v>14218</v>
      </c>
      <c r="S44" s="91">
        <f t="shared" si="6"/>
        <v>0.15791188207508755</v>
      </c>
      <c r="T44" s="46">
        <v>41943</v>
      </c>
      <c r="U44" s="55">
        <f t="shared" si="7"/>
        <v>0.16044156706507304</v>
      </c>
      <c r="V44" s="46">
        <v>289</v>
      </c>
      <c r="W44" s="55">
        <f t="shared" si="14"/>
        <v>-0.40041493775933612</v>
      </c>
      <c r="X44" s="53">
        <v>51404</v>
      </c>
      <c r="Y44" s="55">
        <f t="shared" si="8"/>
        <v>0.33492611732931676</v>
      </c>
      <c r="Z44" s="53">
        <v>38827</v>
      </c>
      <c r="AA44" s="91"/>
      <c r="AB44" s="46">
        <v>26946</v>
      </c>
      <c r="AC44" s="55">
        <v>0.1920371599203716</v>
      </c>
      <c r="AD44" s="46">
        <v>19756</v>
      </c>
      <c r="AE44" s="55">
        <f t="shared" si="9"/>
        <v>0.27220039925301048</v>
      </c>
      <c r="AF44" s="46">
        <v>3730</v>
      </c>
      <c r="AG44" s="90">
        <f t="shared" si="15"/>
        <v>4.7752808988764044E-2</v>
      </c>
      <c r="AH44" s="46"/>
      <c r="AI44" s="55"/>
      <c r="AJ44" s="96"/>
      <c r="AK44" s="99"/>
      <c r="AL44" s="46"/>
      <c r="AM44" s="91"/>
      <c r="AN44" s="46">
        <v>1541</v>
      </c>
      <c r="AO44" s="55">
        <f t="shared" si="16"/>
        <v>0.38206278026905838</v>
      </c>
      <c r="AP44" s="63"/>
      <c r="AQ44" s="95"/>
      <c r="AR44" s="50">
        <v>16</v>
      </c>
      <c r="AS44" s="117" t="str">
        <f t="shared" si="13"/>
        <v>-</v>
      </c>
      <c r="AT44" s="98"/>
      <c r="AU44" s="94"/>
      <c r="AV44" s="118"/>
      <c r="AW44" s="119"/>
      <c r="AX44" s="46"/>
      <c r="AY44" s="55"/>
      <c r="AZ44" s="46">
        <v>996</v>
      </c>
      <c r="BA44" s="94"/>
      <c r="BB44" s="46">
        <v>105</v>
      </c>
      <c r="BC44" s="55"/>
    </row>
    <row r="45" spans="1:55" s="9" customFormat="1" ht="13.5" customHeight="1">
      <c r="A45" s="60"/>
      <c r="B45" s="45" t="s">
        <v>62</v>
      </c>
      <c r="C45" s="46">
        <v>989018</v>
      </c>
      <c r="D45" s="55">
        <v>0.157</v>
      </c>
      <c r="E45" s="14"/>
      <c r="F45" s="46">
        <v>190558</v>
      </c>
      <c r="G45" s="55">
        <f t="shared" si="1"/>
        <v>0.17153273452725673</v>
      </c>
      <c r="H45" s="46">
        <v>372435</v>
      </c>
      <c r="I45" s="55">
        <f t="shared" si="2"/>
        <v>0.25669369451446039</v>
      </c>
      <c r="J45" s="46">
        <v>16312</v>
      </c>
      <c r="K45" s="55">
        <f t="shared" si="3"/>
        <v>0.19222335915801783</v>
      </c>
      <c r="L45" s="50">
        <v>59216</v>
      </c>
      <c r="M45" s="91">
        <f t="shared" si="4"/>
        <v>7.456402997804272E-2</v>
      </c>
      <c r="N45" s="46">
        <v>76757</v>
      </c>
      <c r="O45" s="55">
        <f t="shared" si="5"/>
        <v>5.4228940439856963E-3</v>
      </c>
      <c r="P45" s="46">
        <v>45000</v>
      </c>
      <c r="Q45" s="55">
        <f t="shared" si="11"/>
        <v>0.3520822065981612</v>
      </c>
      <c r="R45" s="50">
        <v>13901</v>
      </c>
      <c r="S45" s="91">
        <f t="shared" si="6"/>
        <v>0.32277095822628221</v>
      </c>
      <c r="T45" s="46">
        <v>32193</v>
      </c>
      <c r="U45" s="55">
        <f t="shared" si="7"/>
        <v>1.3154996066089693E-2</v>
      </c>
      <c r="V45" s="48">
        <v>306</v>
      </c>
      <c r="W45" s="55">
        <f t="shared" si="14"/>
        <v>-4.9689440993788817E-2</v>
      </c>
      <c r="X45" s="53">
        <v>41378</v>
      </c>
      <c r="Y45" s="55">
        <f t="shared" si="8"/>
        <v>5.7855042822446689E-2</v>
      </c>
      <c r="Z45" s="53">
        <v>28858</v>
      </c>
      <c r="AA45" s="91"/>
      <c r="AB45" s="46">
        <v>24052</v>
      </c>
      <c r="AC45" s="55">
        <v>4.1843541540327468E-2</v>
      </c>
      <c r="AD45" s="46">
        <v>16230</v>
      </c>
      <c r="AE45" s="55">
        <f t="shared" si="9"/>
        <v>0.14030773554415793</v>
      </c>
      <c r="AF45" s="48">
        <v>3669</v>
      </c>
      <c r="AG45" s="90">
        <f t="shared" si="15"/>
        <v>0.37932330827067667</v>
      </c>
      <c r="AH45" s="46"/>
      <c r="AI45" s="55"/>
      <c r="AJ45" s="96"/>
      <c r="AK45" s="99"/>
      <c r="AL45" s="48"/>
      <c r="AM45" s="91"/>
      <c r="AN45" s="48">
        <v>961</v>
      </c>
      <c r="AO45" s="55">
        <f t="shared" si="16"/>
        <v>0.40497076023391809</v>
      </c>
      <c r="AP45" s="63">
        <f>AP205*0.172</f>
        <v>14548.275999999998</v>
      </c>
      <c r="AQ45" s="99">
        <f>(AP45/AP33-1)</f>
        <v>0.35053007856931906</v>
      </c>
      <c r="AR45" s="120">
        <v>15</v>
      </c>
      <c r="AS45" s="117" t="str">
        <f t="shared" si="13"/>
        <v>-</v>
      </c>
      <c r="AT45" s="98"/>
      <c r="AU45" s="94"/>
      <c r="AV45" s="118"/>
      <c r="AW45" s="119"/>
      <c r="AX45" s="48"/>
      <c r="AY45" s="55"/>
      <c r="AZ45" s="46">
        <v>677</v>
      </c>
      <c r="BA45" s="94"/>
      <c r="BB45" s="48">
        <v>65</v>
      </c>
      <c r="BC45" s="55"/>
    </row>
    <row r="46" spans="1:55" s="9" customFormat="1" ht="13.5" customHeight="1">
      <c r="A46" s="60"/>
      <c r="B46" s="45" t="s">
        <v>63</v>
      </c>
      <c r="C46" s="46">
        <v>1107498</v>
      </c>
      <c r="D46" s="55">
        <v>0.222</v>
      </c>
      <c r="E46" s="14"/>
      <c r="F46" s="46">
        <v>211355</v>
      </c>
      <c r="G46" s="55">
        <f t="shared" si="1"/>
        <v>0.31211199404022844</v>
      </c>
      <c r="H46" s="46">
        <v>418467</v>
      </c>
      <c r="I46" s="55">
        <f t="shared" si="2"/>
        <v>0.31381038196123245</v>
      </c>
      <c r="J46" s="46">
        <v>17487</v>
      </c>
      <c r="K46" s="55">
        <f t="shared" si="3"/>
        <v>0.2484472049689441</v>
      </c>
      <c r="L46" s="50">
        <v>65183</v>
      </c>
      <c r="M46" s="91">
        <f t="shared" si="4"/>
        <v>0.23445637558472057</v>
      </c>
      <c r="N46" s="46">
        <v>82439</v>
      </c>
      <c r="O46" s="55">
        <f t="shared" si="5"/>
        <v>3.4262558337933458E-2</v>
      </c>
      <c r="P46" s="46">
        <v>35698</v>
      </c>
      <c r="Q46" s="55">
        <f t="shared" si="11"/>
        <v>0.31460136254833365</v>
      </c>
      <c r="R46" s="50">
        <v>15983</v>
      </c>
      <c r="S46" s="91">
        <f t="shared" si="6"/>
        <v>0.49304063521718822</v>
      </c>
      <c r="T46" s="46">
        <v>34393</v>
      </c>
      <c r="U46" s="55">
        <f t="shared" si="7"/>
        <v>4.5564739901276397E-3</v>
      </c>
      <c r="V46" s="48">
        <v>246</v>
      </c>
      <c r="W46" s="55">
        <f t="shared" si="14"/>
        <v>-0.34399999999999997</v>
      </c>
      <c r="X46" s="53">
        <v>50686</v>
      </c>
      <c r="Y46" s="55">
        <f t="shared" si="8"/>
        <v>0.2250096674400619</v>
      </c>
      <c r="Z46" s="53">
        <v>24837</v>
      </c>
      <c r="AA46" s="91"/>
      <c r="AB46" s="46">
        <v>29589</v>
      </c>
      <c r="AC46" s="55">
        <v>0.20998609634415638</v>
      </c>
      <c r="AD46" s="46">
        <v>13222</v>
      </c>
      <c r="AE46" s="55">
        <f t="shared" si="9"/>
        <v>4.2333464722112732E-2</v>
      </c>
      <c r="AF46" s="48">
        <v>2630</v>
      </c>
      <c r="AG46" s="90">
        <f t="shared" si="15"/>
        <v>0.21086556169429096</v>
      </c>
      <c r="AH46" s="46"/>
      <c r="AI46" s="55"/>
      <c r="AJ46" s="96"/>
      <c r="AK46" s="99"/>
      <c r="AL46" s="48"/>
      <c r="AM46" s="91"/>
      <c r="AN46" s="48">
        <v>917</v>
      </c>
      <c r="AO46" s="55">
        <f t="shared" si="16"/>
        <v>-0.17088607594936711</v>
      </c>
      <c r="AP46" s="63"/>
      <c r="AQ46" s="99"/>
      <c r="AR46" s="120">
        <v>30</v>
      </c>
      <c r="AS46" s="117">
        <f t="shared" si="13"/>
        <v>2.3333333333333335</v>
      </c>
      <c r="AT46" s="98"/>
      <c r="AU46" s="94"/>
      <c r="AV46" s="118"/>
      <c r="AW46" s="119"/>
      <c r="AX46" s="48"/>
      <c r="AY46" s="55"/>
      <c r="AZ46" s="46">
        <v>447</v>
      </c>
      <c r="BA46" s="94"/>
      <c r="BB46" s="48">
        <v>151</v>
      </c>
      <c r="BC46" s="55"/>
    </row>
    <row r="47" spans="1:55" s="9" customFormat="1" ht="13.5" customHeight="1">
      <c r="A47" s="60"/>
      <c r="B47" s="45" t="s">
        <v>64</v>
      </c>
      <c r="C47" s="46">
        <v>1064076</v>
      </c>
      <c r="D47" s="55">
        <v>0.16200000000000001</v>
      </c>
      <c r="E47" s="14"/>
      <c r="F47" s="46">
        <v>190330</v>
      </c>
      <c r="G47" s="55">
        <f t="shared" si="1"/>
        <v>0.23827306676382184</v>
      </c>
      <c r="H47" s="46">
        <v>390621</v>
      </c>
      <c r="I47" s="55">
        <f t="shared" si="2"/>
        <v>0.26329117199046598</v>
      </c>
      <c r="J47" s="46">
        <v>16673</v>
      </c>
      <c r="K47" s="55">
        <f t="shared" si="3"/>
        <v>1.1833960432091273E-2</v>
      </c>
      <c r="L47" s="50">
        <v>61598</v>
      </c>
      <c r="M47" s="91">
        <f t="shared" si="4"/>
        <v>0.18150954253380647</v>
      </c>
      <c r="N47" s="46">
        <v>77003</v>
      </c>
      <c r="O47" s="55">
        <f t="shared" si="5"/>
        <v>-8.5748496826275611E-3</v>
      </c>
      <c r="P47" s="48">
        <v>40126</v>
      </c>
      <c r="Q47" s="55">
        <f t="shared" si="11"/>
        <v>0.55292387476295524</v>
      </c>
      <c r="R47" s="50">
        <v>15325</v>
      </c>
      <c r="S47" s="91">
        <f t="shared" si="6"/>
        <v>0.46203014691852701</v>
      </c>
      <c r="T47" s="46">
        <v>37829</v>
      </c>
      <c r="U47" s="55">
        <f t="shared" si="7"/>
        <v>4.1403991741225055E-2</v>
      </c>
      <c r="V47" s="48">
        <v>354</v>
      </c>
      <c r="W47" s="55">
        <f t="shared" si="14"/>
        <v>-1.9390581717451522E-2</v>
      </c>
      <c r="X47" s="53">
        <v>48538</v>
      </c>
      <c r="Y47" s="55">
        <f t="shared" si="8"/>
        <v>0.15133545234593671</v>
      </c>
      <c r="Z47" s="53">
        <v>24413</v>
      </c>
      <c r="AA47" s="91"/>
      <c r="AB47" s="46">
        <v>27530</v>
      </c>
      <c r="AC47" s="55">
        <v>0.21058880436216526</v>
      </c>
      <c r="AD47" s="46">
        <v>12814</v>
      </c>
      <c r="AE47" s="55">
        <f t="shared" si="9"/>
        <v>-6.3714744994885289E-2</v>
      </c>
      <c r="AF47" s="48">
        <v>2677</v>
      </c>
      <c r="AG47" s="90">
        <f t="shared" si="15"/>
        <v>0.46845858475041141</v>
      </c>
      <c r="AH47" s="46"/>
      <c r="AI47" s="55"/>
      <c r="AJ47" s="96"/>
      <c r="AK47" s="99"/>
      <c r="AL47" s="48"/>
      <c r="AM47" s="91"/>
      <c r="AN47" s="48">
        <v>952</v>
      </c>
      <c r="AO47" s="55">
        <f t="shared" si="16"/>
        <v>-0.55576294913672419</v>
      </c>
      <c r="AP47" s="63"/>
      <c r="AQ47" s="99"/>
      <c r="AR47" s="120">
        <v>17</v>
      </c>
      <c r="AS47" s="117">
        <f t="shared" si="13"/>
        <v>0.30769230769230771</v>
      </c>
      <c r="AT47" s="98"/>
      <c r="AU47" s="94"/>
      <c r="AV47" s="118"/>
      <c r="AW47" s="119"/>
      <c r="AX47" s="48"/>
      <c r="AY47" s="55"/>
      <c r="AZ47" s="46">
        <v>533</v>
      </c>
      <c r="BA47" s="94"/>
      <c r="BB47" s="48">
        <v>111</v>
      </c>
      <c r="BC47" s="55"/>
    </row>
    <row r="48" spans="1:55" s="9" customFormat="1" ht="13.5" customHeight="1">
      <c r="A48" s="60"/>
      <c r="B48" s="45" t="s">
        <v>65</v>
      </c>
      <c r="C48" s="46">
        <v>1297398</v>
      </c>
      <c r="D48" s="55">
        <v>0.18099999999999999</v>
      </c>
      <c r="E48" s="14"/>
      <c r="F48" s="46">
        <v>254234</v>
      </c>
      <c r="G48" s="55">
        <f t="shared" si="1"/>
        <v>0.28646608171155036</v>
      </c>
      <c r="H48" s="46">
        <v>448600</v>
      </c>
      <c r="I48" s="55">
        <f t="shared" si="2"/>
        <v>0.23267156694373842</v>
      </c>
      <c r="J48" s="46">
        <v>15946</v>
      </c>
      <c r="K48" s="55">
        <f t="shared" si="3"/>
        <v>0.10261374636979671</v>
      </c>
      <c r="L48" s="50">
        <v>77832</v>
      </c>
      <c r="M48" s="91">
        <f t="shared" si="4"/>
        <v>0.29205332093826258</v>
      </c>
      <c r="N48" s="48">
        <v>91551</v>
      </c>
      <c r="O48" s="55">
        <f t="shared" si="5"/>
        <v>2.2196666033964918E-2</v>
      </c>
      <c r="P48" s="48">
        <v>33045</v>
      </c>
      <c r="Q48" s="55">
        <f t="shared" si="11"/>
        <v>0.15809210065185392</v>
      </c>
      <c r="R48" s="50">
        <v>17714</v>
      </c>
      <c r="S48" s="91">
        <f t="shared" si="6"/>
        <v>0.33047919483250715</v>
      </c>
      <c r="T48" s="48">
        <v>46087</v>
      </c>
      <c r="U48" s="55">
        <f t="shared" si="7"/>
        <v>9.10862472904031E-3</v>
      </c>
      <c r="V48" s="48">
        <v>456</v>
      </c>
      <c r="W48" s="55">
        <f t="shared" si="14"/>
        <v>-0.21514629948364888</v>
      </c>
      <c r="X48" s="53">
        <v>62692</v>
      </c>
      <c r="Y48" s="55">
        <f t="shared" si="8"/>
        <v>0.16331112801766534</v>
      </c>
      <c r="Z48" s="53">
        <v>21962</v>
      </c>
      <c r="AA48" s="91"/>
      <c r="AB48" s="48">
        <v>31048</v>
      </c>
      <c r="AC48" s="90">
        <v>0.3246864066899906</v>
      </c>
      <c r="AD48" s="48">
        <v>21377</v>
      </c>
      <c r="AE48" s="55">
        <f t="shared" si="9"/>
        <v>0.35460363728534311</v>
      </c>
      <c r="AF48" s="48">
        <v>1951</v>
      </c>
      <c r="AG48" s="90">
        <f t="shared" si="15"/>
        <v>0.1449530516431925</v>
      </c>
      <c r="AH48" s="46"/>
      <c r="AI48" s="55"/>
      <c r="AJ48" s="96">
        <f>32273-AJ42</f>
        <v>20616</v>
      </c>
      <c r="AK48" s="99">
        <f>(SUM(AJ48:AJ53)/AJ36-1)</f>
        <v>0.45418635818579389</v>
      </c>
      <c r="AL48" s="48"/>
      <c r="AM48" s="91"/>
      <c r="AN48" s="48">
        <v>1303</v>
      </c>
      <c r="AO48" s="55">
        <f t="shared" si="16"/>
        <v>-0.54392719635981801</v>
      </c>
      <c r="AP48" s="63">
        <f>AP205*0.25</f>
        <v>21145.75</v>
      </c>
      <c r="AQ48" s="95">
        <f>(AP48/AP36-1)</f>
        <v>0.25663558201022818</v>
      </c>
      <c r="AR48" s="120">
        <v>19</v>
      </c>
      <c r="AS48" s="117" t="str">
        <f t="shared" si="13"/>
        <v>-</v>
      </c>
      <c r="AT48" s="98"/>
      <c r="AU48" s="94"/>
      <c r="AV48" s="118"/>
      <c r="AW48" s="119"/>
      <c r="AX48" s="48"/>
      <c r="AY48" s="55"/>
      <c r="AZ48" s="48">
        <v>1287</v>
      </c>
      <c r="BA48" s="94"/>
      <c r="BB48" s="48">
        <v>185</v>
      </c>
      <c r="BC48" s="55"/>
    </row>
    <row r="49" spans="1:55" s="9" customFormat="1" ht="13.5" customHeight="1">
      <c r="A49" s="60"/>
      <c r="B49" s="45" t="s">
        <v>66</v>
      </c>
      <c r="C49" s="46">
        <v>1308664</v>
      </c>
      <c r="D49" s="55">
        <v>0.128</v>
      </c>
      <c r="E49" s="14"/>
      <c r="F49" s="46">
        <v>271377</v>
      </c>
      <c r="G49" s="55">
        <f t="shared" si="1"/>
        <v>0.23167311148630249</v>
      </c>
      <c r="H49" s="48">
        <v>481518</v>
      </c>
      <c r="I49" s="55">
        <f t="shared" si="2"/>
        <v>0.18272475842859459</v>
      </c>
      <c r="J49" s="46">
        <v>18648</v>
      </c>
      <c r="K49" s="55">
        <f t="shared" si="3"/>
        <v>0.12350885648873358</v>
      </c>
      <c r="L49" s="120">
        <v>88813</v>
      </c>
      <c r="M49" s="91">
        <f t="shared" si="4"/>
        <v>0.3070345842531273</v>
      </c>
      <c r="N49" s="46">
        <v>96102</v>
      </c>
      <c r="O49" s="55">
        <f t="shared" si="5"/>
        <v>-2.0806891242379475E-4</v>
      </c>
      <c r="P49" s="48">
        <v>39469</v>
      </c>
      <c r="Q49" s="90">
        <f t="shared" si="11"/>
        <v>4.5370272274605362E-2</v>
      </c>
      <c r="R49" s="120">
        <v>22680</v>
      </c>
      <c r="S49" s="127">
        <f t="shared" si="6"/>
        <v>0.44486207555583868</v>
      </c>
      <c r="T49" s="46">
        <v>45882</v>
      </c>
      <c r="U49" s="55">
        <f t="shared" si="7"/>
        <v>2.2941609256905894E-2</v>
      </c>
      <c r="V49" s="48">
        <v>354</v>
      </c>
      <c r="W49" s="55">
        <f t="shared" si="14"/>
        <v>-0.44427001569858715</v>
      </c>
      <c r="X49" s="53">
        <v>54640</v>
      </c>
      <c r="Y49" s="55">
        <f t="shared" si="8"/>
        <v>0.15637764280121047</v>
      </c>
      <c r="Z49" s="53">
        <v>21741</v>
      </c>
      <c r="AA49" s="91"/>
      <c r="AB49" s="46">
        <v>28685</v>
      </c>
      <c r="AC49" s="55">
        <v>0.11558355695562555</v>
      </c>
      <c r="AD49" s="48">
        <v>22118</v>
      </c>
      <c r="AE49" s="55">
        <f t="shared" si="9"/>
        <v>0.17956375659964802</v>
      </c>
      <c r="AF49" s="48">
        <v>2874</v>
      </c>
      <c r="AG49" s="90">
        <f t="shared" si="15"/>
        <v>1.9507186858316221</v>
      </c>
      <c r="AH49" s="46"/>
      <c r="AI49" s="55"/>
      <c r="AJ49" s="96"/>
      <c r="AK49" s="99"/>
      <c r="AL49" s="48"/>
      <c r="AM49" s="91"/>
      <c r="AN49" s="48">
        <v>1031</v>
      </c>
      <c r="AO49" s="55">
        <f t="shared" si="16"/>
        <v>-0.66698966408268734</v>
      </c>
      <c r="AP49" s="63"/>
      <c r="AQ49" s="95"/>
      <c r="AR49" s="120">
        <v>0</v>
      </c>
      <c r="AS49" s="117" t="str">
        <f t="shared" si="13"/>
        <v>-</v>
      </c>
      <c r="AT49" s="98"/>
      <c r="AU49" s="94"/>
      <c r="AV49" s="118"/>
      <c r="AW49" s="119"/>
      <c r="AX49" s="48"/>
      <c r="AY49" s="55"/>
      <c r="AZ49" s="46">
        <v>999</v>
      </c>
      <c r="BA49" s="94"/>
      <c r="BB49" s="48">
        <v>37</v>
      </c>
      <c r="BC49" s="55"/>
    </row>
    <row r="50" spans="1:55" s="9" customFormat="1" ht="13.5" customHeight="1">
      <c r="A50" s="60"/>
      <c r="B50" s="45" t="s">
        <v>67</v>
      </c>
      <c r="C50" s="46">
        <v>1015650</v>
      </c>
      <c r="D50" s="55">
        <v>0.09</v>
      </c>
      <c r="E50" s="14"/>
      <c r="F50" s="48">
        <v>201286</v>
      </c>
      <c r="G50" s="55">
        <f t="shared" si="1"/>
        <v>0.28657534947044122</v>
      </c>
      <c r="H50" s="48">
        <v>361155</v>
      </c>
      <c r="I50" s="55">
        <f t="shared" si="2"/>
        <v>8.0755545846562665E-2</v>
      </c>
      <c r="J50" s="48">
        <v>17686</v>
      </c>
      <c r="K50" s="55">
        <f t="shared" si="3"/>
        <v>0.3600430636727161</v>
      </c>
      <c r="L50" s="120">
        <v>66497</v>
      </c>
      <c r="M50" s="91">
        <f t="shared" si="4"/>
        <v>0.28412250888305268</v>
      </c>
      <c r="N50" s="48">
        <v>70859</v>
      </c>
      <c r="O50" s="55">
        <f t="shared" si="5"/>
        <v>3.9506498841064462E-2</v>
      </c>
      <c r="P50" s="48">
        <v>37257</v>
      </c>
      <c r="Q50" s="90">
        <f t="shared" si="11"/>
        <v>0.16384480819692615</v>
      </c>
      <c r="R50" s="120">
        <v>17141</v>
      </c>
      <c r="S50" s="91">
        <f t="shared" si="6"/>
        <v>0.83896577620426993</v>
      </c>
      <c r="T50" s="48">
        <v>30224</v>
      </c>
      <c r="U50" s="55">
        <f t="shared" si="7"/>
        <v>3.1043187555434264E-2</v>
      </c>
      <c r="V50" s="48">
        <v>309</v>
      </c>
      <c r="W50" s="55">
        <f t="shared" si="14"/>
        <v>-0.24817518248175183</v>
      </c>
      <c r="X50" s="53">
        <v>43061</v>
      </c>
      <c r="Y50" s="55">
        <f t="shared" si="8"/>
        <v>0.13554494870915845</v>
      </c>
      <c r="Z50" s="53">
        <v>15211</v>
      </c>
      <c r="AA50" s="91"/>
      <c r="AB50" s="46">
        <v>23566</v>
      </c>
      <c r="AC50" s="55">
        <v>5.3229050279329608E-2</v>
      </c>
      <c r="AD50" s="48">
        <v>14251</v>
      </c>
      <c r="AE50" s="55">
        <f t="shared" si="9"/>
        <v>-4.0078135524720462E-2</v>
      </c>
      <c r="AF50" s="48">
        <v>1160</v>
      </c>
      <c r="AG50" s="90">
        <f t="shared" si="15"/>
        <v>8.6142322097378279E-2</v>
      </c>
      <c r="AH50" s="46"/>
      <c r="AI50" s="55"/>
      <c r="AJ50" s="96"/>
      <c r="AK50" s="99"/>
      <c r="AL50" s="48"/>
      <c r="AM50" s="91"/>
      <c r="AN50" s="48">
        <v>784</v>
      </c>
      <c r="AO50" s="55">
        <f t="shared" si="16"/>
        <v>-0.1009174311926605</v>
      </c>
      <c r="AP50" s="63"/>
      <c r="AQ50" s="95"/>
      <c r="AR50" s="120">
        <v>0</v>
      </c>
      <c r="AS50" s="117">
        <f t="shared" si="13"/>
        <v>-1</v>
      </c>
      <c r="AT50" s="98"/>
      <c r="AU50" s="94"/>
      <c r="AV50" s="118"/>
      <c r="AW50" s="119"/>
      <c r="AX50" s="48"/>
      <c r="AY50" s="55"/>
      <c r="AZ50" s="46">
        <v>873</v>
      </c>
      <c r="BA50" s="94"/>
      <c r="BB50" s="48">
        <v>58</v>
      </c>
      <c r="BC50" s="55"/>
    </row>
    <row r="51" spans="1:55" s="9" customFormat="1" ht="13.5" customHeight="1">
      <c r="A51" s="60"/>
      <c r="B51" s="45" t="s">
        <v>68</v>
      </c>
      <c r="C51" s="48">
        <v>1078092</v>
      </c>
      <c r="D51" s="55">
        <v>9.5000000000000001E-2</v>
      </c>
      <c r="E51" s="14"/>
      <c r="F51" s="48">
        <v>222737</v>
      </c>
      <c r="G51" s="55">
        <f t="shared" si="1"/>
        <v>0.18729111252072217</v>
      </c>
      <c r="H51" s="48">
        <v>414382</v>
      </c>
      <c r="I51" s="55">
        <f t="shared" si="2"/>
        <v>0.11628270333175295</v>
      </c>
      <c r="J51" s="48">
        <v>15482</v>
      </c>
      <c r="K51" s="55">
        <f t="shared" si="3"/>
        <v>-7.4983569337396194E-2</v>
      </c>
      <c r="L51" s="120">
        <v>67708</v>
      </c>
      <c r="M51" s="91">
        <f t="shared" si="4"/>
        <v>0.10223350914892232</v>
      </c>
      <c r="N51" s="48">
        <v>77173</v>
      </c>
      <c r="O51" s="55">
        <f t="shared" si="5"/>
        <v>-1.0044127456513931E-2</v>
      </c>
      <c r="P51" s="48">
        <v>31305</v>
      </c>
      <c r="Q51" s="90">
        <f t="shared" si="11"/>
        <v>-4.4005374702253713E-2</v>
      </c>
      <c r="R51" s="120">
        <v>16824</v>
      </c>
      <c r="S51" s="91">
        <f t="shared" si="6"/>
        <v>0.47656661400737232</v>
      </c>
      <c r="T51" s="48">
        <v>33353</v>
      </c>
      <c r="U51" s="55">
        <f t="shared" si="7"/>
        <v>-4.7383754141437223E-2</v>
      </c>
      <c r="V51" s="48">
        <v>369</v>
      </c>
      <c r="W51" s="55">
        <f t="shared" si="14"/>
        <v>0.59051724137931039</v>
      </c>
      <c r="X51" s="53">
        <v>49699</v>
      </c>
      <c r="Y51" s="55">
        <f t="shared" si="8"/>
        <v>7.2046420328307326E-2</v>
      </c>
      <c r="Z51" s="53">
        <v>20239</v>
      </c>
      <c r="AA51" s="91"/>
      <c r="AB51" s="48">
        <v>28718</v>
      </c>
      <c r="AC51" s="55">
        <v>0.18147035833299049</v>
      </c>
      <c r="AD51" s="48">
        <v>13546</v>
      </c>
      <c r="AE51" s="55">
        <f t="shared" si="9"/>
        <v>-4.9336795564601021E-2</v>
      </c>
      <c r="AF51" s="48">
        <v>2208</v>
      </c>
      <c r="AG51" s="90">
        <f t="shared" si="15"/>
        <v>0.23975294778214487</v>
      </c>
      <c r="AH51" s="46"/>
      <c r="AI51" s="55"/>
      <c r="AJ51" s="96"/>
      <c r="AK51" s="99"/>
      <c r="AL51" s="48"/>
      <c r="AM51" s="91"/>
      <c r="AN51" s="48">
        <v>495</v>
      </c>
      <c r="AO51" s="55">
        <f t="shared" si="16"/>
        <v>-0.5783645655877343</v>
      </c>
      <c r="AP51" s="63">
        <f>AP205*0.256</f>
        <v>21653.248</v>
      </c>
      <c r="AQ51" s="95">
        <f>(AP51/AP39-1)</f>
        <v>7.1581762365349411E-2</v>
      </c>
      <c r="AR51" s="120">
        <v>25</v>
      </c>
      <c r="AS51" s="117" t="str">
        <f t="shared" si="13"/>
        <v>-</v>
      </c>
      <c r="AT51" s="98"/>
      <c r="AU51" s="94"/>
      <c r="AV51" s="118"/>
      <c r="AW51" s="119"/>
      <c r="AX51" s="48"/>
      <c r="AY51" s="55"/>
      <c r="AZ51" s="48">
        <v>863</v>
      </c>
      <c r="BA51" s="94"/>
      <c r="BB51" s="48">
        <v>68</v>
      </c>
      <c r="BC51" s="55"/>
    </row>
    <row r="52" spans="1:55" s="9" customFormat="1" ht="13.5" customHeight="1">
      <c r="A52" s="60"/>
      <c r="B52" s="45" t="s">
        <v>54</v>
      </c>
      <c r="C52" s="48">
        <v>1072557</v>
      </c>
      <c r="D52" s="55">
        <v>8.5999999999999993E-2</v>
      </c>
      <c r="E52" s="14"/>
      <c r="F52" s="48">
        <v>218488</v>
      </c>
      <c r="G52" s="55">
        <f t="shared" si="1"/>
        <v>0.23232072555809993</v>
      </c>
      <c r="H52" s="48">
        <v>379382</v>
      </c>
      <c r="I52" s="55">
        <f t="shared" si="2"/>
        <v>0.13881334461994729</v>
      </c>
      <c r="J52" s="48">
        <v>21100</v>
      </c>
      <c r="K52" s="55">
        <f t="shared" si="3"/>
        <v>0.18786241062883521</v>
      </c>
      <c r="L52" s="120">
        <v>81131</v>
      </c>
      <c r="M52" s="91">
        <f t="shared" si="4"/>
        <v>0.25843027764851867</v>
      </c>
      <c r="N52" s="48">
        <v>96597</v>
      </c>
      <c r="O52" s="55">
        <f t="shared" si="5"/>
        <v>-4.2551293487957179E-2</v>
      </c>
      <c r="P52" s="48">
        <v>38481</v>
      </c>
      <c r="Q52" s="90">
        <f t="shared" si="11"/>
        <v>-2.4166962519653092E-2</v>
      </c>
      <c r="R52" s="120">
        <v>20476</v>
      </c>
      <c r="S52" s="91">
        <f t="shared" si="6"/>
        <v>0.5273758018797553</v>
      </c>
      <c r="T52" s="48">
        <v>43948</v>
      </c>
      <c r="U52" s="55">
        <f t="shared" si="7"/>
        <v>3.8832290191420349E-3</v>
      </c>
      <c r="V52" s="48">
        <v>567</v>
      </c>
      <c r="W52" s="55">
        <f t="shared" si="14"/>
        <v>0.2857142857142857</v>
      </c>
      <c r="X52" s="53">
        <v>63988</v>
      </c>
      <c r="Y52" s="55">
        <f t="shared" si="8"/>
        <v>9.4972449433587736E-2</v>
      </c>
      <c r="Z52" s="53">
        <v>23226</v>
      </c>
      <c r="AA52" s="91"/>
      <c r="AB52" s="48">
        <v>32219</v>
      </c>
      <c r="AC52" s="55">
        <v>-1.9536836980006696E-2</v>
      </c>
      <c r="AD52" s="48">
        <v>28343</v>
      </c>
      <c r="AE52" s="55">
        <f t="shared" si="9"/>
        <v>0.4300201816347124</v>
      </c>
      <c r="AF52" s="48">
        <v>2344</v>
      </c>
      <c r="AG52" s="90">
        <f t="shared" si="15"/>
        <v>0.39357907253269919</v>
      </c>
      <c r="AH52" s="46"/>
      <c r="AI52" s="55"/>
      <c r="AJ52" s="96"/>
      <c r="AK52" s="99"/>
      <c r="AL52" s="48"/>
      <c r="AM52" s="91"/>
      <c r="AN52" s="48">
        <v>720</v>
      </c>
      <c r="AO52" s="55">
        <f t="shared" si="16"/>
        <v>-0.48424068767908313</v>
      </c>
      <c r="AP52" s="63"/>
      <c r="AQ52" s="95"/>
      <c r="AR52" s="120">
        <v>11</v>
      </c>
      <c r="AS52" s="117">
        <f t="shared" si="13"/>
        <v>0.10000000000000009</v>
      </c>
      <c r="AT52" s="98"/>
      <c r="AU52" s="94"/>
      <c r="AV52" s="118"/>
      <c r="AW52" s="119"/>
      <c r="AX52" s="48"/>
      <c r="AY52" s="55"/>
      <c r="AZ52" s="48">
        <v>979</v>
      </c>
      <c r="BA52" s="94"/>
      <c r="BB52" s="48">
        <v>49</v>
      </c>
      <c r="BC52" s="55"/>
    </row>
    <row r="53" spans="1:55" s="9" customFormat="1" ht="13.5" customHeight="1">
      <c r="A53" s="65"/>
      <c r="B53" s="100" t="s">
        <v>69</v>
      </c>
      <c r="C53" s="48">
        <v>1081848</v>
      </c>
      <c r="D53" s="55">
        <v>6.5000000000000002E-2</v>
      </c>
      <c r="E53" s="14"/>
      <c r="F53" s="128">
        <v>208893</v>
      </c>
      <c r="G53" s="55">
        <f t="shared" si="1"/>
        <v>0.13112011176209401</v>
      </c>
      <c r="H53" s="101">
        <v>358085</v>
      </c>
      <c r="I53" s="67">
        <f t="shared" si="2"/>
        <v>9.2935452758549128E-2</v>
      </c>
      <c r="J53" s="101">
        <v>22959</v>
      </c>
      <c r="K53" s="67">
        <f t="shared" si="3"/>
        <v>0.2058298319327731</v>
      </c>
      <c r="L53" s="110">
        <v>100323</v>
      </c>
      <c r="M53" s="104">
        <f t="shared" si="4"/>
        <v>0.26665656603916521</v>
      </c>
      <c r="N53" s="101">
        <v>105849</v>
      </c>
      <c r="O53" s="67">
        <f t="shared" si="5"/>
        <v>4.1400615893192709E-2</v>
      </c>
      <c r="P53" s="101">
        <v>43462</v>
      </c>
      <c r="Q53" s="67">
        <f t="shared" si="11"/>
        <v>7.8290503822418713E-4</v>
      </c>
      <c r="R53" s="110">
        <v>28642</v>
      </c>
      <c r="S53" s="104">
        <f t="shared" si="6"/>
        <v>0.5113714315867236</v>
      </c>
      <c r="T53" s="101">
        <v>39638</v>
      </c>
      <c r="U53" s="67">
        <f t="shared" si="7"/>
        <v>9.7610278846952628E-2</v>
      </c>
      <c r="V53" s="101">
        <v>465</v>
      </c>
      <c r="W53" s="55">
        <f t="shared" si="14"/>
        <v>0.34782608695652173</v>
      </c>
      <c r="X53" s="107">
        <v>66912</v>
      </c>
      <c r="Y53" s="67">
        <f t="shared" si="8"/>
        <v>9.9513605889312462E-2</v>
      </c>
      <c r="Z53" s="107">
        <v>28111</v>
      </c>
      <c r="AA53" s="91"/>
      <c r="AB53" s="101">
        <v>28840</v>
      </c>
      <c r="AC53" s="67">
        <v>-6.8528530596783637E-3</v>
      </c>
      <c r="AD53" s="101">
        <v>15983</v>
      </c>
      <c r="AE53" s="67">
        <f t="shared" si="9"/>
        <v>-6.6849602989257351E-2</v>
      </c>
      <c r="AF53" s="101">
        <v>1157</v>
      </c>
      <c r="AG53" s="102">
        <f t="shared" si="15"/>
        <v>-4.6952224052718289E-2</v>
      </c>
      <c r="AH53" s="46"/>
      <c r="AI53" s="55"/>
      <c r="AJ53" s="111"/>
      <c r="AK53" s="129"/>
      <c r="AL53" s="101"/>
      <c r="AM53" s="91"/>
      <c r="AN53" s="101">
        <v>1364</v>
      </c>
      <c r="AO53" s="67">
        <f t="shared" si="16"/>
        <v>-1.0877447425670761E-2</v>
      </c>
      <c r="AP53" s="130"/>
      <c r="AQ53" s="95"/>
      <c r="AR53" s="110">
        <v>0</v>
      </c>
      <c r="AS53" s="117" t="str">
        <f t="shared" si="13"/>
        <v>-</v>
      </c>
      <c r="AT53" s="113"/>
      <c r="AU53" s="109"/>
      <c r="AV53" s="123"/>
      <c r="AW53" s="124"/>
      <c r="AX53" s="101"/>
      <c r="AY53" s="55"/>
      <c r="AZ53" s="101">
        <v>1050</v>
      </c>
      <c r="BA53" s="109"/>
      <c r="BB53" s="101">
        <v>120</v>
      </c>
      <c r="BC53" s="55"/>
    </row>
    <row r="54" spans="1:55" s="9" customFormat="1" ht="13.5" customHeight="1">
      <c r="A54" s="72" t="s">
        <v>70</v>
      </c>
      <c r="B54" s="73" t="s">
        <v>43</v>
      </c>
      <c r="C54" s="76">
        <v>1322909</v>
      </c>
      <c r="D54" s="75">
        <v>3.2000000000000001E-2</v>
      </c>
      <c r="E54" s="14"/>
      <c r="F54" s="131">
        <v>271583</v>
      </c>
      <c r="G54" s="75">
        <f t="shared" si="1"/>
        <v>0.12994799251092157</v>
      </c>
      <c r="H54" s="76">
        <v>426625</v>
      </c>
      <c r="I54" s="75">
        <v>0.04</v>
      </c>
      <c r="J54" s="76">
        <v>32744</v>
      </c>
      <c r="K54" s="75">
        <f t="shared" si="3"/>
        <v>0.33387648688284177</v>
      </c>
      <c r="L54" s="132">
        <v>101818</v>
      </c>
      <c r="M54" s="79">
        <f t="shared" si="4"/>
        <v>0.28172914725949799</v>
      </c>
      <c r="N54" s="76">
        <v>118417</v>
      </c>
      <c r="O54" s="75">
        <f t="shared" si="5"/>
        <v>-6.3838029282484263E-2</v>
      </c>
      <c r="P54" s="76">
        <v>47209</v>
      </c>
      <c r="Q54" s="75">
        <f t="shared" si="11"/>
        <v>-2.5453119194087773E-2</v>
      </c>
      <c r="R54" s="132">
        <v>35580</v>
      </c>
      <c r="S54" s="79">
        <f t="shared" si="6"/>
        <v>0.38837944355562493</v>
      </c>
      <c r="T54" s="76">
        <v>50432</v>
      </c>
      <c r="U54" s="75">
        <f t="shared" ref="U54:U86" si="17">(T54/T42-1)</f>
        <v>7.9336543606206567E-2</v>
      </c>
      <c r="V54" s="46">
        <v>630</v>
      </c>
      <c r="W54" s="75">
        <f t="shared" si="14"/>
        <v>-0.16996047430830039</v>
      </c>
      <c r="X54" s="133">
        <v>69522</v>
      </c>
      <c r="Y54" s="75">
        <f t="shared" si="8"/>
        <v>-1.7120721586812326E-2</v>
      </c>
      <c r="Z54" s="82">
        <v>36472</v>
      </c>
      <c r="AA54" s="79">
        <f t="shared" ref="AA54:AA65" si="18">Z54/Z42-1</f>
        <v>-0.23711512717536809</v>
      </c>
      <c r="AB54" s="46">
        <v>33112</v>
      </c>
      <c r="AC54" s="75">
        <v>-1.1611593683770634E-2</v>
      </c>
      <c r="AD54" s="76">
        <v>26216</v>
      </c>
      <c r="AE54" s="75">
        <v>-3.7999999999999999E-2</v>
      </c>
      <c r="AF54" s="46">
        <v>5692</v>
      </c>
      <c r="AG54" s="77">
        <f>(AF54-AF42)/AF42</f>
        <v>0.15926680244399186</v>
      </c>
      <c r="AH54" s="74">
        <v>14478</v>
      </c>
      <c r="AI54" s="75"/>
      <c r="AJ54" s="87">
        <v>14635</v>
      </c>
      <c r="AK54" s="125">
        <f>(SUM(AJ54:AJ59)/AJ42-1)</f>
        <v>0.2554688170198165</v>
      </c>
      <c r="AL54" s="46"/>
      <c r="AM54" s="79"/>
      <c r="AN54" s="89">
        <v>2135</v>
      </c>
      <c r="AO54" s="55">
        <f>(AN54/AN42-1)</f>
        <v>-0.11226611226611227</v>
      </c>
      <c r="AP54" s="56">
        <f>AP206*0.361</f>
        <v>28808.521999999997</v>
      </c>
      <c r="AQ54" s="85">
        <f>(AP54/AP42-1)</f>
        <v>5.7747533515353888E-2</v>
      </c>
      <c r="AR54" s="50">
        <v>0</v>
      </c>
      <c r="AS54" s="126" t="str">
        <f t="shared" si="13"/>
        <v>-</v>
      </c>
      <c r="AT54" s="115">
        <v>97</v>
      </c>
      <c r="AU54" s="84"/>
      <c r="AV54" s="115">
        <v>14530</v>
      </c>
      <c r="AW54" s="116">
        <f>AV54/AV42-1</f>
        <v>0.13418156271953796</v>
      </c>
      <c r="AX54" s="46"/>
      <c r="AY54" s="75"/>
      <c r="AZ54" s="46">
        <v>2678</v>
      </c>
      <c r="BA54" s="75">
        <f t="shared" ref="BA54:BA117" si="19">(AZ54/AZ42-1)</f>
        <v>5.1020408163265252E-2</v>
      </c>
      <c r="BB54" s="46">
        <v>117</v>
      </c>
      <c r="BC54" s="75">
        <v>-3.7999999999999999E-2</v>
      </c>
    </row>
    <row r="55" spans="1:55" s="9" customFormat="1" ht="13.5" customHeight="1">
      <c r="A55" s="60"/>
      <c r="B55" s="45" t="s">
        <v>44</v>
      </c>
      <c r="C55" s="48">
        <v>1132463</v>
      </c>
      <c r="D55" s="55">
        <v>0.153</v>
      </c>
      <c r="E55" s="14"/>
      <c r="F55" s="128">
        <v>234876</v>
      </c>
      <c r="G55" s="55">
        <f t="shared" si="1"/>
        <v>0.16065525164924765</v>
      </c>
      <c r="H55" s="48">
        <v>397565</v>
      </c>
      <c r="I55" s="55">
        <v>0.13700000000000001</v>
      </c>
      <c r="J55" s="48">
        <v>28894</v>
      </c>
      <c r="K55" s="55">
        <f t="shared" si="3"/>
        <v>0.55486197061830711</v>
      </c>
      <c r="L55" s="120">
        <v>96445</v>
      </c>
      <c r="M55" s="91">
        <v>0.501</v>
      </c>
      <c r="N55" s="48">
        <v>99834</v>
      </c>
      <c r="O55" s="55">
        <f t="shared" si="5"/>
        <v>0.15491132885253867</v>
      </c>
      <c r="P55" s="48">
        <v>47485</v>
      </c>
      <c r="Q55" s="55">
        <f t="shared" si="11"/>
        <v>6.1781673449309064E-2</v>
      </c>
      <c r="R55" s="120">
        <v>33682</v>
      </c>
      <c r="S55" s="91">
        <f t="shared" si="6"/>
        <v>0.99467014094516171</v>
      </c>
      <c r="T55" s="48">
        <v>40998</v>
      </c>
      <c r="U55" s="55">
        <f t="shared" si="17"/>
        <v>0.30587673196368859</v>
      </c>
      <c r="V55" s="46">
        <v>402</v>
      </c>
      <c r="W55" s="55">
        <f t="shared" si="14"/>
        <v>1.5151515151515152E-2</v>
      </c>
      <c r="X55" s="134">
        <v>56832</v>
      </c>
      <c r="Y55" s="55">
        <f t="shared" si="8"/>
        <v>0.14629177676032201</v>
      </c>
      <c r="Z55" s="53">
        <v>31197</v>
      </c>
      <c r="AA55" s="91">
        <f t="shared" si="18"/>
        <v>-0.10032875764217331</v>
      </c>
      <c r="AB55" s="46">
        <v>26154</v>
      </c>
      <c r="AC55" s="55">
        <v>0.15971975877970912</v>
      </c>
      <c r="AD55" s="48">
        <v>26603</v>
      </c>
      <c r="AE55" s="55">
        <v>0.33200000000000002</v>
      </c>
      <c r="AF55" s="46">
        <v>6257</v>
      </c>
      <c r="AG55" s="90">
        <f t="shared" ref="AG55:AG65" si="20">(AF55-AF43)/AF43</f>
        <v>0.38245691559876271</v>
      </c>
      <c r="AH55" s="46">
        <v>9545</v>
      </c>
      <c r="AI55" s="55"/>
      <c r="AJ55" s="96"/>
      <c r="AK55" s="99"/>
      <c r="AL55" s="46"/>
      <c r="AM55" s="91"/>
      <c r="AN55" s="98">
        <v>1405</v>
      </c>
      <c r="AO55" s="55">
        <f t="shared" ref="AO55:AO65" si="21">(AN55/AN43-1)</f>
        <v>4.2284866468842663E-2</v>
      </c>
      <c r="AP55" s="63"/>
      <c r="AQ55" s="95"/>
      <c r="AR55" s="50">
        <v>0</v>
      </c>
      <c r="AS55" s="117" t="str">
        <f t="shared" si="13"/>
        <v>-</v>
      </c>
      <c r="AT55" s="118"/>
      <c r="AU55" s="94"/>
      <c r="AV55" s="118"/>
      <c r="AW55" s="119"/>
      <c r="AX55" s="46"/>
      <c r="AY55" s="55"/>
      <c r="AZ55" s="46">
        <v>1416</v>
      </c>
      <c r="BA55" s="55">
        <f t="shared" si="19"/>
        <v>0.12291831879460746</v>
      </c>
      <c r="BB55" s="46">
        <v>112</v>
      </c>
      <c r="BC55" s="55">
        <v>0.33200000000000002</v>
      </c>
    </row>
    <row r="56" spans="1:55" s="9" customFormat="1" ht="13.5" customHeight="1">
      <c r="A56" s="60"/>
      <c r="B56" s="45" t="s">
        <v>45</v>
      </c>
      <c r="C56" s="48">
        <v>983589</v>
      </c>
      <c r="D56" s="55">
        <v>-6.0299999999999999E-2</v>
      </c>
      <c r="E56" s="14"/>
      <c r="F56" s="135">
        <v>187474</v>
      </c>
      <c r="G56" s="55">
        <f t="shared" si="1"/>
        <v>-6.6076377297704016E-3</v>
      </c>
      <c r="H56" s="48">
        <v>349458</v>
      </c>
      <c r="I56" s="55">
        <v>-0.11</v>
      </c>
      <c r="J56" s="48">
        <v>21292</v>
      </c>
      <c r="K56" s="55">
        <f t="shared" si="3"/>
        <v>4.4237371260421772E-2</v>
      </c>
      <c r="L56" s="120">
        <v>72756</v>
      </c>
      <c r="M56" s="91">
        <v>0.13300000000000001</v>
      </c>
      <c r="N56" s="48">
        <v>85840</v>
      </c>
      <c r="O56" s="55">
        <f t="shared" si="5"/>
        <v>-0.1094234699700167</v>
      </c>
      <c r="P56" s="48">
        <v>46737</v>
      </c>
      <c r="Q56" s="55">
        <f t="shared" si="11"/>
        <v>-5.3274454595174915E-2</v>
      </c>
      <c r="R56" s="120">
        <v>22418</v>
      </c>
      <c r="S56" s="91">
        <f>(R56-R44)/R56</f>
        <v>0.36577750022303507</v>
      </c>
      <c r="T56" s="48">
        <v>39683</v>
      </c>
      <c r="U56" s="55">
        <f t="shared" si="17"/>
        <v>-5.3882650263452736E-2</v>
      </c>
      <c r="V56" s="46">
        <v>312</v>
      </c>
      <c r="W56" s="55">
        <f t="shared" si="14"/>
        <v>7.9584775086505188E-2</v>
      </c>
      <c r="X56" s="134">
        <v>48793</v>
      </c>
      <c r="Y56" s="55">
        <f t="shared" si="8"/>
        <v>-5.0793712551552406E-2</v>
      </c>
      <c r="Z56" s="53">
        <v>29867</v>
      </c>
      <c r="AA56" s="91">
        <f t="shared" si="18"/>
        <v>-0.23076724959435446</v>
      </c>
      <c r="AB56" s="46">
        <v>29470</v>
      </c>
      <c r="AC56" s="55">
        <v>9.3668819119720928E-2</v>
      </c>
      <c r="AD56" s="48">
        <v>21760</v>
      </c>
      <c r="AE56" s="55">
        <v>0.10100000000000001</v>
      </c>
      <c r="AF56" s="46">
        <v>3413</v>
      </c>
      <c r="AG56" s="90">
        <f t="shared" si="20"/>
        <v>-8.4986595174262741E-2</v>
      </c>
      <c r="AH56" s="46">
        <v>9440</v>
      </c>
      <c r="AI56" s="55"/>
      <c r="AJ56" s="96"/>
      <c r="AK56" s="99"/>
      <c r="AL56" s="46"/>
      <c r="AM56" s="91"/>
      <c r="AN56" s="98">
        <v>1381</v>
      </c>
      <c r="AO56" s="55">
        <f t="shared" si="21"/>
        <v>-0.10382868267358858</v>
      </c>
      <c r="AP56" s="63"/>
      <c r="AQ56" s="95"/>
      <c r="AR56" s="50">
        <v>0</v>
      </c>
      <c r="AS56" s="117">
        <f t="shared" si="13"/>
        <v>-1</v>
      </c>
      <c r="AT56" s="118"/>
      <c r="AU56" s="94"/>
      <c r="AV56" s="118"/>
      <c r="AW56" s="119"/>
      <c r="AX56" s="46"/>
      <c r="AY56" s="55"/>
      <c r="AZ56" s="46">
        <v>1197</v>
      </c>
      <c r="BA56" s="55">
        <f t="shared" si="19"/>
        <v>0.20180722891566272</v>
      </c>
      <c r="BB56" s="46">
        <v>126</v>
      </c>
      <c r="BC56" s="55">
        <v>0.10100000000000001</v>
      </c>
    </row>
    <row r="57" spans="1:55" s="9" customFormat="1" ht="13.5" customHeight="1">
      <c r="A57" s="60"/>
      <c r="B57" s="45" t="s">
        <v>46</v>
      </c>
      <c r="C57" s="48">
        <v>1026750</v>
      </c>
      <c r="D57" s="55">
        <v>3.7999999999999999E-2</v>
      </c>
      <c r="E57" s="14"/>
      <c r="F57" s="128">
        <v>203812</v>
      </c>
      <c r="G57" s="55">
        <f t="shared" si="1"/>
        <v>6.9553626717324915E-2</v>
      </c>
      <c r="H57" s="48">
        <v>368551</v>
      </c>
      <c r="I57" s="55">
        <f t="shared" ref="I57:I68" si="22">(H57-H45)/H45</f>
        <v>-1.0428665404701491E-2</v>
      </c>
      <c r="J57" s="48">
        <v>21654</v>
      </c>
      <c r="K57" s="55">
        <v>0.32800000000000001</v>
      </c>
      <c r="L57" s="120">
        <v>69794</v>
      </c>
      <c r="M57" s="91">
        <v>0.17899999999999999</v>
      </c>
      <c r="N57" s="48">
        <v>76784</v>
      </c>
      <c r="O57" s="55">
        <f t="shared" si="5"/>
        <v>3.5175944864963458E-4</v>
      </c>
      <c r="P57" s="48">
        <v>41475</v>
      </c>
      <c r="Q57" s="55">
        <f t="shared" si="11"/>
        <v>-7.8333333333333338E-2</v>
      </c>
      <c r="R57" s="120">
        <v>19164</v>
      </c>
      <c r="S57" s="91">
        <v>7.7000000000000002E-3</v>
      </c>
      <c r="T57" s="48">
        <v>33946</v>
      </c>
      <c r="U57" s="55">
        <f t="shared" si="17"/>
        <v>5.445283136085477E-2</v>
      </c>
      <c r="V57" s="48">
        <v>402</v>
      </c>
      <c r="W57" s="55">
        <f t="shared" si="14"/>
        <v>0.31372549019607843</v>
      </c>
      <c r="X57" s="134">
        <v>45382</v>
      </c>
      <c r="Y57" s="55">
        <f t="shared" si="8"/>
        <v>9.6766397602590759E-2</v>
      </c>
      <c r="Z57" s="53">
        <v>24810</v>
      </c>
      <c r="AA57" s="91">
        <f t="shared" si="18"/>
        <v>-0.14027306119620209</v>
      </c>
      <c r="AB57" s="48">
        <v>23759</v>
      </c>
      <c r="AC57" s="55">
        <v>-1.2181939131880924E-2</v>
      </c>
      <c r="AD57" s="48">
        <v>21229</v>
      </c>
      <c r="AE57" s="55">
        <v>0.308</v>
      </c>
      <c r="AF57" s="48">
        <v>4169</v>
      </c>
      <c r="AG57" s="90">
        <f t="shared" si="20"/>
        <v>0.1362769146906514</v>
      </c>
      <c r="AH57" s="46">
        <v>13006</v>
      </c>
      <c r="AI57" s="55"/>
      <c r="AJ57" s="96"/>
      <c r="AK57" s="99"/>
      <c r="AL57" s="48"/>
      <c r="AM57" s="91"/>
      <c r="AN57" s="98">
        <v>753</v>
      </c>
      <c r="AO57" s="55">
        <f t="shared" si="21"/>
        <v>-0.21644120707596259</v>
      </c>
      <c r="AP57" s="63">
        <f>AP206*0.197</f>
        <v>15720.994000000001</v>
      </c>
      <c r="AQ57" s="99">
        <f>(AP57/AP45-1)</f>
        <v>8.0608726422292332E-2</v>
      </c>
      <c r="AR57" s="120">
        <v>0</v>
      </c>
      <c r="AS57" s="117">
        <f t="shared" si="13"/>
        <v>-1</v>
      </c>
      <c r="AT57" s="118"/>
      <c r="AU57" s="94"/>
      <c r="AV57" s="118"/>
      <c r="AW57" s="119"/>
      <c r="AX57" s="48"/>
      <c r="AY57" s="55"/>
      <c r="AZ57" s="48">
        <v>607</v>
      </c>
      <c r="BA57" s="55">
        <f t="shared" si="19"/>
        <v>-0.10339734121122601</v>
      </c>
      <c r="BB57" s="48">
        <v>32</v>
      </c>
      <c r="BC57" s="55">
        <v>0.308</v>
      </c>
    </row>
    <row r="58" spans="1:55" s="9" customFormat="1" ht="13.5" customHeight="1">
      <c r="A58" s="60"/>
      <c r="B58" s="45" t="s">
        <v>47</v>
      </c>
      <c r="C58" s="48">
        <v>1099977</v>
      </c>
      <c r="D58" s="55">
        <v>-7.0000000000000001E-3</v>
      </c>
      <c r="E58" s="14"/>
      <c r="F58" s="128">
        <v>229043</v>
      </c>
      <c r="G58" s="55">
        <f t="shared" si="1"/>
        <v>8.3688580823732581E-2</v>
      </c>
      <c r="H58" s="48">
        <v>380551</v>
      </c>
      <c r="I58" s="55">
        <f t="shared" si="22"/>
        <v>-9.0606905681929514E-2</v>
      </c>
      <c r="J58" s="48">
        <v>23256</v>
      </c>
      <c r="K58" s="55">
        <v>0.33</v>
      </c>
      <c r="L58" s="120">
        <v>86465</v>
      </c>
      <c r="M58" s="91">
        <v>0.32600000000000001</v>
      </c>
      <c r="N58" s="48">
        <v>78793</v>
      </c>
      <c r="O58" s="55">
        <f t="shared" si="5"/>
        <v>-4.4226640303739732E-2</v>
      </c>
      <c r="P58" s="48">
        <v>38479</v>
      </c>
      <c r="Q58" s="55">
        <f t="shared" si="11"/>
        <v>7.7903524006947167E-2</v>
      </c>
      <c r="R58" s="120">
        <v>26232</v>
      </c>
      <c r="S58" s="91">
        <v>0.64670000000000005</v>
      </c>
      <c r="T58" s="48">
        <v>36412</v>
      </c>
      <c r="U58" s="55">
        <f t="shared" si="17"/>
        <v>5.8703806007036397E-2</v>
      </c>
      <c r="V58" s="48">
        <v>288</v>
      </c>
      <c r="W58" s="55">
        <f t="shared" si="14"/>
        <v>0.17073170731707318</v>
      </c>
      <c r="X58" s="134">
        <v>49476</v>
      </c>
      <c r="Y58" s="55">
        <f t="shared" si="8"/>
        <v>-2.3872469715503275E-2</v>
      </c>
      <c r="Z58" s="53">
        <v>19870</v>
      </c>
      <c r="AA58" s="91">
        <f t="shared" si="18"/>
        <v>-0.19998389499536984</v>
      </c>
      <c r="AB58" s="48">
        <v>30802</v>
      </c>
      <c r="AC58" s="55">
        <v>4.0994964344857887E-2</v>
      </c>
      <c r="AD58" s="48">
        <v>22457</v>
      </c>
      <c r="AE58" s="55">
        <v>0.69799999999999995</v>
      </c>
      <c r="AF58" s="48">
        <v>3058</v>
      </c>
      <c r="AG58" s="90">
        <f t="shared" si="20"/>
        <v>0.16273764258555132</v>
      </c>
      <c r="AH58" s="46">
        <v>12685</v>
      </c>
      <c r="AI58" s="55"/>
      <c r="AJ58" s="96"/>
      <c r="AK58" s="99"/>
      <c r="AL58" s="48"/>
      <c r="AM58" s="91"/>
      <c r="AN58" s="98">
        <v>583</v>
      </c>
      <c r="AO58" s="55">
        <f t="shared" si="21"/>
        <v>-0.36423118865866955</v>
      </c>
      <c r="AP58" s="63"/>
      <c r="AQ58" s="99"/>
      <c r="AR58" s="120">
        <v>0</v>
      </c>
      <c r="AS58" s="117">
        <f t="shared" si="13"/>
        <v>-1</v>
      </c>
      <c r="AT58" s="118"/>
      <c r="AU58" s="94"/>
      <c r="AV58" s="118"/>
      <c r="AW58" s="119"/>
      <c r="AX58" s="48"/>
      <c r="AY58" s="55"/>
      <c r="AZ58" s="48">
        <v>639</v>
      </c>
      <c r="BA58" s="55">
        <f t="shared" si="19"/>
        <v>0.42953020134228193</v>
      </c>
      <c r="BB58" s="48">
        <v>68</v>
      </c>
      <c r="BC58" s="55">
        <v>0.69799999999999995</v>
      </c>
    </row>
    <row r="59" spans="1:55" s="9" customFormat="1" ht="13.5" customHeight="1">
      <c r="A59" s="60"/>
      <c r="B59" s="45" t="s">
        <v>49</v>
      </c>
      <c r="C59" s="48">
        <v>1004715</v>
      </c>
      <c r="D59" s="55">
        <v>-5.6000000000000001E-2</v>
      </c>
      <c r="E59" s="14"/>
      <c r="F59" s="128">
        <v>195661</v>
      </c>
      <c r="G59" s="55">
        <f t="shared" si="1"/>
        <v>2.8009247097147059E-2</v>
      </c>
      <c r="H59" s="48">
        <v>304727</v>
      </c>
      <c r="I59" s="55">
        <f t="shared" si="22"/>
        <v>-0.21989089168273082</v>
      </c>
      <c r="J59" s="48">
        <v>23442</v>
      </c>
      <c r="K59" s="55">
        <f t="shared" ref="K59:K87" si="23">(J59/J47-1)</f>
        <v>0.40598572542433886</v>
      </c>
      <c r="L59" s="120">
        <v>73435</v>
      </c>
      <c r="M59" s="91">
        <v>0.192</v>
      </c>
      <c r="N59" s="48">
        <v>77235</v>
      </c>
      <c r="O59" s="55">
        <f t="shared" si="5"/>
        <v>3.0128696284560342E-3</v>
      </c>
      <c r="P59" s="48">
        <v>24221</v>
      </c>
      <c r="Q59" s="55">
        <f t="shared" si="11"/>
        <v>-0.39637641429497084</v>
      </c>
      <c r="R59" s="120">
        <v>21424</v>
      </c>
      <c r="S59" s="91">
        <f t="shared" ref="S59:S87" si="24">(R59/R47-1)</f>
        <v>0.39797716150081563</v>
      </c>
      <c r="T59" s="48">
        <v>35998</v>
      </c>
      <c r="U59" s="55">
        <f t="shared" si="17"/>
        <v>-4.840201961458146E-2</v>
      </c>
      <c r="V59" s="48">
        <v>285</v>
      </c>
      <c r="W59" s="55">
        <f t="shared" si="14"/>
        <v>-0.19491525423728814</v>
      </c>
      <c r="X59" s="134">
        <v>52711</v>
      </c>
      <c r="Y59" s="55">
        <f t="shared" si="8"/>
        <v>8.5973876138283334E-2</v>
      </c>
      <c r="Z59" s="53">
        <v>18230</v>
      </c>
      <c r="AA59" s="91">
        <f t="shared" si="18"/>
        <v>-0.2532667021668783</v>
      </c>
      <c r="AB59" s="48">
        <v>29357</v>
      </c>
      <c r="AC59" s="55">
        <v>6.6363966581910641E-2</v>
      </c>
      <c r="AD59" s="48">
        <v>20348</v>
      </c>
      <c r="AE59" s="55">
        <f t="shared" ref="AE59:AE78" si="25">(AD59/AD47-1)</f>
        <v>0.58795067894490405</v>
      </c>
      <c r="AF59" s="48">
        <v>1899</v>
      </c>
      <c r="AG59" s="90">
        <f t="shared" si="20"/>
        <v>-0.29062383264848712</v>
      </c>
      <c r="AH59" s="46">
        <v>9711</v>
      </c>
      <c r="AI59" s="55"/>
      <c r="AJ59" s="96"/>
      <c r="AK59" s="99"/>
      <c r="AL59" s="48"/>
      <c r="AM59" s="91"/>
      <c r="AN59" s="98">
        <v>787</v>
      </c>
      <c r="AO59" s="55">
        <f t="shared" si="21"/>
        <v>-0.17331932773109249</v>
      </c>
      <c r="AP59" s="63"/>
      <c r="AQ59" s="99"/>
      <c r="AR59" s="120">
        <v>0</v>
      </c>
      <c r="AS59" s="117">
        <f t="shared" si="13"/>
        <v>-1</v>
      </c>
      <c r="AT59" s="118"/>
      <c r="AU59" s="94"/>
      <c r="AV59" s="118"/>
      <c r="AW59" s="119"/>
      <c r="AX59" s="48"/>
      <c r="AY59" s="55"/>
      <c r="AZ59" s="48">
        <v>497</v>
      </c>
      <c r="BA59" s="55">
        <f t="shared" si="19"/>
        <v>-6.7542213883677316E-2</v>
      </c>
      <c r="BB59" s="48">
        <v>57</v>
      </c>
      <c r="BC59" s="55">
        <f t="shared" ref="BC59:BC65" si="26">(BB59/BB47-1)</f>
        <v>-0.48648648648648651</v>
      </c>
    </row>
    <row r="60" spans="1:55" s="9" customFormat="1" ht="13.5" customHeight="1">
      <c r="A60" s="60"/>
      <c r="B60" s="45" t="s">
        <v>50</v>
      </c>
      <c r="C60" s="48">
        <v>1135843</v>
      </c>
      <c r="D60" s="55">
        <v>-0.125</v>
      </c>
      <c r="E60" s="14"/>
      <c r="F60" s="48">
        <v>237947</v>
      </c>
      <c r="G60" s="55">
        <f t="shared" si="1"/>
        <v>-6.4063028548502557E-2</v>
      </c>
      <c r="H60" s="48">
        <v>327184</v>
      </c>
      <c r="I60" s="55">
        <f t="shared" si="22"/>
        <v>-0.27065537226928221</v>
      </c>
      <c r="J60" s="48">
        <v>18310</v>
      </c>
      <c r="K60" s="55">
        <f t="shared" si="23"/>
        <v>0.14825034491408506</v>
      </c>
      <c r="L60" s="120">
        <v>78498</v>
      </c>
      <c r="M60" s="91">
        <v>2.9000000000000001E-2</v>
      </c>
      <c r="N60" s="48">
        <v>80120</v>
      </c>
      <c r="O60" s="55">
        <f t="shared" si="5"/>
        <v>-0.12485936800253411</v>
      </c>
      <c r="P60" s="48">
        <v>32443</v>
      </c>
      <c r="Q60" s="55">
        <f t="shared" si="11"/>
        <v>-1.8217582085035558E-2</v>
      </c>
      <c r="R60" s="120">
        <v>22828</v>
      </c>
      <c r="S60" s="91">
        <f t="shared" si="24"/>
        <v>0.28869820480975505</v>
      </c>
      <c r="T60" s="48">
        <v>39614</v>
      </c>
      <c r="U60" s="55">
        <f t="shared" si="17"/>
        <v>-0.14045175429079781</v>
      </c>
      <c r="V60" s="48">
        <v>453</v>
      </c>
      <c r="W60" s="55">
        <f t="shared" si="14"/>
        <v>-6.5789473684210523E-3</v>
      </c>
      <c r="X60" s="134">
        <v>57903</v>
      </c>
      <c r="Y60" s="55">
        <f t="shared" si="8"/>
        <v>-7.6389331972181451E-2</v>
      </c>
      <c r="Z60" s="53">
        <v>19470</v>
      </c>
      <c r="AA60" s="91">
        <f t="shared" si="18"/>
        <v>-0.11346871869592934</v>
      </c>
      <c r="AB60" s="48">
        <v>27698</v>
      </c>
      <c r="AC60" s="55">
        <v>-0.10789744911105385</v>
      </c>
      <c r="AD60" s="48">
        <v>27512</v>
      </c>
      <c r="AE60" s="55">
        <f t="shared" si="25"/>
        <v>0.28699069092950369</v>
      </c>
      <c r="AF60" s="48">
        <v>1756</v>
      </c>
      <c r="AG60" s="90">
        <f t="shared" si="20"/>
        <v>-9.9948744233726294E-2</v>
      </c>
      <c r="AH60" s="46">
        <v>11274</v>
      </c>
      <c r="AI60" s="55"/>
      <c r="AJ60" s="96">
        <v>28761</v>
      </c>
      <c r="AK60" s="99">
        <f>(SUM(AJ60:AJ65)/AJ48-1)</f>
        <v>0.395081490104773</v>
      </c>
      <c r="AL60" s="48"/>
      <c r="AM60" s="91"/>
      <c r="AN60" s="98">
        <v>985</v>
      </c>
      <c r="AO60" s="55">
        <f t="shared" si="21"/>
        <v>-0.24405218726016886</v>
      </c>
      <c r="AP60" s="63">
        <f>AP206*0.26</f>
        <v>20748.52</v>
      </c>
      <c r="AQ60" s="95">
        <f>(AP60/AP48-1)</f>
        <v>-1.8785335114621105E-2</v>
      </c>
      <c r="AR60" s="120">
        <v>0</v>
      </c>
      <c r="AS60" s="117">
        <f t="shared" si="13"/>
        <v>-1</v>
      </c>
      <c r="AT60" s="118"/>
      <c r="AU60" s="94"/>
      <c r="AV60" s="118"/>
      <c r="AW60" s="119"/>
      <c r="AX60" s="48"/>
      <c r="AY60" s="55"/>
      <c r="AZ60" s="48">
        <v>1274</v>
      </c>
      <c r="BA60" s="55">
        <f t="shared" si="19"/>
        <v>-1.0101010101010055E-2</v>
      </c>
      <c r="BB60" s="48">
        <v>89</v>
      </c>
      <c r="BC60" s="55">
        <f t="shared" si="26"/>
        <v>-0.51891891891891895</v>
      </c>
    </row>
    <row r="61" spans="1:55" s="9" customFormat="1" ht="13.5" customHeight="1">
      <c r="A61" s="60"/>
      <c r="B61" s="45" t="s">
        <v>51</v>
      </c>
      <c r="C61" s="48">
        <v>1163809</v>
      </c>
      <c r="D61" s="55">
        <v>-0.111</v>
      </c>
      <c r="E61" s="14"/>
      <c r="F61" s="48">
        <v>248154</v>
      </c>
      <c r="G61" s="55">
        <f t="shared" si="1"/>
        <v>-8.5574680241877532E-2</v>
      </c>
      <c r="H61" s="48">
        <v>341625</v>
      </c>
      <c r="I61" s="55">
        <f t="shared" si="22"/>
        <v>-0.29052496479882373</v>
      </c>
      <c r="J61" s="48">
        <v>22410</v>
      </c>
      <c r="K61" s="55">
        <f t="shared" si="23"/>
        <v>0.20173745173745172</v>
      </c>
      <c r="L61" s="120">
        <v>88001</v>
      </c>
      <c r="M61" s="91">
        <v>-8.9999999999999993E-3</v>
      </c>
      <c r="N61" s="48">
        <v>85350</v>
      </c>
      <c r="O61" s="55">
        <f t="shared" si="5"/>
        <v>-0.11188112630330274</v>
      </c>
      <c r="P61" s="48">
        <v>49786</v>
      </c>
      <c r="Q61" s="55">
        <f t="shared" ref="Q61:Q87" si="27">(P61/P49-1)</f>
        <v>0.26139501887557315</v>
      </c>
      <c r="R61" s="120">
        <v>30415</v>
      </c>
      <c r="S61" s="91">
        <f t="shared" si="24"/>
        <v>0.34104938271604945</v>
      </c>
      <c r="T61" s="48">
        <v>42338</v>
      </c>
      <c r="U61" s="55">
        <f t="shared" si="17"/>
        <v>-7.7241619807331796E-2</v>
      </c>
      <c r="V61" s="48">
        <v>339</v>
      </c>
      <c r="W61" s="55">
        <f t="shared" si="14"/>
        <v>-4.2372881355932202E-2</v>
      </c>
      <c r="X61" s="134">
        <v>52803</v>
      </c>
      <c r="Y61" s="55">
        <f t="shared" si="8"/>
        <v>-3.362005856515371E-2</v>
      </c>
      <c r="Z61" s="53">
        <v>21816</v>
      </c>
      <c r="AA61" s="91">
        <f t="shared" si="18"/>
        <v>3.4497033255140863E-3</v>
      </c>
      <c r="AB61" s="48">
        <v>32355</v>
      </c>
      <c r="AC61" s="55">
        <v>0.12794143280460171</v>
      </c>
      <c r="AD61" s="48">
        <v>27473</v>
      </c>
      <c r="AE61" s="55">
        <f t="shared" si="25"/>
        <v>0.24211049823673036</v>
      </c>
      <c r="AF61" s="48">
        <v>1974</v>
      </c>
      <c r="AG61" s="90">
        <f t="shared" si="20"/>
        <v>-0.31315240083507306</v>
      </c>
      <c r="AH61" s="46">
        <v>10524</v>
      </c>
      <c r="AI61" s="55"/>
      <c r="AJ61" s="96"/>
      <c r="AK61" s="99"/>
      <c r="AL61" s="48"/>
      <c r="AM61" s="91"/>
      <c r="AN61" s="98">
        <v>1093</v>
      </c>
      <c r="AO61" s="55">
        <f t="shared" si="21"/>
        <v>6.0135790494665331E-2</v>
      </c>
      <c r="AP61" s="63"/>
      <c r="AQ61" s="95"/>
      <c r="AR61" s="120">
        <v>0</v>
      </c>
      <c r="AS61" s="117" t="str">
        <f t="shared" si="13"/>
        <v>-</v>
      </c>
      <c r="AT61" s="118"/>
      <c r="AU61" s="94"/>
      <c r="AV61" s="118"/>
      <c r="AW61" s="119"/>
      <c r="AX61" s="48"/>
      <c r="AY61" s="55"/>
      <c r="AZ61" s="48">
        <v>871</v>
      </c>
      <c r="BA61" s="55">
        <f t="shared" si="19"/>
        <v>-0.12812812812812813</v>
      </c>
      <c r="BB61" s="48">
        <v>101</v>
      </c>
      <c r="BC61" s="55">
        <f t="shared" si="26"/>
        <v>1.7297297297297298</v>
      </c>
    </row>
    <row r="62" spans="1:55" s="9" customFormat="1" ht="13.5" customHeight="1">
      <c r="A62" s="60"/>
      <c r="B62" s="45" t="s">
        <v>52</v>
      </c>
      <c r="C62" s="48">
        <v>818747</v>
      </c>
      <c r="D62" s="55">
        <v>-0.19400000000000001</v>
      </c>
      <c r="E62" s="14"/>
      <c r="F62" s="48">
        <v>159523</v>
      </c>
      <c r="G62" s="55">
        <f t="shared" si="1"/>
        <v>-0.20748089782697257</v>
      </c>
      <c r="H62" s="48">
        <v>273132</v>
      </c>
      <c r="I62" s="55">
        <f t="shared" si="22"/>
        <v>-0.24372637787099721</v>
      </c>
      <c r="J62" s="48">
        <v>16448</v>
      </c>
      <c r="K62" s="55">
        <f t="shared" si="23"/>
        <v>-6.9998869162049115E-2</v>
      </c>
      <c r="L62" s="120">
        <v>55338</v>
      </c>
      <c r="M62" s="91">
        <v>-0.16800000000000001</v>
      </c>
      <c r="N62" s="48">
        <v>38211</v>
      </c>
      <c r="O62" s="55">
        <f t="shared" si="5"/>
        <v>-0.46074598851239784</v>
      </c>
      <c r="P62" s="48">
        <v>30417</v>
      </c>
      <c r="Q62" s="55">
        <f t="shared" si="27"/>
        <v>-0.18358966100330143</v>
      </c>
      <c r="R62" s="120">
        <v>16774</v>
      </c>
      <c r="S62" s="91">
        <f t="shared" si="24"/>
        <v>-2.1410652820722298E-2</v>
      </c>
      <c r="T62" s="48">
        <v>25914</v>
      </c>
      <c r="U62" s="55">
        <f t="shared" si="17"/>
        <v>-0.14260190577024878</v>
      </c>
      <c r="V62" s="48">
        <v>216</v>
      </c>
      <c r="W62" s="55">
        <f t="shared" si="14"/>
        <v>-0.30097087378640774</v>
      </c>
      <c r="X62" s="134">
        <v>36965</v>
      </c>
      <c r="Y62" s="55">
        <f t="shared" si="8"/>
        <v>-0.1415666148022573</v>
      </c>
      <c r="Z62" s="53">
        <v>14699</v>
      </c>
      <c r="AA62" s="91">
        <f t="shared" si="18"/>
        <v>-3.365985142331207E-2</v>
      </c>
      <c r="AB62" s="48">
        <v>23347</v>
      </c>
      <c r="AC62" s="55">
        <v>-9.2930493083255537E-3</v>
      </c>
      <c r="AD62" s="48">
        <v>18617</v>
      </c>
      <c r="AE62" s="55">
        <f t="shared" si="25"/>
        <v>0.30636446565153319</v>
      </c>
      <c r="AF62" s="48">
        <v>2483</v>
      </c>
      <c r="AG62" s="90">
        <f t="shared" si="20"/>
        <v>1.1405172413793103</v>
      </c>
      <c r="AH62" s="46">
        <v>7923</v>
      </c>
      <c r="AI62" s="55"/>
      <c r="AJ62" s="96"/>
      <c r="AK62" s="99"/>
      <c r="AL62" s="48"/>
      <c r="AM62" s="91"/>
      <c r="AN62" s="98">
        <v>706</v>
      </c>
      <c r="AO62" s="55">
        <f t="shared" si="21"/>
        <v>-9.9489795918367374E-2</v>
      </c>
      <c r="AP62" s="63"/>
      <c r="AQ62" s="95"/>
      <c r="AR62" s="120">
        <v>0</v>
      </c>
      <c r="AS62" s="117" t="str">
        <f t="shared" si="13"/>
        <v>-</v>
      </c>
      <c r="AT62" s="118"/>
      <c r="AU62" s="94"/>
      <c r="AV62" s="118"/>
      <c r="AW62" s="119"/>
      <c r="AX62" s="48"/>
      <c r="AY62" s="55"/>
      <c r="AZ62" s="48">
        <v>526</v>
      </c>
      <c r="BA62" s="55">
        <f t="shared" si="19"/>
        <v>-0.39747995418098514</v>
      </c>
      <c r="BB62" s="48">
        <v>37</v>
      </c>
      <c r="BC62" s="55">
        <f t="shared" si="26"/>
        <v>-0.36206896551724133</v>
      </c>
    </row>
    <row r="63" spans="1:55" s="9" customFormat="1" ht="13.5" customHeight="1">
      <c r="A63" s="60"/>
      <c r="B63" s="45" t="s">
        <v>53</v>
      </c>
      <c r="C63" s="48">
        <v>932716</v>
      </c>
      <c r="D63" s="55">
        <v>-0.13500000000000001</v>
      </c>
      <c r="E63" s="14"/>
      <c r="F63" s="48">
        <v>188804</v>
      </c>
      <c r="G63" s="55">
        <f t="shared" si="1"/>
        <v>-0.15234559143743517</v>
      </c>
      <c r="H63" s="48">
        <v>334680</v>
      </c>
      <c r="I63" s="55">
        <f t="shared" si="22"/>
        <v>-0.19233943559324487</v>
      </c>
      <c r="J63" s="48">
        <v>17392</v>
      </c>
      <c r="K63" s="55">
        <f t="shared" si="23"/>
        <v>0.12336907376307971</v>
      </c>
      <c r="L63" s="120">
        <v>66823</v>
      </c>
      <c r="M63" s="91">
        <v>2.5999999999999999E-2</v>
      </c>
      <c r="N63" s="48">
        <v>59713</v>
      </c>
      <c r="O63" s="55">
        <f t="shared" si="5"/>
        <v>-0.22624493022170966</v>
      </c>
      <c r="P63" s="48">
        <v>33898</v>
      </c>
      <c r="Q63" s="55">
        <f t="shared" si="27"/>
        <v>8.2830218814885725E-2</v>
      </c>
      <c r="R63" s="120">
        <v>19889</v>
      </c>
      <c r="S63" s="91">
        <f t="shared" si="24"/>
        <v>0.18218021873514023</v>
      </c>
      <c r="T63" s="48">
        <v>30930</v>
      </c>
      <c r="U63" s="55">
        <f t="shared" si="17"/>
        <v>-7.2647138188468796E-2</v>
      </c>
      <c r="V63" s="48">
        <v>414</v>
      </c>
      <c r="W63" s="55">
        <f t="shared" si="14"/>
        <v>0.12195121951219512</v>
      </c>
      <c r="X63" s="134">
        <v>45007</v>
      </c>
      <c r="Y63" s="55">
        <f t="shared" si="8"/>
        <v>-9.4408338195939523E-2</v>
      </c>
      <c r="Z63" s="53">
        <v>18457</v>
      </c>
      <c r="AA63" s="91">
        <f t="shared" si="18"/>
        <v>-8.8047828450022236E-2</v>
      </c>
      <c r="AB63" s="48">
        <v>29941</v>
      </c>
      <c r="AC63" s="55">
        <v>4.258653109548019E-2</v>
      </c>
      <c r="AD63" s="48">
        <v>19257</v>
      </c>
      <c r="AE63" s="55">
        <f t="shared" si="25"/>
        <v>0.42160047246419596</v>
      </c>
      <c r="AF63" s="48">
        <v>3000</v>
      </c>
      <c r="AG63" s="90">
        <f t="shared" si="20"/>
        <v>0.35869565217391303</v>
      </c>
      <c r="AH63" s="46">
        <v>8990</v>
      </c>
      <c r="AI63" s="55"/>
      <c r="AJ63" s="96"/>
      <c r="AK63" s="99"/>
      <c r="AL63" s="48"/>
      <c r="AM63" s="91"/>
      <c r="AN63" s="98">
        <v>816</v>
      </c>
      <c r="AO63" s="55">
        <f t="shared" si="21"/>
        <v>0.64848484848484844</v>
      </c>
      <c r="AP63" s="63">
        <f>AP206*0.182</f>
        <v>14523.964</v>
      </c>
      <c r="AQ63" s="95">
        <f>(AP63/AP51-1)</f>
        <v>-0.32924778767601048</v>
      </c>
      <c r="AR63" s="120">
        <v>0</v>
      </c>
      <c r="AS63" s="117">
        <f t="shared" si="13"/>
        <v>-1</v>
      </c>
      <c r="AT63" s="118"/>
      <c r="AU63" s="94"/>
      <c r="AV63" s="118"/>
      <c r="AW63" s="119"/>
      <c r="AX63" s="48"/>
      <c r="AY63" s="55"/>
      <c r="AZ63" s="48">
        <v>1074</v>
      </c>
      <c r="BA63" s="55">
        <f t="shared" si="19"/>
        <v>0.24449594438006961</v>
      </c>
      <c r="BB63" s="48">
        <v>95</v>
      </c>
      <c r="BC63" s="55">
        <f t="shared" si="26"/>
        <v>0.39705882352941169</v>
      </c>
    </row>
    <row r="64" spans="1:55" s="9" customFormat="1" ht="13.5" customHeight="1">
      <c r="A64" s="60"/>
      <c r="B64" s="45" t="s">
        <v>54</v>
      </c>
      <c r="C64" s="48">
        <v>707012</v>
      </c>
      <c r="D64" s="55">
        <v>-0.34079999999999999</v>
      </c>
      <c r="E64" s="14"/>
      <c r="F64" s="48">
        <v>117518</v>
      </c>
      <c r="G64" s="55">
        <f t="shared" si="1"/>
        <v>-0.46213064333052617</v>
      </c>
      <c r="H64" s="48">
        <v>238319</v>
      </c>
      <c r="I64" s="55">
        <f t="shared" si="22"/>
        <v>-0.37182312286824359</v>
      </c>
      <c r="J64" s="48">
        <v>14219</v>
      </c>
      <c r="K64" s="55">
        <f t="shared" si="23"/>
        <v>-0.32611374407582938</v>
      </c>
      <c r="L64" s="120">
        <v>56108</v>
      </c>
      <c r="M64" s="91">
        <v>2.3E-2</v>
      </c>
      <c r="N64" s="48">
        <v>54854</v>
      </c>
      <c r="O64" s="55">
        <f t="shared" si="5"/>
        <v>-0.43213557356853732</v>
      </c>
      <c r="P64" s="48">
        <v>24360</v>
      </c>
      <c r="Q64" s="55">
        <f t="shared" si="27"/>
        <v>-0.36696031807905205</v>
      </c>
      <c r="R64" s="120">
        <v>15028</v>
      </c>
      <c r="S64" s="91">
        <f t="shared" si="24"/>
        <v>-0.26606759132643099</v>
      </c>
      <c r="T64" s="48">
        <v>24442</v>
      </c>
      <c r="U64" s="55">
        <f t="shared" si="17"/>
        <v>-0.44384272321834894</v>
      </c>
      <c r="V64" s="48">
        <v>301</v>
      </c>
      <c r="W64" s="55">
        <f t="shared" si="14"/>
        <v>-0.46913580246913578</v>
      </c>
      <c r="X64" s="134">
        <v>44441</v>
      </c>
      <c r="Y64" s="55">
        <f t="shared" si="8"/>
        <v>-0.30547915234106393</v>
      </c>
      <c r="Z64" s="53">
        <v>16553</v>
      </c>
      <c r="AA64" s="91">
        <f t="shared" si="18"/>
        <v>-0.28730732799448888</v>
      </c>
      <c r="AB64" s="48">
        <v>26879</v>
      </c>
      <c r="AC64" s="55">
        <v>-0.1657407120022347</v>
      </c>
      <c r="AD64" s="48">
        <v>17323</v>
      </c>
      <c r="AE64" s="55">
        <f t="shared" si="25"/>
        <v>-0.38880852415058387</v>
      </c>
      <c r="AF64" s="48">
        <v>2700</v>
      </c>
      <c r="AG64" s="90">
        <f t="shared" si="20"/>
        <v>0.15187713310580206</v>
      </c>
      <c r="AH64" s="46">
        <v>7033</v>
      </c>
      <c r="AI64" s="55"/>
      <c r="AJ64" s="96"/>
      <c r="AK64" s="99"/>
      <c r="AL64" s="48"/>
      <c r="AM64" s="91"/>
      <c r="AN64" s="98">
        <v>853</v>
      </c>
      <c r="AO64" s="55">
        <f t="shared" si="21"/>
        <v>0.18472222222222223</v>
      </c>
      <c r="AP64" s="63"/>
      <c r="AQ64" s="95"/>
      <c r="AR64" s="120">
        <v>0</v>
      </c>
      <c r="AS64" s="117">
        <f t="shared" si="13"/>
        <v>-1</v>
      </c>
      <c r="AT64" s="118"/>
      <c r="AU64" s="94"/>
      <c r="AV64" s="118"/>
      <c r="AW64" s="119"/>
      <c r="AX64" s="48"/>
      <c r="AY64" s="55"/>
      <c r="AZ64" s="48">
        <v>827</v>
      </c>
      <c r="BA64" s="55">
        <f t="shared" si="19"/>
        <v>-0.15526046986721143</v>
      </c>
      <c r="BB64" s="48">
        <v>73</v>
      </c>
      <c r="BC64" s="55">
        <f t="shared" si="26"/>
        <v>0.48979591836734704</v>
      </c>
    </row>
    <row r="65" spans="1:55" s="9" customFormat="1" ht="13.5" customHeight="1">
      <c r="A65" s="65"/>
      <c r="B65" s="100" t="s">
        <v>55</v>
      </c>
      <c r="C65" s="101">
        <v>667564</v>
      </c>
      <c r="D65" s="67">
        <v>-0.38290000000000002</v>
      </c>
      <c r="E65" s="136"/>
      <c r="F65" s="101">
        <v>108002</v>
      </c>
      <c r="G65" s="67">
        <f t="shared" si="1"/>
        <v>-0.48297932434308471</v>
      </c>
      <c r="H65" s="101">
        <v>217975</v>
      </c>
      <c r="I65" s="67">
        <f t="shared" si="22"/>
        <v>-0.39127581440160858</v>
      </c>
      <c r="J65" s="101">
        <v>12205</v>
      </c>
      <c r="K65" s="67">
        <f t="shared" si="23"/>
        <v>-0.46840019164597757</v>
      </c>
      <c r="L65" s="110">
        <v>58839</v>
      </c>
      <c r="M65" s="104">
        <v>-0.41399999999999998</v>
      </c>
      <c r="N65" s="101">
        <v>33193</v>
      </c>
      <c r="O65" s="67">
        <f t="shared" si="5"/>
        <v>-0.68641177526476393</v>
      </c>
      <c r="P65" s="101">
        <v>32727</v>
      </c>
      <c r="Q65" s="67">
        <f t="shared" si="27"/>
        <v>-0.24699737701900515</v>
      </c>
      <c r="R65" s="110">
        <v>16360</v>
      </c>
      <c r="S65" s="104">
        <f t="shared" si="24"/>
        <v>-0.42881083723203683</v>
      </c>
      <c r="T65" s="101">
        <v>22304</v>
      </c>
      <c r="U65" s="67">
        <f t="shared" si="17"/>
        <v>-0.43730763408850093</v>
      </c>
      <c r="V65" s="101">
        <v>258</v>
      </c>
      <c r="W65" s="67">
        <f t="shared" si="14"/>
        <v>-0.44516129032258067</v>
      </c>
      <c r="X65" s="137">
        <v>51794</v>
      </c>
      <c r="Y65" s="67">
        <f t="shared" si="8"/>
        <v>-0.2259385461501674</v>
      </c>
      <c r="Z65" s="107">
        <v>15084</v>
      </c>
      <c r="AA65" s="104">
        <f t="shared" si="18"/>
        <v>-0.46341289886521286</v>
      </c>
      <c r="AB65" s="101">
        <v>24272</v>
      </c>
      <c r="AC65" s="67">
        <v>-0.158</v>
      </c>
      <c r="AD65" s="101">
        <v>18666</v>
      </c>
      <c r="AE65" s="67">
        <f t="shared" si="25"/>
        <v>0.16786585747356564</v>
      </c>
      <c r="AF65" s="101">
        <v>1200</v>
      </c>
      <c r="AG65" s="102">
        <f t="shared" si="20"/>
        <v>3.7165082108902334E-2</v>
      </c>
      <c r="AH65" s="66">
        <v>4891</v>
      </c>
      <c r="AI65" s="67"/>
      <c r="AJ65" s="111"/>
      <c r="AK65" s="129"/>
      <c r="AL65" s="101"/>
      <c r="AM65" s="104"/>
      <c r="AN65" s="113">
        <v>872</v>
      </c>
      <c r="AO65" s="67">
        <f t="shared" si="21"/>
        <v>-0.36070381231671556</v>
      </c>
      <c r="AP65" s="130"/>
      <c r="AQ65" s="138"/>
      <c r="AR65" s="110">
        <v>0</v>
      </c>
      <c r="AS65" s="139" t="str">
        <f t="shared" si="13"/>
        <v>-</v>
      </c>
      <c r="AT65" s="123"/>
      <c r="AU65" s="109"/>
      <c r="AV65" s="123"/>
      <c r="AW65" s="124"/>
      <c r="AX65" s="101"/>
      <c r="AY65" s="67"/>
      <c r="AZ65" s="101">
        <v>950</v>
      </c>
      <c r="BA65" s="67">
        <f t="shared" si="19"/>
        <v>-9.5238095238095233E-2</v>
      </c>
      <c r="BB65" s="101">
        <v>146</v>
      </c>
      <c r="BC65" s="67">
        <f t="shared" si="26"/>
        <v>0.21666666666666656</v>
      </c>
    </row>
    <row r="66" spans="1:55" s="9" customFormat="1" ht="13.5" customHeight="1">
      <c r="A66" s="60" t="s">
        <v>71</v>
      </c>
      <c r="B66" s="45" t="s">
        <v>72</v>
      </c>
      <c r="C66" s="48">
        <v>812901</v>
      </c>
      <c r="D66" s="55">
        <v>-0.38600000000000001</v>
      </c>
      <c r="E66" s="14"/>
      <c r="F66" s="48">
        <v>129756</v>
      </c>
      <c r="G66" s="55">
        <f t="shared" si="1"/>
        <v>-0.52222340868169215</v>
      </c>
      <c r="H66" s="48">
        <v>238000</v>
      </c>
      <c r="I66" s="55">
        <f t="shared" si="22"/>
        <v>-0.44213302080281275</v>
      </c>
      <c r="J66" s="48">
        <v>16057</v>
      </c>
      <c r="K66" s="55">
        <f t="shared" si="23"/>
        <v>-0.50962008306865381</v>
      </c>
      <c r="L66" s="120">
        <v>58451</v>
      </c>
      <c r="M66" s="91">
        <v>-0.42599999999999999</v>
      </c>
      <c r="N66" s="48">
        <v>56484</v>
      </c>
      <c r="O66" s="55">
        <f t="shared" si="5"/>
        <v>-0.52300767626269873</v>
      </c>
      <c r="P66" s="48">
        <v>30934</v>
      </c>
      <c r="Q66" s="55">
        <f t="shared" si="27"/>
        <v>-0.3447435870278972</v>
      </c>
      <c r="R66" s="120">
        <v>18489</v>
      </c>
      <c r="S66" s="91">
        <f t="shared" si="24"/>
        <v>-0.48035413153456996</v>
      </c>
      <c r="T66" s="48">
        <v>25516</v>
      </c>
      <c r="U66" s="55">
        <f t="shared" si="17"/>
        <v>-0.49405139593908631</v>
      </c>
      <c r="V66" s="46">
        <v>376</v>
      </c>
      <c r="W66" s="55">
        <f t="shared" si="14"/>
        <v>-0.40317460317460319</v>
      </c>
      <c r="X66" s="134">
        <v>54753</v>
      </c>
      <c r="Y66" s="55">
        <f t="shared" si="8"/>
        <v>-0.21243635108311043</v>
      </c>
      <c r="Z66" s="53">
        <v>22524</v>
      </c>
      <c r="AA66" s="91">
        <f t="shared" ref="AA66:AA77" si="28">+Z66/Z54-1</f>
        <v>-0.38243035753454702</v>
      </c>
      <c r="AB66" s="46">
        <v>17339</v>
      </c>
      <c r="AC66" s="55">
        <v>-0.47599999999999998</v>
      </c>
      <c r="AD66" s="48">
        <v>23690</v>
      </c>
      <c r="AE66" s="55">
        <f t="shared" si="25"/>
        <v>-9.6353371986573122E-2</v>
      </c>
      <c r="AF66" s="98">
        <v>1500</v>
      </c>
      <c r="AG66" s="90">
        <f>(AF66-AF54)/AF54</f>
        <v>-0.73647224174279691</v>
      </c>
      <c r="AH66" s="46">
        <v>5730</v>
      </c>
      <c r="AI66" s="55">
        <f t="shared" ref="AI66:AI126" si="29">(AH66-AH54)/AH54</f>
        <v>-0.60422710319104844</v>
      </c>
      <c r="AJ66" s="96">
        <v>11084</v>
      </c>
      <c r="AK66" s="99">
        <f>(SUM(AJ66:AJ71)/AJ54-1)</f>
        <v>-0.24263751281175261</v>
      </c>
      <c r="AL66" s="46">
        <v>523</v>
      </c>
      <c r="AM66" s="91"/>
      <c r="AN66" s="98">
        <v>1190</v>
      </c>
      <c r="AO66" s="55">
        <f>(AN66/AN54-1)</f>
        <v>-0.44262295081967218</v>
      </c>
      <c r="AP66" s="63">
        <f>AP207*0.243</f>
        <v>17127.855</v>
      </c>
      <c r="AQ66" s="95">
        <f>(AP66/AP54-1)</f>
        <v>-0.40545873891065976</v>
      </c>
      <c r="AR66" s="140">
        <v>0</v>
      </c>
      <c r="AS66" s="117" t="str">
        <f t="shared" si="13"/>
        <v>-</v>
      </c>
      <c r="AT66" s="118">
        <v>49</v>
      </c>
      <c r="AU66" s="141">
        <f>AT66/AT54-1</f>
        <v>-0.49484536082474229</v>
      </c>
      <c r="AV66" s="118">
        <v>9119</v>
      </c>
      <c r="AW66" s="119">
        <f>AV66/AV54-1</f>
        <v>-0.37240192704748798</v>
      </c>
      <c r="AX66" s="98">
        <v>2222</v>
      </c>
      <c r="AY66" s="55"/>
      <c r="AZ66" s="46">
        <v>1208</v>
      </c>
      <c r="BA66" s="55">
        <f t="shared" si="19"/>
        <v>-0.54891710231516055</v>
      </c>
      <c r="BB66" s="98"/>
      <c r="BC66" s="55"/>
    </row>
    <row r="67" spans="1:55" s="9" customFormat="1" ht="13.5" customHeight="1">
      <c r="A67" s="60"/>
      <c r="B67" s="45" t="s">
        <v>44</v>
      </c>
      <c r="C67" s="48">
        <v>753642</v>
      </c>
      <c r="D67" s="55">
        <v>-0.33500000000000002</v>
      </c>
      <c r="E67" s="14"/>
      <c r="F67" s="48">
        <v>106929</v>
      </c>
      <c r="G67" s="55">
        <f t="shared" si="1"/>
        <v>-0.5447427578807541</v>
      </c>
      <c r="H67" s="48">
        <v>277900</v>
      </c>
      <c r="I67" s="55">
        <f t="shared" si="22"/>
        <v>-0.30099480588079935</v>
      </c>
      <c r="J67" s="48">
        <v>16897</v>
      </c>
      <c r="K67" s="55">
        <f t="shared" si="23"/>
        <v>-0.41520730947601581</v>
      </c>
      <c r="L67" s="120">
        <v>54222</v>
      </c>
      <c r="M67" s="91">
        <v>-0.438</v>
      </c>
      <c r="N67" s="48">
        <v>57782</v>
      </c>
      <c r="O67" s="55">
        <f t="shared" si="5"/>
        <v>-0.42121922391169342</v>
      </c>
      <c r="P67" s="48">
        <v>39271</v>
      </c>
      <c r="Q67" s="55">
        <f t="shared" si="27"/>
        <v>-0.17298094134989994</v>
      </c>
      <c r="R67" s="120">
        <v>15849</v>
      </c>
      <c r="S67" s="91">
        <f t="shared" si="24"/>
        <v>-0.52945193278308889</v>
      </c>
      <c r="T67" s="48">
        <v>27387</v>
      </c>
      <c r="U67" s="55">
        <f t="shared" si="17"/>
        <v>-0.33199180447826726</v>
      </c>
      <c r="V67" s="46">
        <v>290</v>
      </c>
      <c r="W67" s="55">
        <f t="shared" si="14"/>
        <v>-0.27860696517412936</v>
      </c>
      <c r="X67" s="134">
        <v>42091</v>
      </c>
      <c r="Y67" s="55">
        <f t="shared" si="8"/>
        <v>-0.25937851914414412</v>
      </c>
      <c r="Z67" s="53">
        <v>22045</v>
      </c>
      <c r="AA67" s="91">
        <f t="shared" si="28"/>
        <v>-0.29336154117383084</v>
      </c>
      <c r="AB67" s="46">
        <v>24258</v>
      </c>
      <c r="AC67" s="55">
        <v>-7.1999999999999995E-2</v>
      </c>
      <c r="AD67" s="48">
        <v>19693</v>
      </c>
      <c r="AE67" s="55">
        <f t="shared" si="25"/>
        <v>-0.25974514152539185</v>
      </c>
      <c r="AF67" s="98">
        <v>1800</v>
      </c>
      <c r="AG67" s="90">
        <f t="shared" ref="AG67:AG77" si="30">(AF67-AF55)/AF55</f>
        <v>-0.71232219913696659</v>
      </c>
      <c r="AH67" s="46">
        <v>4819</v>
      </c>
      <c r="AI67" s="55">
        <f t="shared" si="29"/>
        <v>-0.49512833944473544</v>
      </c>
      <c r="AJ67" s="96"/>
      <c r="AK67" s="99"/>
      <c r="AL67" s="46">
        <v>768</v>
      </c>
      <c r="AM67" s="91"/>
      <c r="AN67" s="98">
        <v>1093</v>
      </c>
      <c r="AO67" s="55">
        <f t="shared" ref="AO67:AO77" si="31">(AN67/AN55-1)</f>
        <v>-0.22206405693950182</v>
      </c>
      <c r="AP67" s="63"/>
      <c r="AQ67" s="95"/>
      <c r="AR67" s="140">
        <v>0</v>
      </c>
      <c r="AS67" s="117" t="str">
        <f t="shared" si="13"/>
        <v>-</v>
      </c>
      <c r="AT67" s="118"/>
      <c r="AU67" s="141"/>
      <c r="AV67" s="118"/>
      <c r="AW67" s="119"/>
      <c r="AX67" s="98">
        <v>1433</v>
      </c>
      <c r="AY67" s="55"/>
      <c r="AZ67" s="46">
        <v>1046</v>
      </c>
      <c r="BA67" s="55">
        <f t="shared" si="19"/>
        <v>-0.26129943502824859</v>
      </c>
      <c r="BB67" s="98"/>
      <c r="BC67" s="55"/>
    </row>
    <row r="68" spans="1:55" s="9" customFormat="1" ht="13.5" customHeight="1">
      <c r="A68" s="60"/>
      <c r="B68" s="45" t="s">
        <v>45</v>
      </c>
      <c r="C68" s="48">
        <v>702043</v>
      </c>
      <c r="D68" s="55">
        <v>-0.28599999999999998</v>
      </c>
      <c r="E68" s="14"/>
      <c r="F68" s="142">
        <v>108350</v>
      </c>
      <c r="G68" s="55">
        <f t="shared" si="1"/>
        <v>-0.42205319137587077</v>
      </c>
      <c r="H68" s="48">
        <v>242700</v>
      </c>
      <c r="I68" s="55">
        <f t="shared" si="22"/>
        <v>-0.30549593942619713</v>
      </c>
      <c r="J68" s="48">
        <v>14458</v>
      </c>
      <c r="K68" s="55">
        <f t="shared" si="23"/>
        <v>-0.32096562089047531</v>
      </c>
      <c r="L68" s="120">
        <v>44204</v>
      </c>
      <c r="M68" s="91">
        <v>-0.39200000000000002</v>
      </c>
      <c r="N68" s="48">
        <v>49867</v>
      </c>
      <c r="O68" s="55">
        <f t="shared" si="5"/>
        <v>-0.41907036346691517</v>
      </c>
      <c r="P68" s="48">
        <v>32572</v>
      </c>
      <c r="Q68" s="55">
        <f t="shared" si="27"/>
        <v>-0.30307893103964734</v>
      </c>
      <c r="R68" s="120">
        <v>13482</v>
      </c>
      <c r="S68" s="91">
        <f t="shared" si="24"/>
        <v>-0.39860826121866355</v>
      </c>
      <c r="T68" s="48">
        <v>20759</v>
      </c>
      <c r="U68" s="55">
        <f t="shared" si="17"/>
        <v>-0.47687926820048887</v>
      </c>
      <c r="V68" s="46">
        <v>429</v>
      </c>
      <c r="W68" s="55">
        <f t="shared" si="14"/>
        <v>0.375</v>
      </c>
      <c r="X68" s="134">
        <v>38116</v>
      </c>
      <c r="Y68" s="55">
        <f t="shared" si="8"/>
        <v>-0.21882237206156618</v>
      </c>
      <c r="Z68" s="53">
        <v>19370</v>
      </c>
      <c r="AA68" s="91">
        <f t="shared" si="28"/>
        <v>-0.35145813104764456</v>
      </c>
      <c r="AB68" s="46">
        <v>20387</v>
      </c>
      <c r="AC68" s="55">
        <v>-0.308</v>
      </c>
      <c r="AD68" s="48">
        <v>16471</v>
      </c>
      <c r="AE68" s="55">
        <f t="shared" si="25"/>
        <v>-0.24306066176470587</v>
      </c>
      <c r="AF68" s="98">
        <v>2300</v>
      </c>
      <c r="AG68" s="90">
        <f t="shared" si="30"/>
        <v>-0.32610606504541462</v>
      </c>
      <c r="AH68" s="46">
        <v>6063</v>
      </c>
      <c r="AI68" s="55">
        <f t="shared" si="29"/>
        <v>-0.3577330508474576</v>
      </c>
      <c r="AJ68" s="96"/>
      <c r="AK68" s="99"/>
      <c r="AL68" s="46">
        <v>978</v>
      </c>
      <c r="AM68" s="91"/>
      <c r="AN68" s="98">
        <v>909</v>
      </c>
      <c r="AO68" s="55">
        <f t="shared" si="31"/>
        <v>-0.34178131788559019</v>
      </c>
      <c r="AP68" s="63"/>
      <c r="AQ68" s="95"/>
      <c r="AR68" s="140">
        <v>0</v>
      </c>
      <c r="AS68" s="117" t="str">
        <f t="shared" si="13"/>
        <v>-</v>
      </c>
      <c r="AT68" s="118"/>
      <c r="AU68" s="141"/>
      <c r="AV68" s="118"/>
      <c r="AW68" s="119"/>
      <c r="AX68" s="98">
        <v>1394</v>
      </c>
      <c r="AY68" s="55"/>
      <c r="AZ68" s="46">
        <v>788</v>
      </c>
      <c r="BA68" s="55">
        <f t="shared" si="19"/>
        <v>-0.34168755221386804</v>
      </c>
      <c r="BB68" s="98"/>
      <c r="BC68" s="55"/>
    </row>
    <row r="69" spans="1:55" s="9" customFormat="1" ht="13.5" customHeight="1">
      <c r="A69" s="60"/>
      <c r="B69" s="45" t="s">
        <v>46</v>
      </c>
      <c r="C69" s="48">
        <v>734681</v>
      </c>
      <c r="D69" s="55">
        <v>-0.28399999999999997</v>
      </c>
      <c r="E69" s="14"/>
      <c r="F69" s="48">
        <v>113313</v>
      </c>
      <c r="G69" s="55">
        <f t="shared" si="1"/>
        <v>-0.4440317547543815</v>
      </c>
      <c r="H69" s="48">
        <v>264300</v>
      </c>
      <c r="I69" s="55">
        <f t="shared" ref="I69:I76" si="32">H69/H57-1</f>
        <v>-0.28286722868748149</v>
      </c>
      <c r="J69" s="48">
        <v>13294</v>
      </c>
      <c r="K69" s="55">
        <f t="shared" si="23"/>
        <v>-0.38607185739355321</v>
      </c>
      <c r="L69" s="120">
        <v>50589</v>
      </c>
      <c r="M69" s="91">
        <v>-0.27500000000000002</v>
      </c>
      <c r="N69" s="48">
        <v>45094</v>
      </c>
      <c r="O69" s="55">
        <f t="shared" si="5"/>
        <v>-0.41271619087309858</v>
      </c>
      <c r="P69" s="48">
        <v>31285</v>
      </c>
      <c r="Q69" s="55">
        <f t="shared" si="27"/>
        <v>-0.24569017480409883</v>
      </c>
      <c r="R69" s="120">
        <v>16279</v>
      </c>
      <c r="S69" s="91">
        <f t="shared" si="24"/>
        <v>-0.15054268419954075</v>
      </c>
      <c r="T69" s="48">
        <v>21323</v>
      </c>
      <c r="U69" s="55">
        <f t="shared" si="17"/>
        <v>-0.37185529959347197</v>
      </c>
      <c r="V69" s="48">
        <v>134</v>
      </c>
      <c r="W69" s="55">
        <f t="shared" si="14"/>
        <v>-0.66666666666666663</v>
      </c>
      <c r="X69" s="134">
        <v>39083</v>
      </c>
      <c r="Y69" s="55">
        <f t="shared" si="8"/>
        <v>-0.13879952404036844</v>
      </c>
      <c r="Z69" s="53">
        <v>16744</v>
      </c>
      <c r="AA69" s="91">
        <f t="shared" si="28"/>
        <v>-0.32511084240225718</v>
      </c>
      <c r="AB69" s="48">
        <v>21651</v>
      </c>
      <c r="AC69" s="55">
        <v>-8.8999999999999996E-2</v>
      </c>
      <c r="AD69" s="48">
        <v>18122</v>
      </c>
      <c r="AE69" s="55">
        <f t="shared" si="25"/>
        <v>-0.1463563992651562</v>
      </c>
      <c r="AF69" s="98">
        <v>1600</v>
      </c>
      <c r="AG69" s="90">
        <f t="shared" si="30"/>
        <v>-0.61621491964499875</v>
      </c>
      <c r="AH69" s="46">
        <v>7718</v>
      </c>
      <c r="AI69" s="55">
        <f t="shared" si="29"/>
        <v>-0.40658157773335385</v>
      </c>
      <c r="AJ69" s="96"/>
      <c r="AK69" s="99"/>
      <c r="AL69" s="48">
        <v>1264</v>
      </c>
      <c r="AM69" s="91"/>
      <c r="AN69" s="98">
        <v>739</v>
      </c>
      <c r="AO69" s="55">
        <f t="shared" si="31"/>
        <v>-1.8592297476759612E-2</v>
      </c>
      <c r="AP69" s="63">
        <f>AP207*0.193</f>
        <v>13603.605</v>
      </c>
      <c r="AQ69" s="99">
        <f>(AP69/AP57-1)</f>
        <v>-0.13468544037355401</v>
      </c>
      <c r="AR69" s="140">
        <v>25</v>
      </c>
      <c r="AS69" s="117" t="str">
        <f t="shared" si="13"/>
        <v>-</v>
      </c>
      <c r="AT69" s="118"/>
      <c r="AU69" s="141"/>
      <c r="AV69" s="118"/>
      <c r="AW69" s="119"/>
      <c r="AX69" s="98">
        <v>974</v>
      </c>
      <c r="AY69" s="55"/>
      <c r="AZ69" s="48">
        <v>1050</v>
      </c>
      <c r="BA69" s="55">
        <f t="shared" si="19"/>
        <v>0.72981878088962104</v>
      </c>
      <c r="BB69" s="98"/>
      <c r="BC69" s="55"/>
    </row>
    <row r="70" spans="1:55" s="9" customFormat="1" ht="13.5" customHeight="1">
      <c r="A70" s="60"/>
      <c r="B70" s="45" t="s">
        <v>47</v>
      </c>
      <c r="C70" s="48">
        <v>737396</v>
      </c>
      <c r="D70" s="55">
        <v>-0.33</v>
      </c>
      <c r="E70" s="14"/>
      <c r="F70" s="48">
        <v>117897</v>
      </c>
      <c r="G70" s="55">
        <f t="shared" si="1"/>
        <v>-0.48526259261361404</v>
      </c>
      <c r="H70" s="48">
        <v>269000</v>
      </c>
      <c r="I70" s="55">
        <f t="shared" si="32"/>
        <v>-0.29313022433261249</v>
      </c>
      <c r="J70" s="48">
        <v>14163</v>
      </c>
      <c r="K70" s="55">
        <f t="shared" si="23"/>
        <v>-0.39099587203302377</v>
      </c>
      <c r="L70" s="120">
        <v>48796</v>
      </c>
      <c r="M70" s="91">
        <v>-0.436</v>
      </c>
      <c r="N70" s="48">
        <v>42883</v>
      </c>
      <c r="O70" s="55">
        <f t="shared" si="5"/>
        <v>-0.45575114540631784</v>
      </c>
      <c r="P70" s="48">
        <v>37659</v>
      </c>
      <c r="Q70" s="55">
        <f t="shared" si="27"/>
        <v>-2.1310325112398942E-2</v>
      </c>
      <c r="R70" s="120">
        <v>17414</v>
      </c>
      <c r="S70" s="91">
        <f t="shared" si="24"/>
        <v>-0.3361543153400427</v>
      </c>
      <c r="T70" s="48">
        <v>21854</v>
      </c>
      <c r="U70" s="55">
        <f t="shared" si="17"/>
        <v>-0.39981324837965504</v>
      </c>
      <c r="V70" s="48">
        <v>252</v>
      </c>
      <c r="W70" s="55">
        <f t="shared" si="14"/>
        <v>-0.125</v>
      </c>
      <c r="X70" s="134">
        <v>40392</v>
      </c>
      <c r="Y70" s="55">
        <f t="shared" si="8"/>
        <v>-0.18360417171962162</v>
      </c>
      <c r="Z70" s="53">
        <v>13269</v>
      </c>
      <c r="AA70" s="91">
        <f t="shared" si="28"/>
        <v>-0.33220936084549568</v>
      </c>
      <c r="AB70" s="48">
        <v>20851</v>
      </c>
      <c r="AC70" s="55">
        <v>-0.32300000000000001</v>
      </c>
      <c r="AD70" s="48">
        <v>17520</v>
      </c>
      <c r="AE70" s="55">
        <f t="shared" si="25"/>
        <v>-0.21984236540944913</v>
      </c>
      <c r="AF70" s="98">
        <v>1200</v>
      </c>
      <c r="AG70" s="90">
        <f t="shared" si="30"/>
        <v>-0.60758665794637012</v>
      </c>
      <c r="AH70" s="46">
        <v>7080</v>
      </c>
      <c r="AI70" s="55">
        <f t="shared" si="29"/>
        <v>-0.44186046511627908</v>
      </c>
      <c r="AJ70" s="96"/>
      <c r="AK70" s="99"/>
      <c r="AL70" s="48">
        <v>1985</v>
      </c>
      <c r="AM70" s="91"/>
      <c r="AN70" s="98">
        <v>756</v>
      </c>
      <c r="AO70" s="55">
        <f t="shared" si="31"/>
        <v>0.29674099485420236</v>
      </c>
      <c r="AP70" s="63"/>
      <c r="AQ70" s="99"/>
      <c r="AR70" s="140">
        <v>0</v>
      </c>
      <c r="AS70" s="117" t="str">
        <f t="shared" si="13"/>
        <v>-</v>
      </c>
      <c r="AT70" s="118"/>
      <c r="AU70" s="141"/>
      <c r="AV70" s="118"/>
      <c r="AW70" s="119"/>
      <c r="AX70" s="98">
        <v>1036</v>
      </c>
      <c r="AY70" s="55"/>
      <c r="AZ70" s="48">
        <v>492</v>
      </c>
      <c r="BA70" s="55">
        <f t="shared" si="19"/>
        <v>-0.2300469483568075</v>
      </c>
      <c r="BB70" s="98"/>
      <c r="BC70" s="55"/>
    </row>
    <row r="71" spans="1:55" s="9" customFormat="1" ht="13.5" customHeight="1">
      <c r="A71" s="60"/>
      <c r="B71" s="45" t="s">
        <v>49</v>
      </c>
      <c r="C71" s="48">
        <v>731137</v>
      </c>
      <c r="D71" s="55">
        <v>-0.27200000000000002</v>
      </c>
      <c r="E71" s="14"/>
      <c r="F71" s="48">
        <v>104237</v>
      </c>
      <c r="G71" s="55">
        <f t="shared" si="1"/>
        <v>-0.4672571437332938</v>
      </c>
      <c r="H71" s="48">
        <v>245800</v>
      </c>
      <c r="I71" s="55">
        <f t="shared" si="32"/>
        <v>-0.19337636638696276</v>
      </c>
      <c r="J71" s="48">
        <v>13327</v>
      </c>
      <c r="K71" s="55">
        <f t="shared" si="23"/>
        <v>-0.43149048715979865</v>
      </c>
      <c r="L71" s="120">
        <v>42923</v>
      </c>
      <c r="M71" s="91">
        <v>-0.41499999999999998</v>
      </c>
      <c r="N71" s="48">
        <v>42813</v>
      </c>
      <c r="O71" s="55">
        <f t="shared" si="5"/>
        <v>-0.44567877257719946</v>
      </c>
      <c r="P71" s="48">
        <v>24956</v>
      </c>
      <c r="Q71" s="55">
        <f t="shared" si="27"/>
        <v>3.0345567895627701E-2</v>
      </c>
      <c r="R71" s="120">
        <v>13704</v>
      </c>
      <c r="S71" s="91">
        <f t="shared" si="24"/>
        <v>-0.36034353995519042</v>
      </c>
      <c r="T71" s="48">
        <v>20991</v>
      </c>
      <c r="U71" s="55">
        <f t="shared" si="17"/>
        <v>-0.41688427134840822</v>
      </c>
      <c r="V71" s="48">
        <v>231</v>
      </c>
      <c r="W71" s="55">
        <f t="shared" si="14"/>
        <v>-0.18947368421052632</v>
      </c>
      <c r="X71" s="134">
        <v>38065</v>
      </c>
      <c r="Y71" s="55">
        <f t="shared" si="8"/>
        <v>-0.27785471723169741</v>
      </c>
      <c r="Z71" s="53">
        <v>12393</v>
      </c>
      <c r="AA71" s="91">
        <f t="shared" si="28"/>
        <v>-0.32018650575973673</v>
      </c>
      <c r="AB71" s="48">
        <v>22183</v>
      </c>
      <c r="AC71" s="55">
        <v>-0.24399999999999999</v>
      </c>
      <c r="AD71" s="48">
        <v>16934</v>
      </c>
      <c r="AE71" s="55">
        <f t="shared" si="25"/>
        <v>-0.16778061725968152</v>
      </c>
      <c r="AF71" s="98">
        <v>1900</v>
      </c>
      <c r="AG71" s="90">
        <f t="shared" si="30"/>
        <v>5.2659294365455498E-4</v>
      </c>
      <c r="AH71" s="46">
        <v>7658</v>
      </c>
      <c r="AI71" s="55">
        <f t="shared" si="29"/>
        <v>-0.21140974153022346</v>
      </c>
      <c r="AJ71" s="96"/>
      <c r="AK71" s="99"/>
      <c r="AL71" s="48">
        <v>1417</v>
      </c>
      <c r="AM71" s="91"/>
      <c r="AN71" s="98">
        <v>905</v>
      </c>
      <c r="AO71" s="55">
        <f t="shared" si="31"/>
        <v>0.14993646759847512</v>
      </c>
      <c r="AP71" s="63"/>
      <c r="AQ71" s="99"/>
      <c r="AR71" s="140">
        <v>35</v>
      </c>
      <c r="AS71" s="117" t="str">
        <f t="shared" si="13"/>
        <v>-</v>
      </c>
      <c r="AT71" s="118"/>
      <c r="AU71" s="141"/>
      <c r="AV71" s="118"/>
      <c r="AW71" s="119"/>
      <c r="AX71" s="98">
        <v>941</v>
      </c>
      <c r="AY71" s="55"/>
      <c r="AZ71" s="48">
        <v>771</v>
      </c>
      <c r="BA71" s="55">
        <f t="shared" si="19"/>
        <v>0.55130784708249503</v>
      </c>
      <c r="BB71" s="98"/>
      <c r="BC71" s="55"/>
    </row>
    <row r="72" spans="1:55" s="9" customFormat="1" ht="13.5" customHeight="1">
      <c r="A72" s="60"/>
      <c r="B72" s="45" t="s">
        <v>50</v>
      </c>
      <c r="C72" s="48">
        <v>996695</v>
      </c>
      <c r="D72" s="55">
        <v>-0.123</v>
      </c>
      <c r="E72" s="14"/>
      <c r="F72" s="48">
        <v>170240</v>
      </c>
      <c r="G72" s="55">
        <f t="shared" si="1"/>
        <v>-0.28454655868743878</v>
      </c>
      <c r="H72" s="48">
        <v>312000</v>
      </c>
      <c r="I72" s="55">
        <f t="shared" si="32"/>
        <v>-4.640813731722826E-2</v>
      </c>
      <c r="J72" s="48">
        <v>14367</v>
      </c>
      <c r="K72" s="55">
        <f t="shared" si="23"/>
        <v>-0.2153468050245767</v>
      </c>
      <c r="L72" s="120">
        <v>59359</v>
      </c>
      <c r="M72" s="91">
        <v>-0.24399999999999999</v>
      </c>
      <c r="N72" s="48">
        <v>58970</v>
      </c>
      <c r="O72" s="55">
        <f t="shared" si="5"/>
        <v>-0.26397903145282076</v>
      </c>
      <c r="P72" s="48">
        <v>23906</v>
      </c>
      <c r="Q72" s="55">
        <f t="shared" si="27"/>
        <v>-0.26313842739574023</v>
      </c>
      <c r="R72" s="120">
        <v>20400</v>
      </c>
      <c r="S72" s="91">
        <f t="shared" si="24"/>
        <v>-0.10636060977746631</v>
      </c>
      <c r="T72" s="48">
        <v>30389</v>
      </c>
      <c r="U72" s="55">
        <f t="shared" si="17"/>
        <v>-0.23287221689301763</v>
      </c>
      <c r="V72" s="48">
        <v>488</v>
      </c>
      <c r="W72" s="55">
        <f t="shared" si="14"/>
        <v>7.7262693156732898E-2</v>
      </c>
      <c r="X72" s="134">
        <v>49083</v>
      </c>
      <c r="Y72" s="55">
        <f t="shared" si="8"/>
        <v>-0.15232371379721255</v>
      </c>
      <c r="Z72" s="53">
        <v>17384.181700000001</v>
      </c>
      <c r="AA72" s="91">
        <f t="shared" si="28"/>
        <v>-0.10712985618900872</v>
      </c>
      <c r="AB72" s="48">
        <v>26714</v>
      </c>
      <c r="AC72" s="55">
        <v>-3.5999999999999997E-2</v>
      </c>
      <c r="AD72" s="48">
        <v>22297</v>
      </c>
      <c r="AE72" s="55">
        <f t="shared" si="25"/>
        <v>-0.18955364931666185</v>
      </c>
      <c r="AF72" s="98">
        <v>1800</v>
      </c>
      <c r="AG72" s="90">
        <f t="shared" si="30"/>
        <v>2.5056947608200455E-2</v>
      </c>
      <c r="AH72" s="46">
        <v>10706</v>
      </c>
      <c r="AI72" s="55">
        <f t="shared" si="29"/>
        <v>-5.0381408550647509E-2</v>
      </c>
      <c r="AJ72" s="96">
        <f>21383-AJ66</f>
        <v>10299</v>
      </c>
      <c r="AK72" s="99">
        <f>(SUM(AJ72:AJ77)/AJ60-1)</f>
        <v>-0.44004033239456208</v>
      </c>
      <c r="AL72" s="48">
        <v>763</v>
      </c>
      <c r="AM72" s="91"/>
      <c r="AN72" s="98">
        <v>1186</v>
      </c>
      <c r="AO72" s="55">
        <f t="shared" si="31"/>
        <v>0.20406091370558377</v>
      </c>
      <c r="AP72" s="63">
        <f>AP207*0.287</f>
        <v>20229.195</v>
      </c>
      <c r="AQ72" s="95">
        <f>(AP72/AP60-1)</f>
        <v>-2.5029496079720381E-2</v>
      </c>
      <c r="AR72" s="140">
        <v>0</v>
      </c>
      <c r="AS72" s="117" t="str">
        <f t="shared" si="13"/>
        <v>-</v>
      </c>
      <c r="AT72" s="118"/>
      <c r="AU72" s="141"/>
      <c r="AV72" s="118"/>
      <c r="AW72" s="119"/>
      <c r="AX72" s="98">
        <v>2340</v>
      </c>
      <c r="AY72" s="55"/>
      <c r="AZ72" s="48">
        <v>1310</v>
      </c>
      <c r="BA72" s="55">
        <f t="shared" si="19"/>
        <v>2.8257456828885363E-2</v>
      </c>
      <c r="BB72" s="98"/>
      <c r="BC72" s="55"/>
    </row>
    <row r="73" spans="1:55" s="9" customFormat="1" ht="13.5" customHeight="1">
      <c r="A73" s="60"/>
      <c r="B73" s="45" t="s">
        <v>51</v>
      </c>
      <c r="C73" s="48">
        <v>1041527</v>
      </c>
      <c r="D73" s="55">
        <v>-0.105</v>
      </c>
      <c r="E73" s="14"/>
      <c r="F73" s="48">
        <v>190987</v>
      </c>
      <c r="G73" s="55">
        <f t="shared" si="1"/>
        <v>-0.23036904502849037</v>
      </c>
      <c r="H73" s="48">
        <v>351500</v>
      </c>
      <c r="I73" s="55">
        <f t="shared" si="32"/>
        <v>2.8905964141968443E-2</v>
      </c>
      <c r="J73" s="48">
        <v>13886</v>
      </c>
      <c r="K73" s="55">
        <f t="shared" si="23"/>
        <v>-0.38036590807675141</v>
      </c>
      <c r="L73" s="120">
        <v>66398</v>
      </c>
      <c r="M73" s="91">
        <v>-0.245</v>
      </c>
      <c r="N73" s="48">
        <v>64965</v>
      </c>
      <c r="O73" s="55">
        <f t="shared" si="5"/>
        <v>-0.23884007029876977</v>
      </c>
      <c r="P73" s="48">
        <v>36386</v>
      </c>
      <c r="Q73" s="55">
        <f t="shared" si="27"/>
        <v>-0.26915197043345518</v>
      </c>
      <c r="R73" s="120">
        <v>25727</v>
      </c>
      <c r="S73" s="91">
        <f t="shared" si="24"/>
        <v>-0.15413447312181494</v>
      </c>
      <c r="T73" s="48">
        <v>32332</v>
      </c>
      <c r="U73" s="55">
        <f t="shared" si="17"/>
        <v>-0.23633615192026081</v>
      </c>
      <c r="V73" s="48">
        <v>380</v>
      </c>
      <c r="W73" s="55">
        <f t="shared" si="14"/>
        <v>0.12094395280235988</v>
      </c>
      <c r="X73" s="134">
        <v>47185</v>
      </c>
      <c r="Y73" s="55">
        <f t="shared" si="8"/>
        <v>-0.10639546995435867</v>
      </c>
      <c r="Z73" s="53">
        <v>18170</v>
      </c>
      <c r="AA73" s="91">
        <f t="shared" si="28"/>
        <v>-0.1671250458379171</v>
      </c>
      <c r="AB73" s="48">
        <v>25550</v>
      </c>
      <c r="AC73" s="55">
        <v>-0.21</v>
      </c>
      <c r="AD73" s="48">
        <v>23305</v>
      </c>
      <c r="AE73" s="55">
        <f t="shared" si="25"/>
        <v>-0.15171259054344266</v>
      </c>
      <c r="AF73" s="98">
        <v>1700</v>
      </c>
      <c r="AG73" s="90">
        <f t="shared" si="30"/>
        <v>-0.13880445795339413</v>
      </c>
      <c r="AH73" s="46">
        <v>10350</v>
      </c>
      <c r="AI73" s="55">
        <f t="shared" si="29"/>
        <v>-1.6533637400228049E-2</v>
      </c>
      <c r="AJ73" s="96"/>
      <c r="AK73" s="99"/>
      <c r="AL73" s="48">
        <v>878</v>
      </c>
      <c r="AM73" s="91"/>
      <c r="AN73" s="98">
        <v>1236</v>
      </c>
      <c r="AO73" s="55">
        <f t="shared" si="31"/>
        <v>0.13083257090576406</v>
      </c>
      <c r="AP73" s="63"/>
      <c r="AQ73" s="95"/>
      <c r="AR73" s="140">
        <v>0</v>
      </c>
      <c r="AS73" s="117" t="str">
        <f t="shared" si="13"/>
        <v>-</v>
      </c>
      <c r="AT73" s="118"/>
      <c r="AU73" s="141"/>
      <c r="AV73" s="118"/>
      <c r="AW73" s="119"/>
      <c r="AX73" s="98">
        <v>1574</v>
      </c>
      <c r="AY73" s="55"/>
      <c r="AZ73" s="48">
        <v>1052</v>
      </c>
      <c r="BA73" s="55">
        <f t="shared" si="19"/>
        <v>0.20780711825487952</v>
      </c>
      <c r="BB73" s="98"/>
      <c r="BC73" s="55"/>
    </row>
    <row r="74" spans="1:55" s="9" customFormat="1" ht="13.5" customHeight="1">
      <c r="A74" s="60"/>
      <c r="B74" s="45" t="s">
        <v>52</v>
      </c>
      <c r="C74" s="48">
        <v>658487</v>
      </c>
      <c r="D74" s="55">
        <v>-0.19600000000000001</v>
      </c>
      <c r="E74" s="14"/>
      <c r="F74" s="48">
        <v>105470</v>
      </c>
      <c r="G74" s="55">
        <f t="shared" si="1"/>
        <v>-0.33884142098631548</v>
      </c>
      <c r="H74" s="48">
        <v>233600</v>
      </c>
      <c r="I74" s="55">
        <f t="shared" si="32"/>
        <v>-0.14473587862279047</v>
      </c>
      <c r="J74" s="48">
        <v>11630</v>
      </c>
      <c r="K74" s="55">
        <f t="shared" si="23"/>
        <v>-0.29292315175097272</v>
      </c>
      <c r="L74" s="120">
        <v>36080</v>
      </c>
      <c r="M74" s="91">
        <v>-0.34799999999999998</v>
      </c>
      <c r="N74" s="48">
        <v>28467</v>
      </c>
      <c r="O74" s="55">
        <f t="shared" si="5"/>
        <v>-0.25500510324252179</v>
      </c>
      <c r="P74" s="48">
        <v>25389</v>
      </c>
      <c r="Q74" s="55">
        <f t="shared" si="27"/>
        <v>-0.16530229805700758</v>
      </c>
      <c r="R74" s="120">
        <v>11891</v>
      </c>
      <c r="S74" s="91">
        <f t="shared" si="24"/>
        <v>-0.29110528198402286</v>
      </c>
      <c r="T74" s="48">
        <v>15714</v>
      </c>
      <c r="U74" s="55">
        <f t="shared" si="17"/>
        <v>-0.39360963185922671</v>
      </c>
      <c r="V74" s="48">
        <v>218</v>
      </c>
      <c r="W74" s="55">
        <f t="shared" si="14"/>
        <v>9.2592592592592587E-3</v>
      </c>
      <c r="X74" s="134">
        <v>25114</v>
      </c>
      <c r="Y74" s="55">
        <f t="shared" si="8"/>
        <v>-0.32060056810496418</v>
      </c>
      <c r="Z74" s="53">
        <v>15156</v>
      </c>
      <c r="AA74" s="91">
        <f t="shared" si="28"/>
        <v>3.1090550377576687E-2</v>
      </c>
      <c r="AB74" s="48">
        <v>14100</v>
      </c>
      <c r="AC74" s="55">
        <v>-0.39600000000000002</v>
      </c>
      <c r="AD74" s="48">
        <v>13743</v>
      </c>
      <c r="AE74" s="55">
        <f t="shared" si="25"/>
        <v>-0.26180372777568883</v>
      </c>
      <c r="AF74" s="98">
        <v>2300</v>
      </c>
      <c r="AG74" s="90">
        <f t="shared" si="30"/>
        <v>-7.3701167942005638E-2</v>
      </c>
      <c r="AH74" s="46">
        <v>7155</v>
      </c>
      <c r="AI74" s="55">
        <f t="shared" si="29"/>
        <v>-9.6932979931843993E-2</v>
      </c>
      <c r="AJ74" s="96"/>
      <c r="AK74" s="99"/>
      <c r="AL74" s="48">
        <v>1442</v>
      </c>
      <c r="AM74" s="91"/>
      <c r="AN74" s="98">
        <v>946</v>
      </c>
      <c r="AO74" s="55">
        <f t="shared" si="31"/>
        <v>0.33994334277620397</v>
      </c>
      <c r="AP74" s="63"/>
      <c r="AQ74" s="95"/>
      <c r="AR74" s="140">
        <v>0</v>
      </c>
      <c r="AS74" s="117" t="str">
        <f t="shared" si="13"/>
        <v>-</v>
      </c>
      <c r="AT74" s="118"/>
      <c r="AU74" s="141"/>
      <c r="AV74" s="118"/>
      <c r="AW74" s="119"/>
      <c r="AX74" s="98">
        <v>1096</v>
      </c>
      <c r="AY74" s="55"/>
      <c r="AZ74" s="48">
        <v>658</v>
      </c>
      <c r="BA74" s="55">
        <f t="shared" si="19"/>
        <v>0.25095057034220525</v>
      </c>
      <c r="BB74" s="98"/>
      <c r="BC74" s="55"/>
    </row>
    <row r="75" spans="1:55" s="9" customFormat="1" ht="13.5" customHeight="1">
      <c r="A75" s="60"/>
      <c r="B75" s="45" t="s">
        <v>53</v>
      </c>
      <c r="C75" s="48">
        <v>714880</v>
      </c>
      <c r="D75" s="55">
        <v>-0.23400000000000001</v>
      </c>
      <c r="E75" s="14"/>
      <c r="F75" s="48">
        <v>131195</v>
      </c>
      <c r="G75" s="55">
        <f t="shared" si="1"/>
        <v>-0.30512595072138304</v>
      </c>
      <c r="H75" s="48">
        <v>255700</v>
      </c>
      <c r="I75" s="55">
        <f t="shared" si="32"/>
        <v>-0.23598661407912036</v>
      </c>
      <c r="J75" s="48">
        <v>10817</v>
      </c>
      <c r="K75" s="55">
        <f t="shared" si="23"/>
        <v>-0.37804737810487576</v>
      </c>
      <c r="L75" s="120">
        <v>42211</v>
      </c>
      <c r="M75" s="91">
        <v>-0.36799999999999999</v>
      </c>
      <c r="N75" s="48">
        <v>38512</v>
      </c>
      <c r="O75" s="55">
        <f t="shared" si="5"/>
        <v>-0.35504831443739221</v>
      </c>
      <c r="P75" s="48">
        <v>15109</v>
      </c>
      <c r="Q75" s="55">
        <f t="shared" si="27"/>
        <v>-0.55428048852439671</v>
      </c>
      <c r="R75" s="120">
        <v>13724</v>
      </c>
      <c r="S75" s="91">
        <f t="shared" si="24"/>
        <v>-0.30997033536125496</v>
      </c>
      <c r="T75" s="48">
        <v>16069</v>
      </c>
      <c r="U75" s="55">
        <f t="shared" si="17"/>
        <v>-0.48047203362431301</v>
      </c>
      <c r="V75" s="48">
        <v>372</v>
      </c>
      <c r="W75" s="55">
        <f t="shared" si="14"/>
        <v>-0.10144927536231885</v>
      </c>
      <c r="X75" s="134">
        <v>26649</v>
      </c>
      <c r="Y75" s="55">
        <f t="shared" si="8"/>
        <v>-0.40789210567245093</v>
      </c>
      <c r="Z75" s="53">
        <v>10274</v>
      </c>
      <c r="AA75" s="91">
        <f t="shared" si="28"/>
        <v>-0.44335482472774557</v>
      </c>
      <c r="AB75" s="48">
        <v>20661</v>
      </c>
      <c r="AC75" s="55">
        <v>-0.31</v>
      </c>
      <c r="AD75" s="48">
        <v>14228</v>
      </c>
      <c r="AE75" s="55">
        <f t="shared" si="25"/>
        <v>-0.2611517889598588</v>
      </c>
      <c r="AF75" s="98">
        <v>1900</v>
      </c>
      <c r="AG75" s="90">
        <f t="shared" si="30"/>
        <v>-0.36666666666666664</v>
      </c>
      <c r="AH75" s="46">
        <v>7727</v>
      </c>
      <c r="AI75" s="55">
        <f t="shared" si="29"/>
        <v>-0.14048943270300335</v>
      </c>
      <c r="AJ75" s="96">
        <v>5806</v>
      </c>
      <c r="AK75" s="99"/>
      <c r="AL75" s="48">
        <v>2032</v>
      </c>
      <c r="AM75" s="91"/>
      <c r="AN75" s="98">
        <v>960</v>
      </c>
      <c r="AO75" s="55">
        <f t="shared" si="31"/>
        <v>0.17647058823529416</v>
      </c>
      <c r="AP75" s="63">
        <f>AP207*0.277</f>
        <v>19524.345000000001</v>
      </c>
      <c r="AQ75" s="95">
        <f>(AP75/AP63-1)</f>
        <v>0.34428486603244135</v>
      </c>
      <c r="AR75" s="140">
        <v>0</v>
      </c>
      <c r="AS75" s="117" t="str">
        <f t="shared" si="13"/>
        <v>-</v>
      </c>
      <c r="AT75" s="118"/>
      <c r="AU75" s="141"/>
      <c r="AV75" s="118"/>
      <c r="AW75" s="119"/>
      <c r="AX75" s="98">
        <v>1315</v>
      </c>
      <c r="AY75" s="55"/>
      <c r="AZ75" s="48">
        <v>1120</v>
      </c>
      <c r="BA75" s="55">
        <f t="shared" si="19"/>
        <v>4.2830540037243958E-2</v>
      </c>
      <c r="BB75" s="98"/>
      <c r="BC75" s="55"/>
    </row>
    <row r="76" spans="1:55" s="9" customFormat="1" ht="13.5" customHeight="1">
      <c r="A76" s="60"/>
      <c r="B76" s="45" t="s">
        <v>54</v>
      </c>
      <c r="C76" s="48">
        <v>721940</v>
      </c>
      <c r="D76" s="55">
        <v>2.1000000000000001E-2</v>
      </c>
      <c r="E76" s="14"/>
      <c r="F76" s="48">
        <v>130371</v>
      </c>
      <c r="G76" s="55">
        <f t="shared" si="1"/>
        <v>0.10937047941591926</v>
      </c>
      <c r="H76" s="48">
        <v>236700</v>
      </c>
      <c r="I76" s="55">
        <f t="shared" si="32"/>
        <v>-6.7934155480678937E-3</v>
      </c>
      <c r="J76" s="48">
        <v>12617</v>
      </c>
      <c r="K76" s="55">
        <f t="shared" si="23"/>
        <v>-0.11266615092481891</v>
      </c>
      <c r="L76" s="120">
        <v>48428</v>
      </c>
      <c r="M76" s="91">
        <v>-0.13700000000000001</v>
      </c>
      <c r="N76" s="48">
        <v>52109</v>
      </c>
      <c r="O76" s="55">
        <f t="shared" si="5"/>
        <v>-5.0041929485543445E-2</v>
      </c>
      <c r="P76" s="48">
        <v>29917</v>
      </c>
      <c r="Q76" s="55">
        <f t="shared" si="27"/>
        <v>0.22811986863710998</v>
      </c>
      <c r="R76" s="120">
        <v>15144</v>
      </c>
      <c r="S76" s="91">
        <f t="shared" si="24"/>
        <v>7.7189246739419737E-3</v>
      </c>
      <c r="T76" s="48">
        <v>19619</v>
      </c>
      <c r="U76" s="55">
        <f t="shared" si="17"/>
        <v>-0.19732427788233364</v>
      </c>
      <c r="V76" s="48">
        <v>292</v>
      </c>
      <c r="W76" s="55">
        <f t="shared" si="14"/>
        <v>-2.9900332225913623E-2</v>
      </c>
      <c r="X76" s="134">
        <v>40780</v>
      </c>
      <c r="Y76" s="55">
        <f t="shared" si="8"/>
        <v>-8.237888436353813E-2</v>
      </c>
      <c r="Z76" s="53">
        <v>12086</v>
      </c>
      <c r="AA76" s="91">
        <f t="shared" si="28"/>
        <v>-0.26986044825711353</v>
      </c>
      <c r="AB76" s="48">
        <v>20200</v>
      </c>
      <c r="AC76" s="55">
        <v>-0.248</v>
      </c>
      <c r="AD76" s="48">
        <v>20816</v>
      </c>
      <c r="AE76" s="55">
        <f t="shared" si="25"/>
        <v>0.20163943889626501</v>
      </c>
      <c r="AF76" s="98">
        <v>1600</v>
      </c>
      <c r="AG76" s="90">
        <f t="shared" si="30"/>
        <v>-0.40740740740740738</v>
      </c>
      <c r="AH76" s="46">
        <v>6168</v>
      </c>
      <c r="AI76" s="55">
        <f t="shared" si="29"/>
        <v>-0.12299161097682354</v>
      </c>
      <c r="AJ76" s="96"/>
      <c r="AK76" s="99"/>
      <c r="AL76" s="48">
        <v>2673</v>
      </c>
      <c r="AM76" s="91"/>
      <c r="AN76" s="98">
        <v>1462</v>
      </c>
      <c r="AO76" s="55">
        <f t="shared" si="31"/>
        <v>0.71395076201641272</v>
      </c>
      <c r="AP76" s="63"/>
      <c r="AQ76" s="95"/>
      <c r="AR76" s="140">
        <v>0</v>
      </c>
      <c r="AS76" s="117" t="str">
        <f t="shared" si="13"/>
        <v>-</v>
      </c>
      <c r="AT76" s="118"/>
      <c r="AU76" s="141"/>
      <c r="AV76" s="118"/>
      <c r="AW76" s="119"/>
      <c r="AX76" s="98">
        <v>1513</v>
      </c>
      <c r="AY76" s="55"/>
      <c r="AZ76" s="48">
        <v>1109</v>
      </c>
      <c r="BA76" s="55">
        <f t="shared" si="19"/>
        <v>0.34099153567110041</v>
      </c>
      <c r="BB76" s="98"/>
      <c r="BC76" s="55"/>
    </row>
    <row r="77" spans="1:55" s="9" customFormat="1" ht="13.5" customHeight="1">
      <c r="A77" s="65"/>
      <c r="B77" s="100" t="s">
        <v>55</v>
      </c>
      <c r="C77" s="48">
        <v>888782</v>
      </c>
      <c r="D77" s="55">
        <v>0.33100000000000002</v>
      </c>
      <c r="E77" s="14"/>
      <c r="F77" s="48">
        <v>178027</v>
      </c>
      <c r="G77" s="55">
        <f t="shared" si="1"/>
        <v>0.64836762282179961</v>
      </c>
      <c r="H77" s="48">
        <v>270300</v>
      </c>
      <c r="I77" s="55">
        <f t="shared" ref="I77:I87" si="33">(H77/H65-1)</f>
        <v>0.24005046450280987</v>
      </c>
      <c r="J77" s="48">
        <v>16128</v>
      </c>
      <c r="K77" s="55">
        <f t="shared" si="23"/>
        <v>0.32142564522736583</v>
      </c>
      <c r="L77" s="120">
        <v>67033</v>
      </c>
      <c r="M77" s="91">
        <v>0.13900000000000001</v>
      </c>
      <c r="N77" s="48">
        <v>80281</v>
      </c>
      <c r="O77" s="55">
        <f t="shared" si="5"/>
        <v>1.4186123580272949</v>
      </c>
      <c r="P77" s="48">
        <v>34731</v>
      </c>
      <c r="Q77" s="67">
        <f t="shared" si="27"/>
        <v>6.1233843615363437E-2</v>
      </c>
      <c r="R77" s="120">
        <v>22664</v>
      </c>
      <c r="S77" s="91">
        <f t="shared" si="24"/>
        <v>0.38533007334963321</v>
      </c>
      <c r="T77" s="48">
        <v>20029</v>
      </c>
      <c r="U77" s="67">
        <f t="shared" si="17"/>
        <v>-0.10199964131994266</v>
      </c>
      <c r="V77" s="101">
        <v>233</v>
      </c>
      <c r="W77" s="55">
        <f t="shared" si="14"/>
        <v>-9.6899224806201556E-2</v>
      </c>
      <c r="X77" s="137">
        <v>56625</v>
      </c>
      <c r="Y77" s="67">
        <f t="shared" si="8"/>
        <v>9.3273352125728959E-2</v>
      </c>
      <c r="Z77" s="120">
        <v>18310</v>
      </c>
      <c r="AA77" s="104">
        <f t="shared" si="28"/>
        <v>0.21386900026518174</v>
      </c>
      <c r="AB77" s="48">
        <v>21654</v>
      </c>
      <c r="AC77" s="67">
        <v>-0.108</v>
      </c>
      <c r="AD77" s="48">
        <v>20493</v>
      </c>
      <c r="AE77" s="55">
        <f t="shared" si="25"/>
        <v>9.7878495660559395E-2</v>
      </c>
      <c r="AF77" s="113">
        <v>1300</v>
      </c>
      <c r="AG77" s="102">
        <f t="shared" si="30"/>
        <v>8.3333333333333329E-2</v>
      </c>
      <c r="AH77" s="46">
        <v>7974</v>
      </c>
      <c r="AI77" s="67">
        <f t="shared" si="29"/>
        <v>0.63034144346759358</v>
      </c>
      <c r="AJ77" s="111"/>
      <c r="AK77" s="129"/>
      <c r="AL77" s="101">
        <v>1403</v>
      </c>
      <c r="AM77" s="91"/>
      <c r="AN77" s="113">
        <v>1126</v>
      </c>
      <c r="AO77" s="67">
        <f t="shared" si="31"/>
        <v>0.29128440366972486</v>
      </c>
      <c r="AP77" s="130"/>
      <c r="AQ77" s="95"/>
      <c r="AR77" s="143">
        <v>0</v>
      </c>
      <c r="AS77" s="117" t="str">
        <f t="shared" si="13"/>
        <v>-</v>
      </c>
      <c r="AT77" s="123"/>
      <c r="AU77" s="144"/>
      <c r="AV77" s="123"/>
      <c r="AW77" s="124"/>
      <c r="AX77" s="113">
        <v>2038</v>
      </c>
      <c r="AY77" s="55"/>
      <c r="AZ77" s="48">
        <v>1188</v>
      </c>
      <c r="BA77" s="55">
        <f t="shared" si="19"/>
        <v>0.25052631578947371</v>
      </c>
      <c r="BB77" s="113"/>
      <c r="BC77" s="55"/>
    </row>
    <row r="78" spans="1:55" s="9" customFormat="1" ht="13.5" customHeight="1">
      <c r="A78" s="72" t="s">
        <v>73</v>
      </c>
      <c r="B78" s="145" t="s">
        <v>43</v>
      </c>
      <c r="C78" s="74">
        <v>1118261</v>
      </c>
      <c r="D78" s="75">
        <v>0.376</v>
      </c>
      <c r="E78" s="14"/>
      <c r="F78" s="74">
        <v>232053</v>
      </c>
      <c r="G78" s="75">
        <f t="shared" si="1"/>
        <v>0.78837972810505874</v>
      </c>
      <c r="H78" s="76">
        <v>315200</v>
      </c>
      <c r="I78" s="77">
        <f t="shared" si="33"/>
        <v>0.32436974789915962</v>
      </c>
      <c r="J78" s="74">
        <v>18078</v>
      </c>
      <c r="K78" s="75">
        <f t="shared" si="23"/>
        <v>0.12586410911129109</v>
      </c>
      <c r="L78" s="78">
        <v>82126</v>
      </c>
      <c r="M78" s="79">
        <v>0.40500000000000003</v>
      </c>
      <c r="N78" s="74">
        <v>92186</v>
      </c>
      <c r="O78" s="75">
        <f t="shared" si="5"/>
        <v>0.63207279937681471</v>
      </c>
      <c r="P78" s="74">
        <v>43041</v>
      </c>
      <c r="Q78" s="55">
        <f t="shared" si="27"/>
        <v>0.39138165125751589</v>
      </c>
      <c r="R78" s="78">
        <v>30302</v>
      </c>
      <c r="S78" s="79">
        <f t="shared" si="24"/>
        <v>0.63892043918005292</v>
      </c>
      <c r="T78" s="74">
        <v>39432</v>
      </c>
      <c r="U78" s="55">
        <f t="shared" si="17"/>
        <v>0.54538328891675802</v>
      </c>
      <c r="V78" s="46">
        <v>591</v>
      </c>
      <c r="W78" s="75">
        <f t="shared" si="14"/>
        <v>0.57180851063829785</v>
      </c>
      <c r="X78" s="82">
        <v>71906</v>
      </c>
      <c r="Y78" s="75">
        <f t="shared" si="8"/>
        <v>0.31327963764542588</v>
      </c>
      <c r="Z78" s="146">
        <v>84062</v>
      </c>
      <c r="AA78" s="147">
        <f>Z78/SUM(Z66:Z68)-1</f>
        <v>0.31472184425780814</v>
      </c>
      <c r="AB78" s="74">
        <v>27663</v>
      </c>
      <c r="AC78" s="55">
        <v>0.69499999999999995</v>
      </c>
      <c r="AD78" s="74">
        <v>28250</v>
      </c>
      <c r="AE78" s="75">
        <f t="shared" si="25"/>
        <v>0.19248628113127908</v>
      </c>
      <c r="AF78" s="89">
        <v>5800</v>
      </c>
      <c r="AG78" s="75">
        <f>(AF78/AF66-1)</f>
        <v>2.8666666666666667</v>
      </c>
      <c r="AH78" s="74">
        <v>10095</v>
      </c>
      <c r="AI78" s="55">
        <f t="shared" si="29"/>
        <v>0.76178010471204194</v>
      </c>
      <c r="AJ78" s="87">
        <v>1599</v>
      </c>
      <c r="AK78" s="125">
        <f>(SUM(AJ78:AJ83)/AJ66-1)</f>
        <v>0.36412847347527966</v>
      </c>
      <c r="AL78" s="46">
        <v>1128</v>
      </c>
      <c r="AM78" s="79">
        <f t="shared" ref="AM78:AM149" si="34">(AL78/AL66-1)</f>
        <v>1.1567877629063097</v>
      </c>
      <c r="AN78" s="89">
        <v>1951</v>
      </c>
      <c r="AO78" s="55">
        <f>(AN78/AN66-1)</f>
        <v>0.63949579831932768</v>
      </c>
      <c r="AP78" s="56">
        <f>AP208*0.309</f>
        <v>29536.382999999998</v>
      </c>
      <c r="AQ78" s="85">
        <f>(AP78/AP66-1)</f>
        <v>0.72446479725569835</v>
      </c>
      <c r="AR78" s="148">
        <v>0</v>
      </c>
      <c r="AS78" s="126" t="str">
        <f t="shared" si="13"/>
        <v>-</v>
      </c>
      <c r="AT78" s="115">
        <v>182</v>
      </c>
      <c r="AU78" s="149">
        <f>AT78/AT66-1</f>
        <v>2.7142857142857144</v>
      </c>
      <c r="AV78" s="115">
        <v>13479</v>
      </c>
      <c r="AW78" s="116">
        <f>AV78/AV66-1</f>
        <v>0.47812260116240823</v>
      </c>
      <c r="AX78" s="89">
        <v>3228</v>
      </c>
      <c r="AY78" s="75">
        <f>(AX78/AX66-1)</f>
        <v>0.45274527452745272</v>
      </c>
      <c r="AZ78" s="74">
        <v>2261</v>
      </c>
      <c r="BA78" s="75">
        <f t="shared" si="19"/>
        <v>0.8716887417218544</v>
      </c>
      <c r="BB78" s="89"/>
      <c r="BC78" s="75"/>
    </row>
    <row r="79" spans="1:55" s="9" customFormat="1" ht="13.5" customHeight="1">
      <c r="A79" s="60"/>
      <c r="B79" s="145" t="s">
        <v>44</v>
      </c>
      <c r="C79" s="46">
        <v>908103</v>
      </c>
      <c r="D79" s="55">
        <v>0.20499999999999999</v>
      </c>
      <c r="E79" s="14"/>
      <c r="F79" s="46">
        <v>197784</v>
      </c>
      <c r="G79" s="55">
        <f t="shared" si="1"/>
        <v>0.84967595320259237</v>
      </c>
      <c r="H79" s="48">
        <v>283400</v>
      </c>
      <c r="I79" s="90">
        <f t="shared" si="33"/>
        <v>1.9791291831594116E-2</v>
      </c>
      <c r="J79" s="46">
        <v>18063</v>
      </c>
      <c r="K79" s="55">
        <f t="shared" si="23"/>
        <v>6.9006332485056499E-2</v>
      </c>
      <c r="L79" s="50">
        <v>72873</v>
      </c>
      <c r="M79" s="91">
        <v>0.34399999999999997</v>
      </c>
      <c r="N79" s="46">
        <v>74089</v>
      </c>
      <c r="O79" s="55">
        <f t="shared" si="5"/>
        <v>0.2822159149908276</v>
      </c>
      <c r="P79" s="46">
        <v>44284</v>
      </c>
      <c r="Q79" s="55">
        <f t="shared" si="27"/>
        <v>0.12765144763311342</v>
      </c>
      <c r="R79" s="50">
        <v>27608</v>
      </c>
      <c r="S79" s="91">
        <f t="shared" si="24"/>
        <v>0.74193955454602811</v>
      </c>
      <c r="T79" s="46">
        <v>29588</v>
      </c>
      <c r="U79" s="55">
        <f t="shared" si="17"/>
        <v>8.0366597290685293E-2</v>
      </c>
      <c r="V79" s="46">
        <v>441</v>
      </c>
      <c r="W79" s="55">
        <f t="shared" si="14"/>
        <v>0.52068965517241383</v>
      </c>
      <c r="X79" s="53">
        <v>50756</v>
      </c>
      <c r="Y79" s="55">
        <f t="shared" si="8"/>
        <v>0.20586348625596917</v>
      </c>
      <c r="Z79" s="150"/>
      <c r="AA79" s="151"/>
      <c r="AB79" s="46">
        <v>20562</v>
      </c>
      <c r="AC79" s="55">
        <v>-0.14799999999999999</v>
      </c>
      <c r="AD79" s="46">
        <v>23966</v>
      </c>
      <c r="AE79" s="55">
        <v>0.217</v>
      </c>
      <c r="AF79" s="98">
        <v>4100</v>
      </c>
      <c r="AG79" s="55">
        <f t="shared" ref="AG79:AG125" si="35">(AF79/AF67-1)</f>
        <v>1.2777777777777777</v>
      </c>
      <c r="AH79" s="46">
        <v>7650</v>
      </c>
      <c r="AI79" s="55">
        <f t="shared" si="29"/>
        <v>0.58746627931106044</v>
      </c>
      <c r="AJ79" s="96"/>
      <c r="AK79" s="99"/>
      <c r="AL79" s="46">
        <v>772</v>
      </c>
      <c r="AM79" s="91">
        <f t="shared" si="34"/>
        <v>5.2083333333332593E-3</v>
      </c>
      <c r="AN79" s="98">
        <v>1063</v>
      </c>
      <c r="AO79" s="55">
        <f t="shared" ref="AO79:AO113" si="36">(AN79/AN67-1)</f>
        <v>-2.7447392497712664E-2</v>
      </c>
      <c r="AP79" s="63"/>
      <c r="AQ79" s="95"/>
      <c r="AR79" s="140">
        <v>0</v>
      </c>
      <c r="AS79" s="117" t="str">
        <f t="shared" si="13"/>
        <v>-</v>
      </c>
      <c r="AT79" s="118"/>
      <c r="AU79" s="141"/>
      <c r="AV79" s="118"/>
      <c r="AW79" s="119"/>
      <c r="AX79" s="98">
        <v>1871</v>
      </c>
      <c r="AY79" s="55">
        <f t="shared" ref="AY79:AY89" si="37">(AX79/AX67-1)</f>
        <v>0.30565247732030709</v>
      </c>
      <c r="AZ79" s="46">
        <v>1272</v>
      </c>
      <c r="BA79" s="55">
        <f t="shared" si="19"/>
        <v>0.21606118546845132</v>
      </c>
      <c r="BB79" s="98"/>
      <c r="BC79" s="55"/>
    </row>
    <row r="80" spans="1:55" s="9" customFormat="1" ht="13.5" customHeight="1">
      <c r="A80" s="60"/>
      <c r="B80" s="145" t="s">
        <v>61</v>
      </c>
      <c r="C80" s="46">
        <v>950185</v>
      </c>
      <c r="D80" s="55">
        <v>0.35299999999999998</v>
      </c>
      <c r="E80" s="14"/>
      <c r="F80" s="46">
        <v>169295</v>
      </c>
      <c r="G80" s="55">
        <f t="shared" si="1"/>
        <v>0.56248269497000458</v>
      </c>
      <c r="H80" s="48">
        <v>334500</v>
      </c>
      <c r="I80" s="90">
        <f t="shared" si="33"/>
        <v>0.3782447466007417</v>
      </c>
      <c r="J80" s="46">
        <v>18603</v>
      </c>
      <c r="K80" s="55">
        <f t="shared" si="23"/>
        <v>0.28669248858763319</v>
      </c>
      <c r="L80" s="50">
        <v>70336</v>
      </c>
      <c r="M80" s="91">
        <f t="shared" ref="M80:M87" si="38">L80/L68-1</f>
        <v>0.5911682200705819</v>
      </c>
      <c r="N80" s="46">
        <v>75386</v>
      </c>
      <c r="O80" s="55">
        <f t="shared" si="5"/>
        <v>0.51174123167625885</v>
      </c>
      <c r="P80" s="46">
        <v>45722</v>
      </c>
      <c r="Q80" s="55">
        <f t="shared" si="27"/>
        <v>0.40372098735109918</v>
      </c>
      <c r="R80" s="50">
        <v>25243</v>
      </c>
      <c r="S80" s="91">
        <f t="shared" si="24"/>
        <v>0.87234831627354992</v>
      </c>
      <c r="T80" s="46">
        <v>30108</v>
      </c>
      <c r="U80" s="55">
        <f t="shared" si="17"/>
        <v>0.45035888048557249</v>
      </c>
      <c r="V80" s="46">
        <v>360</v>
      </c>
      <c r="W80" s="55">
        <f t="shared" si="14"/>
        <v>-0.16083916083916083</v>
      </c>
      <c r="X80" s="53">
        <v>52060</v>
      </c>
      <c r="Y80" s="55">
        <f t="shared" si="8"/>
        <v>0.36583062231084051</v>
      </c>
      <c r="Z80" s="150"/>
      <c r="AA80" s="151"/>
      <c r="AB80" s="46">
        <v>22649</v>
      </c>
      <c r="AC80" s="55">
        <v>0.184</v>
      </c>
      <c r="AD80" s="152">
        <v>18975</v>
      </c>
      <c r="AE80" s="55">
        <v>0.152</v>
      </c>
      <c r="AF80" s="98">
        <v>4000</v>
      </c>
      <c r="AG80" s="55">
        <f t="shared" si="35"/>
        <v>0.73913043478260865</v>
      </c>
      <c r="AH80" s="46">
        <v>9768</v>
      </c>
      <c r="AI80" s="55">
        <f t="shared" si="29"/>
        <v>0.61108362196932209</v>
      </c>
      <c r="AJ80" s="96"/>
      <c r="AK80" s="99"/>
      <c r="AL80" s="46">
        <v>1442</v>
      </c>
      <c r="AM80" s="91">
        <f t="shared" si="34"/>
        <v>0.47443762781186094</v>
      </c>
      <c r="AN80" s="98">
        <v>1560</v>
      </c>
      <c r="AO80" s="55">
        <f t="shared" si="36"/>
        <v>0.71617161716171607</v>
      </c>
      <c r="AP80" s="63"/>
      <c r="AQ80" s="95"/>
      <c r="AR80" s="140">
        <v>50</v>
      </c>
      <c r="AS80" s="117" t="str">
        <f t="shared" si="13"/>
        <v>-</v>
      </c>
      <c r="AT80" s="118"/>
      <c r="AU80" s="141"/>
      <c r="AV80" s="118"/>
      <c r="AW80" s="119"/>
      <c r="AX80" s="98">
        <v>2020</v>
      </c>
      <c r="AY80" s="55">
        <f t="shared" si="37"/>
        <v>0.44906743185078901</v>
      </c>
      <c r="AZ80" s="46">
        <v>1325</v>
      </c>
      <c r="BA80" s="55">
        <f t="shared" si="19"/>
        <v>0.68147208121827418</v>
      </c>
      <c r="BB80" s="98"/>
      <c r="BC80" s="55"/>
    </row>
    <row r="81" spans="1:55" s="9" customFormat="1" ht="13.5" customHeight="1">
      <c r="A81" s="60"/>
      <c r="B81" s="145" t="s">
        <v>62</v>
      </c>
      <c r="C81" s="46">
        <v>935904</v>
      </c>
      <c r="D81" s="55">
        <v>0.27400000000000002</v>
      </c>
      <c r="E81" s="14"/>
      <c r="F81" s="48">
        <v>189582</v>
      </c>
      <c r="G81" s="55">
        <f t="shared" si="1"/>
        <v>0.67308252362923937</v>
      </c>
      <c r="H81" s="46">
        <v>336500</v>
      </c>
      <c r="I81" s="55">
        <f t="shared" si="33"/>
        <v>0.27317442300416195</v>
      </c>
      <c r="J81" s="46">
        <v>15789</v>
      </c>
      <c r="K81" s="55">
        <f t="shared" si="23"/>
        <v>0.18767865202346923</v>
      </c>
      <c r="L81" s="50">
        <v>65361</v>
      </c>
      <c r="M81" s="91">
        <f t="shared" si="38"/>
        <v>0.29200023720571666</v>
      </c>
      <c r="N81" s="46">
        <v>51901</v>
      </c>
      <c r="O81" s="55">
        <f t="shared" si="5"/>
        <v>0.15095134607708344</v>
      </c>
      <c r="P81" s="46">
        <v>43152</v>
      </c>
      <c r="Q81" s="55">
        <f t="shared" si="27"/>
        <v>0.3793191625379575</v>
      </c>
      <c r="R81" s="50">
        <v>25268</v>
      </c>
      <c r="S81" s="91">
        <f t="shared" si="24"/>
        <v>0.55218379507340742</v>
      </c>
      <c r="T81" s="46">
        <v>24772</v>
      </c>
      <c r="U81" s="55">
        <f t="shared" si="17"/>
        <v>0.16175022276415141</v>
      </c>
      <c r="V81" s="48">
        <v>246</v>
      </c>
      <c r="W81" s="55">
        <f t="shared" si="14"/>
        <v>0.83582089552238803</v>
      </c>
      <c r="X81" s="53">
        <v>48128</v>
      </c>
      <c r="Y81" s="55">
        <f t="shared" si="8"/>
        <v>0.23143054524985285</v>
      </c>
      <c r="Z81" s="150">
        <v>41393</v>
      </c>
      <c r="AA81" s="153">
        <f>Z81/SUM(Z69:Z70)-1</f>
        <v>0.37916902675507269</v>
      </c>
      <c r="AB81" s="46">
        <v>20049</v>
      </c>
      <c r="AC81" s="55">
        <v>-1.7999999999999999E-2</v>
      </c>
      <c r="AD81" s="46">
        <v>20040</v>
      </c>
      <c r="AE81" s="55">
        <v>0.106</v>
      </c>
      <c r="AF81" s="98">
        <v>4300</v>
      </c>
      <c r="AG81" s="55">
        <f t="shared" si="35"/>
        <v>1.6875</v>
      </c>
      <c r="AH81" s="46">
        <v>12184</v>
      </c>
      <c r="AI81" s="55">
        <f t="shared" si="29"/>
        <v>0.57864731795802016</v>
      </c>
      <c r="AJ81" s="96">
        <f>15120-AJ78</f>
        <v>13521</v>
      </c>
      <c r="AK81" s="99"/>
      <c r="AL81" s="48">
        <v>2194</v>
      </c>
      <c r="AM81" s="91">
        <f t="shared" si="34"/>
        <v>0.735759493670886</v>
      </c>
      <c r="AN81" s="98">
        <v>1175</v>
      </c>
      <c r="AO81" s="55">
        <f t="shared" si="36"/>
        <v>0.58998646820027068</v>
      </c>
      <c r="AP81" s="63">
        <f>AP208*0.224</f>
        <v>21411.488000000001</v>
      </c>
      <c r="AQ81" s="99">
        <f>(AP81/AP69-1)</f>
        <v>0.57395690333554983</v>
      </c>
      <c r="AR81" s="140">
        <v>0</v>
      </c>
      <c r="AS81" s="117">
        <f t="shared" si="13"/>
        <v>-1</v>
      </c>
      <c r="AT81" s="118"/>
      <c r="AU81" s="141"/>
      <c r="AV81" s="118"/>
      <c r="AW81" s="119"/>
      <c r="AX81" s="98">
        <v>1962</v>
      </c>
      <c r="AY81" s="55">
        <f t="shared" si="37"/>
        <v>1.0143737166324436</v>
      </c>
      <c r="AZ81" s="46">
        <v>1263</v>
      </c>
      <c r="BA81" s="55">
        <f t="shared" si="19"/>
        <v>0.20285714285714285</v>
      </c>
      <c r="BB81" s="98"/>
      <c r="BC81" s="55"/>
    </row>
    <row r="82" spans="1:55" s="9" customFormat="1" ht="13.5" customHeight="1">
      <c r="A82" s="60"/>
      <c r="B82" s="145" t="s">
        <v>63</v>
      </c>
      <c r="C82" s="46">
        <v>1023815</v>
      </c>
      <c r="D82" s="55">
        <v>0.38800000000000001</v>
      </c>
      <c r="E82" s="14"/>
      <c r="F82" s="48">
        <v>201484</v>
      </c>
      <c r="G82" s="55">
        <f t="shared" ref="G82:G87" si="39">(F82-F70)/F70</f>
        <v>0.70898326505339404</v>
      </c>
      <c r="H82" s="46">
        <v>351200</v>
      </c>
      <c r="I82" s="55">
        <f t="shared" si="33"/>
        <v>0.30557620817843856</v>
      </c>
      <c r="J82" s="46">
        <v>19286</v>
      </c>
      <c r="K82" s="55">
        <f t="shared" si="23"/>
        <v>0.36171715032125973</v>
      </c>
      <c r="L82" s="50">
        <v>70554</v>
      </c>
      <c r="M82" s="91">
        <f t="shared" si="38"/>
        <v>0.44589720468890892</v>
      </c>
      <c r="N82" s="46">
        <v>44447</v>
      </c>
      <c r="O82" s="55">
        <f t="shared" ref="O82:O126" si="40">(N82-N70)/N70</f>
        <v>3.6471328964857871E-2</v>
      </c>
      <c r="P82" s="46">
        <v>40716</v>
      </c>
      <c r="Q82" s="55">
        <f t="shared" si="27"/>
        <v>8.1175814546323499E-2</v>
      </c>
      <c r="R82" s="50">
        <v>25341</v>
      </c>
      <c r="S82" s="91">
        <f t="shared" si="24"/>
        <v>0.45520845296887558</v>
      </c>
      <c r="T82" s="46">
        <v>32153</v>
      </c>
      <c r="U82" s="55">
        <f t="shared" si="17"/>
        <v>0.47126384185961379</v>
      </c>
      <c r="V82" s="48">
        <v>247</v>
      </c>
      <c r="W82" s="55">
        <f t="shared" si="14"/>
        <v>-1.984126984126984E-2</v>
      </c>
      <c r="X82" s="53">
        <v>56566</v>
      </c>
      <c r="Y82" s="55">
        <f t="shared" ref="Y82:Y89" si="41">X82/X70-1</f>
        <v>0.40042582689641515</v>
      </c>
      <c r="Z82" s="150"/>
      <c r="AA82" s="153"/>
      <c r="AB82" s="46">
        <v>24041</v>
      </c>
      <c r="AC82" s="55">
        <v>0.217</v>
      </c>
      <c r="AD82" s="46">
        <v>20047</v>
      </c>
      <c r="AE82" s="55">
        <v>0.14399999999999999</v>
      </c>
      <c r="AF82" s="98">
        <v>2800</v>
      </c>
      <c r="AG82" s="55">
        <f t="shared" si="35"/>
        <v>1.3333333333333335</v>
      </c>
      <c r="AH82" s="46">
        <v>12320</v>
      </c>
      <c r="AI82" s="55">
        <f t="shared" si="29"/>
        <v>0.74011299435028244</v>
      </c>
      <c r="AJ82" s="96"/>
      <c r="AK82" s="99"/>
      <c r="AL82" s="48">
        <v>4942</v>
      </c>
      <c r="AM82" s="91">
        <f t="shared" si="34"/>
        <v>1.4896725440806047</v>
      </c>
      <c r="AN82" s="98">
        <v>1367</v>
      </c>
      <c r="AO82" s="55">
        <f t="shared" si="36"/>
        <v>0.80820105820105814</v>
      </c>
      <c r="AP82" s="63"/>
      <c r="AQ82" s="99"/>
      <c r="AR82" s="140">
        <v>0</v>
      </c>
      <c r="AS82" s="117" t="str">
        <f t="shared" si="13"/>
        <v>-</v>
      </c>
      <c r="AT82" s="118"/>
      <c r="AU82" s="141"/>
      <c r="AV82" s="118"/>
      <c r="AW82" s="119"/>
      <c r="AX82" s="98">
        <v>1615</v>
      </c>
      <c r="AY82" s="55">
        <f t="shared" si="37"/>
        <v>0.55888030888030893</v>
      </c>
      <c r="AZ82" s="46">
        <v>423</v>
      </c>
      <c r="BA82" s="55">
        <f t="shared" si="19"/>
        <v>-0.1402439024390244</v>
      </c>
      <c r="BB82" s="98"/>
      <c r="BC82" s="55"/>
    </row>
    <row r="83" spans="1:55" s="9" customFormat="1" ht="13.5" customHeight="1">
      <c r="A83" s="60"/>
      <c r="B83" s="145" t="s">
        <v>64</v>
      </c>
      <c r="C83" s="46">
        <v>997597</v>
      </c>
      <c r="D83" s="55">
        <v>0.36399999999999999</v>
      </c>
      <c r="E83" s="14"/>
      <c r="F83" s="48">
        <v>179088</v>
      </c>
      <c r="G83" s="55">
        <f t="shared" si="39"/>
        <v>0.71808474917735543</v>
      </c>
      <c r="H83" s="46">
        <v>341000</v>
      </c>
      <c r="I83" s="55">
        <f t="shared" si="33"/>
        <v>0.38730675345809606</v>
      </c>
      <c r="J83" s="46">
        <v>17023</v>
      </c>
      <c r="K83" s="55">
        <f t="shared" si="23"/>
        <v>0.27733173257297206</v>
      </c>
      <c r="L83" s="50">
        <v>58162</v>
      </c>
      <c r="M83" s="91">
        <f t="shared" si="38"/>
        <v>0.35503110220627643</v>
      </c>
      <c r="N83" s="46">
        <v>44454</v>
      </c>
      <c r="O83" s="55">
        <f t="shared" si="40"/>
        <v>3.8329479363744659E-2</v>
      </c>
      <c r="P83" s="46">
        <v>35448</v>
      </c>
      <c r="Q83" s="55">
        <f t="shared" si="27"/>
        <v>0.4204199390928034</v>
      </c>
      <c r="R83" s="50">
        <v>21332</v>
      </c>
      <c r="S83" s="91">
        <f t="shared" si="24"/>
        <v>0.55662580268534745</v>
      </c>
      <c r="T83" s="46">
        <v>30024</v>
      </c>
      <c r="U83" s="55">
        <f t="shared" si="17"/>
        <v>0.43032728312133761</v>
      </c>
      <c r="V83" s="48">
        <v>303</v>
      </c>
      <c r="W83" s="55">
        <f t="shared" si="14"/>
        <v>0.31168831168831168</v>
      </c>
      <c r="X83" s="53">
        <v>54201</v>
      </c>
      <c r="Y83" s="55">
        <f t="shared" si="41"/>
        <v>0.42390647576513851</v>
      </c>
      <c r="Z83" s="150">
        <v>65326</v>
      </c>
      <c r="AA83" s="151">
        <f>Z83/SUM(Z71:Z73)-1</f>
        <v>0.36245755608196673</v>
      </c>
      <c r="AB83" s="46">
        <v>24066</v>
      </c>
      <c r="AC83" s="55">
        <v>0.17599999999999999</v>
      </c>
      <c r="AD83" s="46">
        <v>19788</v>
      </c>
      <c r="AE83" s="55">
        <v>0.16900000000000001</v>
      </c>
      <c r="AF83" s="98">
        <v>3000</v>
      </c>
      <c r="AG83" s="55">
        <f t="shared" si="35"/>
        <v>0.57894736842105265</v>
      </c>
      <c r="AH83" s="46">
        <v>10195</v>
      </c>
      <c r="AI83" s="55">
        <f t="shared" si="29"/>
        <v>0.33128754243927916</v>
      </c>
      <c r="AJ83" s="96"/>
      <c r="AK83" s="99"/>
      <c r="AL83" s="48">
        <v>1517</v>
      </c>
      <c r="AM83" s="91">
        <f t="shared" si="34"/>
        <v>7.0571630204657732E-2</v>
      </c>
      <c r="AN83" s="98">
        <v>1379</v>
      </c>
      <c r="AO83" s="55">
        <f t="shared" si="36"/>
        <v>0.52375690607734815</v>
      </c>
      <c r="AP83" s="63"/>
      <c r="AQ83" s="99"/>
      <c r="AR83" s="140">
        <v>0</v>
      </c>
      <c r="AS83" s="117">
        <f t="shared" si="13"/>
        <v>-1</v>
      </c>
      <c r="AT83" s="118"/>
      <c r="AU83" s="141"/>
      <c r="AV83" s="118"/>
      <c r="AW83" s="119"/>
      <c r="AX83" s="98">
        <v>1912</v>
      </c>
      <c r="AY83" s="55">
        <f t="shared" si="37"/>
        <v>1.0318809776833158</v>
      </c>
      <c r="AZ83" s="46">
        <v>499</v>
      </c>
      <c r="BA83" s="55">
        <f t="shared" si="19"/>
        <v>-0.35278858625162124</v>
      </c>
      <c r="BB83" s="98"/>
      <c r="BC83" s="55"/>
    </row>
    <row r="84" spans="1:55" s="9" customFormat="1" ht="13.5" customHeight="1">
      <c r="A84" s="60"/>
      <c r="B84" s="145" t="s">
        <v>65</v>
      </c>
      <c r="C84" s="46">
        <v>1223723</v>
      </c>
      <c r="D84" s="55">
        <v>0.22800000000000001</v>
      </c>
      <c r="E84" s="14"/>
      <c r="F84" s="48">
        <v>236092</v>
      </c>
      <c r="G84" s="55">
        <f t="shared" si="39"/>
        <v>0.38681860902255638</v>
      </c>
      <c r="H84" s="46">
        <v>387100</v>
      </c>
      <c r="I84" s="55">
        <f t="shared" si="33"/>
        <v>0.24070512820512824</v>
      </c>
      <c r="J84" s="46">
        <v>17172</v>
      </c>
      <c r="K84" s="55">
        <f t="shared" si="23"/>
        <v>0.19523908958028824</v>
      </c>
      <c r="L84" s="50">
        <v>76011</v>
      </c>
      <c r="M84" s="91">
        <f t="shared" si="38"/>
        <v>0.28053033238430558</v>
      </c>
      <c r="N84" s="46">
        <v>63314</v>
      </c>
      <c r="O84" s="55">
        <f t="shared" si="40"/>
        <v>7.3664575207732744E-2</v>
      </c>
      <c r="P84" s="46">
        <v>36827</v>
      </c>
      <c r="Q84" s="55">
        <f t="shared" si="27"/>
        <v>0.54049192671295909</v>
      </c>
      <c r="R84" s="50">
        <v>28590</v>
      </c>
      <c r="S84" s="91">
        <f t="shared" si="24"/>
        <v>0.40147058823529402</v>
      </c>
      <c r="T84" s="46">
        <v>32665</v>
      </c>
      <c r="U84" s="55">
        <f t="shared" si="17"/>
        <v>7.4895521405771825E-2</v>
      </c>
      <c r="V84" s="48">
        <v>443</v>
      </c>
      <c r="W84" s="55">
        <f t="shared" si="14"/>
        <v>-9.2213114754098366E-2</v>
      </c>
      <c r="X84" s="53">
        <v>72731</v>
      </c>
      <c r="Y84" s="55">
        <f t="shared" si="41"/>
        <v>0.48179614123016123</v>
      </c>
      <c r="Z84" s="150"/>
      <c r="AA84" s="151"/>
      <c r="AB84" s="46">
        <v>26961</v>
      </c>
      <c r="AC84" s="55">
        <v>0.106</v>
      </c>
      <c r="AD84" s="46">
        <v>30500</v>
      </c>
      <c r="AE84" s="55">
        <v>0.36799999999999999</v>
      </c>
      <c r="AF84" s="98">
        <v>3100</v>
      </c>
      <c r="AG84" s="55">
        <f t="shared" si="35"/>
        <v>0.72222222222222232</v>
      </c>
      <c r="AH84" s="46">
        <v>12250</v>
      </c>
      <c r="AI84" s="55">
        <f t="shared" si="29"/>
        <v>0.14421819540444611</v>
      </c>
      <c r="AJ84" s="96">
        <f>36778-AJ81-AJ78</f>
        <v>21658</v>
      </c>
      <c r="AK84" s="154">
        <f>(AJ84/AJ72-1)</f>
        <v>1.1029226138460047</v>
      </c>
      <c r="AL84" s="48">
        <v>969</v>
      </c>
      <c r="AM84" s="91">
        <f t="shared" si="34"/>
        <v>0.26998689384010488</v>
      </c>
      <c r="AN84" s="98">
        <v>1714</v>
      </c>
      <c r="AO84" s="55">
        <f t="shared" si="36"/>
        <v>0.44519392917369305</v>
      </c>
      <c r="AP84" s="63">
        <f>AP208*0.251</f>
        <v>23992.337</v>
      </c>
      <c r="AQ84" s="95">
        <f>(AP84/AP72-1)</f>
        <v>0.18602529660720557</v>
      </c>
      <c r="AR84" s="140">
        <v>16</v>
      </c>
      <c r="AS84" s="117" t="str">
        <f t="shared" si="13"/>
        <v>-</v>
      </c>
      <c r="AT84" s="118"/>
      <c r="AU84" s="141"/>
      <c r="AV84" s="118"/>
      <c r="AW84" s="119"/>
      <c r="AX84" s="98">
        <v>2822</v>
      </c>
      <c r="AY84" s="55">
        <f t="shared" si="37"/>
        <v>0.20598290598290592</v>
      </c>
      <c r="AZ84" s="46">
        <v>1282</v>
      </c>
      <c r="BA84" s="55">
        <f t="shared" si="19"/>
        <v>-2.1374045801526687E-2</v>
      </c>
      <c r="BB84" s="98"/>
      <c r="BC84" s="55"/>
    </row>
    <row r="85" spans="1:55" s="9" customFormat="1" ht="13.5" customHeight="1">
      <c r="A85" s="60"/>
      <c r="B85" s="145" t="s">
        <v>66</v>
      </c>
      <c r="C85" s="46">
        <v>1235742</v>
      </c>
      <c r="D85" s="55">
        <v>0.186</v>
      </c>
      <c r="E85" s="14"/>
      <c r="F85" s="48">
        <v>246882</v>
      </c>
      <c r="G85" s="55">
        <f t="shared" si="39"/>
        <v>0.29266389858995639</v>
      </c>
      <c r="H85" s="46">
        <v>416300</v>
      </c>
      <c r="I85" s="55">
        <f t="shared" si="33"/>
        <v>0.18435277382645809</v>
      </c>
      <c r="J85" s="46">
        <v>19934</v>
      </c>
      <c r="K85" s="55">
        <f t="shared" si="23"/>
        <v>0.43554659369148774</v>
      </c>
      <c r="L85" s="50">
        <v>90091</v>
      </c>
      <c r="M85" s="91">
        <f t="shared" si="38"/>
        <v>0.35683303713967285</v>
      </c>
      <c r="N85" s="46">
        <v>69738</v>
      </c>
      <c r="O85" s="55">
        <f t="shared" si="40"/>
        <v>7.3470330177788035E-2</v>
      </c>
      <c r="P85" s="46">
        <v>42328</v>
      </c>
      <c r="Q85" s="55">
        <f t="shared" si="27"/>
        <v>0.16330456769087021</v>
      </c>
      <c r="R85" s="50">
        <v>36071</v>
      </c>
      <c r="S85" s="91">
        <f t="shared" si="24"/>
        <v>0.40206786644381398</v>
      </c>
      <c r="T85" s="46">
        <v>34169</v>
      </c>
      <c r="U85" s="55">
        <f t="shared" si="17"/>
        <v>5.6816775949523723E-2</v>
      </c>
      <c r="V85" s="48">
        <v>456</v>
      </c>
      <c r="W85" s="55">
        <f t="shared" si="14"/>
        <v>0.2</v>
      </c>
      <c r="X85" s="53">
        <v>68047</v>
      </c>
      <c r="Y85" s="55">
        <f t="shared" si="41"/>
        <v>0.44213203348521768</v>
      </c>
      <c r="Z85" s="150"/>
      <c r="AA85" s="151"/>
      <c r="AB85" s="46">
        <v>27256</v>
      </c>
      <c r="AC85" s="55">
        <v>0.151</v>
      </c>
      <c r="AD85" s="46">
        <v>27108</v>
      </c>
      <c r="AE85" s="55">
        <v>0.16300000000000001</v>
      </c>
      <c r="AF85" s="98">
        <v>1900</v>
      </c>
      <c r="AG85" s="55">
        <f t="shared" si="35"/>
        <v>0.11764705882352944</v>
      </c>
      <c r="AH85" s="46">
        <v>11252</v>
      </c>
      <c r="AI85" s="55">
        <f t="shared" si="29"/>
        <v>8.7149758454106274E-2</v>
      </c>
      <c r="AJ85" s="96"/>
      <c r="AK85" s="154"/>
      <c r="AL85" s="48">
        <v>943</v>
      </c>
      <c r="AM85" s="91">
        <f t="shared" si="34"/>
        <v>7.4031890660592348E-2</v>
      </c>
      <c r="AN85" s="98">
        <v>1724</v>
      </c>
      <c r="AO85" s="55">
        <f t="shared" si="36"/>
        <v>0.39482200647249188</v>
      </c>
      <c r="AP85" s="63"/>
      <c r="AQ85" s="95"/>
      <c r="AR85" s="140">
        <v>0</v>
      </c>
      <c r="AS85" s="117" t="str">
        <f t="shared" si="13"/>
        <v>-</v>
      </c>
      <c r="AT85" s="118"/>
      <c r="AU85" s="141"/>
      <c r="AV85" s="118"/>
      <c r="AW85" s="119"/>
      <c r="AX85" s="98">
        <v>2935</v>
      </c>
      <c r="AY85" s="55">
        <f t="shared" si="37"/>
        <v>0.86467598475222363</v>
      </c>
      <c r="AZ85" s="46">
        <v>1353</v>
      </c>
      <c r="BA85" s="55">
        <f t="shared" si="19"/>
        <v>0.28612167300380231</v>
      </c>
      <c r="BB85" s="98"/>
      <c r="BC85" s="55"/>
    </row>
    <row r="86" spans="1:55" s="9" customFormat="1" ht="13.5" customHeight="1">
      <c r="A86" s="60"/>
      <c r="B86" s="145" t="s">
        <v>67</v>
      </c>
      <c r="C86" s="46">
        <v>1013123</v>
      </c>
      <c r="D86" s="55">
        <v>0.53900000000000003</v>
      </c>
      <c r="E86" s="14"/>
      <c r="F86" s="48">
        <v>193975</v>
      </c>
      <c r="G86" s="55">
        <f t="shared" si="39"/>
        <v>0.83914857305394897</v>
      </c>
      <c r="H86" s="46">
        <v>324900</v>
      </c>
      <c r="I86" s="55">
        <f t="shared" si="33"/>
        <v>0.3908390410958904</v>
      </c>
      <c r="J86" s="46">
        <v>17953</v>
      </c>
      <c r="K86" s="55">
        <f t="shared" si="23"/>
        <v>0.54368013757523648</v>
      </c>
      <c r="L86" s="50">
        <v>74638</v>
      </c>
      <c r="M86" s="91">
        <f t="shared" si="38"/>
        <v>1.0686807095343682</v>
      </c>
      <c r="N86" s="46">
        <v>59148</v>
      </c>
      <c r="O86" s="55">
        <f t="shared" si="40"/>
        <v>1.0777742649383497</v>
      </c>
      <c r="P86" s="46">
        <v>33861</v>
      </c>
      <c r="Q86" s="55">
        <f t="shared" si="27"/>
        <v>0.3336878175587854</v>
      </c>
      <c r="R86" s="50">
        <v>29475</v>
      </c>
      <c r="S86" s="91">
        <f t="shared" si="24"/>
        <v>1.4787654528635104</v>
      </c>
      <c r="T86" s="46">
        <v>25649</v>
      </c>
      <c r="U86" s="55">
        <f t="shared" si="17"/>
        <v>0.63223876797759959</v>
      </c>
      <c r="V86" s="48">
        <v>233</v>
      </c>
      <c r="W86" s="55">
        <f>(V86-V74)/V74</f>
        <v>6.8807339449541288E-2</v>
      </c>
      <c r="X86" s="53">
        <v>57618</v>
      </c>
      <c r="Y86" s="55">
        <f t="shared" si="41"/>
        <v>1.2942581826869475</v>
      </c>
      <c r="Z86" s="155">
        <v>16631</v>
      </c>
      <c r="AA86" s="156">
        <f>Z86/Z74-1</f>
        <v>9.7321192926893563E-2</v>
      </c>
      <c r="AB86" s="46">
        <v>18955</v>
      </c>
      <c r="AC86" s="55">
        <v>0.44800000000000001</v>
      </c>
      <c r="AD86" s="46">
        <v>17292</v>
      </c>
      <c r="AE86" s="55">
        <v>0.25800000000000001</v>
      </c>
      <c r="AF86" s="98">
        <v>2400</v>
      </c>
      <c r="AG86" s="55">
        <f t="shared" si="35"/>
        <v>4.3478260869565188E-2</v>
      </c>
      <c r="AH86" s="46">
        <v>10073</v>
      </c>
      <c r="AI86" s="55">
        <f t="shared" si="29"/>
        <v>0.40782669461914745</v>
      </c>
      <c r="AJ86" s="96"/>
      <c r="AK86" s="154"/>
      <c r="AL86" s="48">
        <v>1243</v>
      </c>
      <c r="AM86" s="91">
        <f t="shared" si="34"/>
        <v>-0.13800277392510407</v>
      </c>
      <c r="AN86" s="98">
        <v>1281</v>
      </c>
      <c r="AO86" s="55">
        <f t="shared" si="36"/>
        <v>0.35412262156448193</v>
      </c>
      <c r="AP86" s="63"/>
      <c r="AQ86" s="95"/>
      <c r="AR86" s="140">
        <v>77</v>
      </c>
      <c r="AS86" s="117" t="str">
        <f t="shared" si="13"/>
        <v>-</v>
      </c>
      <c r="AT86" s="118"/>
      <c r="AU86" s="141"/>
      <c r="AV86" s="118"/>
      <c r="AW86" s="119"/>
      <c r="AX86" s="98">
        <v>2179</v>
      </c>
      <c r="AY86" s="55">
        <f t="shared" si="37"/>
        <v>0.98813868613138678</v>
      </c>
      <c r="AZ86" s="46">
        <v>1001</v>
      </c>
      <c r="BA86" s="55">
        <f t="shared" si="19"/>
        <v>0.52127659574468077</v>
      </c>
      <c r="BB86" s="98"/>
      <c r="BC86" s="55"/>
    </row>
    <row r="87" spans="1:55" s="9" customFormat="1" ht="13.5" customHeight="1">
      <c r="A87" s="60"/>
      <c r="B87" s="145" t="s">
        <v>68</v>
      </c>
      <c r="C87" s="46">
        <v>1055581</v>
      </c>
      <c r="D87" s="55">
        <v>0.47699999999999998</v>
      </c>
      <c r="E87" s="14"/>
      <c r="F87" s="48">
        <v>193829</v>
      </c>
      <c r="G87" s="55">
        <f t="shared" si="39"/>
        <v>0.47741148671824385</v>
      </c>
      <c r="H87" s="46">
        <v>372900</v>
      </c>
      <c r="I87" s="55">
        <f t="shared" si="33"/>
        <v>0.45834962847086436</v>
      </c>
      <c r="J87" s="46">
        <v>17103</v>
      </c>
      <c r="K87" s="55">
        <f t="shared" si="23"/>
        <v>0.5811223074789682</v>
      </c>
      <c r="L87" s="50">
        <v>66466</v>
      </c>
      <c r="M87" s="91">
        <f t="shared" si="38"/>
        <v>0.57461325246973538</v>
      </c>
      <c r="N87" s="46">
        <v>71717</v>
      </c>
      <c r="O87" s="55">
        <f t="shared" si="40"/>
        <v>0.86219879518072284</v>
      </c>
      <c r="P87" s="46">
        <v>39197</v>
      </c>
      <c r="Q87" s="55">
        <f t="shared" si="27"/>
        <v>1.5942815540406379</v>
      </c>
      <c r="R87" s="50">
        <v>21931</v>
      </c>
      <c r="S87" s="91">
        <f t="shared" si="24"/>
        <v>0.59800349752258808</v>
      </c>
      <c r="T87" s="46">
        <v>28993</v>
      </c>
      <c r="U87" s="55">
        <v>0.80400000000000005</v>
      </c>
      <c r="V87" s="48">
        <v>224</v>
      </c>
      <c r="W87" s="55">
        <f>(V87-V75)/V75</f>
        <v>-0.39784946236559138</v>
      </c>
      <c r="X87" s="53">
        <v>59991</v>
      </c>
      <c r="Y87" s="55">
        <f t="shared" si="41"/>
        <v>1.251153889451762</v>
      </c>
      <c r="Z87" s="150">
        <v>82290</v>
      </c>
      <c r="AA87" s="151">
        <f>Z87/SUM(Z75:Z77)-1</f>
        <v>1.0233587410867964</v>
      </c>
      <c r="AB87" s="46">
        <v>25020</v>
      </c>
      <c r="AC87" s="55">
        <v>0.27800000000000002</v>
      </c>
      <c r="AD87" s="46">
        <v>14943</v>
      </c>
      <c r="AE87" s="55">
        <v>0.05</v>
      </c>
      <c r="AF87" s="98">
        <v>3200</v>
      </c>
      <c r="AG87" s="55">
        <f t="shared" si="35"/>
        <v>0.68421052631578938</v>
      </c>
      <c r="AH87" s="46">
        <v>11386</v>
      </c>
      <c r="AI87" s="55">
        <f t="shared" si="29"/>
        <v>0.47353436003623656</v>
      </c>
      <c r="AJ87" s="96">
        <f>42231-AJ84-AJ81-AJ78</f>
        <v>5453</v>
      </c>
      <c r="AK87" s="154">
        <f>(AJ87/AJ75-1)</f>
        <v>-6.0799173269032059E-2</v>
      </c>
      <c r="AL87" s="48">
        <v>4102</v>
      </c>
      <c r="AM87" s="91">
        <f t="shared" si="34"/>
        <v>1.018700787401575</v>
      </c>
      <c r="AN87" s="98">
        <v>1655</v>
      </c>
      <c r="AO87" s="55">
        <f t="shared" si="36"/>
        <v>0.72395833333333326</v>
      </c>
      <c r="AP87" s="63">
        <f>AP208*0.216</f>
        <v>20646.792000000001</v>
      </c>
      <c r="AQ87" s="95">
        <f>(AP87/AP75-1)</f>
        <v>5.7489611047131239E-2</v>
      </c>
      <c r="AR87" s="140">
        <v>0</v>
      </c>
      <c r="AS87" s="117" t="str">
        <f t="shared" si="13"/>
        <v>-</v>
      </c>
      <c r="AT87" s="118"/>
      <c r="AU87" s="141"/>
      <c r="AV87" s="118"/>
      <c r="AW87" s="119"/>
      <c r="AX87" s="98">
        <v>2158</v>
      </c>
      <c r="AY87" s="55">
        <f t="shared" si="37"/>
        <v>0.64106463878326991</v>
      </c>
      <c r="AZ87" s="46">
        <v>1412</v>
      </c>
      <c r="BA87" s="55">
        <f t="shared" si="19"/>
        <v>0.26071428571428568</v>
      </c>
      <c r="BB87" s="98"/>
      <c r="BC87" s="55"/>
    </row>
    <row r="88" spans="1:55" s="9" customFormat="1" ht="13.5" customHeight="1">
      <c r="A88" s="60"/>
      <c r="B88" s="145" t="s">
        <v>74</v>
      </c>
      <c r="C88" s="46">
        <v>1004902</v>
      </c>
      <c r="D88" s="55">
        <v>0.39200000000000002</v>
      </c>
      <c r="E88" s="14"/>
      <c r="F88" s="48">
        <v>197244</v>
      </c>
      <c r="G88" s="55">
        <v>0.51300000000000001</v>
      </c>
      <c r="H88" s="46">
        <v>318600</v>
      </c>
      <c r="I88" s="55">
        <v>0.34589999999999999</v>
      </c>
      <c r="J88" s="46">
        <v>19532</v>
      </c>
      <c r="K88" s="55">
        <v>0.54810000000000003</v>
      </c>
      <c r="L88" s="50">
        <v>74845</v>
      </c>
      <c r="M88" s="91">
        <v>0.54500000000000004</v>
      </c>
      <c r="N88" s="46">
        <v>77298</v>
      </c>
      <c r="O88" s="55">
        <f t="shared" si="40"/>
        <v>0.48339058511965305</v>
      </c>
      <c r="P88" s="46">
        <v>45797</v>
      </c>
      <c r="Q88" s="55">
        <v>1.1679999999999999</v>
      </c>
      <c r="R88" s="50">
        <v>26832</v>
      </c>
      <c r="S88" s="91">
        <v>0.77200000000000002</v>
      </c>
      <c r="T88" s="46">
        <v>27812</v>
      </c>
      <c r="U88" s="55">
        <f t="shared" ref="U88:U149" si="42">(T88-T76)/T76</f>
        <v>0.41760538253733626</v>
      </c>
      <c r="V88" s="48">
        <v>458</v>
      </c>
      <c r="W88" s="55">
        <f t="shared" si="14"/>
        <v>0.56849315068493156</v>
      </c>
      <c r="X88" s="53">
        <v>67393</v>
      </c>
      <c r="Y88" s="55">
        <f t="shared" si="41"/>
        <v>0.65259931338891608</v>
      </c>
      <c r="Z88" s="150"/>
      <c r="AA88" s="151"/>
      <c r="AB88" s="46">
        <v>23019</v>
      </c>
      <c r="AC88" s="55">
        <v>0.17399999999999999</v>
      </c>
      <c r="AD88" s="46">
        <v>22000</v>
      </c>
      <c r="AE88" s="55">
        <v>5.7000000000000002E-2</v>
      </c>
      <c r="AF88" s="98">
        <v>2300</v>
      </c>
      <c r="AG88" s="55">
        <f t="shared" si="35"/>
        <v>0.4375</v>
      </c>
      <c r="AH88" s="46">
        <v>8678</v>
      </c>
      <c r="AI88" s="55">
        <f t="shared" si="29"/>
        <v>0.4069390402075227</v>
      </c>
      <c r="AJ88" s="96"/>
      <c r="AK88" s="154"/>
      <c r="AL88" s="48">
        <v>3898</v>
      </c>
      <c r="AM88" s="91">
        <f t="shared" si="34"/>
        <v>0.45828656939768053</v>
      </c>
      <c r="AN88" s="98">
        <v>1952</v>
      </c>
      <c r="AO88" s="55">
        <f t="shared" si="36"/>
        <v>0.33515731874145005</v>
      </c>
      <c r="AP88" s="63"/>
      <c r="AQ88" s="95"/>
      <c r="AR88" s="140">
        <v>0</v>
      </c>
      <c r="AS88" s="117" t="str">
        <f t="shared" si="13"/>
        <v>-</v>
      </c>
      <c r="AT88" s="118"/>
      <c r="AU88" s="141"/>
      <c r="AV88" s="118"/>
      <c r="AW88" s="119"/>
      <c r="AX88" s="98">
        <v>2305</v>
      </c>
      <c r="AY88" s="55">
        <f t="shared" si="37"/>
        <v>0.5234633179114343</v>
      </c>
      <c r="AZ88" s="46">
        <v>1607</v>
      </c>
      <c r="BA88" s="55">
        <f t="shared" si="19"/>
        <v>0.44905320108205582</v>
      </c>
      <c r="BB88" s="98"/>
      <c r="BC88" s="55"/>
    </row>
    <row r="89" spans="1:55" s="9" customFormat="1" ht="13.5" customHeight="1">
      <c r="A89" s="65"/>
      <c r="B89" s="100" t="s">
        <v>69</v>
      </c>
      <c r="C89" s="46">
        <v>1021428</v>
      </c>
      <c r="D89" s="55">
        <v>0.14899999999999999</v>
      </c>
      <c r="E89" s="14"/>
      <c r="F89" s="48">
        <v>202508</v>
      </c>
      <c r="G89" s="67">
        <v>0.13700000000000001</v>
      </c>
      <c r="H89" s="48">
        <v>294800</v>
      </c>
      <c r="I89" s="67">
        <v>9.06E-2</v>
      </c>
      <c r="J89" s="46">
        <v>18365</v>
      </c>
      <c r="K89" s="55">
        <v>0.13900000000000001</v>
      </c>
      <c r="L89" s="50">
        <v>89561</v>
      </c>
      <c r="M89" s="91">
        <v>0.33600000000000002</v>
      </c>
      <c r="N89" s="46">
        <v>81767</v>
      </c>
      <c r="O89" s="55">
        <f t="shared" si="40"/>
        <v>1.8509983682315864E-2</v>
      </c>
      <c r="P89" s="48">
        <v>45529</v>
      </c>
      <c r="Q89" s="67">
        <v>0.99399999999999999</v>
      </c>
      <c r="R89" s="120">
        <v>33775</v>
      </c>
      <c r="S89" s="104">
        <v>0.49</v>
      </c>
      <c r="T89" s="48">
        <v>25250</v>
      </c>
      <c r="U89" s="67">
        <f t="shared" si="42"/>
        <v>0.26067202556293373</v>
      </c>
      <c r="V89" s="101">
        <v>424</v>
      </c>
      <c r="W89" s="55">
        <f t="shared" si="14"/>
        <v>0.81974248927038629</v>
      </c>
      <c r="X89" s="120">
        <v>81225</v>
      </c>
      <c r="Y89" s="67">
        <f t="shared" si="41"/>
        <v>0.43443708609271514</v>
      </c>
      <c r="Z89" s="157"/>
      <c r="AA89" s="158"/>
      <c r="AB89" s="48">
        <v>21544</v>
      </c>
      <c r="AC89" s="67">
        <v>6.0999999999999999E-2</v>
      </c>
      <c r="AD89" s="48">
        <v>21143</v>
      </c>
      <c r="AE89" s="55">
        <f>(AD89-AD77)/AD77</f>
        <v>3.1718147660176645E-2</v>
      </c>
      <c r="AF89" s="113">
        <v>1400</v>
      </c>
      <c r="AG89" s="67">
        <f t="shared" si="35"/>
        <v>7.6923076923076872E-2</v>
      </c>
      <c r="AH89" s="46">
        <v>7464</v>
      </c>
      <c r="AI89" s="67">
        <f t="shared" si="29"/>
        <v>-6.3957863054928524E-2</v>
      </c>
      <c r="AJ89" s="111"/>
      <c r="AK89" s="154"/>
      <c r="AL89" s="101">
        <v>1658</v>
      </c>
      <c r="AM89" s="91">
        <f t="shared" si="34"/>
        <v>0.18175338560228083</v>
      </c>
      <c r="AN89" s="113">
        <v>2109</v>
      </c>
      <c r="AO89" s="67">
        <f t="shared" si="36"/>
        <v>0.87300177619893438</v>
      </c>
      <c r="AP89" s="130"/>
      <c r="AQ89" s="95"/>
      <c r="AR89" s="143">
        <v>0</v>
      </c>
      <c r="AS89" s="117" t="str">
        <f t="shared" si="13"/>
        <v>-</v>
      </c>
      <c r="AT89" s="123"/>
      <c r="AU89" s="144"/>
      <c r="AV89" s="123"/>
      <c r="AW89" s="124"/>
      <c r="AX89" s="113">
        <v>2305</v>
      </c>
      <c r="AY89" s="67">
        <f t="shared" si="37"/>
        <v>0.13101079489695788</v>
      </c>
      <c r="AZ89" s="48">
        <v>1453</v>
      </c>
      <c r="BA89" s="55">
        <f t="shared" si="19"/>
        <v>0.22306397306397296</v>
      </c>
      <c r="BB89" s="113"/>
      <c r="BC89" s="55"/>
    </row>
    <row r="90" spans="1:55" s="9" customFormat="1" ht="13.5" customHeight="1">
      <c r="A90" s="72" t="s">
        <v>75</v>
      </c>
      <c r="B90" s="73" t="s">
        <v>43</v>
      </c>
      <c r="C90" s="76">
        <v>1268007</v>
      </c>
      <c r="D90" s="75">
        <v>0.13400000000000001</v>
      </c>
      <c r="E90" s="14"/>
      <c r="F90" s="76">
        <v>268368</v>
      </c>
      <c r="G90" s="55">
        <f>(F90-F78)/F78</f>
        <v>0.15649442153301185</v>
      </c>
      <c r="H90" s="76">
        <v>323200</v>
      </c>
      <c r="I90" s="55">
        <f>(H90/H78-1)</f>
        <v>2.5380710659898442E-2</v>
      </c>
      <c r="J90" s="76">
        <v>24316</v>
      </c>
      <c r="K90" s="75">
        <v>0.30780000000000002</v>
      </c>
      <c r="L90" s="132">
        <v>102546</v>
      </c>
      <c r="M90" s="79">
        <v>0.249</v>
      </c>
      <c r="N90" s="74">
        <v>116450</v>
      </c>
      <c r="O90" s="75">
        <f t="shared" si="40"/>
        <v>0.26320699455448765</v>
      </c>
      <c r="P90" s="76">
        <v>51794</v>
      </c>
      <c r="Q90" s="55">
        <f t="shared" ref="Q90:Q112" si="43">(P90/P78-1)</f>
        <v>0.20336423410236759</v>
      </c>
      <c r="R90" s="132">
        <v>42127</v>
      </c>
      <c r="S90" s="79">
        <v>0.39</v>
      </c>
      <c r="T90" s="76">
        <v>41070</v>
      </c>
      <c r="U90" s="159">
        <f t="shared" si="42"/>
        <v>4.1539866098600123E-2</v>
      </c>
      <c r="V90" s="76">
        <v>727</v>
      </c>
      <c r="W90" s="75">
        <f>(V90-V78)/V78</f>
        <v>0.23011844331641285</v>
      </c>
      <c r="X90" s="132">
        <v>92249</v>
      </c>
      <c r="Y90" s="55">
        <f t="shared" ref="Y90:Y153" si="44">(X90/X78-1)</f>
        <v>0.28291102272411206</v>
      </c>
      <c r="Z90" s="87">
        <v>198780</v>
      </c>
      <c r="AA90" s="160">
        <f>(SUM(Z78:Z85)/Z90)</f>
        <v>0.95975953315222862</v>
      </c>
      <c r="AB90" s="76">
        <v>27432</v>
      </c>
      <c r="AC90" s="75">
        <v>-7.0000000000000001E-3</v>
      </c>
      <c r="AD90" s="74">
        <v>27995</v>
      </c>
      <c r="AE90" s="75">
        <f t="shared" ref="AE90:AE101" si="45">(AD90/AD78-1)</f>
        <v>-9.0265486725663591E-3</v>
      </c>
      <c r="AF90" s="76">
        <v>6200</v>
      </c>
      <c r="AG90" s="75">
        <f>(AF90/AF78-1)</f>
        <v>6.8965517241379226E-2</v>
      </c>
      <c r="AH90" s="74">
        <v>13131</v>
      </c>
      <c r="AI90" s="55">
        <f t="shared" si="29"/>
        <v>0.30074294205052005</v>
      </c>
      <c r="AJ90" s="87">
        <v>5161</v>
      </c>
      <c r="AK90" s="161">
        <f>(AJ90/AJ78-1)</f>
        <v>2.2276422764227641</v>
      </c>
      <c r="AL90" s="76">
        <v>1154</v>
      </c>
      <c r="AM90" s="79">
        <f t="shared" si="34"/>
        <v>2.3049645390070816E-2</v>
      </c>
      <c r="AN90" s="89">
        <v>2608</v>
      </c>
      <c r="AO90" s="55">
        <f t="shared" si="36"/>
        <v>0.33675038441824712</v>
      </c>
      <c r="AP90" s="56">
        <f>AP209*0.279</f>
        <v>30321.72</v>
      </c>
      <c r="AQ90" s="85">
        <f>(AP90/AP78-1)</f>
        <v>2.6588800666621948E-2</v>
      </c>
      <c r="AR90" s="132">
        <v>0</v>
      </c>
      <c r="AS90" s="126" t="str">
        <f t="shared" si="13"/>
        <v>-</v>
      </c>
      <c r="AT90" s="115">
        <v>407</v>
      </c>
      <c r="AU90" s="149">
        <f>AT90/AT78-1</f>
        <v>1.2362637362637363</v>
      </c>
      <c r="AV90" s="115">
        <v>17859</v>
      </c>
      <c r="AW90" s="116">
        <f>AV90/AV78-1</f>
        <v>0.32494992210104612</v>
      </c>
      <c r="AX90" s="76">
        <v>4254</v>
      </c>
      <c r="AY90" s="55">
        <f>(AX90/AX78-1)</f>
        <v>0.31784386617100369</v>
      </c>
      <c r="AZ90" s="76">
        <v>2720</v>
      </c>
      <c r="BA90" s="75">
        <f t="shared" si="19"/>
        <v>0.20300751879699241</v>
      </c>
      <c r="BB90" s="76"/>
      <c r="BC90" s="75"/>
    </row>
    <row r="91" spans="1:55" s="9" customFormat="1" ht="13.5" customHeight="1">
      <c r="A91" s="60"/>
      <c r="B91" s="45" t="s">
        <v>44</v>
      </c>
      <c r="C91" s="48">
        <v>1091628</v>
      </c>
      <c r="D91" s="55">
        <f t="shared" ref="D91:D125" si="46">(C91-C79)/C79</f>
        <v>0.20209711893915117</v>
      </c>
      <c r="E91" s="14"/>
      <c r="F91" s="48">
        <v>231640</v>
      </c>
      <c r="G91" s="55">
        <f>(F91-F79)/F79</f>
        <v>0.17117663713950573</v>
      </c>
      <c r="H91" s="48">
        <v>320800</v>
      </c>
      <c r="I91" s="55">
        <v>0.13200000000000001</v>
      </c>
      <c r="J91" s="48">
        <v>23190</v>
      </c>
      <c r="K91" s="55">
        <f>(J91/J79-1)</f>
        <v>0.28383989370536455</v>
      </c>
      <c r="L91" s="120">
        <v>90597</v>
      </c>
      <c r="M91" s="91">
        <f>L91/L79-1</f>
        <v>0.24321765262854544</v>
      </c>
      <c r="N91" s="46">
        <v>96958</v>
      </c>
      <c r="O91" s="55">
        <f t="shared" si="40"/>
        <v>0.30866930313541824</v>
      </c>
      <c r="P91" s="48">
        <v>50718</v>
      </c>
      <c r="Q91" s="55">
        <f t="shared" si="43"/>
        <v>0.14528949507722877</v>
      </c>
      <c r="R91" s="120">
        <v>39332</v>
      </c>
      <c r="S91" s="91">
        <f>(R91/R79-1)</f>
        <v>0.42465951898000576</v>
      </c>
      <c r="T91" s="48">
        <v>36810</v>
      </c>
      <c r="U91" s="162">
        <f t="shared" si="42"/>
        <v>0.24408544004326077</v>
      </c>
      <c r="V91" s="48">
        <v>405</v>
      </c>
      <c r="W91" s="55">
        <f t="shared" ref="W91:W124" si="47">(V91-V79)/V79</f>
        <v>-8.1632653061224483E-2</v>
      </c>
      <c r="X91" s="134">
        <v>73619</v>
      </c>
      <c r="Y91" s="55">
        <f t="shared" si="44"/>
        <v>0.45044920797541188</v>
      </c>
      <c r="Z91" s="96"/>
      <c r="AA91" s="163"/>
      <c r="AB91" s="46">
        <v>24731</v>
      </c>
      <c r="AC91" s="55">
        <f t="shared" ref="AC91:AC148" si="48">(AB91/AB79-1)</f>
        <v>0.20275265052037739</v>
      </c>
      <c r="AD91" s="46">
        <v>18144</v>
      </c>
      <c r="AE91" s="55">
        <f t="shared" si="45"/>
        <v>-0.24292748059751312</v>
      </c>
      <c r="AF91" s="46">
        <v>4100</v>
      </c>
      <c r="AG91" s="55">
        <f t="shared" si="35"/>
        <v>0</v>
      </c>
      <c r="AH91" s="46">
        <v>9548</v>
      </c>
      <c r="AI91" s="55">
        <f t="shared" si="29"/>
        <v>0.24810457516339871</v>
      </c>
      <c r="AJ91" s="96"/>
      <c r="AK91" s="154"/>
      <c r="AL91" s="46">
        <v>1147</v>
      </c>
      <c r="AM91" s="91">
        <f t="shared" si="34"/>
        <v>0.48575129533678751</v>
      </c>
      <c r="AN91" s="98">
        <v>1847</v>
      </c>
      <c r="AO91" s="55">
        <f t="shared" si="36"/>
        <v>0.73753527751646275</v>
      </c>
      <c r="AP91" s="63"/>
      <c r="AQ91" s="95"/>
      <c r="AR91" s="50">
        <v>24</v>
      </c>
      <c r="AS91" s="117" t="str">
        <f t="shared" si="13"/>
        <v>-</v>
      </c>
      <c r="AT91" s="118"/>
      <c r="AU91" s="141"/>
      <c r="AV91" s="118"/>
      <c r="AW91" s="119"/>
      <c r="AX91" s="46">
        <v>3209</v>
      </c>
      <c r="AY91" s="55">
        <f t="shared" ref="AY91:AY101" si="49">(AX91/AX79-1)</f>
        <v>0.7151256012827365</v>
      </c>
      <c r="AZ91" s="46">
        <v>1652</v>
      </c>
      <c r="BA91" s="55">
        <f t="shared" si="19"/>
        <v>0.29874213836477992</v>
      </c>
      <c r="BB91" s="46"/>
      <c r="BC91" s="55"/>
    </row>
    <row r="92" spans="1:55" s="9" customFormat="1" ht="13.5" customHeight="1">
      <c r="A92" s="60"/>
      <c r="B92" s="45" t="s">
        <v>45</v>
      </c>
      <c r="C92" s="48">
        <v>868694</v>
      </c>
      <c r="D92" s="55">
        <f t="shared" si="46"/>
        <v>-8.5763298726037565E-2</v>
      </c>
      <c r="E92" s="14"/>
      <c r="F92" s="142">
        <v>89121</v>
      </c>
      <c r="G92" s="55">
        <f>(F92-F80)/F80</f>
        <v>-0.47357571103694734</v>
      </c>
      <c r="H92" s="48">
        <v>308800</v>
      </c>
      <c r="I92" s="55">
        <v>-7.6999999999999999E-2</v>
      </c>
      <c r="J92" s="48">
        <v>19531</v>
      </c>
      <c r="K92" s="55">
        <f>(J92/J80-1)</f>
        <v>4.988442724291775E-2</v>
      </c>
      <c r="L92" s="120">
        <v>66392</v>
      </c>
      <c r="M92" s="91">
        <f>L92/L80-1</f>
        <v>-5.6073703366697036E-2</v>
      </c>
      <c r="N92" s="46">
        <v>75395</v>
      </c>
      <c r="O92" s="55">
        <f t="shared" si="40"/>
        <v>1.1938556230599846E-4</v>
      </c>
      <c r="P92" s="48">
        <v>41462</v>
      </c>
      <c r="Q92" s="55">
        <f t="shared" si="43"/>
        <v>-9.3171777262586963E-2</v>
      </c>
      <c r="R92" s="120">
        <v>24971</v>
      </c>
      <c r="S92" s="91">
        <f>(R92/R80-1)</f>
        <v>-1.0775264429742859E-2</v>
      </c>
      <c r="T92" s="48">
        <v>29619</v>
      </c>
      <c r="U92" s="162">
        <f t="shared" si="42"/>
        <v>-1.6241530490235155E-2</v>
      </c>
      <c r="V92" s="48">
        <v>471</v>
      </c>
      <c r="W92" s="55">
        <f t="shared" si="47"/>
        <v>0.30833333333333335</v>
      </c>
      <c r="X92" s="134">
        <v>62530</v>
      </c>
      <c r="Y92" s="55">
        <f t="shared" si="44"/>
        <v>0.20111409911640421</v>
      </c>
      <c r="Z92" s="96"/>
      <c r="AA92" s="163"/>
      <c r="AB92" s="46">
        <v>22637</v>
      </c>
      <c r="AC92" s="55">
        <f t="shared" si="48"/>
        <v>-5.2982471632301298E-4</v>
      </c>
      <c r="AD92" s="152">
        <v>16505</v>
      </c>
      <c r="AE92" s="55">
        <f t="shared" si="45"/>
        <v>-0.13017127799736494</v>
      </c>
      <c r="AF92" s="46">
        <v>2300</v>
      </c>
      <c r="AG92" s="55">
        <f t="shared" si="35"/>
        <v>-0.42500000000000004</v>
      </c>
      <c r="AH92" s="46">
        <v>11317</v>
      </c>
      <c r="AI92" s="55">
        <f t="shared" si="29"/>
        <v>0.15857903357903358</v>
      </c>
      <c r="AJ92" s="96"/>
      <c r="AK92" s="154"/>
      <c r="AL92" s="46">
        <v>1257</v>
      </c>
      <c r="AM92" s="91">
        <f t="shared" si="34"/>
        <v>-0.12829403606102641</v>
      </c>
      <c r="AN92" s="98">
        <v>2035</v>
      </c>
      <c r="AO92" s="55">
        <f t="shared" si="36"/>
        <v>0.30448717948717952</v>
      </c>
      <c r="AP92" s="63"/>
      <c r="AQ92" s="95"/>
      <c r="AR92" s="50">
        <v>0</v>
      </c>
      <c r="AS92" s="117">
        <f t="shared" si="13"/>
        <v>-1</v>
      </c>
      <c r="AT92" s="118"/>
      <c r="AU92" s="141"/>
      <c r="AV92" s="118"/>
      <c r="AW92" s="119"/>
      <c r="AX92" s="46">
        <v>2305</v>
      </c>
      <c r="AY92" s="55">
        <f t="shared" si="49"/>
        <v>0.14108910891089099</v>
      </c>
      <c r="AZ92" s="46">
        <v>1485</v>
      </c>
      <c r="BA92" s="55">
        <f t="shared" si="19"/>
        <v>0.12075471698113205</v>
      </c>
      <c r="BB92" s="46"/>
      <c r="BC92" s="55"/>
    </row>
    <row r="93" spans="1:55" s="9" customFormat="1" ht="13.5" customHeight="1">
      <c r="A93" s="60"/>
      <c r="B93" s="45" t="s">
        <v>46</v>
      </c>
      <c r="C93" s="48">
        <v>867487</v>
      </c>
      <c r="D93" s="55">
        <f t="shared" si="46"/>
        <v>-7.310258317092351E-2</v>
      </c>
      <c r="E93" s="14"/>
      <c r="F93" s="48">
        <v>63790</v>
      </c>
      <c r="G93" s="55">
        <f>(F93-F81)/F81</f>
        <v>-0.66352290829298144</v>
      </c>
      <c r="H93" s="48">
        <v>348800</v>
      </c>
      <c r="I93" s="55">
        <f>(H93/H81-1)</f>
        <v>3.6552748885587016E-2</v>
      </c>
      <c r="J93" s="48">
        <v>18656</v>
      </c>
      <c r="K93" s="55">
        <f>(J93/J81-1)</f>
        <v>0.18158211413009062</v>
      </c>
      <c r="L93" s="120">
        <v>74392</v>
      </c>
      <c r="M93" s="91">
        <f>L93/L81-1</f>
        <v>0.13817108061382166</v>
      </c>
      <c r="N93" s="46">
        <v>69858</v>
      </c>
      <c r="O93" s="55">
        <f t="shared" si="40"/>
        <v>0.34598562648118536</v>
      </c>
      <c r="P93" s="48">
        <v>43817</v>
      </c>
      <c r="Q93" s="55">
        <f t="shared" si="43"/>
        <v>1.5410641453466711E-2</v>
      </c>
      <c r="R93" s="120">
        <v>25865</v>
      </c>
      <c r="S93" s="91">
        <f>(R93/R81-1)</f>
        <v>2.3626721545037199E-2</v>
      </c>
      <c r="T93" s="48">
        <v>28004</v>
      </c>
      <c r="U93" s="162">
        <f t="shared" si="42"/>
        <v>0.13046988535443244</v>
      </c>
      <c r="V93" s="164">
        <v>315</v>
      </c>
      <c r="W93" s="55">
        <f t="shared" si="47"/>
        <v>0.28048780487804881</v>
      </c>
      <c r="X93" s="134">
        <v>57620</v>
      </c>
      <c r="Y93" s="55">
        <f t="shared" si="44"/>
        <v>0.1972240691489362</v>
      </c>
      <c r="Z93" s="96"/>
      <c r="AA93" s="163"/>
      <c r="AB93" s="48">
        <v>22239</v>
      </c>
      <c r="AC93" s="55">
        <f t="shared" si="48"/>
        <v>0.10923238066736496</v>
      </c>
      <c r="AD93" s="46">
        <v>15795</v>
      </c>
      <c r="AE93" s="55">
        <f t="shared" si="45"/>
        <v>-0.21182634730538918</v>
      </c>
      <c r="AF93" s="120">
        <v>1600</v>
      </c>
      <c r="AG93" s="55">
        <f t="shared" si="35"/>
        <v>-0.62790697674418605</v>
      </c>
      <c r="AH93" s="46">
        <v>13025</v>
      </c>
      <c r="AI93" s="55">
        <f t="shared" si="29"/>
        <v>6.9024950755088646E-2</v>
      </c>
      <c r="AJ93" s="96">
        <f>16200-AJ90</f>
        <v>11039</v>
      </c>
      <c r="AK93" s="99">
        <f>(AJ93/AJ81-1)</f>
        <v>-0.18356630426743581</v>
      </c>
      <c r="AL93" s="48">
        <v>1863</v>
      </c>
      <c r="AM93" s="91">
        <f t="shared" si="34"/>
        <v>-0.15086599817684598</v>
      </c>
      <c r="AN93" s="98">
        <v>1213</v>
      </c>
      <c r="AO93" s="55">
        <f t="shared" si="36"/>
        <v>3.2340425531914851E-2</v>
      </c>
      <c r="AP93" s="63">
        <f>AP209*0.233</f>
        <v>25322.440000000002</v>
      </c>
      <c r="AQ93" s="99">
        <f>(AP93/AP81-1)</f>
        <v>0.18265671213509305</v>
      </c>
      <c r="AR93" s="120">
        <v>26</v>
      </c>
      <c r="AS93" s="117" t="str">
        <f t="shared" si="13"/>
        <v>-</v>
      </c>
      <c r="AT93" s="118"/>
      <c r="AU93" s="141"/>
      <c r="AV93" s="118"/>
      <c r="AW93" s="119"/>
      <c r="AX93" s="120">
        <v>2198</v>
      </c>
      <c r="AY93" s="55">
        <f t="shared" si="49"/>
        <v>0.12028542303771661</v>
      </c>
      <c r="AZ93" s="48">
        <v>1310</v>
      </c>
      <c r="BA93" s="55">
        <f t="shared" si="19"/>
        <v>3.7212984956452866E-2</v>
      </c>
      <c r="BB93" s="48"/>
      <c r="BC93" s="55"/>
    </row>
    <row r="94" spans="1:55" s="9" customFormat="1" ht="13.5" customHeight="1">
      <c r="A94" s="60"/>
      <c r="B94" s="45" t="s">
        <v>47</v>
      </c>
      <c r="C94" s="48">
        <v>1014409</v>
      </c>
      <c r="D94" s="55">
        <f t="shared" si="46"/>
        <v>-9.1872066730805859E-3</v>
      </c>
      <c r="E94" s="14"/>
      <c r="F94" s="48">
        <v>84014</v>
      </c>
      <c r="G94" s="55">
        <v>-0.58299999999999996</v>
      </c>
      <c r="H94" s="48">
        <v>384900</v>
      </c>
      <c r="I94" s="55">
        <f t="shared" ref="I94:I149" si="50">(H94-H82)/H82</f>
        <v>9.5956719817767655E-2</v>
      </c>
      <c r="J94" s="48">
        <v>20413</v>
      </c>
      <c r="K94" s="55">
        <v>5.8000000000000003E-2</v>
      </c>
      <c r="L94" s="120">
        <v>83827</v>
      </c>
      <c r="M94" s="91">
        <f t="shared" ref="M94:M125" si="51">(L94-L82)/L82</f>
        <v>0.18812540748929898</v>
      </c>
      <c r="N94" s="46">
        <v>79706</v>
      </c>
      <c r="O94" s="55">
        <f t="shared" si="40"/>
        <v>0.79328188629153829</v>
      </c>
      <c r="P94" s="48">
        <v>38488</v>
      </c>
      <c r="Q94" s="55">
        <f t="shared" si="43"/>
        <v>-5.4720502996365106E-2</v>
      </c>
      <c r="R94" s="120">
        <v>31975</v>
      </c>
      <c r="S94" s="91">
        <f t="shared" ref="S94:S126" si="52">(R94-R82)/R82</f>
        <v>0.26178919537508388</v>
      </c>
      <c r="T94" s="48">
        <v>33736</v>
      </c>
      <c r="U94" s="162">
        <f t="shared" si="42"/>
        <v>4.9233353030821388E-2</v>
      </c>
      <c r="V94" s="48">
        <v>328</v>
      </c>
      <c r="W94" s="55">
        <f t="shared" si="47"/>
        <v>0.32793522267206476</v>
      </c>
      <c r="X94" s="134">
        <v>67289</v>
      </c>
      <c r="Y94" s="55">
        <f t="shared" si="44"/>
        <v>0.1895661704911078</v>
      </c>
      <c r="Z94" s="96"/>
      <c r="AA94" s="163"/>
      <c r="AB94" s="48">
        <v>24317</v>
      </c>
      <c r="AC94" s="55">
        <f t="shared" si="48"/>
        <v>1.1480387671061854E-2</v>
      </c>
      <c r="AD94" s="46">
        <v>19599</v>
      </c>
      <c r="AE94" s="55">
        <f t="shared" si="45"/>
        <v>-2.2347483413977187E-2</v>
      </c>
      <c r="AF94" s="120">
        <v>2300</v>
      </c>
      <c r="AG94" s="55">
        <f t="shared" si="35"/>
        <v>-0.1785714285714286</v>
      </c>
      <c r="AH94" s="46">
        <v>15305</v>
      </c>
      <c r="AI94" s="55">
        <f t="shared" si="29"/>
        <v>0.24228896103896103</v>
      </c>
      <c r="AJ94" s="96"/>
      <c r="AK94" s="99"/>
      <c r="AL94" s="48">
        <v>3031</v>
      </c>
      <c r="AM94" s="91">
        <f t="shared" si="34"/>
        <v>-0.38668555240793201</v>
      </c>
      <c r="AN94" s="98">
        <v>1551</v>
      </c>
      <c r="AO94" s="55">
        <f t="shared" si="36"/>
        <v>0.1346013167520117</v>
      </c>
      <c r="AP94" s="63"/>
      <c r="AQ94" s="99"/>
      <c r="AR94" s="120">
        <v>58</v>
      </c>
      <c r="AS94" s="117" t="str">
        <f t="shared" si="13"/>
        <v>-</v>
      </c>
      <c r="AT94" s="118"/>
      <c r="AU94" s="141"/>
      <c r="AV94" s="118"/>
      <c r="AW94" s="119"/>
      <c r="AX94" s="120">
        <v>2024</v>
      </c>
      <c r="AY94" s="55">
        <f t="shared" si="49"/>
        <v>0.25325077399380813</v>
      </c>
      <c r="AZ94" s="48">
        <v>821</v>
      </c>
      <c r="BA94" s="55">
        <f t="shared" si="19"/>
        <v>0.94089834515366433</v>
      </c>
      <c r="BB94" s="48"/>
      <c r="BC94" s="55"/>
    </row>
    <row r="95" spans="1:55" s="9" customFormat="1" ht="13.5" customHeight="1">
      <c r="A95" s="60"/>
      <c r="B95" s="45" t="s">
        <v>49</v>
      </c>
      <c r="C95" s="48">
        <v>1053658</v>
      </c>
      <c r="D95" s="55">
        <f t="shared" si="46"/>
        <v>5.619603908191384E-2</v>
      </c>
      <c r="E95" s="14"/>
      <c r="F95" s="48">
        <v>103817</v>
      </c>
      <c r="G95" s="55">
        <f t="shared" ref="G95:G125" si="53">(F95-F83)/F83</f>
        <v>-0.42030175109443402</v>
      </c>
      <c r="H95" s="48">
        <v>377900</v>
      </c>
      <c r="I95" s="55">
        <f t="shared" si="50"/>
        <v>0.10821114369501467</v>
      </c>
      <c r="J95" s="48">
        <v>20161</v>
      </c>
      <c r="K95" s="55">
        <f t="shared" ref="K95:K126" si="54">(J95-J83)/J83</f>
        <v>0.18433883569288609</v>
      </c>
      <c r="L95" s="120">
        <v>79869</v>
      </c>
      <c r="M95" s="91">
        <f t="shared" si="51"/>
        <v>0.3732161892644682</v>
      </c>
      <c r="N95" s="46">
        <v>76993</v>
      </c>
      <c r="O95" s="55">
        <f t="shared" si="40"/>
        <v>0.73197012642281911</v>
      </c>
      <c r="P95" s="48">
        <v>39407</v>
      </c>
      <c r="Q95" s="55">
        <f t="shared" si="43"/>
        <v>0.11168472128187767</v>
      </c>
      <c r="R95" s="120">
        <v>31114</v>
      </c>
      <c r="S95" s="91">
        <f t="shared" si="52"/>
        <v>0.45855990999437463</v>
      </c>
      <c r="T95" s="48">
        <v>34233</v>
      </c>
      <c r="U95" s="162">
        <f t="shared" si="42"/>
        <v>0.14018784972022383</v>
      </c>
      <c r="V95" s="164">
        <v>369</v>
      </c>
      <c r="W95" s="55">
        <f t="shared" si="47"/>
        <v>0.21782178217821782</v>
      </c>
      <c r="X95" s="134">
        <v>76262</v>
      </c>
      <c r="Y95" s="55">
        <f t="shared" si="44"/>
        <v>0.40702201066400989</v>
      </c>
      <c r="Z95" s="96"/>
      <c r="AA95" s="163"/>
      <c r="AB95" s="48">
        <v>25475</v>
      </c>
      <c r="AC95" s="55">
        <f t="shared" si="48"/>
        <v>5.8547328180835967E-2</v>
      </c>
      <c r="AD95" s="46">
        <v>19086</v>
      </c>
      <c r="AE95" s="55">
        <f t="shared" si="45"/>
        <v>-3.5476046088538493E-2</v>
      </c>
      <c r="AF95" s="120">
        <v>2100</v>
      </c>
      <c r="AG95" s="55">
        <f t="shared" si="35"/>
        <v>-0.30000000000000004</v>
      </c>
      <c r="AH95" s="46">
        <v>13678</v>
      </c>
      <c r="AI95" s="55">
        <f t="shared" si="29"/>
        <v>0.34163805787150564</v>
      </c>
      <c r="AJ95" s="96"/>
      <c r="AK95" s="99"/>
      <c r="AL95" s="48">
        <v>1869</v>
      </c>
      <c r="AM95" s="91">
        <f t="shared" si="34"/>
        <v>0.23203691496374423</v>
      </c>
      <c r="AN95" s="98">
        <v>1759</v>
      </c>
      <c r="AO95" s="55">
        <f t="shared" si="36"/>
        <v>0.27556200145032639</v>
      </c>
      <c r="AP95" s="63"/>
      <c r="AQ95" s="99"/>
      <c r="AR95" s="120">
        <v>0</v>
      </c>
      <c r="AS95" s="117" t="str">
        <f t="shared" ref="AS95:AS158" si="55">IFERROR(AR95/AR83-1,"-")</f>
        <v>-</v>
      </c>
      <c r="AT95" s="118"/>
      <c r="AU95" s="141"/>
      <c r="AV95" s="118"/>
      <c r="AW95" s="119"/>
      <c r="AX95" s="120">
        <v>2585</v>
      </c>
      <c r="AY95" s="55">
        <f t="shared" si="49"/>
        <v>0.35198744769874479</v>
      </c>
      <c r="AZ95" s="48">
        <v>678</v>
      </c>
      <c r="BA95" s="55">
        <f t="shared" si="19"/>
        <v>0.3587174348697395</v>
      </c>
      <c r="BB95" s="48"/>
      <c r="BC95" s="55"/>
    </row>
    <row r="96" spans="1:55" s="9" customFormat="1" ht="13.5" customHeight="1">
      <c r="A96" s="60"/>
      <c r="B96" s="45" t="s">
        <v>50</v>
      </c>
      <c r="C96" s="48">
        <v>1241629</v>
      </c>
      <c r="D96" s="55">
        <f t="shared" si="46"/>
        <v>1.4632396383822155E-2</v>
      </c>
      <c r="E96" s="14"/>
      <c r="F96" s="48">
        <v>140053</v>
      </c>
      <c r="G96" s="55">
        <f t="shared" si="53"/>
        <v>-0.40678633752943766</v>
      </c>
      <c r="H96" s="48">
        <v>395400</v>
      </c>
      <c r="I96" s="55">
        <f t="shared" si="50"/>
        <v>2.1441487987600105E-2</v>
      </c>
      <c r="J96" s="48">
        <v>17752</v>
      </c>
      <c r="K96" s="55">
        <f t="shared" si="54"/>
        <v>3.3775914279058933E-2</v>
      </c>
      <c r="L96" s="120">
        <v>89604</v>
      </c>
      <c r="M96" s="91">
        <f t="shared" si="51"/>
        <v>0.17882937995816395</v>
      </c>
      <c r="N96" s="46">
        <v>95806</v>
      </c>
      <c r="O96" s="55">
        <f t="shared" si="40"/>
        <v>0.51318823640900901</v>
      </c>
      <c r="P96" s="48">
        <v>38948</v>
      </c>
      <c r="Q96" s="55">
        <f t="shared" si="43"/>
        <v>5.7593613381486497E-2</v>
      </c>
      <c r="R96" s="120">
        <v>35337</v>
      </c>
      <c r="S96" s="91">
        <f t="shared" si="52"/>
        <v>0.23599160545645331</v>
      </c>
      <c r="T96" s="48">
        <v>40587</v>
      </c>
      <c r="U96" s="162">
        <f t="shared" si="42"/>
        <v>0.24252257768253482</v>
      </c>
      <c r="V96" s="48">
        <v>707</v>
      </c>
      <c r="W96" s="55">
        <f t="shared" si="47"/>
        <v>0.59593679458239279</v>
      </c>
      <c r="X96" s="134">
        <v>93899</v>
      </c>
      <c r="Y96" s="55">
        <f t="shared" si="44"/>
        <v>0.29104508393944806</v>
      </c>
      <c r="Z96" s="96"/>
      <c r="AA96" s="163"/>
      <c r="AB96" s="48">
        <v>28607</v>
      </c>
      <c r="AC96" s="55">
        <f t="shared" si="48"/>
        <v>6.1051147954452656E-2</v>
      </c>
      <c r="AD96" s="46">
        <v>29200</v>
      </c>
      <c r="AE96" s="55">
        <f t="shared" si="45"/>
        <v>-4.2622950819672156E-2</v>
      </c>
      <c r="AF96" s="48">
        <v>2500</v>
      </c>
      <c r="AG96" s="55">
        <f t="shared" si="35"/>
        <v>-0.19354838709677424</v>
      </c>
      <c r="AH96" s="46">
        <v>15702</v>
      </c>
      <c r="AI96" s="55">
        <f t="shared" si="29"/>
        <v>0.28179591836734696</v>
      </c>
      <c r="AJ96" s="96">
        <f>38183-AJ93-AJ90</f>
        <v>21983</v>
      </c>
      <c r="AK96" s="154">
        <f>(AJ96/AJ84-1)</f>
        <v>1.5006002400960394E-2</v>
      </c>
      <c r="AL96" s="48">
        <v>1204</v>
      </c>
      <c r="AM96" s="91">
        <f t="shared" si="34"/>
        <v>0.24251805985552122</v>
      </c>
      <c r="AN96" s="98">
        <v>1973</v>
      </c>
      <c r="AO96" s="55">
        <f t="shared" si="36"/>
        <v>0.15110851808634762</v>
      </c>
      <c r="AP96" s="63">
        <f>AP209*0.226</f>
        <v>24561.68</v>
      </c>
      <c r="AQ96" s="95">
        <f>(AP96/AP84-1)</f>
        <v>2.373020185570085E-2</v>
      </c>
      <c r="AR96" s="120">
        <v>70</v>
      </c>
      <c r="AS96" s="117">
        <f t="shared" si="55"/>
        <v>3.375</v>
      </c>
      <c r="AT96" s="118"/>
      <c r="AU96" s="141"/>
      <c r="AV96" s="118"/>
      <c r="AW96" s="119"/>
      <c r="AX96" s="48">
        <v>3541</v>
      </c>
      <c r="AY96" s="55">
        <f t="shared" si="49"/>
        <v>0.25478384124734221</v>
      </c>
      <c r="AZ96" s="48">
        <v>1588</v>
      </c>
      <c r="BA96" s="55">
        <f t="shared" si="19"/>
        <v>0.23868954758190331</v>
      </c>
      <c r="BB96" s="48"/>
      <c r="BC96" s="55"/>
    </row>
    <row r="97" spans="1:55" s="9" customFormat="1" ht="13.5" customHeight="1">
      <c r="A97" s="60"/>
      <c r="B97" s="45" t="s">
        <v>51</v>
      </c>
      <c r="C97" s="48">
        <v>1247222</v>
      </c>
      <c r="D97" s="55">
        <f t="shared" si="46"/>
        <v>9.2899650574310814E-3</v>
      </c>
      <c r="E97" s="14"/>
      <c r="F97" s="48">
        <v>147030</v>
      </c>
      <c r="G97" s="55">
        <f t="shared" si="53"/>
        <v>-0.40445232945293702</v>
      </c>
      <c r="H97" s="48">
        <v>420300</v>
      </c>
      <c r="I97" s="55">
        <f t="shared" si="50"/>
        <v>9.6084554407878942E-3</v>
      </c>
      <c r="J97" s="48">
        <v>21348</v>
      </c>
      <c r="K97" s="55">
        <f t="shared" si="54"/>
        <v>7.0934082472158128E-2</v>
      </c>
      <c r="L97" s="120">
        <v>104831</v>
      </c>
      <c r="M97" s="91">
        <f t="shared" si="51"/>
        <v>0.16361234751529011</v>
      </c>
      <c r="N97" s="48">
        <v>112238</v>
      </c>
      <c r="O97" s="55">
        <f t="shared" si="40"/>
        <v>0.60942384352863577</v>
      </c>
      <c r="P97" s="48">
        <v>52072</v>
      </c>
      <c r="Q97" s="55">
        <f t="shared" si="43"/>
        <v>0.23020223020223018</v>
      </c>
      <c r="R97" s="120">
        <v>45132</v>
      </c>
      <c r="S97" s="91">
        <f t="shared" si="52"/>
        <v>0.25119902414682155</v>
      </c>
      <c r="T97" s="48">
        <v>44364</v>
      </c>
      <c r="U97" s="162">
        <f t="shared" si="42"/>
        <v>0.29836986742368815</v>
      </c>
      <c r="V97" s="164">
        <v>462</v>
      </c>
      <c r="W97" s="55">
        <f t="shared" si="47"/>
        <v>1.3157894736842105E-2</v>
      </c>
      <c r="X97" s="134">
        <v>91750</v>
      </c>
      <c r="Y97" s="55">
        <f t="shared" si="44"/>
        <v>0.34833276999720786</v>
      </c>
      <c r="Z97" s="155">
        <v>28765</v>
      </c>
      <c r="AA97" s="94"/>
      <c r="AB97" s="48">
        <v>26461</v>
      </c>
      <c r="AC97" s="55">
        <f t="shared" si="48"/>
        <v>-2.9167889638978539E-2</v>
      </c>
      <c r="AD97" s="46">
        <v>29048</v>
      </c>
      <c r="AE97" s="55">
        <f t="shared" si="45"/>
        <v>7.1565589493876258E-2</v>
      </c>
      <c r="AF97" s="48">
        <v>2200</v>
      </c>
      <c r="AG97" s="55">
        <f t="shared" si="35"/>
        <v>0.15789473684210531</v>
      </c>
      <c r="AH97" s="46">
        <v>14420</v>
      </c>
      <c r="AI97" s="55">
        <f t="shared" si="29"/>
        <v>0.28154994667614647</v>
      </c>
      <c r="AJ97" s="96"/>
      <c r="AK97" s="154"/>
      <c r="AL97" s="48">
        <v>1051</v>
      </c>
      <c r="AM97" s="91">
        <f t="shared" si="34"/>
        <v>0.11452810180275708</v>
      </c>
      <c r="AN97" s="98">
        <v>1827</v>
      </c>
      <c r="AO97" s="55">
        <f t="shared" si="36"/>
        <v>5.9744779582366681E-2</v>
      </c>
      <c r="AP97" s="63"/>
      <c r="AQ97" s="95"/>
      <c r="AR97" s="120">
        <v>87</v>
      </c>
      <c r="AS97" s="117" t="str">
        <f t="shared" si="55"/>
        <v>-</v>
      </c>
      <c r="AT97" s="118"/>
      <c r="AU97" s="141"/>
      <c r="AV97" s="118"/>
      <c r="AW97" s="119"/>
      <c r="AX97" s="48">
        <v>3418</v>
      </c>
      <c r="AY97" s="55">
        <f t="shared" si="49"/>
        <v>0.16456558773424201</v>
      </c>
      <c r="AZ97" s="48">
        <v>1208</v>
      </c>
      <c r="BA97" s="55">
        <f t="shared" si="19"/>
        <v>-0.10716925351071693</v>
      </c>
      <c r="BB97" s="48"/>
      <c r="BC97" s="55"/>
    </row>
    <row r="98" spans="1:55" s="9" customFormat="1" ht="13.5" customHeight="1">
      <c r="A98" s="60"/>
      <c r="B98" s="45" t="s">
        <v>52</v>
      </c>
      <c r="C98" s="48">
        <v>1013507</v>
      </c>
      <c r="D98" s="55">
        <f t="shared" si="46"/>
        <v>3.7902604126053798E-4</v>
      </c>
      <c r="E98" s="14"/>
      <c r="F98" s="48">
        <v>122436</v>
      </c>
      <c r="G98" s="55">
        <f t="shared" si="53"/>
        <v>-0.36880525840958889</v>
      </c>
      <c r="H98" s="48">
        <v>336100</v>
      </c>
      <c r="I98" s="55">
        <f t="shared" si="50"/>
        <v>3.4472145275469372E-2</v>
      </c>
      <c r="J98" s="48">
        <v>17996</v>
      </c>
      <c r="K98" s="55">
        <f t="shared" si="54"/>
        <v>2.3951428730574278E-3</v>
      </c>
      <c r="L98" s="120">
        <v>72652</v>
      </c>
      <c r="M98" s="91">
        <f t="shared" si="51"/>
        <v>-2.660843002224068E-2</v>
      </c>
      <c r="N98" s="48">
        <v>74198</v>
      </c>
      <c r="O98" s="55">
        <f t="shared" si="40"/>
        <v>0.25444647325353353</v>
      </c>
      <c r="P98" s="48">
        <v>23449</v>
      </c>
      <c r="Q98" s="55">
        <f t="shared" si="43"/>
        <v>-0.30749239538111695</v>
      </c>
      <c r="R98" s="120">
        <v>26677</v>
      </c>
      <c r="S98" s="91">
        <f t="shared" si="52"/>
        <v>-9.4927905004240878E-2</v>
      </c>
      <c r="T98" s="48">
        <v>30112</v>
      </c>
      <c r="U98" s="162">
        <f t="shared" si="42"/>
        <v>0.17400288510273304</v>
      </c>
      <c r="V98" s="164">
        <v>281</v>
      </c>
      <c r="W98" s="55">
        <f t="shared" si="47"/>
        <v>0.20600858369098712</v>
      </c>
      <c r="X98" s="134">
        <v>71683</v>
      </c>
      <c r="Y98" s="55">
        <f t="shared" si="44"/>
        <v>0.24410774410774416</v>
      </c>
      <c r="Z98" s="155">
        <v>19836</v>
      </c>
      <c r="AA98" s="156">
        <f>Z98/Z86-1</f>
        <v>0.1927124045457278</v>
      </c>
      <c r="AB98" s="48">
        <v>21590</v>
      </c>
      <c r="AC98" s="55">
        <f t="shared" si="48"/>
        <v>0.13901345291479816</v>
      </c>
      <c r="AD98" s="46">
        <v>18150</v>
      </c>
      <c r="AE98" s="55">
        <f t="shared" si="45"/>
        <v>4.961832061068705E-2</v>
      </c>
      <c r="AF98" s="48">
        <v>2300</v>
      </c>
      <c r="AG98" s="55">
        <f t="shared" si="35"/>
        <v>-4.166666666666663E-2</v>
      </c>
      <c r="AH98" s="46">
        <v>12891</v>
      </c>
      <c r="AI98" s="55">
        <f t="shared" si="29"/>
        <v>0.27975776829147225</v>
      </c>
      <c r="AJ98" s="96"/>
      <c r="AK98" s="154"/>
      <c r="AL98" s="48">
        <v>1893</v>
      </c>
      <c r="AM98" s="91">
        <f t="shared" si="34"/>
        <v>0.52292839903459365</v>
      </c>
      <c r="AN98" s="98">
        <v>1487</v>
      </c>
      <c r="AO98" s="55">
        <f t="shared" si="36"/>
        <v>0.16081186572989847</v>
      </c>
      <c r="AP98" s="63"/>
      <c r="AQ98" s="95"/>
      <c r="AR98" s="120">
        <v>25</v>
      </c>
      <c r="AS98" s="117">
        <f t="shared" si="55"/>
        <v>-0.67532467532467533</v>
      </c>
      <c r="AT98" s="118"/>
      <c r="AU98" s="141"/>
      <c r="AV98" s="118"/>
      <c r="AW98" s="119"/>
      <c r="AX98" s="48">
        <v>2341</v>
      </c>
      <c r="AY98" s="55">
        <f t="shared" si="49"/>
        <v>7.4346030289123455E-2</v>
      </c>
      <c r="AZ98" s="48">
        <v>707</v>
      </c>
      <c r="BA98" s="55">
        <f t="shared" si="19"/>
        <v>-0.29370629370629375</v>
      </c>
      <c r="BB98" s="48"/>
      <c r="BC98" s="55"/>
    </row>
    <row r="99" spans="1:55" s="9" customFormat="1" ht="13.5" customHeight="1">
      <c r="A99" s="60"/>
      <c r="B99" s="45" t="s">
        <v>53</v>
      </c>
      <c r="C99" s="48">
        <v>1032589</v>
      </c>
      <c r="D99" s="55">
        <f t="shared" si="46"/>
        <v>-2.178136969119376E-2</v>
      </c>
      <c r="E99" s="14"/>
      <c r="F99" s="48">
        <v>132259</v>
      </c>
      <c r="G99" s="55">
        <f t="shared" si="53"/>
        <v>-0.31765112547657987</v>
      </c>
      <c r="H99" s="48">
        <v>368300</v>
      </c>
      <c r="I99" s="55">
        <f t="shared" si="50"/>
        <v>-1.2335746849021185E-2</v>
      </c>
      <c r="J99" s="48">
        <v>17859</v>
      </c>
      <c r="K99" s="55">
        <f t="shared" si="54"/>
        <v>4.4202771443606383E-2</v>
      </c>
      <c r="L99" s="120">
        <v>76859</v>
      </c>
      <c r="M99" s="91">
        <f t="shared" si="51"/>
        <v>0.15636566063852195</v>
      </c>
      <c r="N99" s="48">
        <v>74602</v>
      </c>
      <c r="O99" s="55">
        <f t="shared" si="40"/>
        <v>4.0227561108244908E-2</v>
      </c>
      <c r="P99" s="48">
        <v>47888</v>
      </c>
      <c r="Q99" s="55">
        <f t="shared" si="43"/>
        <v>0.22172615251167183</v>
      </c>
      <c r="R99" s="120">
        <v>27391</v>
      </c>
      <c r="S99" s="91">
        <f t="shared" si="52"/>
        <v>0.24896265560165975</v>
      </c>
      <c r="T99" s="48">
        <v>33594</v>
      </c>
      <c r="U99" s="162">
        <f t="shared" si="42"/>
        <v>0.15869347773600526</v>
      </c>
      <c r="V99" s="48">
        <v>547</v>
      </c>
      <c r="W99" s="55">
        <f t="shared" si="47"/>
        <v>1.4419642857142858</v>
      </c>
      <c r="X99" s="134">
        <v>69962</v>
      </c>
      <c r="Y99" s="55">
        <f t="shared" si="44"/>
        <v>0.16620826457301918</v>
      </c>
      <c r="Z99" s="155">
        <v>26237</v>
      </c>
      <c r="AA99" s="151">
        <f>(SUM(Z99:Z101)/Z87-1)</f>
        <v>0.15966703123101222</v>
      </c>
      <c r="AB99" s="48">
        <v>25507</v>
      </c>
      <c r="AC99" s="55">
        <f t="shared" si="48"/>
        <v>1.9464428457234284E-2</v>
      </c>
      <c r="AD99" s="46">
        <v>20263</v>
      </c>
      <c r="AE99" s="55">
        <f t="shared" si="45"/>
        <v>0.35601954092217092</v>
      </c>
      <c r="AF99" s="48">
        <v>2300</v>
      </c>
      <c r="AG99" s="55">
        <f t="shared" si="35"/>
        <v>-0.28125</v>
      </c>
      <c r="AH99" s="46">
        <v>13845</v>
      </c>
      <c r="AI99" s="55">
        <f t="shared" si="29"/>
        <v>0.21596697698928508</v>
      </c>
      <c r="AJ99" s="96">
        <f>43994-AJ96-AJ93-AJ90</f>
        <v>5811</v>
      </c>
      <c r="AK99" s="154">
        <f>(AJ99/AJ87-1)</f>
        <v>6.565193471483588E-2</v>
      </c>
      <c r="AL99" s="48">
        <v>4451</v>
      </c>
      <c r="AM99" s="91">
        <f t="shared" si="34"/>
        <v>8.508044856167718E-2</v>
      </c>
      <c r="AN99" s="98">
        <v>1718</v>
      </c>
      <c r="AO99" s="55">
        <f t="shared" si="36"/>
        <v>3.8066465256797688E-2</v>
      </c>
      <c r="AP99" s="63">
        <f>AP209*0.262</f>
        <v>28474.16</v>
      </c>
      <c r="AQ99" s="95">
        <f>(AP99/AP87-1)</f>
        <v>0.37910819269162976</v>
      </c>
      <c r="AR99" s="120">
        <v>0</v>
      </c>
      <c r="AS99" s="117" t="str">
        <f t="shared" si="55"/>
        <v>-</v>
      </c>
      <c r="AT99" s="118"/>
      <c r="AU99" s="141"/>
      <c r="AV99" s="118"/>
      <c r="AW99" s="119"/>
      <c r="AX99" s="48">
        <v>2751</v>
      </c>
      <c r="AY99" s="55">
        <f t="shared" si="49"/>
        <v>0.27479147358665434</v>
      </c>
      <c r="AZ99" s="48">
        <v>1827</v>
      </c>
      <c r="BA99" s="55">
        <f t="shared" si="19"/>
        <v>0.2939093484419264</v>
      </c>
      <c r="BB99" s="48"/>
      <c r="BC99" s="55"/>
    </row>
    <row r="100" spans="1:55" s="9" customFormat="1" ht="13.5" customHeight="1">
      <c r="A100" s="60"/>
      <c r="B100" s="45" t="s">
        <v>54</v>
      </c>
      <c r="C100" s="48">
        <v>974255</v>
      </c>
      <c r="D100" s="55">
        <f t="shared" si="46"/>
        <v>-3.0497501248878001E-2</v>
      </c>
      <c r="E100" s="14"/>
      <c r="F100" s="48">
        <v>134009</v>
      </c>
      <c r="G100" s="55">
        <f t="shared" si="53"/>
        <v>-0.32059276834783312</v>
      </c>
      <c r="H100" s="48">
        <v>307500</v>
      </c>
      <c r="I100" s="55">
        <f t="shared" si="50"/>
        <v>-3.4839924670433148E-2</v>
      </c>
      <c r="J100" s="48">
        <v>20878</v>
      </c>
      <c r="K100" s="55">
        <f t="shared" si="54"/>
        <v>6.8912553757935702E-2</v>
      </c>
      <c r="L100" s="120">
        <v>81146</v>
      </c>
      <c r="M100" s="91">
        <f t="shared" si="51"/>
        <v>8.4187320462288731E-2</v>
      </c>
      <c r="N100" s="48">
        <v>61784</v>
      </c>
      <c r="O100" s="55">
        <f t="shared" si="40"/>
        <v>-0.20070376982586871</v>
      </c>
      <c r="P100" s="48">
        <v>54729</v>
      </c>
      <c r="Q100" s="55">
        <f t="shared" si="43"/>
        <v>0.19503460925388127</v>
      </c>
      <c r="R100" s="120">
        <v>30381</v>
      </c>
      <c r="S100" s="91">
        <f t="shared" si="52"/>
        <v>0.13226744186046513</v>
      </c>
      <c r="T100" s="48">
        <v>33145</v>
      </c>
      <c r="U100" s="162">
        <f t="shared" si="42"/>
        <v>0.19175176182942616</v>
      </c>
      <c r="V100" s="48">
        <v>473</v>
      </c>
      <c r="W100" s="55">
        <f t="shared" si="47"/>
        <v>3.2751091703056769E-2</v>
      </c>
      <c r="X100" s="134">
        <v>82248</v>
      </c>
      <c r="Y100" s="55">
        <f t="shared" si="44"/>
        <v>0.22042348611873641</v>
      </c>
      <c r="Z100" s="155">
        <v>31304</v>
      </c>
      <c r="AA100" s="151"/>
      <c r="AB100" s="48">
        <v>28643</v>
      </c>
      <c r="AC100" s="55">
        <f t="shared" si="48"/>
        <v>0.24431990963986272</v>
      </c>
      <c r="AD100" s="46">
        <v>24269</v>
      </c>
      <c r="AE100" s="55">
        <f t="shared" si="45"/>
        <v>0.10313636363636358</v>
      </c>
      <c r="AF100" s="48">
        <v>2500</v>
      </c>
      <c r="AG100" s="55">
        <f t="shared" si="35"/>
        <v>8.6956521739130377E-2</v>
      </c>
      <c r="AH100" s="46">
        <v>8273</v>
      </c>
      <c r="AI100" s="55">
        <f t="shared" si="29"/>
        <v>-4.6669739571329798E-2</v>
      </c>
      <c r="AJ100" s="96"/>
      <c r="AK100" s="154"/>
      <c r="AL100" s="48">
        <v>3919</v>
      </c>
      <c r="AM100" s="91">
        <f t="shared" si="34"/>
        <v>5.3873781426372336E-3</v>
      </c>
      <c r="AN100" s="98">
        <v>2148</v>
      </c>
      <c r="AO100" s="55">
        <f t="shared" si="36"/>
        <v>0.10040983606557385</v>
      </c>
      <c r="AP100" s="63"/>
      <c r="AQ100" s="95"/>
      <c r="AR100" s="120">
        <v>0</v>
      </c>
      <c r="AS100" s="117" t="str">
        <f t="shared" si="55"/>
        <v>-</v>
      </c>
      <c r="AT100" s="118"/>
      <c r="AU100" s="141"/>
      <c r="AV100" s="118"/>
      <c r="AW100" s="119"/>
      <c r="AX100" s="48">
        <v>2640</v>
      </c>
      <c r="AY100" s="55">
        <f t="shared" si="49"/>
        <v>0.14533622559652937</v>
      </c>
      <c r="AZ100" s="48">
        <v>1788</v>
      </c>
      <c r="BA100" s="55">
        <f t="shared" si="19"/>
        <v>0.11263223397635347</v>
      </c>
      <c r="BB100" s="48"/>
      <c r="BC100" s="55"/>
    </row>
    <row r="101" spans="1:55" s="9" customFormat="1" ht="13.5" customHeight="1">
      <c r="A101" s="65"/>
      <c r="B101" s="100" t="s">
        <v>55</v>
      </c>
      <c r="C101" s="48">
        <v>1020648</v>
      </c>
      <c r="D101" s="67">
        <f t="shared" si="46"/>
        <v>-7.6363679084575709E-4</v>
      </c>
      <c r="E101" s="14"/>
      <c r="F101" s="48">
        <v>141536</v>
      </c>
      <c r="G101" s="67">
        <f t="shared" si="53"/>
        <v>-0.30108440160388728</v>
      </c>
      <c r="H101" s="48">
        <v>293400</v>
      </c>
      <c r="I101" s="67">
        <f t="shared" si="50"/>
        <v>-4.7489823609226595E-3</v>
      </c>
      <c r="J101" s="48">
        <v>20802</v>
      </c>
      <c r="K101" s="67">
        <f t="shared" si="54"/>
        <v>0.1326980669752246</v>
      </c>
      <c r="L101" s="120">
        <v>98281</v>
      </c>
      <c r="M101" s="104">
        <f t="shared" si="51"/>
        <v>9.7363807907459715E-2</v>
      </c>
      <c r="N101" s="48">
        <v>72295</v>
      </c>
      <c r="O101" s="55">
        <f t="shared" si="40"/>
        <v>-0.11584135409150391</v>
      </c>
      <c r="P101" s="48">
        <v>52928</v>
      </c>
      <c r="Q101" s="67">
        <f t="shared" si="43"/>
        <v>0.16251180566232515</v>
      </c>
      <c r="R101" s="120">
        <v>38505</v>
      </c>
      <c r="S101" s="104">
        <f t="shared" si="52"/>
        <v>0.14004441154700223</v>
      </c>
      <c r="T101" s="48">
        <v>29605</v>
      </c>
      <c r="U101" s="165">
        <f t="shared" si="42"/>
        <v>0.17247524752475246</v>
      </c>
      <c r="V101" s="48">
        <v>400</v>
      </c>
      <c r="W101" s="55">
        <f t="shared" si="47"/>
        <v>-5.6603773584905662E-2</v>
      </c>
      <c r="X101" s="137">
        <v>86093</v>
      </c>
      <c r="Y101" s="67">
        <f t="shared" si="44"/>
        <v>5.9932286857494521E-2</v>
      </c>
      <c r="Z101" s="166">
        <v>37888</v>
      </c>
      <c r="AA101" s="158"/>
      <c r="AB101" s="48">
        <v>24545</v>
      </c>
      <c r="AC101" s="55">
        <f t="shared" si="48"/>
        <v>0.13929632380245072</v>
      </c>
      <c r="AD101" s="48">
        <v>25374</v>
      </c>
      <c r="AE101" s="67">
        <f t="shared" si="45"/>
        <v>0.20011351274653544</v>
      </c>
      <c r="AF101" s="48">
        <v>1400</v>
      </c>
      <c r="AG101" s="67">
        <f t="shared" si="35"/>
        <v>0</v>
      </c>
      <c r="AH101" s="46">
        <v>8808</v>
      </c>
      <c r="AI101" s="67">
        <f t="shared" si="29"/>
        <v>0.18006430868167203</v>
      </c>
      <c r="AJ101" s="111"/>
      <c r="AK101" s="154"/>
      <c r="AL101" s="48">
        <v>2446</v>
      </c>
      <c r="AM101" s="91">
        <f t="shared" si="34"/>
        <v>0.47527141133896267</v>
      </c>
      <c r="AN101" s="113">
        <v>2358</v>
      </c>
      <c r="AO101" s="67">
        <f t="shared" si="36"/>
        <v>0.11806543385490764</v>
      </c>
      <c r="AP101" s="130"/>
      <c r="AQ101" s="95"/>
      <c r="AR101" s="120">
        <v>0</v>
      </c>
      <c r="AS101" s="139" t="str">
        <f t="shared" si="55"/>
        <v>-</v>
      </c>
      <c r="AT101" s="123"/>
      <c r="AU101" s="144"/>
      <c r="AV101" s="123"/>
      <c r="AW101" s="124"/>
      <c r="AX101" s="48">
        <v>3450</v>
      </c>
      <c r="AY101" s="67">
        <f t="shared" si="49"/>
        <v>0.49674620390455537</v>
      </c>
      <c r="AZ101" s="48">
        <v>1711</v>
      </c>
      <c r="BA101" s="67">
        <f t="shared" si="19"/>
        <v>0.17756366139022717</v>
      </c>
      <c r="BB101" s="48"/>
      <c r="BC101" s="67"/>
    </row>
    <row r="102" spans="1:55" s="9" customFormat="1" ht="13.5" customHeight="1">
      <c r="A102" s="72" t="s">
        <v>76</v>
      </c>
      <c r="B102" s="73" t="s">
        <v>43</v>
      </c>
      <c r="C102" s="76">
        <v>1200782</v>
      </c>
      <c r="D102" s="55">
        <f t="shared" si="46"/>
        <v>-5.3016268837632601E-2</v>
      </c>
      <c r="E102" s="14"/>
      <c r="F102" s="76">
        <v>173000</v>
      </c>
      <c r="G102" s="75">
        <f t="shared" si="53"/>
        <v>-0.35536278542896321</v>
      </c>
      <c r="H102" s="76">
        <v>297800</v>
      </c>
      <c r="I102" s="75">
        <f t="shared" si="50"/>
        <v>-7.858910891089109E-2</v>
      </c>
      <c r="J102" s="76">
        <v>25760</v>
      </c>
      <c r="K102" s="55">
        <f t="shared" si="54"/>
        <v>5.9384767231452543E-2</v>
      </c>
      <c r="L102" s="132">
        <v>110448</v>
      </c>
      <c r="M102" s="91">
        <f t="shared" si="51"/>
        <v>7.7058100754783213E-2</v>
      </c>
      <c r="N102" s="74">
        <v>100202</v>
      </c>
      <c r="O102" s="75">
        <f t="shared" si="40"/>
        <v>-0.1395276942893946</v>
      </c>
      <c r="P102" s="76">
        <v>60624</v>
      </c>
      <c r="Q102" s="75">
        <f t="shared" si="43"/>
        <v>0.17048306753678033</v>
      </c>
      <c r="R102" s="132">
        <v>46176</v>
      </c>
      <c r="S102" s="91">
        <f t="shared" si="52"/>
        <v>9.6114131079830037E-2</v>
      </c>
      <c r="T102" s="76">
        <v>45933</v>
      </c>
      <c r="U102" s="167">
        <f t="shared" si="42"/>
        <v>0.11840759678597516</v>
      </c>
      <c r="V102" s="76">
        <v>897</v>
      </c>
      <c r="W102" s="75">
        <f t="shared" si="47"/>
        <v>0.23383768913342504</v>
      </c>
      <c r="X102" s="132">
        <v>102166</v>
      </c>
      <c r="Y102" s="55">
        <f t="shared" si="44"/>
        <v>0.10750252035252417</v>
      </c>
      <c r="Z102" s="115">
        <v>256315</v>
      </c>
      <c r="AA102" s="160">
        <f>Z102/Z90-1</f>
        <v>0.28944058758426405</v>
      </c>
      <c r="AB102" s="76">
        <v>29758</v>
      </c>
      <c r="AC102" s="75">
        <f t="shared" si="48"/>
        <v>8.4791484397783501E-2</v>
      </c>
      <c r="AD102" s="76">
        <v>29740</v>
      </c>
      <c r="AE102" s="75">
        <f t="shared" ref="AE102:AE121" si="56">(AD102-AD90)/AD90</f>
        <v>6.2332559385604572E-2</v>
      </c>
      <c r="AF102" s="76">
        <v>4200</v>
      </c>
      <c r="AG102" s="75">
        <f>(AF102/AF90-1)</f>
        <v>-0.32258064516129037</v>
      </c>
      <c r="AH102" s="74">
        <v>12578</v>
      </c>
      <c r="AI102" s="55">
        <f t="shared" si="29"/>
        <v>-4.2114081181935874E-2</v>
      </c>
      <c r="AJ102" s="96">
        <v>5078</v>
      </c>
      <c r="AK102" s="161">
        <f>(AJ102/AJ90-1)</f>
        <v>-1.6082154621197442E-2</v>
      </c>
      <c r="AL102" s="76">
        <v>930</v>
      </c>
      <c r="AM102" s="79">
        <f t="shared" si="34"/>
        <v>-0.19410745233968807</v>
      </c>
      <c r="AN102" s="89">
        <v>3853</v>
      </c>
      <c r="AO102" s="55">
        <f t="shared" si="36"/>
        <v>0.47737730061349692</v>
      </c>
      <c r="AP102" s="56">
        <v>109469</v>
      </c>
      <c r="AQ102" s="168">
        <f>AP102/SUM(AP90:AP101)-1</f>
        <v>7.2598454177401628E-3</v>
      </c>
      <c r="AR102" s="132">
        <v>0</v>
      </c>
      <c r="AS102" s="126" t="str">
        <f t="shared" si="55"/>
        <v>-</v>
      </c>
      <c r="AT102" s="115">
        <v>630</v>
      </c>
      <c r="AU102" s="149">
        <f>AT102/AT90-1</f>
        <v>0.54791154791154795</v>
      </c>
      <c r="AV102" s="115">
        <v>18225</v>
      </c>
      <c r="AW102" s="116">
        <f>AV102/AV90-1</f>
        <v>2.0493868637661672E-2</v>
      </c>
      <c r="AX102" s="115">
        <v>53829</v>
      </c>
      <c r="AY102" s="160">
        <f>(AX102/AX209-1)</f>
        <v>0.55095513873282043</v>
      </c>
      <c r="AZ102" s="76">
        <v>2936</v>
      </c>
      <c r="BA102" s="75">
        <f t="shared" si="19"/>
        <v>7.9411764705882293E-2</v>
      </c>
      <c r="BB102" s="76"/>
      <c r="BC102" s="75"/>
    </row>
    <row r="103" spans="1:55" s="9" customFormat="1" ht="13.5" customHeight="1">
      <c r="A103" s="60"/>
      <c r="B103" s="45" t="s">
        <v>77</v>
      </c>
      <c r="C103" s="48">
        <v>1150334</v>
      </c>
      <c r="D103" s="55">
        <f t="shared" si="46"/>
        <v>5.3778393372101121E-2</v>
      </c>
      <c r="E103" s="14"/>
      <c r="F103" s="48">
        <v>169025</v>
      </c>
      <c r="G103" s="55">
        <f t="shared" si="53"/>
        <v>-0.27031169055430843</v>
      </c>
      <c r="H103" s="48">
        <v>336000</v>
      </c>
      <c r="I103" s="55">
        <f t="shared" si="50"/>
        <v>4.738154613466334E-2</v>
      </c>
      <c r="J103" s="48">
        <v>23284</v>
      </c>
      <c r="K103" s="55">
        <f t="shared" si="54"/>
        <v>4.0534713238464855E-3</v>
      </c>
      <c r="L103" s="120">
        <v>110751</v>
      </c>
      <c r="M103" s="91">
        <f t="shared" si="51"/>
        <v>0.22245769727474421</v>
      </c>
      <c r="N103" s="46">
        <v>102945</v>
      </c>
      <c r="O103" s="55">
        <f t="shared" si="40"/>
        <v>6.1748385899049074E-2</v>
      </c>
      <c r="P103" s="48">
        <v>81220</v>
      </c>
      <c r="Q103" s="55">
        <f t="shared" si="43"/>
        <v>0.60140384084545917</v>
      </c>
      <c r="R103" s="120">
        <v>45441</v>
      </c>
      <c r="S103" s="91">
        <f t="shared" si="52"/>
        <v>0.1553188243669277</v>
      </c>
      <c r="T103" s="48">
        <v>45397</v>
      </c>
      <c r="U103" s="167">
        <f t="shared" si="42"/>
        <v>0.23327900027166532</v>
      </c>
      <c r="V103" s="48">
        <v>645</v>
      </c>
      <c r="W103" s="55">
        <f t="shared" si="47"/>
        <v>0.59259259259259256</v>
      </c>
      <c r="X103" s="134">
        <v>89758</v>
      </c>
      <c r="Y103" s="55">
        <f t="shared" si="44"/>
        <v>0.21922329833331067</v>
      </c>
      <c r="Z103" s="118"/>
      <c r="AA103" s="163"/>
      <c r="AB103" s="46">
        <v>30175</v>
      </c>
      <c r="AC103" s="55">
        <f t="shared" si="48"/>
        <v>0.22012858355909581</v>
      </c>
      <c r="AD103" s="48">
        <v>27922</v>
      </c>
      <c r="AE103" s="55">
        <f t="shared" si="56"/>
        <v>0.5389109347442681</v>
      </c>
      <c r="AF103" s="46">
        <v>5500</v>
      </c>
      <c r="AG103" s="55">
        <f t="shared" si="35"/>
        <v>0.34146341463414642</v>
      </c>
      <c r="AH103" s="46">
        <v>10718</v>
      </c>
      <c r="AI103" s="55">
        <f t="shared" si="29"/>
        <v>0.12253875157100963</v>
      </c>
      <c r="AJ103" s="96"/>
      <c r="AK103" s="154"/>
      <c r="AL103" s="46">
        <v>1600</v>
      </c>
      <c r="AM103" s="91">
        <f t="shared" si="34"/>
        <v>0.39494333042720142</v>
      </c>
      <c r="AN103" s="98">
        <v>2639</v>
      </c>
      <c r="AO103" s="55">
        <f t="shared" si="36"/>
        <v>0.42880346507850575</v>
      </c>
      <c r="AP103" s="63"/>
      <c r="AQ103" s="169"/>
      <c r="AR103" s="50">
        <v>0</v>
      </c>
      <c r="AS103" s="117">
        <f t="shared" si="55"/>
        <v>-1</v>
      </c>
      <c r="AT103" s="118"/>
      <c r="AU103" s="141"/>
      <c r="AV103" s="118"/>
      <c r="AW103" s="119"/>
      <c r="AX103" s="118"/>
      <c r="AY103" s="163"/>
      <c r="AZ103" s="46">
        <v>2173</v>
      </c>
      <c r="BA103" s="55">
        <f t="shared" si="19"/>
        <v>0.31537530266343827</v>
      </c>
      <c r="BB103" s="46"/>
      <c r="BC103" s="55"/>
    </row>
    <row r="104" spans="1:55" s="9" customFormat="1" ht="13.5" customHeight="1">
      <c r="A104" s="60"/>
      <c r="B104" s="45" t="s">
        <v>45</v>
      </c>
      <c r="C104" s="48">
        <v>1018952</v>
      </c>
      <c r="D104" s="55">
        <f t="shared" si="46"/>
        <v>0.17296999864163906</v>
      </c>
      <c r="E104" s="14"/>
      <c r="F104" s="142">
        <v>150291</v>
      </c>
      <c r="G104" s="55">
        <f t="shared" si="53"/>
        <v>0.68637021577405999</v>
      </c>
      <c r="H104" s="48">
        <v>320400</v>
      </c>
      <c r="I104" s="55">
        <f t="shared" si="50"/>
        <v>3.756476683937824E-2</v>
      </c>
      <c r="J104" s="48">
        <v>21571</v>
      </c>
      <c r="K104" s="55">
        <f t="shared" si="54"/>
        <v>0.10444933695151298</v>
      </c>
      <c r="L104" s="120">
        <v>82981</v>
      </c>
      <c r="M104" s="91">
        <f t="shared" si="51"/>
        <v>0.24986444149897577</v>
      </c>
      <c r="N104" s="46">
        <v>89463</v>
      </c>
      <c r="O104" s="55">
        <f t="shared" si="40"/>
        <v>0.18659062272033955</v>
      </c>
      <c r="P104" s="48">
        <v>64484</v>
      </c>
      <c r="Q104" s="55">
        <f t="shared" si="43"/>
        <v>0.55525541459649808</v>
      </c>
      <c r="R104" s="120">
        <v>33965</v>
      </c>
      <c r="S104" s="91">
        <f t="shared" si="52"/>
        <v>0.36017780625525608</v>
      </c>
      <c r="T104" s="48">
        <v>34077</v>
      </c>
      <c r="U104" s="167">
        <f t="shared" si="42"/>
        <v>0.1505114959991897</v>
      </c>
      <c r="V104" s="48">
        <v>645</v>
      </c>
      <c r="W104" s="55">
        <f t="shared" si="47"/>
        <v>0.36942675159235666</v>
      </c>
      <c r="X104" s="134">
        <v>73107</v>
      </c>
      <c r="Y104" s="55">
        <f t="shared" si="44"/>
        <v>0.16915080761234602</v>
      </c>
      <c r="Z104" s="118"/>
      <c r="AA104" s="163"/>
      <c r="AB104" s="46">
        <v>23263</v>
      </c>
      <c r="AC104" s="55">
        <f t="shared" si="48"/>
        <v>2.765384105667712E-2</v>
      </c>
      <c r="AD104" s="48">
        <v>19315</v>
      </c>
      <c r="AE104" s="55">
        <f t="shared" si="56"/>
        <v>0.17025143895789155</v>
      </c>
      <c r="AF104" s="46">
        <v>3400</v>
      </c>
      <c r="AG104" s="55">
        <f t="shared" si="35"/>
        <v>0.47826086956521729</v>
      </c>
      <c r="AH104" s="46">
        <v>11971</v>
      </c>
      <c r="AI104" s="55">
        <f t="shared" si="29"/>
        <v>5.7789166740302197E-2</v>
      </c>
      <c r="AJ104" s="96"/>
      <c r="AK104" s="154"/>
      <c r="AL104" s="46">
        <v>1799</v>
      </c>
      <c r="AM104" s="91">
        <f t="shared" si="34"/>
        <v>0.43118536197295154</v>
      </c>
      <c r="AN104" s="98">
        <v>2310</v>
      </c>
      <c r="AO104" s="55">
        <f t="shared" si="36"/>
        <v>0.13513513513513509</v>
      </c>
      <c r="AP104" s="63"/>
      <c r="AQ104" s="169"/>
      <c r="AR104" s="170">
        <v>0</v>
      </c>
      <c r="AS104" s="117" t="str">
        <f t="shared" si="55"/>
        <v>-</v>
      </c>
      <c r="AT104" s="118"/>
      <c r="AU104" s="141"/>
      <c r="AV104" s="118"/>
      <c r="AW104" s="119"/>
      <c r="AX104" s="118"/>
      <c r="AY104" s="163"/>
      <c r="AZ104" s="46">
        <v>1853</v>
      </c>
      <c r="BA104" s="55">
        <f t="shared" si="19"/>
        <v>0.2478114478114477</v>
      </c>
      <c r="BB104" s="46"/>
      <c r="BC104" s="55"/>
    </row>
    <row r="105" spans="1:55" s="9" customFormat="1" ht="13.5" customHeight="1">
      <c r="A105" s="60"/>
      <c r="B105" s="171" t="s">
        <v>46</v>
      </c>
      <c r="C105" s="164">
        <v>1018645</v>
      </c>
      <c r="D105" s="172">
        <f t="shared" si="46"/>
        <v>0.17424814435259547</v>
      </c>
      <c r="E105" s="14"/>
      <c r="F105" s="164">
        <v>152323</v>
      </c>
      <c r="G105" s="172">
        <f t="shared" si="53"/>
        <v>1.3878821131838845</v>
      </c>
      <c r="H105" s="164">
        <v>340900</v>
      </c>
      <c r="I105" s="172">
        <f t="shared" si="50"/>
        <v>-2.2649082568807339E-2</v>
      </c>
      <c r="J105" s="164">
        <v>19862</v>
      </c>
      <c r="K105" s="172">
        <f t="shared" si="54"/>
        <v>6.4644082332761574E-2</v>
      </c>
      <c r="L105" s="170">
        <v>73401</v>
      </c>
      <c r="M105" s="173">
        <f t="shared" si="51"/>
        <v>-1.3321324873642328E-2</v>
      </c>
      <c r="N105" s="174">
        <v>78638</v>
      </c>
      <c r="O105" s="172">
        <f t="shared" si="40"/>
        <v>0.12568352944544647</v>
      </c>
      <c r="P105" s="164">
        <v>68272</v>
      </c>
      <c r="Q105" s="172">
        <f t="shared" si="43"/>
        <v>0.55811671269142105</v>
      </c>
      <c r="R105" s="170">
        <v>28119</v>
      </c>
      <c r="S105" s="173">
        <f t="shared" si="52"/>
        <v>8.7144790257104199E-2</v>
      </c>
      <c r="T105" s="164">
        <v>31252</v>
      </c>
      <c r="U105" s="175">
        <f t="shared" si="42"/>
        <v>0.11598343093843737</v>
      </c>
      <c r="V105" s="164">
        <v>421</v>
      </c>
      <c r="W105" s="55">
        <f t="shared" si="47"/>
        <v>0.33650793650793653</v>
      </c>
      <c r="X105" s="176">
        <v>65312</v>
      </c>
      <c r="Y105" s="172">
        <f t="shared" si="44"/>
        <v>0.13349531412703919</v>
      </c>
      <c r="Z105" s="118"/>
      <c r="AA105" s="163"/>
      <c r="AB105" s="164">
        <v>23085</v>
      </c>
      <c r="AC105" s="55">
        <f t="shared" si="48"/>
        <v>3.8041278834479941E-2</v>
      </c>
      <c r="AD105" s="164">
        <v>18116</v>
      </c>
      <c r="AE105" s="172">
        <f t="shared" si="56"/>
        <v>0.14694523583412472</v>
      </c>
      <c r="AF105" s="170">
        <v>2900</v>
      </c>
      <c r="AG105" s="55">
        <f t="shared" si="35"/>
        <v>0.8125</v>
      </c>
      <c r="AH105" s="174">
        <v>14514</v>
      </c>
      <c r="AI105" s="172">
        <f t="shared" si="29"/>
        <v>0.11431861804222648</v>
      </c>
      <c r="AJ105" s="96">
        <f>15366-AJ102</f>
        <v>10288</v>
      </c>
      <c r="AK105" s="99">
        <f>(AJ105/AJ93-1)</f>
        <v>-6.8031524594619031E-2</v>
      </c>
      <c r="AL105" s="164">
        <v>2225</v>
      </c>
      <c r="AM105" s="91">
        <f t="shared" si="34"/>
        <v>0.19431025228126675</v>
      </c>
      <c r="AN105" s="98">
        <v>1867</v>
      </c>
      <c r="AO105" s="55">
        <f t="shared" si="36"/>
        <v>0.53915910964550706</v>
      </c>
      <c r="AP105" s="63"/>
      <c r="AQ105" s="169"/>
      <c r="AR105" s="170">
        <v>0</v>
      </c>
      <c r="AS105" s="117">
        <f t="shared" si="55"/>
        <v>-1</v>
      </c>
      <c r="AT105" s="118"/>
      <c r="AU105" s="141"/>
      <c r="AV105" s="118"/>
      <c r="AW105" s="119"/>
      <c r="AX105" s="118"/>
      <c r="AY105" s="163"/>
      <c r="AZ105" s="164">
        <v>1360</v>
      </c>
      <c r="BA105" s="55">
        <f t="shared" si="19"/>
        <v>3.8167938931297662E-2</v>
      </c>
      <c r="BB105" s="164"/>
      <c r="BC105" s="55"/>
    </row>
    <row r="106" spans="1:55" s="9" customFormat="1" ht="13.5" customHeight="1">
      <c r="A106" s="60"/>
      <c r="B106" s="45" t="s">
        <v>47</v>
      </c>
      <c r="C106" s="48">
        <v>1096950</v>
      </c>
      <c r="D106" s="55">
        <f t="shared" si="46"/>
        <v>8.1368560413008953E-2</v>
      </c>
      <c r="E106" s="14"/>
      <c r="F106" s="48">
        <v>157141</v>
      </c>
      <c r="G106" s="55">
        <f t="shared" si="53"/>
        <v>0.8704144547337348</v>
      </c>
      <c r="H106" s="48">
        <v>368700</v>
      </c>
      <c r="I106" s="55">
        <f t="shared" si="50"/>
        <v>-4.2088854247856584E-2</v>
      </c>
      <c r="J106" s="48">
        <v>20535</v>
      </c>
      <c r="K106" s="55">
        <f t="shared" si="54"/>
        <v>5.9765835496987212E-3</v>
      </c>
      <c r="L106" s="120">
        <v>78574</v>
      </c>
      <c r="M106" s="91">
        <f t="shared" si="51"/>
        <v>-6.2664773879537616E-2</v>
      </c>
      <c r="N106" s="46">
        <v>73476</v>
      </c>
      <c r="O106" s="55">
        <f t="shared" si="40"/>
        <v>-7.8162246254987078E-2</v>
      </c>
      <c r="P106" s="48">
        <v>48409</v>
      </c>
      <c r="Q106" s="172">
        <f t="shared" si="43"/>
        <v>0.25776865516524627</v>
      </c>
      <c r="R106" s="120">
        <v>31292</v>
      </c>
      <c r="S106" s="91">
        <f t="shared" si="52"/>
        <v>-2.1360437842064112E-2</v>
      </c>
      <c r="T106" s="48">
        <v>33018</v>
      </c>
      <c r="U106" s="175">
        <f t="shared" si="42"/>
        <v>-2.1282902537348825E-2</v>
      </c>
      <c r="V106" s="48">
        <v>493</v>
      </c>
      <c r="W106" s="55">
        <f t="shared" si="47"/>
        <v>0.50304878048780488</v>
      </c>
      <c r="X106" s="134">
        <v>66827</v>
      </c>
      <c r="Y106" s="172">
        <f t="shared" si="44"/>
        <v>-6.8659067603917823E-3</v>
      </c>
      <c r="Z106" s="118"/>
      <c r="AA106" s="163"/>
      <c r="AB106" s="48">
        <v>25106</v>
      </c>
      <c r="AC106" s="55">
        <f t="shared" si="48"/>
        <v>3.2446436649257615E-2</v>
      </c>
      <c r="AD106" s="48">
        <v>19899</v>
      </c>
      <c r="AE106" s="55">
        <f t="shared" si="56"/>
        <v>1.5306903413439462E-2</v>
      </c>
      <c r="AF106" s="120">
        <v>2800</v>
      </c>
      <c r="AG106" s="55">
        <f t="shared" si="35"/>
        <v>0.21739130434782616</v>
      </c>
      <c r="AH106" s="46">
        <v>15768</v>
      </c>
      <c r="AI106" s="55">
        <f t="shared" si="29"/>
        <v>3.02515517804639E-2</v>
      </c>
      <c r="AJ106" s="96"/>
      <c r="AK106" s="99"/>
      <c r="AL106" s="48">
        <v>1742</v>
      </c>
      <c r="AM106" s="91">
        <f t="shared" si="34"/>
        <v>-0.42527218739689876</v>
      </c>
      <c r="AN106" s="98">
        <v>1986</v>
      </c>
      <c r="AO106" s="55">
        <f t="shared" si="36"/>
        <v>0.28046421663442933</v>
      </c>
      <c r="AP106" s="63"/>
      <c r="AQ106" s="169"/>
      <c r="AR106" s="120">
        <v>0</v>
      </c>
      <c r="AS106" s="117">
        <f t="shared" si="55"/>
        <v>-1</v>
      </c>
      <c r="AT106" s="118"/>
      <c r="AU106" s="141"/>
      <c r="AV106" s="118"/>
      <c r="AW106" s="119"/>
      <c r="AX106" s="118"/>
      <c r="AY106" s="163"/>
      <c r="AZ106" s="48">
        <v>569</v>
      </c>
      <c r="BA106" s="55">
        <f t="shared" si="19"/>
        <v>-0.30694275274056027</v>
      </c>
      <c r="BB106" s="48"/>
      <c r="BC106" s="55"/>
    </row>
    <row r="107" spans="1:55" s="9" customFormat="1" ht="13.5" customHeight="1">
      <c r="A107" s="60"/>
      <c r="B107" s="171" t="s">
        <v>49</v>
      </c>
      <c r="C107" s="164">
        <v>1109273</v>
      </c>
      <c r="D107" s="172">
        <f t="shared" si="46"/>
        <v>5.278278150974984E-2</v>
      </c>
      <c r="E107" s="14"/>
      <c r="F107" s="164">
        <v>152131</v>
      </c>
      <c r="G107" s="172">
        <f t="shared" si="53"/>
        <v>0.465376576090621</v>
      </c>
      <c r="H107" s="174">
        <v>347200</v>
      </c>
      <c r="I107" s="172">
        <f t="shared" si="50"/>
        <v>-8.1238422863191315E-2</v>
      </c>
      <c r="J107" s="164">
        <v>19831</v>
      </c>
      <c r="K107" s="172">
        <f t="shared" si="54"/>
        <v>-1.6368235702594117E-2</v>
      </c>
      <c r="L107" s="170">
        <v>75664</v>
      </c>
      <c r="M107" s="173">
        <f t="shared" si="51"/>
        <v>-5.2648712266336127E-2</v>
      </c>
      <c r="N107" s="174">
        <v>89031</v>
      </c>
      <c r="O107" s="172">
        <f t="shared" si="40"/>
        <v>0.15635187614458457</v>
      </c>
      <c r="P107" s="164">
        <v>46923</v>
      </c>
      <c r="Q107" s="172">
        <f t="shared" si="43"/>
        <v>0.19072753571700463</v>
      </c>
      <c r="R107" s="170">
        <v>29792</v>
      </c>
      <c r="S107" s="173">
        <f t="shared" si="52"/>
        <v>-4.2488911743909494E-2</v>
      </c>
      <c r="T107" s="164">
        <v>34394</v>
      </c>
      <c r="U107" s="175">
        <f t="shared" si="42"/>
        <v>4.703064294686414E-3</v>
      </c>
      <c r="V107" s="164">
        <v>433</v>
      </c>
      <c r="W107" s="55">
        <f t="shared" si="47"/>
        <v>0.17344173441734417</v>
      </c>
      <c r="X107" s="176">
        <v>77515</v>
      </c>
      <c r="Y107" s="172">
        <f>(X107/X95-1)</f>
        <v>1.6430201148671664E-2</v>
      </c>
      <c r="Z107" s="118"/>
      <c r="AA107" s="163"/>
      <c r="AB107" s="164">
        <v>23272</v>
      </c>
      <c r="AC107" s="55">
        <f t="shared" si="48"/>
        <v>-8.6476938174681051E-2</v>
      </c>
      <c r="AD107" s="164">
        <v>23261</v>
      </c>
      <c r="AE107" s="55">
        <f t="shared" si="56"/>
        <v>0.21874672534842293</v>
      </c>
      <c r="AF107" s="170">
        <v>2300</v>
      </c>
      <c r="AG107" s="55">
        <f t="shared" si="35"/>
        <v>9.5238095238095344E-2</v>
      </c>
      <c r="AH107" s="174">
        <v>13343</v>
      </c>
      <c r="AI107" s="172">
        <f t="shared" si="29"/>
        <v>-2.4491884778476386E-2</v>
      </c>
      <c r="AJ107" s="96"/>
      <c r="AK107" s="99"/>
      <c r="AL107" s="164">
        <v>2358</v>
      </c>
      <c r="AM107" s="91">
        <f t="shared" si="34"/>
        <v>0.26163723916532899</v>
      </c>
      <c r="AN107" s="98">
        <v>2300</v>
      </c>
      <c r="AO107" s="55">
        <f t="shared" si="36"/>
        <v>0.30756111426947119</v>
      </c>
      <c r="AP107" s="63"/>
      <c r="AQ107" s="169"/>
      <c r="AR107" s="170">
        <v>0</v>
      </c>
      <c r="AS107" s="117" t="str">
        <f t="shared" si="55"/>
        <v>-</v>
      </c>
      <c r="AT107" s="118"/>
      <c r="AU107" s="141"/>
      <c r="AV107" s="118"/>
      <c r="AW107" s="119"/>
      <c r="AX107" s="118"/>
      <c r="AY107" s="163"/>
      <c r="AZ107" s="164">
        <v>1109</v>
      </c>
      <c r="BA107" s="55">
        <f t="shared" si="19"/>
        <v>0.63569321533923295</v>
      </c>
      <c r="BB107" s="164"/>
      <c r="BC107" s="55"/>
    </row>
    <row r="108" spans="1:55" s="9" customFormat="1" ht="13.5" customHeight="1">
      <c r="A108" s="60"/>
      <c r="B108" s="45" t="s">
        <v>50</v>
      </c>
      <c r="C108" s="48">
        <v>1305418</v>
      </c>
      <c r="D108" s="172">
        <f t="shared" si="46"/>
        <v>5.137524977267767E-2</v>
      </c>
      <c r="E108" s="14"/>
      <c r="F108" s="48">
        <v>189701</v>
      </c>
      <c r="G108" s="55">
        <f t="shared" si="53"/>
        <v>0.35449436998850437</v>
      </c>
      <c r="H108" s="48">
        <v>369300</v>
      </c>
      <c r="I108" s="55">
        <f t="shared" si="50"/>
        <v>-6.6009104704097113E-2</v>
      </c>
      <c r="J108" s="48">
        <v>18976</v>
      </c>
      <c r="K108" s="55">
        <f t="shared" si="54"/>
        <v>6.8949977467327631E-2</v>
      </c>
      <c r="L108" s="120">
        <v>88247</v>
      </c>
      <c r="M108" s="91">
        <f t="shared" si="51"/>
        <v>-1.5144413195839472E-2</v>
      </c>
      <c r="N108" s="46">
        <v>104928</v>
      </c>
      <c r="O108" s="172">
        <f t="shared" si="40"/>
        <v>9.5213243429430314E-2</v>
      </c>
      <c r="P108" s="48">
        <v>51075</v>
      </c>
      <c r="Q108" s="172">
        <f t="shared" si="43"/>
        <v>0.31136386977508468</v>
      </c>
      <c r="R108" s="120">
        <v>36030</v>
      </c>
      <c r="S108" s="173">
        <f t="shared" si="52"/>
        <v>1.9611172425503014E-2</v>
      </c>
      <c r="T108" s="48">
        <v>42524</v>
      </c>
      <c r="U108" s="175">
        <f t="shared" si="42"/>
        <v>4.7724640894867817E-2</v>
      </c>
      <c r="V108" s="48">
        <v>897</v>
      </c>
      <c r="W108" s="55">
        <f t="shared" si="47"/>
        <v>0.26874115983026875</v>
      </c>
      <c r="X108" s="134">
        <v>103377</v>
      </c>
      <c r="Y108" s="172">
        <f t="shared" si="44"/>
        <v>0.10093824215380365</v>
      </c>
      <c r="Z108" s="118"/>
      <c r="AA108" s="163"/>
      <c r="AB108" s="48">
        <v>28279</v>
      </c>
      <c r="AC108" s="55">
        <f t="shared" si="48"/>
        <v>-1.1465725172160712E-2</v>
      </c>
      <c r="AD108" s="48">
        <v>32326</v>
      </c>
      <c r="AE108" s="55">
        <f t="shared" si="56"/>
        <v>0.10705479452054795</v>
      </c>
      <c r="AF108" s="48">
        <v>1900</v>
      </c>
      <c r="AG108" s="55">
        <f t="shared" si="35"/>
        <v>-0.24</v>
      </c>
      <c r="AH108" s="46">
        <v>15958</v>
      </c>
      <c r="AI108" s="172">
        <f t="shared" si="29"/>
        <v>1.6303655585275762E-2</v>
      </c>
      <c r="AJ108" s="96">
        <f>38738-AJ105-AJ102</f>
        <v>23372</v>
      </c>
      <c r="AK108" s="154">
        <f>(AJ108/AJ96-1)</f>
        <v>6.3185188554792271E-2</v>
      </c>
      <c r="AL108" s="48">
        <v>1518</v>
      </c>
      <c r="AM108" s="91">
        <f t="shared" si="34"/>
        <v>0.26079734219269102</v>
      </c>
      <c r="AN108" s="98">
        <v>2851</v>
      </c>
      <c r="AO108" s="55">
        <f t="shared" si="36"/>
        <v>0.44500760263558026</v>
      </c>
      <c r="AP108" s="63"/>
      <c r="AQ108" s="169"/>
      <c r="AR108" s="120">
        <v>81</v>
      </c>
      <c r="AS108" s="117">
        <f t="shared" si="55"/>
        <v>0.15714285714285725</v>
      </c>
      <c r="AT108" s="118"/>
      <c r="AU108" s="141"/>
      <c r="AV108" s="118"/>
      <c r="AW108" s="119"/>
      <c r="AX108" s="118"/>
      <c r="AY108" s="163"/>
      <c r="AZ108" s="48">
        <v>1444</v>
      </c>
      <c r="BA108" s="55">
        <f t="shared" si="19"/>
        <v>-9.0680100755667459E-2</v>
      </c>
      <c r="BB108" s="48"/>
      <c r="BC108" s="55"/>
    </row>
    <row r="109" spans="1:55" s="9" customFormat="1" ht="13.5" customHeight="1">
      <c r="A109" s="60"/>
      <c r="B109" s="171" t="s">
        <v>51</v>
      </c>
      <c r="C109" s="164">
        <v>1334651</v>
      </c>
      <c r="D109" s="172">
        <f t="shared" si="46"/>
        <v>7.0098987990911008E-2</v>
      </c>
      <c r="E109" s="14"/>
      <c r="F109" s="164">
        <v>201764</v>
      </c>
      <c r="G109" s="172">
        <f t="shared" si="53"/>
        <v>0.37226416377610011</v>
      </c>
      <c r="H109" s="164">
        <v>403400</v>
      </c>
      <c r="I109" s="172">
        <f t="shared" si="50"/>
        <v>-4.0209374256483466E-2</v>
      </c>
      <c r="J109" s="164">
        <v>21566</v>
      </c>
      <c r="K109" s="172">
        <f t="shared" si="54"/>
        <v>1.0211729436012741E-2</v>
      </c>
      <c r="L109" s="170">
        <v>109102</v>
      </c>
      <c r="M109" s="173">
        <f t="shared" si="51"/>
        <v>4.0741765317511044E-2</v>
      </c>
      <c r="N109" s="164">
        <v>120549</v>
      </c>
      <c r="O109" s="172">
        <f t="shared" si="40"/>
        <v>7.4048005131951741E-2</v>
      </c>
      <c r="P109" s="164">
        <v>59255</v>
      </c>
      <c r="Q109" s="172">
        <f t="shared" si="43"/>
        <v>0.1379436165309571</v>
      </c>
      <c r="R109" s="170">
        <v>48035</v>
      </c>
      <c r="S109" s="173">
        <f t="shared" si="52"/>
        <v>6.4322431977310995E-2</v>
      </c>
      <c r="T109" s="164">
        <v>47383</v>
      </c>
      <c r="U109" s="175">
        <f t="shared" si="42"/>
        <v>6.8050671715805602E-2</v>
      </c>
      <c r="V109" s="164">
        <v>708</v>
      </c>
      <c r="W109" s="55">
        <f t="shared" si="47"/>
        <v>0.53246753246753242</v>
      </c>
      <c r="X109" s="176">
        <v>101061</v>
      </c>
      <c r="Y109" s="172">
        <f t="shared" si="44"/>
        <v>0.10148228882833799</v>
      </c>
      <c r="Z109" s="177">
        <v>30895</v>
      </c>
      <c r="AA109" s="178">
        <f>(Z109/Z97-1)</f>
        <v>7.4048322614288287E-2</v>
      </c>
      <c r="AB109" s="164">
        <v>24224</v>
      </c>
      <c r="AC109" s="172">
        <f t="shared" si="48"/>
        <v>-8.4539510978421051E-2</v>
      </c>
      <c r="AD109" s="164">
        <v>27402</v>
      </c>
      <c r="AE109" s="55">
        <f t="shared" si="56"/>
        <v>-5.6664830625172129E-2</v>
      </c>
      <c r="AF109" s="164">
        <v>1800</v>
      </c>
      <c r="AG109" s="55">
        <f t="shared" si="35"/>
        <v>-0.18181818181818177</v>
      </c>
      <c r="AH109" s="174">
        <v>14729</v>
      </c>
      <c r="AI109" s="172">
        <f t="shared" si="29"/>
        <v>2.1428571428571429E-2</v>
      </c>
      <c r="AJ109" s="96"/>
      <c r="AK109" s="154"/>
      <c r="AL109" s="164">
        <v>1197</v>
      </c>
      <c r="AM109" s="91">
        <f t="shared" si="34"/>
        <v>0.13891531874405327</v>
      </c>
      <c r="AN109" s="98">
        <v>2612</v>
      </c>
      <c r="AO109" s="55">
        <f t="shared" si="36"/>
        <v>0.42966611932129184</v>
      </c>
      <c r="AP109" s="63"/>
      <c r="AQ109" s="169"/>
      <c r="AR109" s="170">
        <v>0</v>
      </c>
      <c r="AS109" s="117">
        <f t="shared" si="55"/>
        <v>-1</v>
      </c>
      <c r="AT109" s="118"/>
      <c r="AU109" s="141"/>
      <c r="AV109" s="118"/>
      <c r="AW109" s="119"/>
      <c r="AX109" s="118"/>
      <c r="AY109" s="163"/>
      <c r="AZ109" s="164">
        <v>1429</v>
      </c>
      <c r="BA109" s="55">
        <f t="shared" si="19"/>
        <v>0.18294701986754958</v>
      </c>
      <c r="BB109" s="164"/>
      <c r="BC109" s="55"/>
    </row>
    <row r="110" spans="1:55" s="9" customFormat="1" ht="13.5" customHeight="1">
      <c r="A110" s="60"/>
      <c r="B110" s="171" t="s">
        <v>52</v>
      </c>
      <c r="C110" s="164">
        <v>1059709</v>
      </c>
      <c r="D110" s="172">
        <f t="shared" si="46"/>
        <v>4.5586266301071425E-2</v>
      </c>
      <c r="E110" s="14"/>
      <c r="F110" s="164">
        <v>145742</v>
      </c>
      <c r="G110" s="172">
        <f t="shared" si="53"/>
        <v>0.19035251069946749</v>
      </c>
      <c r="H110" s="164">
        <v>319200</v>
      </c>
      <c r="I110" s="172">
        <f t="shared" si="50"/>
        <v>-5.0282653972032132E-2</v>
      </c>
      <c r="J110" s="164">
        <v>19439</v>
      </c>
      <c r="K110" s="172">
        <f t="shared" si="54"/>
        <v>8.0184485441209152E-2</v>
      </c>
      <c r="L110" s="170">
        <v>76876</v>
      </c>
      <c r="M110" s="173">
        <f t="shared" si="51"/>
        <v>5.8140175081209049E-2</v>
      </c>
      <c r="N110" s="164">
        <v>84266</v>
      </c>
      <c r="O110" s="172">
        <f t="shared" si="40"/>
        <v>0.13569098897544407</v>
      </c>
      <c r="P110" s="164">
        <v>46208</v>
      </c>
      <c r="Q110" s="172">
        <f t="shared" si="43"/>
        <v>0.97057443814235156</v>
      </c>
      <c r="R110" s="170">
        <v>32585</v>
      </c>
      <c r="S110" s="173">
        <f t="shared" si="52"/>
        <v>0.22146418262923118</v>
      </c>
      <c r="T110" s="164">
        <v>31247</v>
      </c>
      <c r="U110" s="175">
        <f t="shared" si="42"/>
        <v>3.7692614240170029E-2</v>
      </c>
      <c r="V110" s="164">
        <v>404</v>
      </c>
      <c r="W110" s="55">
        <f t="shared" si="47"/>
        <v>0.4377224199288256</v>
      </c>
      <c r="X110" s="176">
        <v>73795</v>
      </c>
      <c r="Y110" s="172">
        <f t="shared" si="44"/>
        <v>2.9463052606615303E-2</v>
      </c>
      <c r="Z110" s="176">
        <v>19340</v>
      </c>
      <c r="AA110" s="178">
        <f>(Z110/Z98-1)</f>
        <v>-2.5005041338979628E-2</v>
      </c>
      <c r="AB110" s="164">
        <v>22339</v>
      </c>
      <c r="AC110" s="172">
        <f t="shared" si="48"/>
        <v>3.4691987031032934E-2</v>
      </c>
      <c r="AD110" s="164">
        <v>22380</v>
      </c>
      <c r="AE110" s="55">
        <f t="shared" si="56"/>
        <v>0.23305785123966943</v>
      </c>
      <c r="AF110" s="164">
        <v>1700</v>
      </c>
      <c r="AG110" s="55">
        <f t="shared" si="35"/>
        <v>-0.26086956521739135</v>
      </c>
      <c r="AH110" s="174">
        <v>12380</v>
      </c>
      <c r="AI110" s="172">
        <f t="shared" si="29"/>
        <v>-3.9640058955860681E-2</v>
      </c>
      <c r="AJ110" s="96"/>
      <c r="AK110" s="154"/>
      <c r="AL110" s="164">
        <v>2292</v>
      </c>
      <c r="AM110" s="91">
        <f>(AL110/AL98-1)</f>
        <v>0.21077654516640254</v>
      </c>
      <c r="AN110" s="98">
        <v>2755</v>
      </c>
      <c r="AO110" s="55">
        <f t="shared" si="36"/>
        <v>0.85272360457296581</v>
      </c>
      <c r="AP110" s="63"/>
      <c r="AQ110" s="169"/>
      <c r="AR110" s="170">
        <v>0</v>
      </c>
      <c r="AS110" s="117">
        <f t="shared" si="55"/>
        <v>-1</v>
      </c>
      <c r="AT110" s="118"/>
      <c r="AU110" s="141"/>
      <c r="AV110" s="118"/>
      <c r="AW110" s="119"/>
      <c r="AX110" s="118"/>
      <c r="AY110" s="163"/>
      <c r="AZ110" s="164">
        <v>891</v>
      </c>
      <c r="BA110" s="55">
        <f t="shared" si="19"/>
        <v>0.26025459688826036</v>
      </c>
      <c r="BB110" s="164"/>
      <c r="BC110" s="55"/>
    </row>
    <row r="111" spans="1:55" s="9" customFormat="1" ht="13.5" customHeight="1">
      <c r="A111" s="60"/>
      <c r="B111" s="45" t="s">
        <v>53</v>
      </c>
      <c r="C111" s="48">
        <v>1154742</v>
      </c>
      <c r="D111" s="172">
        <f t="shared" si="46"/>
        <v>0.11829779321685588</v>
      </c>
      <c r="E111" s="14"/>
      <c r="F111" s="48">
        <v>168150</v>
      </c>
      <c r="G111" s="55">
        <f t="shared" si="53"/>
        <v>0.27136905617009049</v>
      </c>
      <c r="H111" s="48">
        <v>372200</v>
      </c>
      <c r="I111" s="172">
        <f t="shared" si="50"/>
        <v>1.0589193592180288E-2</v>
      </c>
      <c r="J111" s="48">
        <v>20839</v>
      </c>
      <c r="K111" s="55">
        <f t="shared" si="54"/>
        <v>0.16686264628478639</v>
      </c>
      <c r="L111" s="120">
        <v>83248</v>
      </c>
      <c r="M111" s="173">
        <f t="shared" si="51"/>
        <v>8.3126244161386434E-2</v>
      </c>
      <c r="N111" s="48">
        <v>97324</v>
      </c>
      <c r="O111" s="55">
        <f t="shared" si="40"/>
        <v>0.30457628481810139</v>
      </c>
      <c r="P111" s="48">
        <v>49695</v>
      </c>
      <c r="Q111" s="55">
        <f t="shared" si="43"/>
        <v>3.7733879051119246E-2</v>
      </c>
      <c r="R111" s="120">
        <v>34502</v>
      </c>
      <c r="S111" s="91">
        <f t="shared" si="52"/>
        <v>0.25961082107261507</v>
      </c>
      <c r="T111" s="48">
        <v>34712</v>
      </c>
      <c r="U111" s="175">
        <f t="shared" si="42"/>
        <v>3.3279752336726795E-2</v>
      </c>
      <c r="V111" s="48">
        <v>499</v>
      </c>
      <c r="W111" s="55">
        <f t="shared" si="47"/>
        <v>-8.7751371115173671E-2</v>
      </c>
      <c r="X111" s="134">
        <v>79519</v>
      </c>
      <c r="Y111" s="172">
        <f t="shared" si="44"/>
        <v>0.13660272719476296</v>
      </c>
      <c r="Z111" s="134">
        <v>31132</v>
      </c>
      <c r="AA111" s="178">
        <f>(Z111/Z99-1)</f>
        <v>0.18656858634752438</v>
      </c>
      <c r="AB111" s="48">
        <v>24686</v>
      </c>
      <c r="AC111" s="172">
        <f t="shared" si="48"/>
        <v>-3.218724271768536E-2</v>
      </c>
      <c r="AD111" s="48">
        <v>18270</v>
      </c>
      <c r="AE111" s="55">
        <f t="shared" si="56"/>
        <v>-9.835661057099146E-2</v>
      </c>
      <c r="AF111" s="48">
        <v>2300</v>
      </c>
      <c r="AG111" s="55">
        <f t="shared" si="35"/>
        <v>0</v>
      </c>
      <c r="AH111" s="46">
        <v>14038</v>
      </c>
      <c r="AI111" s="172">
        <f t="shared" si="29"/>
        <v>1.3940050559768869E-2</v>
      </c>
      <c r="AJ111" s="96">
        <f>44360-AJ108-AJ105-AJ102</f>
        <v>5622</v>
      </c>
      <c r="AK111" s="154">
        <f>(AJ111/AJ99-1)</f>
        <v>-3.2524522457408334E-2</v>
      </c>
      <c r="AL111" s="48">
        <v>3044</v>
      </c>
      <c r="AM111" s="91">
        <f t="shared" si="34"/>
        <v>-0.31610873960907659</v>
      </c>
      <c r="AN111" s="98">
        <v>3414</v>
      </c>
      <c r="AO111" s="55">
        <f t="shared" si="36"/>
        <v>0.98719441210710124</v>
      </c>
      <c r="AP111" s="63"/>
      <c r="AQ111" s="169"/>
      <c r="AR111" s="120">
        <v>0</v>
      </c>
      <c r="AS111" s="117" t="str">
        <f t="shared" si="55"/>
        <v>-</v>
      </c>
      <c r="AT111" s="118"/>
      <c r="AU111" s="141"/>
      <c r="AV111" s="118"/>
      <c r="AW111" s="119"/>
      <c r="AX111" s="118"/>
      <c r="AY111" s="163"/>
      <c r="AZ111" s="48">
        <v>1527</v>
      </c>
      <c r="BA111" s="55">
        <f t="shared" si="19"/>
        <v>-0.16420361247947457</v>
      </c>
      <c r="BB111" s="48"/>
      <c r="BC111" s="55"/>
    </row>
    <row r="112" spans="1:55" s="9" customFormat="1" ht="13.5" customHeight="1">
      <c r="A112" s="60"/>
      <c r="B112" s="45" t="s">
        <v>54</v>
      </c>
      <c r="C112" s="48">
        <v>1117550</v>
      </c>
      <c r="D112" s="172">
        <f t="shared" si="46"/>
        <v>0.14708161620930865</v>
      </c>
      <c r="E112" s="14"/>
      <c r="F112" s="48">
        <v>183557</v>
      </c>
      <c r="G112" s="55">
        <f t="shared" si="53"/>
        <v>0.36973636099067975</v>
      </c>
      <c r="H112" s="48">
        <v>313500</v>
      </c>
      <c r="I112" s="172">
        <f t="shared" si="50"/>
        <v>1.9512195121951219E-2</v>
      </c>
      <c r="J112" s="48">
        <v>23001</v>
      </c>
      <c r="K112" s="55">
        <f t="shared" si="54"/>
        <v>0.10168598524762908</v>
      </c>
      <c r="L112" s="120">
        <v>86841</v>
      </c>
      <c r="M112" s="173">
        <f t="shared" si="51"/>
        <v>7.0182140832573389E-2</v>
      </c>
      <c r="N112" s="48">
        <v>109837</v>
      </c>
      <c r="O112" s="55">
        <f t="shared" si="40"/>
        <v>0.77775799559756575</v>
      </c>
      <c r="P112" s="48">
        <v>59774</v>
      </c>
      <c r="Q112" s="55">
        <f t="shared" si="43"/>
        <v>9.2181475999926876E-2</v>
      </c>
      <c r="R112" s="120">
        <v>34686</v>
      </c>
      <c r="S112" s="91">
        <f t="shared" si="52"/>
        <v>0.1417004048582996</v>
      </c>
      <c r="T112" s="48">
        <v>34012</v>
      </c>
      <c r="U112" s="175">
        <f t="shared" si="42"/>
        <v>2.6157791522099863E-2</v>
      </c>
      <c r="V112" s="48">
        <v>871</v>
      </c>
      <c r="W112" s="55">
        <f t="shared" si="47"/>
        <v>0.84143763213530653</v>
      </c>
      <c r="X112" s="134">
        <v>89656</v>
      </c>
      <c r="Y112" s="172">
        <f t="shared" si="44"/>
        <v>9.006905943001664E-2</v>
      </c>
      <c r="Z112" s="134">
        <v>30259</v>
      </c>
      <c r="AA112" s="178">
        <f>(Z112/Z100-1)</f>
        <v>-3.3382315359059556E-2</v>
      </c>
      <c r="AB112" s="48">
        <v>25392</v>
      </c>
      <c r="AC112" s="172">
        <f t="shared" si="48"/>
        <v>-0.11350068079460951</v>
      </c>
      <c r="AD112" s="48">
        <v>22469</v>
      </c>
      <c r="AE112" s="55">
        <f t="shared" si="56"/>
        <v>-7.4168692570769287E-2</v>
      </c>
      <c r="AF112" s="48">
        <v>2100</v>
      </c>
      <c r="AG112" s="55">
        <f t="shared" si="35"/>
        <v>-0.16000000000000003</v>
      </c>
      <c r="AH112" s="46">
        <v>11903</v>
      </c>
      <c r="AI112" s="172">
        <f t="shared" si="29"/>
        <v>0.43877674362383656</v>
      </c>
      <c r="AJ112" s="96"/>
      <c r="AK112" s="154"/>
      <c r="AL112" s="48">
        <v>2819</v>
      </c>
      <c r="AM112" s="91">
        <f t="shared" si="34"/>
        <v>-0.28068384792038781</v>
      </c>
      <c r="AN112" s="98">
        <v>3922</v>
      </c>
      <c r="AO112" s="55">
        <f t="shared" si="36"/>
        <v>0.82588454376163867</v>
      </c>
      <c r="AP112" s="63"/>
      <c r="AQ112" s="169"/>
      <c r="AR112" s="120">
        <v>0</v>
      </c>
      <c r="AS112" s="117" t="str">
        <f t="shared" si="55"/>
        <v>-</v>
      </c>
      <c r="AT112" s="118"/>
      <c r="AU112" s="141"/>
      <c r="AV112" s="118"/>
      <c r="AW112" s="119"/>
      <c r="AX112" s="118"/>
      <c r="AY112" s="163"/>
      <c r="AZ112" s="48">
        <v>1570</v>
      </c>
      <c r="BA112" s="55">
        <f t="shared" si="19"/>
        <v>-0.12192393736017892</v>
      </c>
      <c r="BB112" s="48"/>
      <c r="BC112" s="55"/>
    </row>
    <row r="113" spans="1:55" s="9" customFormat="1" ht="13.5" customHeight="1">
      <c r="A113" s="65"/>
      <c r="B113" s="100" t="s">
        <v>55</v>
      </c>
      <c r="C113" s="48">
        <v>1169970</v>
      </c>
      <c r="D113" s="172">
        <f t="shared" si="46"/>
        <v>0.1463011733722106</v>
      </c>
      <c r="E113" s="14"/>
      <c r="F113" s="48">
        <v>199950</v>
      </c>
      <c r="G113" s="55">
        <f t="shared" si="53"/>
        <v>0.41271478634411035</v>
      </c>
      <c r="H113" s="48">
        <v>281200</v>
      </c>
      <c r="I113" s="172">
        <f t="shared" si="50"/>
        <v>-4.1581458759372872E-2</v>
      </c>
      <c r="J113" s="48">
        <v>24425</v>
      </c>
      <c r="K113" s="55">
        <f t="shared" si="54"/>
        <v>0.17416594558215556</v>
      </c>
      <c r="L113" s="120">
        <v>102325</v>
      </c>
      <c r="M113" s="179">
        <f t="shared" si="51"/>
        <v>4.114732247331631E-2</v>
      </c>
      <c r="N113" s="48">
        <v>112960</v>
      </c>
      <c r="O113" s="55">
        <f t="shared" si="40"/>
        <v>0.56248703229822261</v>
      </c>
      <c r="P113" s="48">
        <v>64978</v>
      </c>
      <c r="Q113" s="55">
        <v>0.22770000000000001</v>
      </c>
      <c r="R113" s="120">
        <v>44150</v>
      </c>
      <c r="S113" s="91">
        <f t="shared" si="52"/>
        <v>0.14660433709907805</v>
      </c>
      <c r="T113" s="48">
        <v>31208</v>
      </c>
      <c r="U113" s="175">
        <f t="shared" si="42"/>
        <v>5.4146259077858472E-2</v>
      </c>
      <c r="V113" s="48">
        <v>925</v>
      </c>
      <c r="W113" s="55">
        <f t="shared" si="47"/>
        <v>1.3125</v>
      </c>
      <c r="X113" s="134">
        <v>109062</v>
      </c>
      <c r="Y113" s="172">
        <f t="shared" si="44"/>
        <v>0.26679288676198998</v>
      </c>
      <c r="Z113" s="134">
        <v>43550</v>
      </c>
      <c r="AA113" s="178">
        <f>(Z113/Z101-1)</f>
        <v>0.14944045608108114</v>
      </c>
      <c r="AB113" s="48">
        <v>24277</v>
      </c>
      <c r="AC113" s="180">
        <f t="shared" si="48"/>
        <v>-1.0918720717050356E-2</v>
      </c>
      <c r="AD113" s="48">
        <v>22877</v>
      </c>
      <c r="AE113" s="55">
        <f t="shared" si="56"/>
        <v>-9.8407819027350837E-2</v>
      </c>
      <c r="AF113" s="48">
        <v>1300</v>
      </c>
      <c r="AG113" s="67">
        <f t="shared" si="35"/>
        <v>-7.1428571428571397E-2</v>
      </c>
      <c r="AH113" s="46">
        <v>11184</v>
      </c>
      <c r="AI113" s="172">
        <f t="shared" si="29"/>
        <v>0.26975476839237056</v>
      </c>
      <c r="AJ113" s="111"/>
      <c r="AK113" s="154"/>
      <c r="AL113" s="48">
        <v>2409</v>
      </c>
      <c r="AM113" s="91">
        <f t="shared" si="34"/>
        <v>-1.5126737530662293E-2</v>
      </c>
      <c r="AN113" s="113">
        <v>4296</v>
      </c>
      <c r="AO113" s="67">
        <f t="shared" si="36"/>
        <v>0.82188295165394409</v>
      </c>
      <c r="AP113" s="130"/>
      <c r="AQ113" s="181"/>
      <c r="AR113" s="120">
        <v>0</v>
      </c>
      <c r="AS113" s="117" t="str">
        <f t="shared" si="55"/>
        <v>-</v>
      </c>
      <c r="AT113" s="123"/>
      <c r="AU113" s="144"/>
      <c r="AV113" s="123"/>
      <c r="AW113" s="124"/>
      <c r="AX113" s="123"/>
      <c r="AY113" s="182"/>
      <c r="AZ113" s="48">
        <v>1683</v>
      </c>
      <c r="BA113" s="55">
        <f t="shared" si="19"/>
        <v>-1.6364699006429007E-2</v>
      </c>
      <c r="BB113" s="48"/>
      <c r="BC113" s="55"/>
    </row>
    <row r="114" spans="1:55" s="9" customFormat="1" ht="15.6">
      <c r="A114" s="72" t="s">
        <v>78</v>
      </c>
      <c r="B114" s="73" t="s">
        <v>79</v>
      </c>
      <c r="C114" s="76">
        <v>1425900</v>
      </c>
      <c r="D114" s="75">
        <f t="shared" si="46"/>
        <v>0.18747616136817508</v>
      </c>
      <c r="E114" s="14"/>
      <c r="F114" s="76">
        <v>234456</v>
      </c>
      <c r="G114" s="75">
        <f>(F114-F102)/F102</f>
        <v>0.35523699421965316</v>
      </c>
      <c r="H114" s="76">
        <v>322500</v>
      </c>
      <c r="I114" s="75">
        <f t="shared" si="50"/>
        <v>8.2941571524513091E-2</v>
      </c>
      <c r="J114" s="76">
        <v>31129</v>
      </c>
      <c r="K114" s="75">
        <f t="shared" si="54"/>
        <v>0.20842391304347826</v>
      </c>
      <c r="L114" s="132">
        <v>112089</v>
      </c>
      <c r="M114" s="173">
        <f t="shared" si="51"/>
        <v>1.485767057800956E-2</v>
      </c>
      <c r="N114" s="76">
        <v>143799</v>
      </c>
      <c r="O114" s="75">
        <f t="shared" si="40"/>
        <v>0.43509111594578953</v>
      </c>
      <c r="P114" s="76">
        <v>84283</v>
      </c>
      <c r="Q114" s="75">
        <f t="shared" ref="Q114:Q125" si="57">(P114/P102-1)</f>
        <v>0.39025798363684339</v>
      </c>
      <c r="R114" s="132">
        <v>52668</v>
      </c>
      <c r="S114" s="79">
        <f t="shared" si="52"/>
        <v>0.14059251559251559</v>
      </c>
      <c r="T114" s="76">
        <v>53193</v>
      </c>
      <c r="U114" s="75">
        <f t="shared" si="42"/>
        <v>0.15805629939259355</v>
      </c>
      <c r="V114" s="76">
        <v>1429</v>
      </c>
      <c r="W114" s="75">
        <f t="shared" si="47"/>
        <v>0.59308807134894093</v>
      </c>
      <c r="X114" s="132">
        <v>134994</v>
      </c>
      <c r="Y114" s="75">
        <f t="shared" si="44"/>
        <v>0.3213202043732748</v>
      </c>
      <c r="Z114" s="89">
        <v>70770</v>
      </c>
      <c r="AA114" s="160">
        <f>SUM(Z114:Z120)/Z102-1</f>
        <v>0.10525720305093333</v>
      </c>
      <c r="AB114" s="76">
        <v>31708</v>
      </c>
      <c r="AC114" s="172">
        <f t="shared" si="48"/>
        <v>6.5528597351972584E-2</v>
      </c>
      <c r="AD114" s="76">
        <v>31178</v>
      </c>
      <c r="AE114" s="75">
        <f t="shared" si="56"/>
        <v>4.8352387357094823E-2</v>
      </c>
      <c r="AF114" s="76">
        <v>3700</v>
      </c>
      <c r="AG114" s="75">
        <f>(AF114/AF102-1)</f>
        <v>-0.11904761904761907</v>
      </c>
      <c r="AH114" s="76">
        <v>16530</v>
      </c>
      <c r="AI114" s="75">
        <f t="shared" si="29"/>
        <v>0.31419939577039274</v>
      </c>
      <c r="AJ114" s="96">
        <v>5375</v>
      </c>
      <c r="AK114" s="183">
        <f>(AJ114/AJ102-1)</f>
        <v>5.8487593540764049E-2</v>
      </c>
      <c r="AL114" s="76">
        <v>1410</v>
      </c>
      <c r="AM114" s="79">
        <f>(AL114/AL102-Y1212)</f>
        <v>1.5161290322580645</v>
      </c>
      <c r="AN114" s="76">
        <v>6565</v>
      </c>
      <c r="AO114" s="55">
        <f>(AN114/AN102-1)</f>
        <v>0.70386711653257206</v>
      </c>
      <c r="AP114" s="56">
        <v>112619</v>
      </c>
      <c r="AQ114" s="168">
        <f>AP114/SUM(AP102:AP113)-1</f>
        <v>2.8775269711059703E-2</v>
      </c>
      <c r="AR114" s="132">
        <v>0</v>
      </c>
      <c r="AS114" s="126" t="str">
        <f t="shared" si="55"/>
        <v>-</v>
      </c>
      <c r="AT114" s="115">
        <v>596</v>
      </c>
      <c r="AU114" s="149">
        <f>AT114/AT102-1</f>
        <v>-5.3968253968253999E-2</v>
      </c>
      <c r="AV114" s="115">
        <v>18683</v>
      </c>
      <c r="AW114" s="116">
        <f>AV114/AV102-1</f>
        <v>2.5130315500685896E-2</v>
      </c>
      <c r="AX114" s="115">
        <v>81799</v>
      </c>
      <c r="AY114" s="160">
        <f>(AX114/AX102-1)</f>
        <v>0.51960838952980737</v>
      </c>
      <c r="AZ114" s="76">
        <v>3265</v>
      </c>
      <c r="BA114" s="75">
        <f t="shared" si="19"/>
        <v>0.11205722070844693</v>
      </c>
      <c r="BB114" s="76"/>
      <c r="BC114" s="75"/>
    </row>
    <row r="115" spans="1:55" s="9" customFormat="1" ht="12" customHeight="1">
      <c r="A115" s="184"/>
      <c r="B115" s="45" t="s">
        <v>77</v>
      </c>
      <c r="C115" s="48">
        <v>1184807</v>
      </c>
      <c r="D115" s="55">
        <f t="shared" si="46"/>
        <v>2.9967818042412029E-2</v>
      </c>
      <c r="E115" s="14"/>
      <c r="F115" s="48">
        <v>234390</v>
      </c>
      <c r="G115" s="55">
        <f t="shared" si="53"/>
        <v>0.38671794113296848</v>
      </c>
      <c r="H115" s="48">
        <v>280900</v>
      </c>
      <c r="I115" s="55">
        <f t="shared" si="50"/>
        <v>-0.16398809523809524</v>
      </c>
      <c r="J115" s="48">
        <v>24129</v>
      </c>
      <c r="K115" s="55">
        <f t="shared" si="54"/>
        <v>3.6291015289469167E-2</v>
      </c>
      <c r="L115" s="120">
        <v>90724</v>
      </c>
      <c r="M115" s="173">
        <f t="shared" si="51"/>
        <v>-0.18082906700616699</v>
      </c>
      <c r="N115" s="48">
        <v>110734</v>
      </c>
      <c r="O115" s="55">
        <f t="shared" si="40"/>
        <v>7.5661761134586433E-2</v>
      </c>
      <c r="P115" s="48">
        <v>72348</v>
      </c>
      <c r="Q115" s="55">
        <f t="shared" si="57"/>
        <v>-0.10923417877370101</v>
      </c>
      <c r="R115" s="120">
        <v>39380</v>
      </c>
      <c r="S115" s="91">
        <f t="shared" si="52"/>
        <v>-0.13338174776083273</v>
      </c>
      <c r="T115" s="48">
        <v>40229</v>
      </c>
      <c r="U115" s="55">
        <f t="shared" si="42"/>
        <v>-0.11384012159393793</v>
      </c>
      <c r="V115" s="48">
        <v>576</v>
      </c>
      <c r="W115" s="55">
        <f t="shared" si="47"/>
        <v>-0.10697674418604651</v>
      </c>
      <c r="X115" s="120">
        <v>106122</v>
      </c>
      <c r="Y115" s="55">
        <f t="shared" si="44"/>
        <v>0.1823124401167584</v>
      </c>
      <c r="Z115" s="98">
        <v>49330</v>
      </c>
      <c r="AA115" s="185"/>
      <c r="AB115" s="48">
        <v>25114</v>
      </c>
      <c r="AC115" s="172">
        <f t="shared" si="48"/>
        <v>-0.16772162386081191</v>
      </c>
      <c r="AD115" s="48">
        <v>26397</v>
      </c>
      <c r="AE115" s="55">
        <f t="shared" si="56"/>
        <v>-5.4616431487715777E-2</v>
      </c>
      <c r="AF115" s="48">
        <v>3700</v>
      </c>
      <c r="AG115" s="55">
        <f t="shared" si="35"/>
        <v>-0.32727272727272727</v>
      </c>
      <c r="AH115" s="48">
        <v>12534</v>
      </c>
      <c r="AI115" s="55">
        <f t="shared" si="29"/>
        <v>0.16943459600671767</v>
      </c>
      <c r="AJ115" s="96"/>
      <c r="AK115" s="186"/>
      <c r="AL115" s="48">
        <v>1050</v>
      </c>
      <c r="AM115" s="91">
        <f t="shared" si="34"/>
        <v>-0.34375</v>
      </c>
      <c r="AN115" s="48">
        <v>4480</v>
      </c>
      <c r="AO115" s="55">
        <f>(AN115/AN103-1)</f>
        <v>0.6976127320954908</v>
      </c>
      <c r="AP115" s="63"/>
      <c r="AQ115" s="169"/>
      <c r="AR115" s="120">
        <v>0</v>
      </c>
      <c r="AS115" s="117" t="str">
        <f t="shared" si="55"/>
        <v>-</v>
      </c>
      <c r="AT115" s="118"/>
      <c r="AU115" s="141"/>
      <c r="AV115" s="118"/>
      <c r="AW115" s="119"/>
      <c r="AX115" s="118"/>
      <c r="AY115" s="163"/>
      <c r="AZ115" s="48">
        <v>1535</v>
      </c>
      <c r="BA115" s="55">
        <f t="shared" si="19"/>
        <v>-0.29360331339162449</v>
      </c>
      <c r="BB115" s="48"/>
      <c r="BC115" s="55"/>
    </row>
    <row r="116" spans="1:55" s="9" customFormat="1" ht="12" customHeight="1">
      <c r="A116" s="184"/>
      <c r="B116" s="45" t="s">
        <v>45</v>
      </c>
      <c r="C116" s="48">
        <v>1113946</v>
      </c>
      <c r="D116" s="55">
        <f t="shared" si="46"/>
        <v>9.322715888481499E-2</v>
      </c>
      <c r="E116" s="14"/>
      <c r="F116" s="142">
        <v>206946</v>
      </c>
      <c r="G116" s="55">
        <f t="shared" si="53"/>
        <v>0.37696868075932688</v>
      </c>
      <c r="H116" s="48">
        <v>315000</v>
      </c>
      <c r="I116" s="55">
        <f t="shared" si="50"/>
        <v>-1.6853932584269662E-2</v>
      </c>
      <c r="J116" s="48">
        <v>24252</v>
      </c>
      <c r="K116" s="55">
        <f t="shared" si="54"/>
        <v>0.12428723749478467</v>
      </c>
      <c r="L116" s="120">
        <v>79894</v>
      </c>
      <c r="M116" s="173">
        <f t="shared" si="51"/>
        <v>-3.7201287041611936E-2</v>
      </c>
      <c r="N116" s="48">
        <v>96983</v>
      </c>
      <c r="O116" s="55">
        <f t="shared" si="40"/>
        <v>8.405709622972625E-2</v>
      </c>
      <c r="P116" s="48">
        <v>67745</v>
      </c>
      <c r="Q116" s="55">
        <f t="shared" si="57"/>
        <v>5.0570684200732074E-2</v>
      </c>
      <c r="R116" s="120">
        <v>36786</v>
      </c>
      <c r="S116" s="91">
        <f t="shared" si="52"/>
        <v>8.3056087148535254E-2</v>
      </c>
      <c r="T116" s="48">
        <v>36755</v>
      </c>
      <c r="U116" s="55">
        <f t="shared" si="42"/>
        <v>7.85867300525281E-2</v>
      </c>
      <c r="V116" s="48">
        <v>1349</v>
      </c>
      <c r="W116" s="55">
        <f t="shared" si="47"/>
        <v>1.0914728682170542</v>
      </c>
      <c r="X116" s="120">
        <v>87338</v>
      </c>
      <c r="Y116" s="55">
        <f t="shared" si="44"/>
        <v>0.19465988209063423</v>
      </c>
      <c r="Z116" s="98">
        <v>41971</v>
      </c>
      <c r="AA116" s="185"/>
      <c r="AB116" s="48">
        <v>25083</v>
      </c>
      <c r="AC116" s="172">
        <f t="shared" si="48"/>
        <v>7.8235825130034797E-2</v>
      </c>
      <c r="AD116" s="48">
        <v>21920</v>
      </c>
      <c r="AE116" s="55">
        <f t="shared" si="56"/>
        <v>0.13486927258607301</v>
      </c>
      <c r="AF116" s="48">
        <v>2100</v>
      </c>
      <c r="AG116" s="55">
        <f t="shared" si="35"/>
        <v>-0.38235294117647056</v>
      </c>
      <c r="AH116" s="48">
        <v>14165</v>
      </c>
      <c r="AI116" s="55">
        <f t="shared" si="29"/>
        <v>0.18327625093977112</v>
      </c>
      <c r="AJ116" s="96"/>
      <c r="AK116" s="186"/>
      <c r="AL116" s="48">
        <v>1882</v>
      </c>
      <c r="AM116" s="91">
        <f t="shared" si="34"/>
        <v>4.6136742634797168E-2</v>
      </c>
      <c r="AN116" s="48">
        <v>4219</v>
      </c>
      <c r="AO116" s="55">
        <f>(AN116/AN104-1)</f>
        <v>0.82640692640692648</v>
      </c>
      <c r="AP116" s="63"/>
      <c r="AQ116" s="169"/>
      <c r="AR116" s="120">
        <v>0</v>
      </c>
      <c r="AS116" s="117" t="str">
        <f t="shared" si="55"/>
        <v>-</v>
      </c>
      <c r="AT116" s="118"/>
      <c r="AU116" s="141"/>
      <c r="AV116" s="118"/>
      <c r="AW116" s="119"/>
      <c r="AX116" s="118"/>
      <c r="AY116" s="163"/>
      <c r="AZ116" s="48">
        <v>1431</v>
      </c>
      <c r="BA116" s="55">
        <f>(AZ116/AZ104-1)</f>
        <v>-0.2277388019427955</v>
      </c>
      <c r="BB116" s="48"/>
      <c r="BC116" s="55"/>
    </row>
    <row r="117" spans="1:55" s="9" customFormat="1" ht="12" customHeight="1">
      <c r="A117" s="184"/>
      <c r="B117" s="171" t="s">
        <v>46</v>
      </c>
      <c r="C117" s="164">
        <v>1097420</v>
      </c>
      <c r="D117" s="55">
        <f t="shared" si="46"/>
        <v>7.733312390479509E-2</v>
      </c>
      <c r="E117" s="14"/>
      <c r="F117" s="164">
        <v>204229</v>
      </c>
      <c r="G117" s="55">
        <f t="shared" si="53"/>
        <v>0.34076272132245294</v>
      </c>
      <c r="H117" s="164">
        <v>319900</v>
      </c>
      <c r="I117" s="55">
        <f t="shared" si="50"/>
        <v>-6.1601642710472276E-2</v>
      </c>
      <c r="J117" s="164">
        <v>22332</v>
      </c>
      <c r="K117" s="55">
        <f t="shared" si="54"/>
        <v>0.12435807068774545</v>
      </c>
      <c r="L117" s="170">
        <v>74355</v>
      </c>
      <c r="M117" s="173">
        <f t="shared" si="51"/>
        <v>1.2997098132178036E-2</v>
      </c>
      <c r="N117" s="164">
        <v>84569</v>
      </c>
      <c r="O117" s="55">
        <f t="shared" si="40"/>
        <v>7.5421551921462909E-2</v>
      </c>
      <c r="P117" s="164">
        <v>55720</v>
      </c>
      <c r="Q117" s="55">
        <f t="shared" si="57"/>
        <v>-0.18385282399812519</v>
      </c>
      <c r="R117" s="170">
        <v>30616</v>
      </c>
      <c r="S117" s="91">
        <f t="shared" si="52"/>
        <v>8.8801166471069379E-2</v>
      </c>
      <c r="T117" s="164">
        <v>31296</v>
      </c>
      <c r="U117" s="55">
        <f t="shared" si="42"/>
        <v>1.407909893766799E-3</v>
      </c>
      <c r="V117" s="164">
        <v>814</v>
      </c>
      <c r="W117" s="55">
        <f t="shared" si="47"/>
        <v>0.9334916864608076</v>
      </c>
      <c r="X117" s="170">
        <v>78141</v>
      </c>
      <c r="Y117" s="55">
        <f t="shared" si="44"/>
        <v>0.19642638412542879</v>
      </c>
      <c r="Z117" s="98">
        <v>28844</v>
      </c>
      <c r="AA117" s="185"/>
      <c r="AB117" s="164">
        <v>23885</v>
      </c>
      <c r="AC117" s="172">
        <f t="shared" si="48"/>
        <v>3.4654537578514111E-2</v>
      </c>
      <c r="AD117" s="164">
        <v>17485</v>
      </c>
      <c r="AE117" s="55">
        <f t="shared" si="56"/>
        <v>-3.4831088540516669E-2</v>
      </c>
      <c r="AF117" s="164">
        <v>3000</v>
      </c>
      <c r="AG117" s="55">
        <f t="shared" si="35"/>
        <v>3.4482758620689724E-2</v>
      </c>
      <c r="AH117" s="164">
        <v>17016</v>
      </c>
      <c r="AI117" s="55">
        <f t="shared" si="29"/>
        <v>0.17238528317486565</v>
      </c>
      <c r="AJ117" s="96">
        <f>15854-AJ114</f>
        <v>10479</v>
      </c>
      <c r="AK117" s="154">
        <f>(AJ117/AJ105-1)</f>
        <v>1.8565318818040355E-2</v>
      </c>
      <c r="AL117" s="164">
        <v>2569</v>
      </c>
      <c r="AM117" s="91">
        <f t="shared" si="34"/>
        <v>0.15460674157303367</v>
      </c>
      <c r="AN117" s="164">
        <v>3551</v>
      </c>
      <c r="AO117" s="55">
        <f>(AN117/AN105-1)</f>
        <v>0.90198178896625603</v>
      </c>
      <c r="AP117" s="63"/>
      <c r="AQ117" s="169"/>
      <c r="AR117" s="170">
        <v>0</v>
      </c>
      <c r="AS117" s="187" t="str">
        <f t="shared" si="55"/>
        <v>-</v>
      </c>
      <c r="AT117" s="118"/>
      <c r="AU117" s="141"/>
      <c r="AV117" s="118"/>
      <c r="AW117" s="119"/>
      <c r="AX117" s="118"/>
      <c r="AY117" s="163"/>
      <c r="AZ117" s="164">
        <v>1281</v>
      </c>
      <c r="BA117" s="55">
        <f t="shared" si="19"/>
        <v>-5.8088235294117663E-2</v>
      </c>
      <c r="BB117" s="164"/>
      <c r="BC117" s="172"/>
    </row>
    <row r="118" spans="1:55" s="9" customFormat="1" ht="12" customHeight="1">
      <c r="A118" s="184"/>
      <c r="B118" s="45" t="s">
        <v>47</v>
      </c>
      <c r="C118" s="48">
        <v>1185405</v>
      </c>
      <c r="D118" s="55">
        <f t="shared" si="46"/>
        <v>8.0637221386571853E-2</v>
      </c>
      <c r="E118" s="14"/>
      <c r="F118" s="48">
        <v>228670</v>
      </c>
      <c r="G118" s="55">
        <f t="shared" si="53"/>
        <v>0.45518992497184058</v>
      </c>
      <c r="H118" s="48">
        <v>324000</v>
      </c>
      <c r="I118" s="55">
        <f t="shared" si="50"/>
        <v>-0.12123677786818551</v>
      </c>
      <c r="J118" s="48">
        <v>23154</v>
      </c>
      <c r="K118" s="55">
        <f t="shared" si="54"/>
        <v>0.12753834915997078</v>
      </c>
      <c r="L118" s="120">
        <v>80457</v>
      </c>
      <c r="M118" s="173">
        <f t="shared" si="51"/>
        <v>2.3964670247155546E-2</v>
      </c>
      <c r="N118" s="48">
        <v>88950</v>
      </c>
      <c r="O118" s="55">
        <f t="shared" si="40"/>
        <v>0.2105993793891883</v>
      </c>
      <c r="P118" s="48">
        <v>51101</v>
      </c>
      <c r="Q118" s="55">
        <f t="shared" si="57"/>
        <v>5.5609494102336399E-2</v>
      </c>
      <c r="R118" s="120">
        <v>33113</v>
      </c>
      <c r="S118" s="91">
        <f t="shared" si="52"/>
        <v>5.8193787549533429E-2</v>
      </c>
      <c r="T118" s="188">
        <v>33857</v>
      </c>
      <c r="U118" s="55">
        <f t="shared" si="42"/>
        <v>2.5410382215761099E-2</v>
      </c>
      <c r="V118" s="48">
        <v>705</v>
      </c>
      <c r="W118" s="55">
        <f t="shared" si="47"/>
        <v>0.43002028397565922</v>
      </c>
      <c r="X118" s="120">
        <v>82794</v>
      </c>
      <c r="Y118" s="55">
        <f t="shared" si="44"/>
        <v>0.23893037245424753</v>
      </c>
      <c r="Z118" s="50">
        <f>215254-SUM(Z114:Z117)</f>
        <v>24339</v>
      </c>
      <c r="AA118" s="185"/>
      <c r="AB118" s="48">
        <v>22322</v>
      </c>
      <c r="AC118" s="172">
        <f t="shared" si="48"/>
        <v>-0.11088982713295625</v>
      </c>
      <c r="AD118" s="48">
        <v>19612</v>
      </c>
      <c r="AE118" s="55">
        <f t="shared" si="56"/>
        <v>-1.4422835318357707E-2</v>
      </c>
      <c r="AF118" s="48">
        <v>2200</v>
      </c>
      <c r="AG118" s="55">
        <f t="shared" si="35"/>
        <v>-0.2142857142857143</v>
      </c>
      <c r="AH118" s="48">
        <v>17788</v>
      </c>
      <c r="AI118" s="55">
        <f t="shared" si="29"/>
        <v>0.12810755961440892</v>
      </c>
      <c r="AJ118" s="96"/>
      <c r="AK118" s="154"/>
      <c r="AL118" s="48">
        <v>2729</v>
      </c>
      <c r="AM118" s="91">
        <f t="shared" si="34"/>
        <v>0.56659012629161887</v>
      </c>
      <c r="AN118" s="118">
        <f>54934-SUM(AN114:AN117)</f>
        <v>36119</v>
      </c>
      <c r="AO118" s="189">
        <f>AN118/SUM(AN106:AN113)-1</f>
        <v>0.49647828969174679</v>
      </c>
      <c r="AP118" s="63"/>
      <c r="AQ118" s="169"/>
      <c r="AR118" s="170">
        <v>0</v>
      </c>
      <c r="AS118" s="187" t="str">
        <f t="shared" si="55"/>
        <v>-</v>
      </c>
      <c r="AT118" s="118"/>
      <c r="AU118" s="141"/>
      <c r="AV118" s="118"/>
      <c r="AW118" s="119"/>
      <c r="AX118" s="118"/>
      <c r="AY118" s="163"/>
      <c r="AZ118" s="48">
        <v>802</v>
      </c>
      <c r="BA118" s="55">
        <f t="shared" ref="BA118:BA153" si="58">(AZ118/AZ106-1)</f>
        <v>0.40949033391915646</v>
      </c>
      <c r="BB118" s="48"/>
      <c r="BC118" s="172"/>
    </row>
    <row r="119" spans="1:55" s="9" customFormat="1" ht="12" customHeight="1">
      <c r="A119" s="184"/>
      <c r="B119" s="171" t="s">
        <v>49</v>
      </c>
      <c r="C119" s="164">
        <v>1221491</v>
      </c>
      <c r="D119" s="55">
        <f t="shared" si="46"/>
        <v>0.10116355486881949</v>
      </c>
      <c r="E119" s="14"/>
      <c r="F119" s="164">
        <v>211465</v>
      </c>
      <c r="G119" s="55">
        <f t="shared" si="53"/>
        <v>0.39001912825130974</v>
      </c>
      <c r="H119" s="174">
        <v>338400</v>
      </c>
      <c r="I119" s="55">
        <f t="shared" si="50"/>
        <v>-2.5345622119815669E-2</v>
      </c>
      <c r="J119" s="164">
        <v>21165</v>
      </c>
      <c r="K119" s="55">
        <f t="shared" si="54"/>
        <v>6.726841813322576E-2</v>
      </c>
      <c r="L119" s="170">
        <v>77314</v>
      </c>
      <c r="M119" s="173">
        <f t="shared" si="51"/>
        <v>2.1806935927257347E-2</v>
      </c>
      <c r="N119" s="164">
        <v>95099</v>
      </c>
      <c r="O119" s="55">
        <f t="shared" si="40"/>
        <v>6.8156035538183335E-2</v>
      </c>
      <c r="P119" s="164">
        <v>54673</v>
      </c>
      <c r="Q119" s="55">
        <f t="shared" si="57"/>
        <v>0.16516420518722152</v>
      </c>
      <c r="R119" s="170">
        <v>33570</v>
      </c>
      <c r="S119" s="91">
        <f t="shared" si="52"/>
        <v>0.126812567132116</v>
      </c>
      <c r="T119" s="164">
        <v>36409</v>
      </c>
      <c r="U119" s="55">
        <f t="shared" si="42"/>
        <v>5.8585799848810842E-2</v>
      </c>
      <c r="V119" s="164">
        <v>745</v>
      </c>
      <c r="W119" s="55">
        <f t="shared" si="47"/>
        <v>0.72055427251732107</v>
      </c>
      <c r="X119" s="170">
        <v>95893</v>
      </c>
      <c r="Y119" s="55">
        <f t="shared" si="44"/>
        <v>0.23708959556214926</v>
      </c>
      <c r="Z119" s="98">
        <v>24331</v>
      </c>
      <c r="AA119" s="185"/>
      <c r="AB119" s="48">
        <v>26976</v>
      </c>
      <c r="AC119" s="172">
        <f t="shared" si="48"/>
        <v>0.15916122378824338</v>
      </c>
      <c r="AD119" s="164">
        <v>16624</v>
      </c>
      <c r="AE119" s="55">
        <f t="shared" si="56"/>
        <v>-0.28532737199604491</v>
      </c>
      <c r="AF119" s="164">
        <v>1800</v>
      </c>
      <c r="AG119" s="55">
        <f t="shared" si="35"/>
        <v>-0.21739130434782605</v>
      </c>
      <c r="AH119" s="164">
        <v>14907</v>
      </c>
      <c r="AI119" s="55">
        <f t="shared" si="29"/>
        <v>0.11721501911114442</v>
      </c>
      <c r="AJ119" s="96"/>
      <c r="AK119" s="154"/>
      <c r="AL119" s="164">
        <v>2452</v>
      </c>
      <c r="AM119" s="91">
        <f t="shared" si="34"/>
        <v>3.9864291772688798E-2</v>
      </c>
      <c r="AN119" s="118"/>
      <c r="AO119" s="189"/>
      <c r="AP119" s="63"/>
      <c r="AQ119" s="169"/>
      <c r="AR119" s="170">
        <v>0</v>
      </c>
      <c r="AS119" s="187" t="str">
        <f t="shared" si="55"/>
        <v>-</v>
      </c>
      <c r="AT119" s="118"/>
      <c r="AU119" s="141"/>
      <c r="AV119" s="118"/>
      <c r="AW119" s="119"/>
      <c r="AX119" s="118"/>
      <c r="AY119" s="163"/>
      <c r="AZ119" s="164">
        <v>849</v>
      </c>
      <c r="BA119" s="55">
        <f t="shared" si="58"/>
        <v>-0.2344454463480613</v>
      </c>
      <c r="BB119" s="164"/>
      <c r="BC119" s="172"/>
    </row>
    <row r="120" spans="1:55" s="9" customFormat="1" ht="12" customHeight="1">
      <c r="A120" s="184"/>
      <c r="B120" s="45" t="s">
        <v>50</v>
      </c>
      <c r="C120" s="48">
        <v>1417422</v>
      </c>
      <c r="D120" s="55">
        <f t="shared" si="46"/>
        <v>8.5799337836616321E-2</v>
      </c>
      <c r="E120" s="14"/>
      <c r="F120" s="48">
        <v>243992</v>
      </c>
      <c r="G120" s="55">
        <f t="shared" si="53"/>
        <v>0.28619248185302132</v>
      </c>
      <c r="H120" s="48">
        <v>356100</v>
      </c>
      <c r="I120" s="55">
        <f t="shared" si="50"/>
        <v>-3.5743298131600328E-2</v>
      </c>
      <c r="J120" s="48">
        <v>23025</v>
      </c>
      <c r="K120" s="55">
        <f t="shared" si="54"/>
        <v>0.2133747892074199</v>
      </c>
      <c r="L120" s="120">
        <v>84779</v>
      </c>
      <c r="M120" s="173">
        <f t="shared" si="51"/>
        <v>-3.929878636100944E-2</v>
      </c>
      <c r="N120" s="48">
        <v>114145</v>
      </c>
      <c r="O120" s="55">
        <f t="shared" si="40"/>
        <v>8.7841186337297955E-2</v>
      </c>
      <c r="P120" s="48">
        <v>53269</v>
      </c>
      <c r="Q120" s="55">
        <f t="shared" si="57"/>
        <v>4.2956436612824334E-2</v>
      </c>
      <c r="R120" s="120">
        <v>38416</v>
      </c>
      <c r="S120" s="91">
        <f t="shared" si="52"/>
        <v>6.6222592284207599E-2</v>
      </c>
      <c r="T120" s="48">
        <v>41913</v>
      </c>
      <c r="U120" s="55">
        <f t="shared" si="42"/>
        <v>-1.4368356692691186E-2</v>
      </c>
      <c r="V120" s="48">
        <v>1149</v>
      </c>
      <c r="W120" s="55">
        <f t="shared" si="47"/>
        <v>0.28093645484949831</v>
      </c>
      <c r="X120" s="120">
        <v>121716</v>
      </c>
      <c r="Y120" s="55">
        <f t="shared" si="44"/>
        <v>0.1773992280681389</v>
      </c>
      <c r="Z120" s="98">
        <v>43709</v>
      </c>
      <c r="AA120" s="185"/>
      <c r="AB120" s="48">
        <v>29417</v>
      </c>
      <c r="AC120" s="172">
        <f t="shared" si="48"/>
        <v>4.0241875596732646E-2</v>
      </c>
      <c r="AD120" s="48">
        <v>31270</v>
      </c>
      <c r="AE120" s="55">
        <f t="shared" si="56"/>
        <v>-3.266720287075419E-2</v>
      </c>
      <c r="AF120" s="48">
        <v>1700</v>
      </c>
      <c r="AG120" s="55">
        <f t="shared" si="35"/>
        <v>-0.10526315789473684</v>
      </c>
      <c r="AH120" s="48">
        <v>15200</v>
      </c>
      <c r="AI120" s="55">
        <f t="shared" si="29"/>
        <v>-4.7499686677528512E-2</v>
      </c>
      <c r="AJ120" s="96">
        <f>38803-AJ117-AJ114</f>
        <v>22949</v>
      </c>
      <c r="AK120" s="154">
        <f>(AJ120/AJ108-1)</f>
        <v>-1.80985794968338E-2</v>
      </c>
      <c r="AL120" s="48">
        <v>2031</v>
      </c>
      <c r="AM120" s="91">
        <f t="shared" si="34"/>
        <v>0.3379446640316206</v>
      </c>
      <c r="AN120" s="118"/>
      <c r="AO120" s="189"/>
      <c r="AP120" s="63"/>
      <c r="AQ120" s="169"/>
      <c r="AR120" s="120">
        <v>0</v>
      </c>
      <c r="AS120" s="187">
        <f t="shared" si="55"/>
        <v>-1</v>
      </c>
      <c r="AT120" s="118"/>
      <c r="AU120" s="141"/>
      <c r="AV120" s="118"/>
      <c r="AW120" s="119"/>
      <c r="AX120" s="118"/>
      <c r="AY120" s="163"/>
      <c r="AZ120" s="48">
        <v>1457</v>
      </c>
      <c r="BA120" s="55">
        <f t="shared" si="58"/>
        <v>9.0027700831025737E-3</v>
      </c>
      <c r="BB120" s="48"/>
      <c r="BC120" s="172"/>
    </row>
    <row r="121" spans="1:55" s="9" customFormat="1" ht="15.6">
      <c r="A121" s="184"/>
      <c r="B121" s="171" t="s">
        <v>51</v>
      </c>
      <c r="C121" s="164">
        <v>1407186</v>
      </c>
      <c r="D121" s="55">
        <f t="shared" si="46"/>
        <v>5.4347541042564687E-2</v>
      </c>
      <c r="E121" s="14"/>
      <c r="F121" s="164">
        <v>215498</v>
      </c>
      <c r="G121" s="55">
        <f t="shared" si="53"/>
        <v>6.8069625899565833E-2</v>
      </c>
      <c r="H121" s="164">
        <v>392300</v>
      </c>
      <c r="I121" s="55">
        <f t="shared" si="50"/>
        <v>-2.7516113039167081E-2</v>
      </c>
      <c r="J121" s="164">
        <v>29455</v>
      </c>
      <c r="K121" s="55">
        <f t="shared" si="54"/>
        <v>0.36580728925159972</v>
      </c>
      <c r="L121" s="170">
        <v>104085</v>
      </c>
      <c r="M121" s="173">
        <f t="shared" si="51"/>
        <v>-4.5984491576689705E-2</v>
      </c>
      <c r="N121" s="164">
        <v>128162</v>
      </c>
      <c r="O121" s="55">
        <f t="shared" si="40"/>
        <v>6.3152742868045356E-2</v>
      </c>
      <c r="P121" s="164">
        <v>65153</v>
      </c>
      <c r="Q121" s="55">
        <f t="shared" si="57"/>
        <v>9.953590414311031E-2</v>
      </c>
      <c r="R121" s="170">
        <v>48395</v>
      </c>
      <c r="S121" s="91">
        <f t="shared" si="52"/>
        <v>7.4945352347246799E-3</v>
      </c>
      <c r="T121" s="164">
        <v>45986</v>
      </c>
      <c r="U121" s="55">
        <f t="shared" si="42"/>
        <v>-2.9483147964459826E-2</v>
      </c>
      <c r="V121" s="164">
        <v>1202</v>
      </c>
      <c r="W121" s="55">
        <f t="shared" si="47"/>
        <v>0.69774011299435024</v>
      </c>
      <c r="X121" s="170">
        <v>115130</v>
      </c>
      <c r="Y121" s="55">
        <f t="shared" si="44"/>
        <v>0.13921295059419569</v>
      </c>
      <c r="Z121" s="134">
        <v>13203</v>
      </c>
      <c r="AA121" s="178">
        <f>(Z121/Z109-1)</f>
        <v>-0.5726492960025894</v>
      </c>
      <c r="AB121" s="164">
        <v>28129</v>
      </c>
      <c r="AC121" s="172">
        <f t="shared" si="48"/>
        <v>0.16120376486129451</v>
      </c>
      <c r="AD121" s="164">
        <v>22317</v>
      </c>
      <c r="AE121" s="55">
        <f t="shared" si="56"/>
        <v>-0.1855703963214364</v>
      </c>
      <c r="AF121" s="164">
        <v>1900</v>
      </c>
      <c r="AG121" s="55">
        <f t="shared" si="35"/>
        <v>5.555555555555558E-2</v>
      </c>
      <c r="AH121" s="164">
        <v>17379</v>
      </c>
      <c r="AI121" s="55">
        <f t="shared" si="29"/>
        <v>0.17991717020843234</v>
      </c>
      <c r="AJ121" s="96"/>
      <c r="AK121" s="154"/>
      <c r="AL121" s="164">
        <v>1998</v>
      </c>
      <c r="AM121" s="91">
        <f t="shared" si="34"/>
        <v>0.66917293233082709</v>
      </c>
      <c r="AN121" s="118"/>
      <c r="AO121" s="189"/>
      <c r="AP121" s="63"/>
      <c r="AQ121" s="169"/>
      <c r="AR121" s="170">
        <v>0</v>
      </c>
      <c r="AS121" s="187" t="str">
        <f t="shared" si="55"/>
        <v>-</v>
      </c>
      <c r="AT121" s="118"/>
      <c r="AU121" s="141"/>
      <c r="AV121" s="118"/>
      <c r="AW121" s="119"/>
      <c r="AX121" s="118"/>
      <c r="AY121" s="163"/>
      <c r="AZ121" s="164">
        <v>1419</v>
      </c>
      <c r="BA121" s="55">
        <f t="shared" si="58"/>
        <v>-6.9979006298110935E-3</v>
      </c>
      <c r="BB121" s="164"/>
      <c r="BC121" s="172"/>
    </row>
    <row r="122" spans="1:55" s="9" customFormat="1" ht="15.6">
      <c r="A122" s="184"/>
      <c r="B122" s="171" t="s">
        <v>52</v>
      </c>
      <c r="C122" s="164">
        <v>1195238</v>
      </c>
      <c r="D122" s="55">
        <f t="shared" si="46"/>
        <v>0.12789265732385022</v>
      </c>
      <c r="E122" s="14"/>
      <c r="F122" s="164">
        <v>164499</v>
      </c>
      <c r="G122" s="55">
        <f t="shared" si="53"/>
        <v>0.12870003156262436</v>
      </c>
      <c r="H122" s="164">
        <v>338600</v>
      </c>
      <c r="I122" s="55">
        <f t="shared" si="50"/>
        <v>6.0776942355889721E-2</v>
      </c>
      <c r="J122" s="164">
        <v>30379</v>
      </c>
      <c r="K122" s="55">
        <f t="shared" si="54"/>
        <v>0.56278615155100575</v>
      </c>
      <c r="L122" s="170">
        <v>85660</v>
      </c>
      <c r="M122" s="173">
        <f t="shared" si="51"/>
        <v>0.11426192830011968</v>
      </c>
      <c r="N122" s="164">
        <v>94266</v>
      </c>
      <c r="O122" s="55">
        <f t="shared" si="40"/>
        <v>0.11867182493532386</v>
      </c>
      <c r="P122" s="164">
        <v>57784</v>
      </c>
      <c r="Q122" s="55">
        <f t="shared" si="57"/>
        <v>0.25051939058171735</v>
      </c>
      <c r="R122" s="170">
        <v>37776</v>
      </c>
      <c r="S122" s="91">
        <f t="shared" si="52"/>
        <v>0.15930642933865274</v>
      </c>
      <c r="T122" s="164">
        <v>35599</v>
      </c>
      <c r="U122" s="55">
        <f t="shared" si="42"/>
        <v>0.13927737062758025</v>
      </c>
      <c r="V122" s="164">
        <v>699</v>
      </c>
      <c r="W122" s="55">
        <f t="shared" si="47"/>
        <v>0.73019801980198018</v>
      </c>
      <c r="X122" s="170">
        <v>86753</v>
      </c>
      <c r="Y122" s="55">
        <f t="shared" si="44"/>
        <v>0.17559455247645506</v>
      </c>
      <c r="Z122" s="170">
        <v>21441</v>
      </c>
      <c r="AA122" s="178">
        <f>(Z122/Z110-1)</f>
        <v>0.10863495346432273</v>
      </c>
      <c r="AB122" s="164">
        <v>26866</v>
      </c>
      <c r="AC122" s="172">
        <f t="shared" si="48"/>
        <v>0.20265007386185596</v>
      </c>
      <c r="AD122" s="164">
        <v>20174</v>
      </c>
      <c r="AE122" s="55">
        <f>(AD122-AD110)/AD110</f>
        <v>-9.8570151921358359E-2</v>
      </c>
      <c r="AF122" s="164">
        <v>1700</v>
      </c>
      <c r="AG122" s="55">
        <f t="shared" si="35"/>
        <v>0</v>
      </c>
      <c r="AH122" s="164">
        <v>17360</v>
      </c>
      <c r="AI122" s="55">
        <f t="shared" si="29"/>
        <v>0.40226171243941844</v>
      </c>
      <c r="AJ122" s="96"/>
      <c r="AK122" s="154"/>
      <c r="AL122" s="164">
        <v>2574</v>
      </c>
      <c r="AM122" s="91">
        <f t="shared" si="34"/>
        <v>0.12303664921465973</v>
      </c>
      <c r="AN122" s="118"/>
      <c r="AO122" s="189"/>
      <c r="AP122" s="63"/>
      <c r="AQ122" s="169"/>
      <c r="AR122" s="170">
        <v>0</v>
      </c>
      <c r="AS122" s="187" t="str">
        <f t="shared" si="55"/>
        <v>-</v>
      </c>
      <c r="AT122" s="118"/>
      <c r="AU122" s="141"/>
      <c r="AV122" s="118"/>
      <c r="AW122" s="119"/>
      <c r="AX122" s="118"/>
      <c r="AY122" s="163"/>
      <c r="AZ122" s="190" t="s">
        <v>80</v>
      </c>
      <c r="BA122" s="187" t="s">
        <v>81</v>
      </c>
      <c r="BB122" s="164"/>
      <c r="BC122" s="172"/>
    </row>
    <row r="123" spans="1:55" s="9" customFormat="1" ht="15.6">
      <c r="A123" s="184"/>
      <c r="B123" s="45" t="s">
        <v>53</v>
      </c>
      <c r="C123" s="48">
        <v>1239143</v>
      </c>
      <c r="D123" s="55">
        <f t="shared" si="46"/>
        <v>7.3090785647356729E-2</v>
      </c>
      <c r="E123" s="14"/>
      <c r="F123" s="48">
        <v>158273</v>
      </c>
      <c r="G123" s="55">
        <f t="shared" si="53"/>
        <v>-5.8739220933690155E-2</v>
      </c>
      <c r="H123" s="48">
        <v>391800</v>
      </c>
      <c r="I123" s="55">
        <f t="shared" si="50"/>
        <v>5.2659860290166574E-2</v>
      </c>
      <c r="J123" s="48">
        <v>37295</v>
      </c>
      <c r="K123" s="55">
        <f t="shared" si="54"/>
        <v>0.78967320888718273</v>
      </c>
      <c r="L123" s="120">
        <v>91672</v>
      </c>
      <c r="M123" s="173">
        <f t="shared" si="51"/>
        <v>0.10119162021910437</v>
      </c>
      <c r="N123" s="48">
        <v>110509</v>
      </c>
      <c r="O123" s="55">
        <f t="shared" si="40"/>
        <v>0.13547531955118983</v>
      </c>
      <c r="P123" s="164">
        <v>56628</v>
      </c>
      <c r="Q123" s="55">
        <f t="shared" si="57"/>
        <v>0.13951101720495029</v>
      </c>
      <c r="R123" s="120">
        <v>38632</v>
      </c>
      <c r="S123" s="91">
        <f t="shared" si="52"/>
        <v>0.11970320561126892</v>
      </c>
      <c r="T123" s="48">
        <v>40157</v>
      </c>
      <c r="U123" s="55">
        <f t="shared" si="42"/>
        <v>0.15686218022585849</v>
      </c>
      <c r="V123" s="48">
        <v>1161</v>
      </c>
      <c r="W123" s="55">
        <f t="shared" si="47"/>
        <v>1.3266533066132264</v>
      </c>
      <c r="X123" s="120">
        <v>81605</v>
      </c>
      <c r="Y123" s="55">
        <f t="shared" si="44"/>
        <v>2.6232724254580564E-2</v>
      </c>
      <c r="Z123" s="120">
        <v>29676</v>
      </c>
      <c r="AA123" s="178">
        <f>(Z123/Z111-1)</f>
        <v>-4.6768598226904823E-2</v>
      </c>
      <c r="AB123" s="48">
        <v>28055</v>
      </c>
      <c r="AC123" s="172">
        <f t="shared" si="48"/>
        <v>0.1364741148829296</v>
      </c>
      <c r="AD123" s="48">
        <v>21125</v>
      </c>
      <c r="AE123" s="55">
        <f>(AD123-AD111)/AD111</f>
        <v>0.15626710454296661</v>
      </c>
      <c r="AF123" s="48">
        <v>2500</v>
      </c>
      <c r="AG123" s="55">
        <f t="shared" si="35"/>
        <v>8.6956521739130377E-2</v>
      </c>
      <c r="AH123" s="48">
        <v>15942</v>
      </c>
      <c r="AI123" s="55">
        <f t="shared" si="29"/>
        <v>0.1356318563897991</v>
      </c>
      <c r="AJ123" s="96">
        <f>45178-AJ120-AJ117-AJ114</f>
        <v>6375</v>
      </c>
      <c r="AK123" s="95">
        <f>(AJ123/AJ111-1)</f>
        <v>0.13393810032017073</v>
      </c>
      <c r="AL123" s="48">
        <v>4239</v>
      </c>
      <c r="AM123" s="91">
        <f t="shared" si="34"/>
        <v>0.39257555847568981</v>
      </c>
      <c r="AN123" s="118"/>
      <c r="AO123" s="189"/>
      <c r="AP123" s="63"/>
      <c r="AQ123" s="169"/>
      <c r="AR123" s="120">
        <v>0</v>
      </c>
      <c r="AS123" s="187" t="str">
        <f t="shared" si="55"/>
        <v>-</v>
      </c>
      <c r="AT123" s="118"/>
      <c r="AU123" s="141"/>
      <c r="AV123" s="118"/>
      <c r="AW123" s="119"/>
      <c r="AX123" s="118"/>
      <c r="AY123" s="163"/>
      <c r="AZ123" s="190" t="s">
        <v>81</v>
      </c>
      <c r="BA123" s="187" t="s">
        <v>80</v>
      </c>
      <c r="BB123" s="48"/>
      <c r="BC123" s="172"/>
    </row>
    <row r="124" spans="1:55" s="9" customFormat="1" ht="15.6">
      <c r="A124" s="184"/>
      <c r="B124" s="45" t="s">
        <v>54</v>
      </c>
      <c r="C124" s="48">
        <v>1154064</v>
      </c>
      <c r="D124" s="55">
        <f t="shared" si="46"/>
        <v>3.2673258467182678E-2</v>
      </c>
      <c r="E124" s="14"/>
      <c r="F124" s="48">
        <v>170901</v>
      </c>
      <c r="G124" s="55">
        <f t="shared" si="53"/>
        <v>-6.8948609968565625E-2</v>
      </c>
      <c r="H124" s="48">
        <v>312700</v>
      </c>
      <c r="I124" s="55">
        <f t="shared" si="50"/>
        <v>-2.5518341307814991E-3</v>
      </c>
      <c r="J124" s="48">
        <v>40717</v>
      </c>
      <c r="K124" s="55">
        <f t="shared" si="54"/>
        <v>0.77022738141819924</v>
      </c>
      <c r="L124" s="120">
        <v>95232</v>
      </c>
      <c r="M124" s="173">
        <f t="shared" si="51"/>
        <v>9.6624866134659898E-2</v>
      </c>
      <c r="N124" s="48">
        <v>113658</v>
      </c>
      <c r="O124" s="55">
        <f t="shared" si="40"/>
        <v>3.4787912998352107E-2</v>
      </c>
      <c r="P124" s="48">
        <v>64161</v>
      </c>
      <c r="Q124" s="55">
        <f t="shared" si="57"/>
        <v>7.3393114062970444E-2</v>
      </c>
      <c r="R124" s="120">
        <v>38505</v>
      </c>
      <c r="S124" s="91">
        <f t="shared" si="52"/>
        <v>0.11010205846739318</v>
      </c>
      <c r="T124" s="48">
        <v>40388</v>
      </c>
      <c r="U124" s="55">
        <f t="shared" si="42"/>
        <v>0.18746324826531813</v>
      </c>
      <c r="V124" s="48">
        <v>1224</v>
      </c>
      <c r="W124" s="55">
        <f t="shared" si="47"/>
        <v>0.40528128587830081</v>
      </c>
      <c r="X124" s="120">
        <v>78863</v>
      </c>
      <c r="Y124" s="55">
        <f t="shared" si="44"/>
        <v>-0.12038235031676636</v>
      </c>
      <c r="Z124" s="120">
        <v>34822</v>
      </c>
      <c r="AA124" s="178">
        <f>(Z124/Z112-1)</f>
        <v>0.15079810965332618</v>
      </c>
      <c r="AB124" s="48">
        <v>27866</v>
      </c>
      <c r="AC124" s="172">
        <f t="shared" si="48"/>
        <v>9.7432262129804714E-2</v>
      </c>
      <c r="AD124" s="48">
        <v>21018</v>
      </c>
      <c r="AE124" s="55">
        <f>(AD124-AD112)/AD112</f>
        <v>-6.457786283323691E-2</v>
      </c>
      <c r="AF124" s="48">
        <v>2300</v>
      </c>
      <c r="AG124" s="55">
        <f t="shared" si="35"/>
        <v>9.5238095238095344E-2</v>
      </c>
      <c r="AH124" s="48">
        <v>14298</v>
      </c>
      <c r="AI124" s="55">
        <f t="shared" si="29"/>
        <v>0.201209779047299</v>
      </c>
      <c r="AJ124" s="96"/>
      <c r="AK124" s="95"/>
      <c r="AL124" s="48">
        <v>3851</v>
      </c>
      <c r="AM124" s="91">
        <f t="shared" si="34"/>
        <v>0.36608726498758415</v>
      </c>
      <c r="AN124" s="118"/>
      <c r="AO124" s="189"/>
      <c r="AP124" s="63"/>
      <c r="AQ124" s="169"/>
      <c r="AR124" s="120">
        <v>0</v>
      </c>
      <c r="AS124" s="187" t="str">
        <f t="shared" si="55"/>
        <v>-</v>
      </c>
      <c r="AT124" s="118"/>
      <c r="AU124" s="141"/>
      <c r="AV124" s="118"/>
      <c r="AW124" s="119"/>
      <c r="AX124" s="118"/>
      <c r="AY124" s="163"/>
      <c r="AZ124" s="190" t="s">
        <v>81</v>
      </c>
      <c r="BA124" s="187" t="s">
        <v>80</v>
      </c>
      <c r="BB124" s="48"/>
      <c r="BC124" s="172"/>
    </row>
    <row r="125" spans="1:55" s="9" customFormat="1" ht="15.6">
      <c r="A125" s="191"/>
      <c r="B125" s="100" t="s">
        <v>55</v>
      </c>
      <c r="C125" s="101">
        <v>1204463</v>
      </c>
      <c r="D125" s="67">
        <f t="shared" si="46"/>
        <v>2.9481952528697317E-2</v>
      </c>
      <c r="E125" s="136"/>
      <c r="F125" s="101">
        <v>182846</v>
      </c>
      <c r="G125" s="67">
        <f t="shared" si="53"/>
        <v>-8.5541385346336582E-2</v>
      </c>
      <c r="H125" s="101">
        <v>276800</v>
      </c>
      <c r="I125" s="67">
        <f t="shared" si="50"/>
        <v>-1.5647226173541962E-2</v>
      </c>
      <c r="J125" s="101">
        <v>44269</v>
      </c>
      <c r="K125" s="67">
        <f t="shared" si="54"/>
        <v>0.81244626407369502</v>
      </c>
      <c r="L125" s="110">
        <v>107282</v>
      </c>
      <c r="M125" s="179">
        <f t="shared" si="51"/>
        <v>4.8443684339115563E-2</v>
      </c>
      <c r="N125" s="101">
        <v>114468</v>
      </c>
      <c r="O125" s="67">
        <f t="shared" si="40"/>
        <v>1.3349858356940509E-2</v>
      </c>
      <c r="P125" s="101">
        <v>65862</v>
      </c>
      <c r="Q125" s="67">
        <f t="shared" si="57"/>
        <v>1.3604604635415019E-2</v>
      </c>
      <c r="R125" s="110">
        <v>46412</v>
      </c>
      <c r="S125" s="104">
        <f t="shared" si="52"/>
        <v>5.1234428086070212E-2</v>
      </c>
      <c r="T125" s="101">
        <v>35986</v>
      </c>
      <c r="U125" s="180">
        <f t="shared" si="42"/>
        <v>0.15310176877723661</v>
      </c>
      <c r="V125" s="101">
        <v>1154</v>
      </c>
      <c r="W125" s="67">
        <f>(V125-V113)/V113</f>
        <v>0.24756756756756756</v>
      </c>
      <c r="X125" s="110">
        <v>96440</v>
      </c>
      <c r="Y125" s="67">
        <f t="shared" si="44"/>
        <v>-0.11573233573563657</v>
      </c>
      <c r="Z125" s="110">
        <v>52573</v>
      </c>
      <c r="AA125" s="180">
        <f t="shared" ref="AA125:AC160" si="59">Z125/Z113-1</f>
        <v>0.20718714121699189</v>
      </c>
      <c r="AB125" s="101">
        <v>29139</v>
      </c>
      <c r="AC125" s="180">
        <f t="shared" si="48"/>
        <v>0.20027186225645677</v>
      </c>
      <c r="AD125" s="101">
        <v>25502</v>
      </c>
      <c r="AE125" s="67">
        <f>(AD125/AD113-1)</f>
        <v>0.11474406609258203</v>
      </c>
      <c r="AF125" s="101">
        <v>1400</v>
      </c>
      <c r="AG125" s="67">
        <f t="shared" si="35"/>
        <v>7.6923076923076872E-2</v>
      </c>
      <c r="AH125" s="101">
        <v>13921</v>
      </c>
      <c r="AI125" s="67">
        <f t="shared" si="29"/>
        <v>0.24472460658082976</v>
      </c>
      <c r="AJ125" s="111"/>
      <c r="AK125" s="138"/>
      <c r="AL125" s="101">
        <v>3521</v>
      </c>
      <c r="AM125" s="104">
        <f t="shared" si="34"/>
        <v>0.46160232461602324</v>
      </c>
      <c r="AN125" s="123"/>
      <c r="AO125" s="192"/>
      <c r="AP125" s="130"/>
      <c r="AQ125" s="181"/>
      <c r="AR125" s="110">
        <v>0</v>
      </c>
      <c r="AS125" s="193" t="str">
        <f t="shared" si="55"/>
        <v>-</v>
      </c>
      <c r="AT125" s="123"/>
      <c r="AU125" s="144"/>
      <c r="AV125" s="123"/>
      <c r="AW125" s="124"/>
      <c r="AX125" s="123"/>
      <c r="AY125" s="182"/>
      <c r="AZ125" s="194" t="s">
        <v>80</v>
      </c>
      <c r="BA125" s="193" t="s">
        <v>80</v>
      </c>
      <c r="BB125" s="101"/>
      <c r="BC125" s="180"/>
    </row>
    <row r="126" spans="1:55" s="9" customFormat="1" ht="15.6">
      <c r="A126" s="60" t="s">
        <v>82</v>
      </c>
      <c r="B126" s="45" t="s">
        <v>79</v>
      </c>
      <c r="C126" s="48">
        <v>1468903</v>
      </c>
      <c r="D126" s="55">
        <f>(C126-C114)/C114</f>
        <v>3.0158496388246019E-2</v>
      </c>
      <c r="E126" s="14"/>
      <c r="F126" s="48">
        <v>255517</v>
      </c>
      <c r="G126" s="55">
        <f>(F126-F114)/F114</f>
        <v>8.9829221687651409E-2</v>
      </c>
      <c r="H126" s="48">
        <v>294000</v>
      </c>
      <c r="I126" s="55">
        <f t="shared" si="50"/>
        <v>-8.8372093023255813E-2</v>
      </c>
      <c r="J126" s="48">
        <v>59401</v>
      </c>
      <c r="K126" s="55">
        <f t="shared" si="54"/>
        <v>0.90822063028044586</v>
      </c>
      <c r="L126" s="48">
        <v>126829</v>
      </c>
      <c r="M126" s="55">
        <f>(L126-L114)/L114</f>
        <v>0.13150264521942384</v>
      </c>
      <c r="N126" s="48">
        <v>135598</v>
      </c>
      <c r="O126" s="55">
        <f t="shared" si="40"/>
        <v>-5.7030994652257666E-2</v>
      </c>
      <c r="P126" s="48">
        <v>65862</v>
      </c>
      <c r="Q126" s="91">
        <f>(P126-P114)/P114</f>
        <v>-0.21856127570209888</v>
      </c>
      <c r="R126" s="48">
        <v>59143</v>
      </c>
      <c r="S126" s="91">
        <f t="shared" si="52"/>
        <v>0.12293992557150452</v>
      </c>
      <c r="T126" s="188">
        <v>59745</v>
      </c>
      <c r="U126" s="55">
        <f t="shared" si="42"/>
        <v>0.1231741018555073</v>
      </c>
      <c r="V126" s="48">
        <v>1807</v>
      </c>
      <c r="W126" s="55">
        <f>(V126-V114)/V114</f>
        <v>0.26452064380685797</v>
      </c>
      <c r="X126" s="120">
        <v>118308</v>
      </c>
      <c r="Y126" s="55">
        <f t="shared" si="44"/>
        <v>-0.12360549357749229</v>
      </c>
      <c r="Z126" s="48">
        <v>77137</v>
      </c>
      <c r="AA126" s="173">
        <f t="shared" si="59"/>
        <v>8.9967500353256957E-2</v>
      </c>
      <c r="AB126" s="48">
        <v>33106</v>
      </c>
      <c r="AC126" s="55">
        <f t="shared" si="48"/>
        <v>4.4089819603885472E-2</v>
      </c>
      <c r="AD126" s="48">
        <v>42207</v>
      </c>
      <c r="AE126" s="55">
        <f>(AD126-AD114)/AD114</f>
        <v>0.35374302392712809</v>
      </c>
      <c r="AF126" s="48">
        <v>3700</v>
      </c>
      <c r="AG126" s="55">
        <f>(AF126/AF114-1)</f>
        <v>0</v>
      </c>
      <c r="AH126" s="48">
        <v>20035</v>
      </c>
      <c r="AI126" s="55">
        <f t="shared" si="29"/>
        <v>0.21203871748336359</v>
      </c>
      <c r="AJ126" s="87">
        <v>6112</v>
      </c>
      <c r="AK126" s="186">
        <f>(AJ126/AJ114-1)</f>
        <v>0.13711627906976753</v>
      </c>
      <c r="AL126" s="48">
        <v>2164</v>
      </c>
      <c r="AM126" s="91">
        <f t="shared" si="34"/>
        <v>0.53475177304964538</v>
      </c>
      <c r="AN126" s="118">
        <v>58472</v>
      </c>
      <c r="AO126" s="163">
        <f>AN126/SUM(AN114:AN125)-1</f>
        <v>6.4404558197109329E-2</v>
      </c>
      <c r="AP126" s="63">
        <v>106870</v>
      </c>
      <c r="AQ126" s="169">
        <f>(AP126/AP114-1)</f>
        <v>-5.1048224544703813E-2</v>
      </c>
      <c r="AR126" s="120">
        <v>0</v>
      </c>
      <c r="AS126" s="117" t="str">
        <f t="shared" si="55"/>
        <v>-</v>
      </c>
      <c r="AT126" s="118">
        <v>858</v>
      </c>
      <c r="AU126" s="141">
        <f>AT126/AT114-1</f>
        <v>0.43959731543624159</v>
      </c>
      <c r="AV126" s="118">
        <v>15366</v>
      </c>
      <c r="AW126" s="119">
        <f>AV126/AV114-1</f>
        <v>-0.17754108012631808</v>
      </c>
      <c r="AX126" s="118">
        <v>96085</v>
      </c>
      <c r="AY126" s="163">
        <f>(AX126/AX114-1)</f>
        <v>0.17464761182899546</v>
      </c>
      <c r="AZ126" s="190">
        <v>691</v>
      </c>
      <c r="BA126" s="55">
        <f t="shared" ref="BA126:BA133" si="60">(AZ126/AZ114-1)</f>
        <v>-0.78836140888208273</v>
      </c>
      <c r="BB126" s="48"/>
      <c r="BC126" s="55"/>
    </row>
    <row r="127" spans="1:55" s="9" customFormat="1" ht="15.6">
      <c r="A127" s="184"/>
      <c r="B127" s="45" t="s">
        <v>77</v>
      </c>
      <c r="C127" s="46">
        <v>1312683</v>
      </c>
      <c r="D127" s="55">
        <f t="shared" ref="D127:D137" si="61">C127/C115-1</f>
        <v>0.10792981472931884</v>
      </c>
      <c r="E127" s="14"/>
      <c r="F127" s="48">
        <v>231502</v>
      </c>
      <c r="G127" s="55">
        <f t="shared" ref="G127:G133" si="62">F127/F115-1</f>
        <v>-1.2321344767268205E-2</v>
      </c>
      <c r="H127" s="46">
        <v>321100</v>
      </c>
      <c r="I127" s="55">
        <f t="shared" si="50"/>
        <v>0.14311142755428979</v>
      </c>
      <c r="J127" s="46">
        <v>49583</v>
      </c>
      <c r="K127" s="55">
        <f t="shared" ref="K127:K166" si="63">J127/J115-1</f>
        <v>1.0549131750176137</v>
      </c>
      <c r="L127" s="50">
        <v>111257</v>
      </c>
      <c r="M127" s="55">
        <f t="shared" ref="M127:M166" si="64">L127/L115-1</f>
        <v>0.22632379524712309</v>
      </c>
      <c r="N127" s="46">
        <v>100650</v>
      </c>
      <c r="O127" s="55">
        <f t="shared" ref="O127:W169" si="65">N127/N115-1</f>
        <v>-9.1065074864088769E-2</v>
      </c>
      <c r="P127" s="46">
        <v>86616</v>
      </c>
      <c r="Q127" s="55">
        <f t="shared" ref="Q127:Q155" si="66">P127/P115-1</f>
        <v>0.19721346823685515</v>
      </c>
      <c r="R127" s="50">
        <v>52427</v>
      </c>
      <c r="S127" s="55">
        <f t="shared" ref="S127:S167" si="67">R127/R115-1</f>
        <v>0.33131030980192988</v>
      </c>
      <c r="T127" s="195">
        <v>51930</v>
      </c>
      <c r="U127" s="55">
        <f t="shared" si="42"/>
        <v>0.29085982748763328</v>
      </c>
      <c r="V127" s="46">
        <v>1263</v>
      </c>
      <c r="W127" s="55">
        <f t="shared" ref="W127:W167" si="68">V127/V115-1</f>
        <v>1.1927083333333335</v>
      </c>
      <c r="X127" s="50">
        <v>102523</v>
      </c>
      <c r="Y127" s="55">
        <f t="shared" si="44"/>
        <v>-3.3913797327604134E-2</v>
      </c>
      <c r="Z127" s="50">
        <v>64116</v>
      </c>
      <c r="AA127" s="173">
        <f t="shared" si="59"/>
        <v>0.29973646868031634</v>
      </c>
      <c r="AB127" s="46">
        <v>30182</v>
      </c>
      <c r="AC127" s="55">
        <f t="shared" si="48"/>
        <v>0.20179979294417461</v>
      </c>
      <c r="AD127" s="46">
        <v>35443</v>
      </c>
      <c r="AE127" s="55">
        <f t="shared" ref="AE127:AG162" si="69">AD127/AD115-1</f>
        <v>0.34269045724892977</v>
      </c>
      <c r="AF127" s="46">
        <v>4800</v>
      </c>
      <c r="AG127" s="55">
        <f t="shared" ref="AG127:AG149" si="70">AF127/AF115-1</f>
        <v>0.29729729729729737</v>
      </c>
      <c r="AH127" s="46">
        <v>19046</v>
      </c>
      <c r="AI127" s="55">
        <f t="shared" ref="AI127:AI168" si="71">AH127/AH115-1</f>
        <v>0.51954683261528634</v>
      </c>
      <c r="AJ127" s="96"/>
      <c r="AK127" s="186"/>
      <c r="AL127" s="46">
        <v>2171</v>
      </c>
      <c r="AM127" s="91">
        <f t="shared" si="34"/>
        <v>1.0676190476190475</v>
      </c>
      <c r="AN127" s="118"/>
      <c r="AO127" s="163"/>
      <c r="AP127" s="63"/>
      <c r="AQ127" s="169"/>
      <c r="AR127" s="120">
        <v>0</v>
      </c>
      <c r="AS127" s="196" t="str">
        <f t="shared" si="55"/>
        <v>-</v>
      </c>
      <c r="AT127" s="118"/>
      <c r="AU127" s="141"/>
      <c r="AV127" s="118"/>
      <c r="AW127" s="119"/>
      <c r="AX127" s="118"/>
      <c r="AY127" s="163"/>
      <c r="AZ127" s="190">
        <v>587</v>
      </c>
      <c r="BA127" s="55">
        <f t="shared" si="60"/>
        <v>-0.61758957654723123</v>
      </c>
      <c r="BB127" s="46"/>
      <c r="BC127" s="172"/>
    </row>
    <row r="128" spans="1:55" s="9" customFormat="1" ht="15.6">
      <c r="A128" s="184"/>
      <c r="B128" s="45" t="s">
        <v>45</v>
      </c>
      <c r="C128" s="46">
        <v>1150959</v>
      </c>
      <c r="D128" s="55">
        <f t="shared" si="61"/>
        <v>3.3226924824004023E-2</v>
      </c>
      <c r="E128" s="14"/>
      <c r="F128" s="48">
        <v>192078</v>
      </c>
      <c r="G128" s="55">
        <f t="shared" si="62"/>
        <v>-7.1844829085848438E-2</v>
      </c>
      <c r="H128" s="46">
        <v>294500</v>
      </c>
      <c r="I128" s="55">
        <f t="shared" si="50"/>
        <v>-6.5079365079365084E-2</v>
      </c>
      <c r="J128" s="46">
        <v>43509</v>
      </c>
      <c r="K128" s="55">
        <f t="shared" si="63"/>
        <v>0.79403760514596744</v>
      </c>
      <c r="L128" s="50">
        <v>95394</v>
      </c>
      <c r="M128" s="55">
        <f t="shared" si="64"/>
        <v>0.1940070593536436</v>
      </c>
      <c r="N128" s="46">
        <v>79481</v>
      </c>
      <c r="O128" s="55">
        <f t="shared" si="65"/>
        <v>-0.18046461751028531</v>
      </c>
      <c r="P128" s="46">
        <v>69603</v>
      </c>
      <c r="Q128" s="55">
        <f t="shared" si="66"/>
        <v>2.7426378330503987E-2</v>
      </c>
      <c r="R128" s="50">
        <v>40625</v>
      </c>
      <c r="S128" s="55">
        <f t="shared" si="67"/>
        <v>0.10436035448268366</v>
      </c>
      <c r="T128" s="195">
        <v>40995</v>
      </c>
      <c r="U128" s="55">
        <f t="shared" si="42"/>
        <v>0.11535845463202285</v>
      </c>
      <c r="V128" s="46">
        <v>1033</v>
      </c>
      <c r="W128" s="55">
        <f t="shared" si="68"/>
        <v>-0.23424759080800595</v>
      </c>
      <c r="X128" s="50">
        <v>79408</v>
      </c>
      <c r="Y128" s="55">
        <f t="shared" si="44"/>
        <v>-9.0796674986832748E-2</v>
      </c>
      <c r="Z128" s="50">
        <v>36463</v>
      </c>
      <c r="AA128" s="173">
        <f t="shared" si="59"/>
        <v>-0.13123347072978964</v>
      </c>
      <c r="AB128" s="46">
        <v>25711</v>
      </c>
      <c r="AC128" s="55">
        <f t="shared" si="48"/>
        <v>2.5036877566479321E-2</v>
      </c>
      <c r="AD128" s="46">
        <v>31364</v>
      </c>
      <c r="AE128" s="55">
        <f t="shared" si="69"/>
        <v>0.43083941605839415</v>
      </c>
      <c r="AF128" s="46">
        <v>2500</v>
      </c>
      <c r="AG128" s="55">
        <f t="shared" si="70"/>
        <v>0.19047619047619047</v>
      </c>
      <c r="AH128" s="46">
        <v>19768</v>
      </c>
      <c r="AI128" s="55">
        <f t="shared" si="71"/>
        <v>0.39555241793152129</v>
      </c>
      <c r="AJ128" s="96"/>
      <c r="AK128" s="186"/>
      <c r="AL128" s="46">
        <v>2611</v>
      </c>
      <c r="AM128" s="91">
        <f t="shared" si="34"/>
        <v>0.38735387885228478</v>
      </c>
      <c r="AN128" s="118"/>
      <c r="AO128" s="163"/>
      <c r="AP128" s="63"/>
      <c r="AQ128" s="169"/>
      <c r="AR128" s="120">
        <v>0</v>
      </c>
      <c r="AS128" s="196" t="str">
        <f t="shared" si="55"/>
        <v>-</v>
      </c>
      <c r="AT128" s="118"/>
      <c r="AU128" s="141"/>
      <c r="AV128" s="118"/>
      <c r="AW128" s="119"/>
      <c r="AX128" s="118"/>
      <c r="AY128" s="163"/>
      <c r="AZ128" s="197">
        <v>1317</v>
      </c>
      <c r="BA128" s="55">
        <f t="shared" si="60"/>
        <v>-7.9664570230607912E-2</v>
      </c>
      <c r="BB128" s="46"/>
      <c r="BC128" s="172"/>
    </row>
    <row r="129" spans="1:55" s="9" customFormat="1" ht="15.6">
      <c r="A129" s="184"/>
      <c r="B129" s="171" t="s">
        <v>46</v>
      </c>
      <c r="C129" s="46">
        <v>1179885</v>
      </c>
      <c r="D129" s="55">
        <f t="shared" si="61"/>
        <v>7.514442966229895E-2</v>
      </c>
      <c r="E129" s="14"/>
      <c r="F129" s="48">
        <v>193998</v>
      </c>
      <c r="G129" s="55">
        <f t="shared" si="62"/>
        <v>-5.0095725876344699E-2</v>
      </c>
      <c r="H129" s="46">
        <v>324800</v>
      </c>
      <c r="I129" s="55">
        <f t="shared" si="50"/>
        <v>1.5317286652078774E-2</v>
      </c>
      <c r="J129" s="46">
        <v>37875</v>
      </c>
      <c r="K129" s="55">
        <f t="shared" si="63"/>
        <v>0.695996775926921</v>
      </c>
      <c r="L129" s="50">
        <v>87263</v>
      </c>
      <c r="M129" s="55">
        <f t="shared" si="64"/>
        <v>0.17359962342814872</v>
      </c>
      <c r="N129" s="46">
        <v>77026</v>
      </c>
      <c r="O129" s="55">
        <f t="shared" si="65"/>
        <v>-8.9193439676477193E-2</v>
      </c>
      <c r="P129" s="46">
        <v>60301</v>
      </c>
      <c r="Q129" s="55">
        <f t="shared" si="66"/>
        <v>8.2214644651830593E-2</v>
      </c>
      <c r="R129" s="50">
        <v>33975</v>
      </c>
      <c r="S129" s="55">
        <f t="shared" si="67"/>
        <v>0.10971387509798802</v>
      </c>
      <c r="T129" s="195">
        <v>36247</v>
      </c>
      <c r="U129" s="55">
        <f t="shared" si="42"/>
        <v>0.15819913087934559</v>
      </c>
      <c r="V129" s="46">
        <v>761</v>
      </c>
      <c r="W129" s="55">
        <f t="shared" si="68"/>
        <v>-6.5110565110565122E-2</v>
      </c>
      <c r="X129" s="50">
        <v>73984</v>
      </c>
      <c r="Y129" s="55">
        <f t="shared" si="44"/>
        <v>-5.3198704905235372E-2</v>
      </c>
      <c r="Z129" s="50">
        <v>25558</v>
      </c>
      <c r="AA129" s="173">
        <f t="shared" si="59"/>
        <v>-0.11392317293024545</v>
      </c>
      <c r="AB129" s="46">
        <v>25379</v>
      </c>
      <c r="AC129" s="55">
        <f t="shared" si="48"/>
        <v>6.2549717395855131E-2</v>
      </c>
      <c r="AD129" s="46">
        <v>24739</v>
      </c>
      <c r="AE129" s="55">
        <f t="shared" si="69"/>
        <v>0.41486988847583639</v>
      </c>
      <c r="AF129" s="46">
        <v>1700</v>
      </c>
      <c r="AG129" s="55">
        <f t="shared" si="70"/>
        <v>-0.43333333333333335</v>
      </c>
      <c r="AH129" s="46">
        <v>20917</v>
      </c>
      <c r="AI129" s="55">
        <f t="shared" si="71"/>
        <v>0.22925481899388811</v>
      </c>
      <c r="AJ129" s="96">
        <f>15222-AJ126</f>
        <v>9110</v>
      </c>
      <c r="AK129" s="186">
        <f>(AJ129/AJ117-1)</f>
        <v>-0.1306422368546617</v>
      </c>
      <c r="AL129" s="46">
        <v>3428</v>
      </c>
      <c r="AM129" s="91">
        <f t="shared" si="34"/>
        <v>0.33437135072012447</v>
      </c>
      <c r="AN129" s="118"/>
      <c r="AO129" s="163"/>
      <c r="AP129" s="63"/>
      <c r="AQ129" s="169"/>
      <c r="AR129" s="120">
        <v>0</v>
      </c>
      <c r="AS129" s="196" t="str">
        <f t="shared" si="55"/>
        <v>-</v>
      </c>
      <c r="AT129" s="118"/>
      <c r="AU129" s="141"/>
      <c r="AV129" s="118"/>
      <c r="AW129" s="119"/>
      <c r="AX129" s="118"/>
      <c r="AY129" s="163"/>
      <c r="AZ129" s="197">
        <v>1594</v>
      </c>
      <c r="BA129" s="55">
        <f t="shared" si="60"/>
        <v>0.2443403590944575</v>
      </c>
      <c r="BB129" s="46"/>
      <c r="BC129" s="172"/>
    </row>
    <row r="130" spans="1:55" s="9" customFormat="1" ht="15.6">
      <c r="A130" s="184"/>
      <c r="B130" s="45" t="s">
        <v>47</v>
      </c>
      <c r="C130" s="46">
        <v>1223003</v>
      </c>
      <c r="D130" s="55">
        <f t="shared" si="61"/>
        <v>3.1717429907921701E-2</v>
      </c>
      <c r="E130" s="14"/>
      <c r="F130" s="48">
        <v>195263</v>
      </c>
      <c r="G130" s="55">
        <f t="shared" si="62"/>
        <v>-0.14609262255652244</v>
      </c>
      <c r="H130" s="46">
        <v>352000</v>
      </c>
      <c r="I130" s="55">
        <f t="shared" si="50"/>
        <v>8.6419753086419748E-2</v>
      </c>
      <c r="J130" s="46">
        <v>38616</v>
      </c>
      <c r="K130" s="55">
        <f t="shared" si="63"/>
        <v>0.66778958279346989</v>
      </c>
      <c r="L130" s="50">
        <v>93339</v>
      </c>
      <c r="M130" s="55">
        <f t="shared" si="64"/>
        <v>0.16011036951415036</v>
      </c>
      <c r="N130" s="46">
        <v>74905</v>
      </c>
      <c r="O130" s="55">
        <f t="shared" si="65"/>
        <v>-0.15789769533445752</v>
      </c>
      <c r="P130" s="46">
        <v>56187</v>
      </c>
      <c r="Q130" s="55">
        <f t="shared" si="66"/>
        <v>9.9528384963112337E-2</v>
      </c>
      <c r="R130" s="50">
        <v>39798</v>
      </c>
      <c r="S130" s="55">
        <f t="shared" si="67"/>
        <v>0.20188445625585127</v>
      </c>
      <c r="T130" s="195">
        <v>41946</v>
      </c>
      <c r="U130" s="55">
        <f t="shared" si="42"/>
        <v>0.2389166199013498</v>
      </c>
      <c r="V130" s="46">
        <v>720</v>
      </c>
      <c r="W130" s="55">
        <f t="shared" si="68"/>
        <v>2.1276595744680771E-2</v>
      </c>
      <c r="X130" s="50">
        <v>79054</v>
      </c>
      <c r="Y130" s="55">
        <f t="shared" si="44"/>
        <v>-4.5172355484697002E-2</v>
      </c>
      <c r="Z130" s="50">
        <v>18120</v>
      </c>
      <c r="AA130" s="173">
        <f t="shared" si="59"/>
        <v>-0.25551583877727102</v>
      </c>
      <c r="AB130" s="46">
        <v>24351</v>
      </c>
      <c r="AC130" s="55">
        <f t="shared" si="48"/>
        <v>9.0896873040050119E-2</v>
      </c>
      <c r="AD130" s="46">
        <v>29449</v>
      </c>
      <c r="AE130" s="55">
        <f t="shared" si="69"/>
        <v>0.5015806648990413</v>
      </c>
      <c r="AF130" s="46">
        <v>2300</v>
      </c>
      <c r="AG130" s="55">
        <f t="shared" si="70"/>
        <v>4.5454545454545414E-2</v>
      </c>
      <c r="AH130" s="46">
        <v>21772</v>
      </c>
      <c r="AI130" s="55">
        <f t="shared" si="71"/>
        <v>0.22397121655048347</v>
      </c>
      <c r="AJ130" s="96"/>
      <c r="AK130" s="186"/>
      <c r="AL130" s="46">
        <v>3642</v>
      </c>
      <c r="AM130" s="91">
        <f t="shared" si="34"/>
        <v>0.33455478197141808</v>
      </c>
      <c r="AN130" s="118"/>
      <c r="AO130" s="163"/>
      <c r="AP130" s="63"/>
      <c r="AQ130" s="169"/>
      <c r="AR130" s="120">
        <v>0</v>
      </c>
      <c r="AS130" s="196" t="str">
        <f t="shared" si="55"/>
        <v>-</v>
      </c>
      <c r="AT130" s="118"/>
      <c r="AU130" s="141"/>
      <c r="AV130" s="118"/>
      <c r="AW130" s="119"/>
      <c r="AX130" s="118"/>
      <c r="AY130" s="163"/>
      <c r="AZ130" s="197">
        <v>1003</v>
      </c>
      <c r="BA130" s="55">
        <f t="shared" si="60"/>
        <v>0.25062344139650872</v>
      </c>
      <c r="BB130" s="46"/>
      <c r="BC130" s="172"/>
    </row>
    <row r="131" spans="1:55" s="9" customFormat="1" ht="15.6">
      <c r="A131" s="184"/>
      <c r="B131" s="171" t="s">
        <v>49</v>
      </c>
      <c r="C131" s="46">
        <v>1270439</v>
      </c>
      <c r="D131" s="55">
        <f t="shared" si="61"/>
        <v>4.0072337823201298E-2</v>
      </c>
      <c r="E131" s="14"/>
      <c r="F131" s="48">
        <v>207588</v>
      </c>
      <c r="G131" s="55">
        <f t="shared" si="62"/>
        <v>-1.8334003262951315E-2</v>
      </c>
      <c r="H131" s="46">
        <v>354400</v>
      </c>
      <c r="I131" s="55">
        <f t="shared" si="50"/>
        <v>4.7281323877068557E-2</v>
      </c>
      <c r="J131" s="46">
        <v>33830</v>
      </c>
      <c r="K131" s="55">
        <f t="shared" si="63"/>
        <v>0.59839357429718865</v>
      </c>
      <c r="L131" s="50">
        <v>96255</v>
      </c>
      <c r="M131" s="55">
        <f t="shared" si="64"/>
        <v>0.24498797113071369</v>
      </c>
      <c r="N131" s="46">
        <v>65534</v>
      </c>
      <c r="O131" s="55">
        <f t="shared" si="65"/>
        <v>-0.31088654980599162</v>
      </c>
      <c r="P131" s="46">
        <v>50650</v>
      </c>
      <c r="Q131" s="55">
        <f t="shared" si="66"/>
        <v>-7.3582938561995825E-2</v>
      </c>
      <c r="R131" s="50">
        <v>41786</v>
      </c>
      <c r="S131" s="55">
        <f t="shared" si="67"/>
        <v>0.24474232946082819</v>
      </c>
      <c r="T131" s="195">
        <v>37589</v>
      </c>
      <c r="U131" s="55">
        <f t="shared" si="42"/>
        <v>3.2409569062594415E-2</v>
      </c>
      <c r="V131" s="46">
        <v>889</v>
      </c>
      <c r="W131" s="55">
        <f t="shared" si="68"/>
        <v>0.19328859060402692</v>
      </c>
      <c r="X131" s="50">
        <v>94694</v>
      </c>
      <c r="Y131" s="55">
        <f t="shared" si="44"/>
        <v>-1.2503519547829356E-2</v>
      </c>
      <c r="Z131" s="50">
        <v>20661</v>
      </c>
      <c r="AA131" s="173">
        <f t="shared" si="59"/>
        <v>-0.15083638157083556</v>
      </c>
      <c r="AB131" s="46">
        <v>26283</v>
      </c>
      <c r="AC131" s="55">
        <f t="shared" si="48"/>
        <v>-2.5689501779359469E-2</v>
      </c>
      <c r="AD131" s="46">
        <v>25881</v>
      </c>
      <c r="AE131" s="55">
        <f t="shared" si="69"/>
        <v>0.55684552454282965</v>
      </c>
      <c r="AF131" s="46">
        <v>1500</v>
      </c>
      <c r="AG131" s="55">
        <f t="shared" si="70"/>
        <v>-0.16666666666666663</v>
      </c>
      <c r="AH131" s="46">
        <v>20637</v>
      </c>
      <c r="AI131" s="55">
        <f t="shared" si="71"/>
        <v>0.38438317568927349</v>
      </c>
      <c r="AJ131" s="96"/>
      <c r="AK131" s="186"/>
      <c r="AL131" s="46">
        <v>3142</v>
      </c>
      <c r="AM131" s="91">
        <f t="shared" si="34"/>
        <v>0.28140293637846647</v>
      </c>
      <c r="AN131" s="118"/>
      <c r="AO131" s="163"/>
      <c r="AP131" s="63"/>
      <c r="AQ131" s="169"/>
      <c r="AR131" s="120">
        <v>77</v>
      </c>
      <c r="AS131" s="117" t="str">
        <f t="shared" si="55"/>
        <v>-</v>
      </c>
      <c r="AT131" s="118"/>
      <c r="AU131" s="141"/>
      <c r="AV131" s="118"/>
      <c r="AW131" s="119"/>
      <c r="AX131" s="118"/>
      <c r="AY131" s="163"/>
      <c r="AZ131" s="197">
        <v>579</v>
      </c>
      <c r="BA131" s="55">
        <f t="shared" si="60"/>
        <v>-0.3180212014134276</v>
      </c>
      <c r="BB131" s="46"/>
      <c r="BC131" s="172"/>
    </row>
    <row r="132" spans="1:55" s="9" customFormat="1" ht="15.6">
      <c r="A132" s="184"/>
      <c r="B132" s="45" t="s">
        <v>50</v>
      </c>
      <c r="C132" s="46">
        <v>1454795</v>
      </c>
      <c r="D132" s="55">
        <f t="shared" si="61"/>
        <v>2.6366882974865558E-2</v>
      </c>
      <c r="E132" s="14"/>
      <c r="F132" s="48">
        <v>250741</v>
      </c>
      <c r="G132" s="55">
        <f t="shared" si="62"/>
        <v>2.766074297517962E-2</v>
      </c>
      <c r="H132" s="46">
        <v>361400</v>
      </c>
      <c r="I132" s="55">
        <f t="shared" si="50"/>
        <v>1.4883459702330806E-2</v>
      </c>
      <c r="J132" s="46">
        <v>36886</v>
      </c>
      <c r="K132" s="55">
        <f t="shared" si="63"/>
        <v>0.60199782844733996</v>
      </c>
      <c r="L132" s="50">
        <v>106211</v>
      </c>
      <c r="M132" s="55">
        <f t="shared" si="64"/>
        <v>0.25279845244695021</v>
      </c>
      <c r="N132" s="46">
        <v>89189</v>
      </c>
      <c r="O132" s="55">
        <f t="shared" si="65"/>
        <v>-0.21863419335056289</v>
      </c>
      <c r="P132" s="46">
        <v>56450</v>
      </c>
      <c r="Q132" s="55">
        <f t="shared" si="66"/>
        <v>5.9715782162233166E-2</v>
      </c>
      <c r="R132" s="50">
        <v>47783</v>
      </c>
      <c r="S132" s="55">
        <f t="shared" si="67"/>
        <v>0.24383069554352343</v>
      </c>
      <c r="T132" s="195">
        <v>46666</v>
      </c>
      <c r="U132" s="55">
        <f t="shared" si="42"/>
        <v>0.11340156991864099</v>
      </c>
      <c r="V132" s="46">
        <v>1247</v>
      </c>
      <c r="W132" s="55">
        <f t="shared" si="68"/>
        <v>8.5291557876414181E-2</v>
      </c>
      <c r="X132" s="50">
        <v>114257</v>
      </c>
      <c r="Y132" s="55">
        <f t="shared" si="44"/>
        <v>-6.1282000722994501E-2</v>
      </c>
      <c r="Z132" s="50">
        <v>25860</v>
      </c>
      <c r="AA132" s="173">
        <f t="shared" si="59"/>
        <v>-0.40835983435905654</v>
      </c>
      <c r="AB132" s="46">
        <v>26586</v>
      </c>
      <c r="AC132" s="55">
        <f t="shared" si="48"/>
        <v>-9.6236869837168948E-2</v>
      </c>
      <c r="AD132" s="46">
        <v>35262</v>
      </c>
      <c r="AE132" s="55">
        <f t="shared" si="69"/>
        <v>0.12766229613047653</v>
      </c>
      <c r="AF132" s="46">
        <v>900</v>
      </c>
      <c r="AG132" s="55">
        <f t="shared" si="70"/>
        <v>-0.47058823529411764</v>
      </c>
      <c r="AH132" s="46">
        <v>23933</v>
      </c>
      <c r="AI132" s="55">
        <f t="shared" si="71"/>
        <v>0.57453947368421043</v>
      </c>
      <c r="AJ132" s="96">
        <f>39370-AJ129-AJ126</f>
        <v>24148</v>
      </c>
      <c r="AK132" s="186">
        <f>(AJ132/AJ120-1)</f>
        <v>5.2246285241186907E-2</v>
      </c>
      <c r="AL132" s="46">
        <v>2033</v>
      </c>
      <c r="AM132" s="91">
        <f t="shared" si="34"/>
        <v>9.8473658296405198E-4</v>
      </c>
      <c r="AN132" s="118"/>
      <c r="AO132" s="163"/>
      <c r="AP132" s="63"/>
      <c r="AQ132" s="169"/>
      <c r="AR132" s="120">
        <v>0</v>
      </c>
      <c r="AS132" s="196" t="str">
        <f t="shared" si="55"/>
        <v>-</v>
      </c>
      <c r="AT132" s="118"/>
      <c r="AU132" s="141"/>
      <c r="AV132" s="118"/>
      <c r="AW132" s="119"/>
      <c r="AX132" s="118"/>
      <c r="AY132" s="163"/>
      <c r="AZ132" s="198">
        <v>1202</v>
      </c>
      <c r="BA132" s="55">
        <f t="shared" si="60"/>
        <v>-0.17501715854495536</v>
      </c>
      <c r="BB132" s="46"/>
      <c r="BC132" s="172"/>
    </row>
    <row r="133" spans="1:55" s="9" customFormat="1" ht="15.6">
      <c r="A133" s="184"/>
      <c r="B133" s="171" t="s">
        <v>51</v>
      </c>
      <c r="C133" s="46">
        <v>1547193</v>
      </c>
      <c r="D133" s="55">
        <f t="shared" si="61"/>
        <v>9.9494309920650226E-2</v>
      </c>
      <c r="E133" s="14"/>
      <c r="F133" s="48">
        <v>251428</v>
      </c>
      <c r="G133" s="55">
        <f t="shared" si="62"/>
        <v>0.16673008566204794</v>
      </c>
      <c r="H133" s="46">
        <v>404900</v>
      </c>
      <c r="I133" s="55">
        <f t="shared" si="50"/>
        <v>3.2118276828957432E-2</v>
      </c>
      <c r="J133" s="46">
        <v>43865</v>
      </c>
      <c r="K133" s="55">
        <f t="shared" si="63"/>
        <v>0.4892208453573248</v>
      </c>
      <c r="L133" s="50">
        <v>124746</v>
      </c>
      <c r="M133" s="55">
        <f t="shared" si="64"/>
        <v>0.19850122496036904</v>
      </c>
      <c r="N133" s="46">
        <v>114458</v>
      </c>
      <c r="O133" s="55">
        <f t="shared" si="65"/>
        <v>-0.10692717030008891</v>
      </c>
      <c r="P133" s="46">
        <v>87457</v>
      </c>
      <c r="Q133" s="55">
        <f t="shared" si="66"/>
        <v>0.34233266311604993</v>
      </c>
      <c r="R133" s="50">
        <v>58115</v>
      </c>
      <c r="S133" s="55">
        <f t="shared" si="67"/>
        <v>0.20084719495815673</v>
      </c>
      <c r="T133" s="195">
        <v>56623</v>
      </c>
      <c r="U133" s="55">
        <f t="shared" si="42"/>
        <v>0.23130952898708301</v>
      </c>
      <c r="V133" s="46">
        <v>1109</v>
      </c>
      <c r="W133" s="55">
        <f t="shared" si="68"/>
        <v>-7.7371048252911856E-2</v>
      </c>
      <c r="X133" s="50">
        <v>121624</v>
      </c>
      <c r="Y133" s="172">
        <f t="shared" si="44"/>
        <v>5.6405802136715089E-2</v>
      </c>
      <c r="Z133" s="50">
        <v>27233</v>
      </c>
      <c r="AA133" s="173">
        <f t="shared" si="59"/>
        <v>1.0626372794061956</v>
      </c>
      <c r="AB133" s="46">
        <v>28249</v>
      </c>
      <c r="AC133" s="55">
        <f t="shared" si="48"/>
        <v>4.2660599381421083E-3</v>
      </c>
      <c r="AD133" s="46">
        <v>43127</v>
      </c>
      <c r="AE133" s="55">
        <f t="shared" si="69"/>
        <v>0.93247300264372446</v>
      </c>
      <c r="AF133" s="46">
        <v>400</v>
      </c>
      <c r="AG133" s="55">
        <f t="shared" si="70"/>
        <v>-0.78947368421052633</v>
      </c>
      <c r="AH133" s="46">
        <v>23322</v>
      </c>
      <c r="AI133" s="55">
        <f t="shared" si="71"/>
        <v>0.34196443984118763</v>
      </c>
      <c r="AJ133" s="96"/>
      <c r="AK133" s="186"/>
      <c r="AL133" s="46">
        <v>2146</v>
      </c>
      <c r="AM133" s="91">
        <f t="shared" si="34"/>
        <v>7.4074074074074181E-2</v>
      </c>
      <c r="AN133" s="118"/>
      <c r="AO133" s="163"/>
      <c r="AP133" s="63"/>
      <c r="AQ133" s="169"/>
      <c r="AR133" s="120">
        <v>0</v>
      </c>
      <c r="AS133" s="196" t="str">
        <f t="shared" si="55"/>
        <v>-</v>
      </c>
      <c r="AT133" s="118"/>
      <c r="AU133" s="141"/>
      <c r="AV133" s="118"/>
      <c r="AW133" s="119"/>
      <c r="AX133" s="118"/>
      <c r="AY133" s="163"/>
      <c r="AZ133" s="197">
        <v>1304</v>
      </c>
      <c r="BA133" s="55">
        <f t="shared" si="60"/>
        <v>-8.1042988019732198E-2</v>
      </c>
      <c r="BB133" s="46"/>
      <c r="BC133" s="172"/>
    </row>
    <row r="134" spans="1:55" s="9" customFormat="1" ht="15.6">
      <c r="A134" s="184"/>
      <c r="B134" s="171" t="s">
        <v>52</v>
      </c>
      <c r="C134" s="46">
        <v>1321293</v>
      </c>
      <c r="D134" s="55">
        <f t="shared" si="61"/>
        <v>0.10546435103301599</v>
      </c>
      <c r="E134" s="14"/>
      <c r="F134" s="48">
        <v>217689</v>
      </c>
      <c r="G134" s="55">
        <f>F134/F122-1</f>
        <v>0.32334543067131105</v>
      </c>
      <c r="H134" s="46">
        <v>369300</v>
      </c>
      <c r="I134" s="55">
        <f t="shared" si="50"/>
        <v>9.0667454223272298E-2</v>
      </c>
      <c r="J134" s="46">
        <v>37632</v>
      </c>
      <c r="K134" s="55">
        <f t="shared" si="63"/>
        <v>0.23875045261529348</v>
      </c>
      <c r="L134" s="50">
        <v>101550</v>
      </c>
      <c r="M134" s="55">
        <f t="shared" si="64"/>
        <v>0.18550081718421674</v>
      </c>
      <c r="N134" s="46">
        <v>81366</v>
      </c>
      <c r="O134" s="55">
        <f t="shared" si="65"/>
        <v>-0.13684679523900456</v>
      </c>
      <c r="P134" s="46">
        <v>68983</v>
      </c>
      <c r="Q134" s="55">
        <f t="shared" si="66"/>
        <v>0.19380797452582033</v>
      </c>
      <c r="R134" s="50">
        <v>46812</v>
      </c>
      <c r="S134" s="55">
        <f t="shared" si="67"/>
        <v>0.23919949174078781</v>
      </c>
      <c r="T134" s="195">
        <v>39276</v>
      </c>
      <c r="U134" s="55">
        <f t="shared" si="42"/>
        <v>0.10328941824208546</v>
      </c>
      <c r="V134" s="46">
        <v>770</v>
      </c>
      <c r="W134" s="55">
        <f t="shared" si="68"/>
        <v>0.10157367668097272</v>
      </c>
      <c r="X134" s="50">
        <v>82098</v>
      </c>
      <c r="Y134" s="172">
        <f t="shared" si="44"/>
        <v>-5.3658086752043199E-2</v>
      </c>
      <c r="Z134" s="50">
        <v>21600</v>
      </c>
      <c r="AA134" s="173">
        <f t="shared" si="59"/>
        <v>7.4156988946409985E-3</v>
      </c>
      <c r="AB134" s="46">
        <v>24769</v>
      </c>
      <c r="AC134" s="55">
        <f t="shared" si="48"/>
        <v>-7.8054046006104327E-2</v>
      </c>
      <c r="AD134" s="46">
        <v>27297</v>
      </c>
      <c r="AE134" s="55">
        <f t="shared" si="69"/>
        <v>0.35307821949043317</v>
      </c>
      <c r="AF134" s="46">
        <v>800</v>
      </c>
      <c r="AG134" s="55">
        <f t="shared" si="70"/>
        <v>-0.52941176470588236</v>
      </c>
      <c r="AH134" s="46">
        <v>21099</v>
      </c>
      <c r="AI134" s="55">
        <f t="shared" si="71"/>
        <v>0.21538018433179729</v>
      </c>
      <c r="AJ134" s="96"/>
      <c r="AK134" s="186"/>
      <c r="AL134" s="46">
        <v>3229</v>
      </c>
      <c r="AM134" s="91">
        <f t="shared" si="34"/>
        <v>0.25446775446775449</v>
      </c>
      <c r="AN134" s="118"/>
      <c r="AO134" s="163"/>
      <c r="AP134" s="63"/>
      <c r="AQ134" s="169"/>
      <c r="AR134" s="120">
        <v>0</v>
      </c>
      <c r="AS134" s="196" t="str">
        <f t="shared" si="55"/>
        <v>-</v>
      </c>
      <c r="AT134" s="118"/>
      <c r="AU134" s="141"/>
      <c r="AV134" s="118"/>
      <c r="AW134" s="119"/>
      <c r="AX134" s="118"/>
      <c r="AY134" s="163"/>
      <c r="AZ134" s="199">
        <v>715</v>
      </c>
      <c r="BA134" s="187" t="s">
        <v>81</v>
      </c>
      <c r="BB134" s="46"/>
      <c r="BC134" s="172"/>
    </row>
    <row r="135" spans="1:55" s="9" customFormat="1" ht="15.6">
      <c r="A135" s="184"/>
      <c r="B135" s="45" t="s">
        <v>53</v>
      </c>
      <c r="C135" s="46">
        <v>1432100</v>
      </c>
      <c r="D135" s="55">
        <f t="shared" si="61"/>
        <v>0.15571810517430196</v>
      </c>
      <c r="E135" s="14"/>
      <c r="F135" s="48">
        <v>249577</v>
      </c>
      <c r="G135" s="55">
        <f>F135/F123-1</f>
        <v>0.57687666247559588</v>
      </c>
      <c r="H135" s="46">
        <v>413900</v>
      </c>
      <c r="I135" s="55">
        <f t="shared" si="50"/>
        <v>5.6406329760081676E-2</v>
      </c>
      <c r="J135" s="46">
        <v>47984</v>
      </c>
      <c r="K135" s="55">
        <f t="shared" si="63"/>
        <v>0.28660678375117299</v>
      </c>
      <c r="L135" s="50">
        <v>103413</v>
      </c>
      <c r="M135" s="55">
        <f t="shared" si="64"/>
        <v>0.12807618465834714</v>
      </c>
      <c r="N135" s="46">
        <v>93900</v>
      </c>
      <c r="O135" s="55">
        <f t="shared" si="65"/>
        <v>-0.15029545104923581</v>
      </c>
      <c r="P135" s="46">
        <v>69608</v>
      </c>
      <c r="Q135" s="55">
        <f t="shared" si="66"/>
        <v>0.22921522921522919</v>
      </c>
      <c r="R135" s="50">
        <v>45119</v>
      </c>
      <c r="S135" s="55">
        <f t="shared" si="67"/>
        <v>0.16791778836197979</v>
      </c>
      <c r="T135" s="195">
        <v>44810</v>
      </c>
      <c r="U135" s="55">
        <f t="shared" si="42"/>
        <v>0.11587020942799511</v>
      </c>
      <c r="V135" s="46">
        <v>1221</v>
      </c>
      <c r="W135" s="55">
        <f t="shared" si="68"/>
        <v>5.1679586563307511E-2</v>
      </c>
      <c r="X135" s="200">
        <v>92339</v>
      </c>
      <c r="Y135" s="172">
        <f t="shared" si="44"/>
        <v>0.13153605783959321</v>
      </c>
      <c r="Z135" s="50">
        <v>28159</v>
      </c>
      <c r="AA135" s="173">
        <f t="shared" si="59"/>
        <v>-5.1118749157568422E-2</v>
      </c>
      <c r="AB135" s="46">
        <v>29906</v>
      </c>
      <c r="AC135" s="55">
        <f t="shared" si="48"/>
        <v>6.5977544109784292E-2</v>
      </c>
      <c r="AD135" s="46">
        <v>30724</v>
      </c>
      <c r="AE135" s="55">
        <f t="shared" si="69"/>
        <v>0.45439053254437867</v>
      </c>
      <c r="AF135" s="46">
        <v>1100</v>
      </c>
      <c r="AG135" s="55">
        <f t="shared" si="70"/>
        <v>-0.56000000000000005</v>
      </c>
      <c r="AH135" s="46">
        <v>22860</v>
      </c>
      <c r="AI135" s="55">
        <f t="shared" si="71"/>
        <v>0.43394806172374856</v>
      </c>
      <c r="AJ135" s="96">
        <f>45476-AJ132-AJ129-AJ126</f>
        <v>6106</v>
      </c>
      <c r="AK135" s="186">
        <f>(AJ135/AJ123-1)</f>
        <v>-4.2196078431372519E-2</v>
      </c>
      <c r="AL135" s="46">
        <v>3748</v>
      </c>
      <c r="AM135" s="91">
        <f t="shared" si="34"/>
        <v>-0.11582920500117955</v>
      </c>
      <c r="AN135" s="118"/>
      <c r="AO135" s="163"/>
      <c r="AP135" s="63"/>
      <c r="AQ135" s="169"/>
      <c r="AR135" s="120">
        <v>0</v>
      </c>
      <c r="AS135" s="196" t="str">
        <f t="shared" si="55"/>
        <v>-</v>
      </c>
      <c r="AT135" s="118"/>
      <c r="AU135" s="141"/>
      <c r="AV135" s="118"/>
      <c r="AW135" s="119"/>
      <c r="AX135" s="118"/>
      <c r="AY135" s="163"/>
      <c r="AZ135" s="197">
        <v>1445</v>
      </c>
      <c r="BA135" s="187" t="s">
        <v>81</v>
      </c>
      <c r="BB135" s="46"/>
      <c r="BC135" s="172"/>
    </row>
    <row r="136" spans="1:55" s="9" customFormat="1" ht="15.6">
      <c r="A136" s="184"/>
      <c r="B136" s="45" t="s">
        <v>54</v>
      </c>
      <c r="C136" s="46">
        <v>1288754</v>
      </c>
      <c r="D136" s="55">
        <f t="shared" si="61"/>
        <v>0.11670929861775425</v>
      </c>
      <c r="E136" s="14"/>
      <c r="F136" s="48">
        <v>239029</v>
      </c>
      <c r="G136" s="55">
        <f>F136/F124-1</f>
        <v>0.3986401483900035</v>
      </c>
      <c r="H136" s="46">
        <v>335100</v>
      </c>
      <c r="I136" s="55">
        <f t="shared" si="50"/>
        <v>7.1634154141349535E-2</v>
      </c>
      <c r="J136" s="46">
        <v>48248</v>
      </c>
      <c r="K136" s="55">
        <f t="shared" si="63"/>
        <v>0.1849595991846158</v>
      </c>
      <c r="L136" s="50">
        <v>95204</v>
      </c>
      <c r="M136" s="55">
        <f t="shared" si="64"/>
        <v>-2.9401881720425571E-4</v>
      </c>
      <c r="N136" s="46">
        <v>90281</v>
      </c>
      <c r="O136" s="55">
        <f t="shared" si="65"/>
        <v>-0.20567843882524772</v>
      </c>
      <c r="P136" s="46">
        <v>78129</v>
      </c>
      <c r="Q136" s="55">
        <f t="shared" si="66"/>
        <v>0.21770234254453635</v>
      </c>
      <c r="R136" s="50">
        <v>41592</v>
      </c>
      <c r="S136" s="55">
        <f t="shared" si="67"/>
        <v>8.017140631086872E-2</v>
      </c>
      <c r="T136" s="195">
        <v>40230</v>
      </c>
      <c r="U136" s="55">
        <f t="shared" si="42"/>
        <v>-3.9120530850747749E-3</v>
      </c>
      <c r="V136" s="46">
        <v>1267</v>
      </c>
      <c r="W136" s="55">
        <f t="shared" si="68"/>
        <v>3.5130718954248463E-2</v>
      </c>
      <c r="X136" s="200">
        <v>100243</v>
      </c>
      <c r="Y136" s="172">
        <f t="shared" si="44"/>
        <v>0.2711030521283746</v>
      </c>
      <c r="Z136" s="50">
        <v>33430</v>
      </c>
      <c r="AA136" s="173">
        <f t="shared" si="59"/>
        <v>-3.9974728619838085E-2</v>
      </c>
      <c r="AB136" s="46">
        <v>24804</v>
      </c>
      <c r="AC136" s="55">
        <f t="shared" si="48"/>
        <v>-0.10988301155530034</v>
      </c>
      <c r="AD136" s="46">
        <v>29162</v>
      </c>
      <c r="AE136" s="55">
        <f t="shared" si="69"/>
        <v>0.38747740032353217</v>
      </c>
      <c r="AF136" s="46">
        <v>1200</v>
      </c>
      <c r="AG136" s="55">
        <f t="shared" si="70"/>
        <v>-0.47826086956521741</v>
      </c>
      <c r="AH136" s="46">
        <v>18136</v>
      </c>
      <c r="AI136" s="55">
        <f t="shared" si="71"/>
        <v>0.26842915093019992</v>
      </c>
      <c r="AJ136" s="96"/>
      <c r="AK136" s="186"/>
      <c r="AL136" s="46">
        <v>2922</v>
      </c>
      <c r="AM136" s="91">
        <f t="shared" si="34"/>
        <v>-0.24123604258634124</v>
      </c>
      <c r="AN136" s="118"/>
      <c r="AO136" s="163"/>
      <c r="AP136" s="63"/>
      <c r="AQ136" s="169"/>
      <c r="AR136" s="120">
        <v>0</v>
      </c>
      <c r="AS136" s="196" t="str">
        <f t="shared" si="55"/>
        <v>-</v>
      </c>
      <c r="AT136" s="118"/>
      <c r="AU136" s="141"/>
      <c r="AV136" s="118"/>
      <c r="AW136" s="119"/>
      <c r="AX136" s="118"/>
      <c r="AY136" s="163"/>
      <c r="AZ136" s="197">
        <v>440</v>
      </c>
      <c r="BA136" s="187" t="s">
        <v>80</v>
      </c>
      <c r="BB136" s="46"/>
      <c r="BC136" s="172"/>
    </row>
    <row r="137" spans="1:55" s="9" customFormat="1" ht="15.6">
      <c r="A137" s="191"/>
      <c r="B137" s="100" t="s">
        <v>55</v>
      </c>
      <c r="C137" s="66">
        <v>1430677</v>
      </c>
      <c r="D137" s="67">
        <f t="shared" si="61"/>
        <v>0.18781315822901989</v>
      </c>
      <c r="E137" s="14"/>
      <c r="F137" s="101">
        <v>270903</v>
      </c>
      <c r="G137" s="67">
        <f>F137/F125-1</f>
        <v>0.48159106570556642</v>
      </c>
      <c r="H137" s="66">
        <v>356400</v>
      </c>
      <c r="I137" s="67">
        <f t="shared" si="50"/>
        <v>0.28757225433526012</v>
      </c>
      <c r="J137" s="66">
        <v>50255</v>
      </c>
      <c r="K137" s="67">
        <f t="shared" si="63"/>
        <v>0.13521877611872868</v>
      </c>
      <c r="L137" s="103">
        <v>109586</v>
      </c>
      <c r="M137" s="67">
        <f t="shared" si="64"/>
        <v>2.1476109692213141E-2</v>
      </c>
      <c r="N137" s="66">
        <v>114105</v>
      </c>
      <c r="O137" s="67">
        <f t="shared" si="65"/>
        <v>-3.171191948841634E-3</v>
      </c>
      <c r="P137" s="66">
        <v>83123</v>
      </c>
      <c r="Q137" s="67">
        <f t="shared" si="66"/>
        <v>0.26207828489872775</v>
      </c>
      <c r="R137" s="103">
        <v>47346</v>
      </c>
      <c r="S137" s="67">
        <f t="shared" si="67"/>
        <v>2.0124105834697925E-2</v>
      </c>
      <c r="T137" s="201">
        <v>40918</v>
      </c>
      <c r="U137" s="67">
        <f t="shared" si="42"/>
        <v>0.13705329850497416</v>
      </c>
      <c r="V137" s="66">
        <v>1325</v>
      </c>
      <c r="W137" s="67">
        <f t="shared" si="68"/>
        <v>0.14818024263431551</v>
      </c>
      <c r="X137" s="202">
        <v>116940</v>
      </c>
      <c r="Y137" s="180">
        <f t="shared" si="44"/>
        <v>0.21256739941932801</v>
      </c>
      <c r="Z137" s="103">
        <v>46087</v>
      </c>
      <c r="AA137" s="67">
        <f t="shared" si="59"/>
        <v>-0.12337131227055709</v>
      </c>
      <c r="AB137" s="66">
        <v>28796</v>
      </c>
      <c r="AC137" s="67">
        <f t="shared" si="48"/>
        <v>-1.1771165791550797E-2</v>
      </c>
      <c r="AD137" s="66">
        <v>31114</v>
      </c>
      <c r="AE137" s="67">
        <f t="shared" si="69"/>
        <v>0.22006117167281003</v>
      </c>
      <c r="AF137" s="66">
        <v>800</v>
      </c>
      <c r="AG137" s="67">
        <f t="shared" si="70"/>
        <v>-0.4285714285714286</v>
      </c>
      <c r="AH137" s="66">
        <v>17129</v>
      </c>
      <c r="AI137" s="67">
        <f t="shared" si="71"/>
        <v>0.23044321528625811</v>
      </c>
      <c r="AJ137" s="111"/>
      <c r="AK137" s="203"/>
      <c r="AL137" s="66">
        <v>3660</v>
      </c>
      <c r="AM137" s="104">
        <f t="shared" si="34"/>
        <v>3.9477421187162687E-2</v>
      </c>
      <c r="AN137" s="123"/>
      <c r="AO137" s="182"/>
      <c r="AP137" s="130"/>
      <c r="AQ137" s="181"/>
      <c r="AR137" s="110">
        <v>0</v>
      </c>
      <c r="AS137" s="204" t="str">
        <f t="shared" si="55"/>
        <v>-</v>
      </c>
      <c r="AT137" s="123"/>
      <c r="AU137" s="144"/>
      <c r="AV137" s="123"/>
      <c r="AW137" s="124"/>
      <c r="AX137" s="123"/>
      <c r="AY137" s="182"/>
      <c r="AZ137" s="205">
        <v>598</v>
      </c>
      <c r="BA137" s="193" t="s">
        <v>80</v>
      </c>
      <c r="BB137" s="66"/>
      <c r="BC137" s="180"/>
    </row>
    <row r="138" spans="1:55" s="220" customFormat="1" ht="15.6">
      <c r="A138" s="206" t="s">
        <v>83</v>
      </c>
      <c r="B138" s="171" t="s">
        <v>43</v>
      </c>
      <c r="C138" s="207">
        <v>1834538</v>
      </c>
      <c r="D138" s="208">
        <f t="shared" ref="D138:D148" si="72">(C138-C126)/C126</f>
        <v>0.24891704898145078</v>
      </c>
      <c r="E138" s="209"/>
      <c r="F138" s="207">
        <v>358093</v>
      </c>
      <c r="G138" s="208">
        <f t="shared" ref="G138:G149" si="73">(F138-F126)/F126</f>
        <v>0.40144491364566742</v>
      </c>
      <c r="H138" s="207">
        <v>367700</v>
      </c>
      <c r="I138" s="208">
        <f t="shared" si="50"/>
        <v>0.25068027210884353</v>
      </c>
      <c r="J138" s="207">
        <v>75201</v>
      </c>
      <c r="K138" s="208">
        <f t="shared" si="63"/>
        <v>0.26598878806754089</v>
      </c>
      <c r="L138" s="207">
        <v>147556</v>
      </c>
      <c r="M138" s="208">
        <f t="shared" si="64"/>
        <v>0.1634247687831647</v>
      </c>
      <c r="N138" s="207">
        <v>153062</v>
      </c>
      <c r="O138" s="208">
        <f t="shared" si="65"/>
        <v>0.1287924600657826</v>
      </c>
      <c r="P138" s="207">
        <v>116450</v>
      </c>
      <c r="Q138" s="210">
        <f t="shared" si="66"/>
        <v>0.7680908566396405</v>
      </c>
      <c r="R138" s="207">
        <v>68791</v>
      </c>
      <c r="S138" s="210">
        <f t="shared" si="67"/>
        <v>0.16313004074869375</v>
      </c>
      <c r="T138" s="207">
        <v>71820</v>
      </c>
      <c r="U138" s="208">
        <f t="shared" si="42"/>
        <v>0.20210896309314588</v>
      </c>
      <c r="V138" s="207">
        <v>1856</v>
      </c>
      <c r="W138" s="208">
        <f t="shared" si="68"/>
        <v>2.7116768123962354E-2</v>
      </c>
      <c r="X138" s="211">
        <v>147163</v>
      </c>
      <c r="Y138" s="208">
        <f t="shared" si="44"/>
        <v>0.24389728505257469</v>
      </c>
      <c r="Z138" s="207">
        <v>73059</v>
      </c>
      <c r="AA138" s="208">
        <f t="shared" si="59"/>
        <v>-5.2866976937137822E-2</v>
      </c>
      <c r="AB138" s="207">
        <v>38620</v>
      </c>
      <c r="AC138" s="208">
        <f t="shared" si="48"/>
        <v>0.16655591131516956</v>
      </c>
      <c r="AD138" s="207">
        <v>55297</v>
      </c>
      <c r="AE138" s="208">
        <f t="shared" si="69"/>
        <v>0.31013812874641644</v>
      </c>
      <c r="AF138" s="207">
        <v>3300</v>
      </c>
      <c r="AG138" s="208">
        <f t="shared" si="70"/>
        <v>-0.10810810810810811</v>
      </c>
      <c r="AH138" s="207">
        <v>25192</v>
      </c>
      <c r="AI138" s="210">
        <f t="shared" si="71"/>
        <v>0.2573995507861242</v>
      </c>
      <c r="AJ138" s="212">
        <v>5497</v>
      </c>
      <c r="AK138" s="213">
        <f>(AJ138/AJ126-1)</f>
        <v>-0.10062172774869105</v>
      </c>
      <c r="AL138" s="207">
        <v>2133</v>
      </c>
      <c r="AM138" s="210">
        <f t="shared" si="34"/>
        <v>-1.4325323475046225E-2</v>
      </c>
      <c r="AN138" s="214">
        <v>63715</v>
      </c>
      <c r="AO138" s="189">
        <f>AN138/AN126-1</f>
        <v>8.966684909016287E-2</v>
      </c>
      <c r="AP138" s="215">
        <v>102993</v>
      </c>
      <c r="AQ138" s="216">
        <f>(AP138/AP126-1)</f>
        <v>-3.6277720595115581E-2</v>
      </c>
      <c r="AR138" s="211">
        <v>0</v>
      </c>
      <c r="AS138" s="187" t="str">
        <f t="shared" si="55"/>
        <v>-</v>
      </c>
      <c r="AT138" s="217">
        <v>640</v>
      </c>
      <c r="AU138" s="218">
        <f>AT138/AT126-1</f>
        <v>-0.25407925407925402</v>
      </c>
      <c r="AV138" s="214">
        <v>11521</v>
      </c>
      <c r="AW138" s="219">
        <f>AV138/AV126-1</f>
        <v>-0.2502277756084863</v>
      </c>
      <c r="AX138" s="214">
        <v>165328</v>
      </c>
      <c r="AY138" s="189">
        <f>(AX138/AX126-1)</f>
        <v>0.7206431805172504</v>
      </c>
      <c r="AZ138" s="207">
        <v>4097</v>
      </c>
      <c r="BA138" s="172">
        <f t="shared" ref="BA138:BA148" si="74">(AZ138/AZ126-1)</f>
        <v>4.9290882778581766</v>
      </c>
      <c r="BB138" s="207"/>
      <c r="BC138" s="208"/>
    </row>
    <row r="139" spans="1:55" s="220" customFormat="1" ht="15.6">
      <c r="A139" s="221"/>
      <c r="B139" s="171" t="s">
        <v>84</v>
      </c>
      <c r="C139" s="222">
        <v>1445609</v>
      </c>
      <c r="D139" s="208">
        <f t="shared" si="72"/>
        <v>0.10126283344874581</v>
      </c>
      <c r="E139" s="209"/>
      <c r="F139" s="207">
        <v>321576</v>
      </c>
      <c r="G139" s="208">
        <f t="shared" si="73"/>
        <v>0.38908519148862647</v>
      </c>
      <c r="H139" s="222">
        <v>280200</v>
      </c>
      <c r="I139" s="208">
        <f t="shared" si="50"/>
        <v>-0.12737464964185613</v>
      </c>
      <c r="J139" s="222">
        <v>57692</v>
      </c>
      <c r="K139" s="208">
        <f t="shared" si="63"/>
        <v>0.16354395659802745</v>
      </c>
      <c r="L139" s="223">
        <v>118746</v>
      </c>
      <c r="M139" s="208">
        <f t="shared" si="64"/>
        <v>6.7312618531867763E-2</v>
      </c>
      <c r="N139" s="222">
        <v>117331</v>
      </c>
      <c r="O139" s="208">
        <f t="shared" si="65"/>
        <v>0.16573273720814696</v>
      </c>
      <c r="P139" s="222">
        <v>145563</v>
      </c>
      <c r="Q139" s="208">
        <f t="shared" si="66"/>
        <v>0.68055555555555558</v>
      </c>
      <c r="R139" s="223">
        <v>56240</v>
      </c>
      <c r="S139" s="208">
        <f t="shared" si="67"/>
        <v>7.2729700345242065E-2</v>
      </c>
      <c r="T139" s="222">
        <v>51415</v>
      </c>
      <c r="U139" s="208">
        <f t="shared" si="42"/>
        <v>-9.9171962256884259E-3</v>
      </c>
      <c r="V139" s="222">
        <v>1159</v>
      </c>
      <c r="W139" s="208">
        <f t="shared" si="68"/>
        <v>-8.2343626286619176E-2</v>
      </c>
      <c r="X139" s="223">
        <v>121218</v>
      </c>
      <c r="Y139" s="208">
        <f t="shared" si="44"/>
        <v>0.18234932649259195</v>
      </c>
      <c r="Z139" s="207">
        <v>49616</v>
      </c>
      <c r="AA139" s="208">
        <f t="shared" si="59"/>
        <v>-0.22615259841537216</v>
      </c>
      <c r="AB139" s="222">
        <v>30938</v>
      </c>
      <c r="AC139" s="208">
        <f t="shared" si="48"/>
        <v>2.5048041879265792E-2</v>
      </c>
      <c r="AD139" s="222">
        <v>36515</v>
      </c>
      <c r="AE139" s="208">
        <f t="shared" si="69"/>
        <v>3.0245746691871522E-2</v>
      </c>
      <c r="AF139" s="222">
        <v>2600</v>
      </c>
      <c r="AG139" s="208">
        <f t="shared" si="70"/>
        <v>-0.45833333333333337</v>
      </c>
      <c r="AH139" s="222">
        <v>19917</v>
      </c>
      <c r="AI139" s="208">
        <f t="shared" si="71"/>
        <v>4.5731387167909254E-2</v>
      </c>
      <c r="AJ139" s="224"/>
      <c r="AK139" s="213"/>
      <c r="AL139" s="222">
        <v>1648</v>
      </c>
      <c r="AM139" s="210">
        <f t="shared" si="34"/>
        <v>-0.24090280976508527</v>
      </c>
      <c r="AN139" s="217"/>
      <c r="AO139" s="189"/>
      <c r="AP139" s="215"/>
      <c r="AQ139" s="216"/>
      <c r="AR139" s="211">
        <v>0</v>
      </c>
      <c r="AS139" s="196" t="str">
        <f t="shared" si="55"/>
        <v>-</v>
      </c>
      <c r="AT139" s="217"/>
      <c r="AU139" s="218"/>
      <c r="AV139" s="217"/>
      <c r="AW139" s="189"/>
      <c r="AX139" s="217"/>
      <c r="AY139" s="189"/>
      <c r="AZ139" s="222">
        <v>1054</v>
      </c>
      <c r="BA139" s="172">
        <f t="shared" si="74"/>
        <v>0.7955706984667803</v>
      </c>
      <c r="BB139" s="222"/>
      <c r="BC139" s="208"/>
    </row>
    <row r="140" spans="1:55" s="220" customFormat="1" ht="15.6">
      <c r="A140" s="221"/>
      <c r="B140" s="171" t="s">
        <v>45</v>
      </c>
      <c r="C140" s="222">
        <v>1416683</v>
      </c>
      <c r="D140" s="208">
        <f t="shared" si="72"/>
        <v>0.23087182080334748</v>
      </c>
      <c r="E140" s="209"/>
      <c r="F140" s="207">
        <v>268156</v>
      </c>
      <c r="G140" s="208">
        <f t="shared" si="73"/>
        <v>0.39607867637105759</v>
      </c>
      <c r="H140" s="222">
        <v>345000</v>
      </c>
      <c r="I140" s="208">
        <f t="shared" si="50"/>
        <v>0.17147707979626486</v>
      </c>
      <c r="J140" s="222">
        <v>49733</v>
      </c>
      <c r="K140" s="208">
        <f t="shared" si="63"/>
        <v>0.14305086303983083</v>
      </c>
      <c r="L140" s="223">
        <v>98909</v>
      </c>
      <c r="M140" s="208">
        <f t="shared" si="64"/>
        <v>3.6847181164433751E-2</v>
      </c>
      <c r="N140" s="222">
        <v>100236</v>
      </c>
      <c r="O140" s="208">
        <f t="shared" si="65"/>
        <v>0.26113159119789642</v>
      </c>
      <c r="P140" s="222">
        <v>90804</v>
      </c>
      <c r="Q140" s="208">
        <f t="shared" si="66"/>
        <v>0.30459893970087504</v>
      </c>
      <c r="R140" s="223">
        <v>43613</v>
      </c>
      <c r="S140" s="208">
        <f t="shared" si="67"/>
        <v>7.3550769230769308E-2</v>
      </c>
      <c r="T140" s="222">
        <v>42872</v>
      </c>
      <c r="U140" s="208">
        <f t="shared" si="42"/>
        <v>4.5786071472130749E-2</v>
      </c>
      <c r="V140" s="222">
        <v>1080</v>
      </c>
      <c r="W140" s="208">
        <f t="shared" si="68"/>
        <v>4.5498547918683352E-2</v>
      </c>
      <c r="X140" s="223">
        <v>93099</v>
      </c>
      <c r="Y140" s="208">
        <f t="shared" si="44"/>
        <v>0.172413358855531</v>
      </c>
      <c r="Z140" s="223">
        <v>37222</v>
      </c>
      <c r="AA140" s="208">
        <f t="shared" si="59"/>
        <v>2.0815621314757449E-2</v>
      </c>
      <c r="AB140" s="222">
        <v>28565</v>
      </c>
      <c r="AC140" s="208">
        <f t="shared" si="48"/>
        <v>0.11100307261483411</v>
      </c>
      <c r="AD140" s="222">
        <v>29366</v>
      </c>
      <c r="AE140" s="208">
        <f t="shared" si="69"/>
        <v>-6.3703609233516145E-2</v>
      </c>
      <c r="AF140" s="222">
        <v>2100</v>
      </c>
      <c r="AG140" s="208">
        <f t="shared" si="70"/>
        <v>-0.16000000000000003</v>
      </c>
      <c r="AH140" s="222">
        <v>14165</v>
      </c>
      <c r="AI140" s="208">
        <f t="shared" si="71"/>
        <v>-0.28343787940105225</v>
      </c>
      <c r="AJ140" s="224"/>
      <c r="AK140" s="213"/>
      <c r="AL140" s="222">
        <v>3184</v>
      </c>
      <c r="AM140" s="210">
        <f t="shared" si="34"/>
        <v>0.21945614707008798</v>
      </c>
      <c r="AN140" s="217"/>
      <c r="AO140" s="189"/>
      <c r="AP140" s="215"/>
      <c r="AQ140" s="216"/>
      <c r="AR140" s="211">
        <v>0</v>
      </c>
      <c r="AS140" s="196" t="str">
        <f t="shared" si="55"/>
        <v>-</v>
      </c>
      <c r="AT140" s="217"/>
      <c r="AU140" s="218"/>
      <c r="AV140" s="217"/>
      <c r="AW140" s="189"/>
      <c r="AX140" s="217"/>
      <c r="AY140" s="189"/>
      <c r="AZ140" s="222">
        <v>2381</v>
      </c>
      <c r="BA140" s="172">
        <f t="shared" si="74"/>
        <v>0.80789673500379644</v>
      </c>
      <c r="BB140" s="222"/>
      <c r="BC140" s="208"/>
    </row>
    <row r="141" spans="1:55" s="220" customFormat="1" ht="15.6">
      <c r="A141" s="221"/>
      <c r="B141" s="171" t="s">
        <v>46</v>
      </c>
      <c r="C141" s="222">
        <v>1495460</v>
      </c>
      <c r="D141" s="208">
        <f t="shared" si="72"/>
        <v>0.26746250693923562</v>
      </c>
      <c r="E141" s="209"/>
      <c r="F141" s="207">
        <v>304619</v>
      </c>
      <c r="G141" s="208">
        <f t="shared" si="73"/>
        <v>0.57021721873421372</v>
      </c>
      <c r="H141" s="222">
        <v>399500</v>
      </c>
      <c r="I141" s="208">
        <f t="shared" si="50"/>
        <v>0.22998768472906403</v>
      </c>
      <c r="J141" s="222">
        <v>49826</v>
      </c>
      <c r="K141" s="208">
        <f t="shared" si="63"/>
        <v>0.31553795379537952</v>
      </c>
      <c r="L141" s="223">
        <v>97683</v>
      </c>
      <c r="M141" s="208">
        <f t="shared" si="64"/>
        <v>0.11940914247733869</v>
      </c>
      <c r="N141" s="222">
        <v>86307</v>
      </c>
      <c r="O141" s="208">
        <f t="shared" si="65"/>
        <v>0.12049178199568966</v>
      </c>
      <c r="P141" s="222">
        <v>85297</v>
      </c>
      <c r="Q141" s="208">
        <f t="shared" si="66"/>
        <v>0.41452048888078141</v>
      </c>
      <c r="R141" s="223">
        <v>41215</v>
      </c>
      <c r="S141" s="208">
        <f t="shared" si="67"/>
        <v>0.21309786607799852</v>
      </c>
      <c r="T141" s="222">
        <v>41602</v>
      </c>
      <c r="U141" s="208">
        <f t="shared" si="42"/>
        <v>0.14773636438877699</v>
      </c>
      <c r="V141" s="222">
        <v>735</v>
      </c>
      <c r="W141" s="208">
        <f t="shared" si="68"/>
        <v>-3.4165571616294299E-2</v>
      </c>
      <c r="X141" s="223">
        <v>90465</v>
      </c>
      <c r="Y141" s="208">
        <f t="shared" si="44"/>
        <v>0.22276438148788924</v>
      </c>
      <c r="Z141" s="223">
        <v>27746</v>
      </c>
      <c r="AA141" s="208">
        <f t="shared" si="59"/>
        <v>8.5609202598012413E-2</v>
      </c>
      <c r="AB141" s="222">
        <v>28747</v>
      </c>
      <c r="AC141" s="208">
        <f t="shared" si="48"/>
        <v>0.13270814452894131</v>
      </c>
      <c r="AD141" s="222">
        <v>28773</v>
      </c>
      <c r="AE141" s="208">
        <f t="shared" si="69"/>
        <v>0.16306237115485667</v>
      </c>
      <c r="AF141" s="222">
        <v>2100</v>
      </c>
      <c r="AG141" s="208">
        <f t="shared" si="70"/>
        <v>0.23529411764705888</v>
      </c>
      <c r="AH141" s="222">
        <v>20352</v>
      </c>
      <c r="AI141" s="208">
        <f t="shared" si="71"/>
        <v>-2.7011521728737442E-2</v>
      </c>
      <c r="AJ141" s="224">
        <f>15202-AJ138</f>
        <v>9705</v>
      </c>
      <c r="AK141" s="213">
        <f>(AJ141/AJ129-1)</f>
        <v>6.5312843029637691E-2</v>
      </c>
      <c r="AL141" s="222">
        <v>2565</v>
      </c>
      <c r="AM141" s="210">
        <f t="shared" si="34"/>
        <v>-0.25175029171528585</v>
      </c>
      <c r="AN141" s="217"/>
      <c r="AO141" s="189"/>
      <c r="AP141" s="215"/>
      <c r="AQ141" s="216"/>
      <c r="AR141" s="211">
        <v>38</v>
      </c>
      <c r="AS141" s="196" t="str">
        <f t="shared" si="55"/>
        <v>-</v>
      </c>
      <c r="AT141" s="217"/>
      <c r="AU141" s="218"/>
      <c r="AV141" s="217"/>
      <c r="AW141" s="189"/>
      <c r="AX141" s="217"/>
      <c r="AY141" s="189"/>
      <c r="AZ141" s="222">
        <v>1659</v>
      </c>
      <c r="BA141" s="172">
        <f t="shared" si="74"/>
        <v>4.0777917189460444E-2</v>
      </c>
      <c r="BB141" s="222"/>
      <c r="BC141" s="208"/>
    </row>
    <row r="142" spans="1:55" s="220" customFormat="1" ht="15.6">
      <c r="A142" s="221"/>
      <c r="B142" s="171" t="s">
        <v>47</v>
      </c>
      <c r="C142" s="222">
        <v>1579265</v>
      </c>
      <c r="D142" s="208">
        <f t="shared" si="72"/>
        <v>0.29130100253229141</v>
      </c>
      <c r="E142" s="209"/>
      <c r="F142" s="207">
        <v>315389</v>
      </c>
      <c r="G142" s="208">
        <f t="shared" si="73"/>
        <v>0.61520103655070346</v>
      </c>
      <c r="H142" s="222">
        <v>423100</v>
      </c>
      <c r="I142" s="208">
        <f t="shared" si="50"/>
        <v>0.20198863636363637</v>
      </c>
      <c r="J142" s="222">
        <v>54583</v>
      </c>
      <c r="K142" s="208">
        <f t="shared" si="63"/>
        <v>0.41348145846281326</v>
      </c>
      <c r="L142" s="223">
        <v>116583</v>
      </c>
      <c r="M142" s="208">
        <f t="shared" si="64"/>
        <v>0.24902773760164565</v>
      </c>
      <c r="N142" s="222">
        <v>89584</v>
      </c>
      <c r="O142" s="208">
        <f t="shared" si="65"/>
        <v>0.19596822642013212</v>
      </c>
      <c r="P142" s="222">
        <v>81557</v>
      </c>
      <c r="Q142" s="208">
        <f t="shared" si="66"/>
        <v>0.45152793350775089</v>
      </c>
      <c r="R142" s="223">
        <v>52298</v>
      </c>
      <c r="S142" s="208">
        <f t="shared" si="67"/>
        <v>0.31408613498165727</v>
      </c>
      <c r="T142" s="222">
        <v>43883</v>
      </c>
      <c r="U142" s="208">
        <f t="shared" si="42"/>
        <v>4.6178419873170264E-2</v>
      </c>
      <c r="V142" s="222">
        <v>840</v>
      </c>
      <c r="W142" s="208">
        <f t="shared" si="68"/>
        <v>0.16666666666666674</v>
      </c>
      <c r="X142" s="223">
        <v>94086</v>
      </c>
      <c r="Y142" s="208">
        <f t="shared" si="44"/>
        <v>0.19014850608444855</v>
      </c>
      <c r="Z142" s="223">
        <v>22985</v>
      </c>
      <c r="AA142" s="208">
        <f t="shared" si="59"/>
        <v>0.26848785871964687</v>
      </c>
      <c r="AB142" s="222">
        <v>26200</v>
      </c>
      <c r="AC142" s="208">
        <f t="shared" si="48"/>
        <v>7.5931173257771656E-2</v>
      </c>
      <c r="AD142" s="222">
        <v>29136</v>
      </c>
      <c r="AE142" s="208">
        <f t="shared" si="69"/>
        <v>-1.0628544262963113E-2</v>
      </c>
      <c r="AF142" s="222">
        <v>2000</v>
      </c>
      <c r="AG142" s="208">
        <f t="shared" si="70"/>
        <v>-0.13043478260869568</v>
      </c>
      <c r="AH142" s="222">
        <v>22016</v>
      </c>
      <c r="AI142" s="208">
        <f t="shared" si="71"/>
        <v>1.1207054932941496E-2</v>
      </c>
      <c r="AJ142" s="224"/>
      <c r="AK142" s="213"/>
      <c r="AL142" s="222">
        <v>3485</v>
      </c>
      <c r="AM142" s="210">
        <f t="shared" si="34"/>
        <v>-4.3108182317407984E-2</v>
      </c>
      <c r="AN142" s="217"/>
      <c r="AO142" s="189"/>
      <c r="AP142" s="215"/>
      <c r="AQ142" s="216"/>
      <c r="AR142" s="211">
        <v>0</v>
      </c>
      <c r="AS142" s="196" t="str">
        <f t="shared" si="55"/>
        <v>-</v>
      </c>
      <c r="AT142" s="217"/>
      <c r="AU142" s="218"/>
      <c r="AV142" s="217"/>
      <c r="AW142" s="189"/>
      <c r="AX142" s="217"/>
      <c r="AY142" s="189"/>
      <c r="AZ142" s="222">
        <v>708</v>
      </c>
      <c r="BA142" s="172">
        <f t="shared" si="74"/>
        <v>-0.29411764705882348</v>
      </c>
      <c r="BB142" s="222"/>
      <c r="BC142" s="208"/>
    </row>
    <row r="143" spans="1:55" s="220" customFormat="1" ht="15.6">
      <c r="A143" s="221"/>
      <c r="B143" s="171" t="s">
        <v>49</v>
      </c>
      <c r="C143" s="222">
        <v>1373551</v>
      </c>
      <c r="D143" s="208">
        <f t="shared" si="72"/>
        <v>8.116249579869636E-2</v>
      </c>
      <c r="E143" s="209"/>
      <c r="F143" s="207">
        <v>251504</v>
      </c>
      <c r="G143" s="208">
        <f t="shared" si="73"/>
        <v>0.21155365435381621</v>
      </c>
      <c r="H143" s="222">
        <v>325700</v>
      </c>
      <c r="I143" s="208">
        <f t="shared" si="50"/>
        <v>-8.0981941309255082E-2</v>
      </c>
      <c r="J143" s="222">
        <v>36696</v>
      </c>
      <c r="K143" s="208">
        <f t="shared" si="63"/>
        <v>8.4717706177948493E-2</v>
      </c>
      <c r="L143" s="223">
        <v>68975</v>
      </c>
      <c r="M143" s="208">
        <f t="shared" si="64"/>
        <v>-0.28341384863123997</v>
      </c>
      <c r="N143" s="222">
        <v>91776</v>
      </c>
      <c r="O143" s="208">
        <f t="shared" si="65"/>
        <v>0.4004333628345591</v>
      </c>
      <c r="P143" s="222">
        <v>72927</v>
      </c>
      <c r="Q143" s="208">
        <f t="shared" si="66"/>
        <v>0.43982230997038507</v>
      </c>
      <c r="R143" s="223">
        <v>31406</v>
      </c>
      <c r="S143" s="208">
        <f t="shared" si="67"/>
        <v>-0.24840855789020244</v>
      </c>
      <c r="T143" s="222">
        <v>37193</v>
      </c>
      <c r="U143" s="208">
        <f t="shared" si="42"/>
        <v>-1.0534996940594323E-2</v>
      </c>
      <c r="V143" s="222">
        <v>941</v>
      </c>
      <c r="W143" s="208">
        <f t="shared" si="68"/>
        <v>5.8492688413948279E-2</v>
      </c>
      <c r="X143" s="223">
        <v>96954</v>
      </c>
      <c r="Y143" s="208">
        <f t="shared" si="44"/>
        <v>2.3866348448687402E-2</v>
      </c>
      <c r="Z143" s="223">
        <v>17282</v>
      </c>
      <c r="AA143" s="208">
        <f t="shared" si="59"/>
        <v>-0.1635448429408064</v>
      </c>
      <c r="AB143" s="222">
        <v>27224</v>
      </c>
      <c r="AC143" s="208">
        <f t="shared" si="48"/>
        <v>3.5802610052124928E-2</v>
      </c>
      <c r="AD143" s="222">
        <v>25926</v>
      </c>
      <c r="AE143" s="208">
        <f t="shared" si="69"/>
        <v>1.738727251651806E-3</v>
      </c>
      <c r="AF143" s="222">
        <v>1500</v>
      </c>
      <c r="AG143" s="208">
        <f t="shared" si="70"/>
        <v>0</v>
      </c>
      <c r="AH143" s="222">
        <v>18488</v>
      </c>
      <c r="AI143" s="208">
        <f t="shared" si="71"/>
        <v>-0.10413335271599555</v>
      </c>
      <c r="AJ143" s="224"/>
      <c r="AK143" s="213"/>
      <c r="AL143" s="222">
        <v>2734</v>
      </c>
      <c r="AM143" s="210">
        <f t="shared" si="34"/>
        <v>-0.12985359643539152</v>
      </c>
      <c r="AN143" s="217"/>
      <c r="AO143" s="189"/>
      <c r="AP143" s="215"/>
      <c r="AQ143" s="216"/>
      <c r="AR143" s="211">
        <v>0</v>
      </c>
      <c r="AS143" s="187">
        <f t="shared" si="55"/>
        <v>-1</v>
      </c>
      <c r="AT143" s="217"/>
      <c r="AU143" s="218"/>
      <c r="AV143" s="217"/>
      <c r="AW143" s="189"/>
      <c r="AX143" s="217"/>
      <c r="AY143" s="189"/>
      <c r="AZ143" s="222">
        <v>619</v>
      </c>
      <c r="BA143" s="172">
        <f t="shared" si="74"/>
        <v>6.9084628670120996E-2</v>
      </c>
      <c r="BB143" s="222"/>
      <c r="BC143" s="208"/>
    </row>
    <row r="144" spans="1:55" s="220" customFormat="1" ht="15.6">
      <c r="A144" s="221"/>
      <c r="B144" s="171" t="s">
        <v>50</v>
      </c>
      <c r="C144" s="222">
        <v>1675332</v>
      </c>
      <c r="D144" s="208">
        <f>(C144-C132)/C132</f>
        <v>0.1515931797950914</v>
      </c>
      <c r="E144" s="209"/>
      <c r="F144" s="207">
        <v>343799</v>
      </c>
      <c r="G144" s="208">
        <f t="shared" si="73"/>
        <v>0.37113196485616634</v>
      </c>
      <c r="H144" s="222">
        <v>344200</v>
      </c>
      <c r="I144" s="208">
        <f t="shared" si="50"/>
        <v>-4.7592695074709465E-2</v>
      </c>
      <c r="J144" s="222">
        <v>45349</v>
      </c>
      <c r="K144" s="208">
        <f t="shared" si="63"/>
        <v>0.22943664262863961</v>
      </c>
      <c r="L144" s="223">
        <v>82370</v>
      </c>
      <c r="M144" s="208">
        <f t="shared" si="64"/>
        <v>-0.22446827541403436</v>
      </c>
      <c r="N144" s="222">
        <v>121499</v>
      </c>
      <c r="O144" s="208">
        <f t="shared" si="65"/>
        <v>0.36226440480328281</v>
      </c>
      <c r="P144" s="222">
        <v>73108</v>
      </c>
      <c r="Q144" s="208">
        <f t="shared" si="66"/>
        <v>0.29509300265721872</v>
      </c>
      <c r="R144" s="223">
        <v>37050</v>
      </c>
      <c r="S144" s="208">
        <f t="shared" si="67"/>
        <v>-0.22461963459807877</v>
      </c>
      <c r="T144" s="222">
        <v>48375</v>
      </c>
      <c r="U144" s="208">
        <f t="shared" si="42"/>
        <v>3.6621951742167744E-2</v>
      </c>
      <c r="V144" s="222">
        <v>1447</v>
      </c>
      <c r="W144" s="208">
        <f t="shared" si="68"/>
        <v>0.1603849238171613</v>
      </c>
      <c r="X144" s="223">
        <v>119292</v>
      </c>
      <c r="Y144" s="208">
        <f t="shared" si="44"/>
        <v>4.406732191463103E-2</v>
      </c>
      <c r="Z144" s="223">
        <v>24129</v>
      </c>
      <c r="AA144" s="208">
        <f t="shared" si="59"/>
        <v>-6.6937354988399034E-2</v>
      </c>
      <c r="AB144" s="222">
        <v>28583</v>
      </c>
      <c r="AC144" s="208">
        <f t="shared" si="48"/>
        <v>7.5114722034153258E-2</v>
      </c>
      <c r="AD144" s="222">
        <v>37299</v>
      </c>
      <c r="AE144" s="208">
        <f t="shared" si="69"/>
        <v>5.7767568487323562E-2</v>
      </c>
      <c r="AF144" s="222">
        <v>1400</v>
      </c>
      <c r="AG144" s="208">
        <f t="shared" si="70"/>
        <v>0.55555555555555558</v>
      </c>
      <c r="AH144" s="222">
        <v>22529</v>
      </c>
      <c r="AI144" s="208">
        <f t="shared" si="71"/>
        <v>-5.866376969038567E-2</v>
      </c>
      <c r="AJ144" s="224">
        <f>41240-AJ141-AJ138</f>
        <v>26038</v>
      </c>
      <c r="AK144" s="213">
        <f>(AJ144/AJ132-1)</f>
        <v>7.8267351333443758E-2</v>
      </c>
      <c r="AL144" s="222">
        <v>2084</v>
      </c>
      <c r="AM144" s="210">
        <f t="shared" si="34"/>
        <v>2.5086079685194385E-2</v>
      </c>
      <c r="AN144" s="217"/>
      <c r="AO144" s="189"/>
      <c r="AP144" s="215"/>
      <c r="AQ144" s="216"/>
      <c r="AR144" s="211">
        <v>0</v>
      </c>
      <c r="AS144" s="196" t="str">
        <f t="shared" si="55"/>
        <v>-</v>
      </c>
      <c r="AT144" s="217"/>
      <c r="AU144" s="218"/>
      <c r="AV144" s="217"/>
      <c r="AW144" s="189"/>
      <c r="AX144" s="217"/>
      <c r="AY144" s="189"/>
      <c r="AZ144" s="222">
        <v>870</v>
      </c>
      <c r="BA144" s="172">
        <f t="shared" si="74"/>
        <v>-0.27620632279534107</v>
      </c>
      <c r="BB144" s="222"/>
      <c r="BC144" s="208"/>
    </row>
    <row r="145" spans="1:68" s="220" customFormat="1" ht="15.6">
      <c r="A145" s="221"/>
      <c r="B145" s="171" t="s">
        <v>51</v>
      </c>
      <c r="C145" s="222">
        <v>1835249</v>
      </c>
      <c r="D145" s="208">
        <f t="shared" si="72"/>
        <v>0.18617974615965815</v>
      </c>
      <c r="E145" s="209"/>
      <c r="F145" s="207">
        <v>390971</v>
      </c>
      <c r="G145" s="208">
        <f t="shared" si="73"/>
        <v>0.55500182954961264</v>
      </c>
      <c r="H145" s="222">
        <v>428000</v>
      </c>
      <c r="I145" s="208">
        <f t="shared" si="50"/>
        <v>5.7051123734255374E-2</v>
      </c>
      <c r="J145" s="222">
        <v>54320</v>
      </c>
      <c r="K145" s="208">
        <f t="shared" si="63"/>
        <v>0.23834492191952572</v>
      </c>
      <c r="L145" s="223">
        <v>96589</v>
      </c>
      <c r="M145" s="208">
        <f t="shared" si="64"/>
        <v>-0.22571465217321596</v>
      </c>
      <c r="N145" s="222">
        <v>137404</v>
      </c>
      <c r="O145" s="208">
        <f t="shared" si="65"/>
        <v>0.20047528351010846</v>
      </c>
      <c r="P145" s="222">
        <v>104146</v>
      </c>
      <c r="Q145" s="208">
        <f t="shared" si="66"/>
        <v>0.19082520552957449</v>
      </c>
      <c r="R145" s="223">
        <v>43710</v>
      </c>
      <c r="S145" s="208">
        <f t="shared" si="67"/>
        <v>-0.24787060139378814</v>
      </c>
      <c r="T145" s="222">
        <v>60468</v>
      </c>
      <c r="U145" s="208">
        <f t="shared" si="42"/>
        <v>6.7905268177242462E-2</v>
      </c>
      <c r="V145" s="222">
        <v>1272</v>
      </c>
      <c r="W145" s="208">
        <f t="shared" si="68"/>
        <v>0.14697926059513078</v>
      </c>
      <c r="X145" s="223">
        <v>139472</v>
      </c>
      <c r="Y145" s="208">
        <f t="shared" si="44"/>
        <v>0.14674735249621795</v>
      </c>
      <c r="Z145" s="223">
        <v>25977</v>
      </c>
      <c r="AA145" s="208">
        <f t="shared" si="59"/>
        <v>-4.6120515550985952E-2</v>
      </c>
      <c r="AB145" s="222">
        <v>29050</v>
      </c>
      <c r="AC145" s="208">
        <f t="shared" si="48"/>
        <v>2.8354986017204098E-2</v>
      </c>
      <c r="AD145" s="222">
        <v>42512</v>
      </c>
      <c r="AE145" s="208">
        <f t="shared" si="69"/>
        <v>-1.42602082222274E-2</v>
      </c>
      <c r="AF145" s="222">
        <v>1100</v>
      </c>
      <c r="AG145" s="208">
        <f t="shared" si="70"/>
        <v>1.75</v>
      </c>
      <c r="AH145" s="222">
        <v>19690</v>
      </c>
      <c r="AI145" s="208">
        <f t="shared" si="71"/>
        <v>-0.15573278449532635</v>
      </c>
      <c r="AJ145" s="224"/>
      <c r="AK145" s="213"/>
      <c r="AL145" s="222">
        <v>2077</v>
      </c>
      <c r="AM145" s="210">
        <f t="shared" si="34"/>
        <v>-3.2152842497670031E-2</v>
      </c>
      <c r="AN145" s="217"/>
      <c r="AO145" s="189"/>
      <c r="AP145" s="215"/>
      <c r="AQ145" s="216"/>
      <c r="AR145" s="211">
        <v>0</v>
      </c>
      <c r="AS145" s="196" t="str">
        <f t="shared" si="55"/>
        <v>-</v>
      </c>
      <c r="AT145" s="217"/>
      <c r="AU145" s="218"/>
      <c r="AV145" s="217"/>
      <c r="AW145" s="189"/>
      <c r="AX145" s="217"/>
      <c r="AY145" s="189"/>
      <c r="AZ145" s="222">
        <v>885</v>
      </c>
      <c r="BA145" s="172">
        <f t="shared" si="74"/>
        <v>-0.32131901840490795</v>
      </c>
      <c r="BB145" s="222"/>
      <c r="BC145" s="208"/>
    </row>
    <row r="146" spans="1:68" s="220" customFormat="1" ht="15.6">
      <c r="A146" s="221"/>
      <c r="B146" s="171" t="s">
        <v>52</v>
      </c>
      <c r="C146" s="222">
        <v>1511657</v>
      </c>
      <c r="D146" s="208">
        <f t="shared" si="72"/>
        <v>0.14407402445937426</v>
      </c>
      <c r="E146" s="209"/>
      <c r="F146" s="207">
        <v>301645</v>
      </c>
      <c r="G146" s="208">
        <f t="shared" si="73"/>
        <v>0.38566946423567566</v>
      </c>
      <c r="H146" s="222">
        <v>373300</v>
      </c>
      <c r="I146" s="208">
        <f t="shared" si="50"/>
        <v>1.083130246412131E-2</v>
      </c>
      <c r="J146" s="222">
        <v>46770</v>
      </c>
      <c r="K146" s="208">
        <f t="shared" si="63"/>
        <v>0.24282525510204089</v>
      </c>
      <c r="L146" s="223">
        <v>86018</v>
      </c>
      <c r="M146" s="208">
        <f t="shared" si="64"/>
        <v>-0.15294928606597735</v>
      </c>
      <c r="N146" s="222">
        <v>94249</v>
      </c>
      <c r="O146" s="208">
        <f t="shared" si="65"/>
        <v>0.15833394784062138</v>
      </c>
      <c r="P146" s="222">
        <v>80199</v>
      </c>
      <c r="Q146" s="208">
        <f t="shared" si="66"/>
        <v>0.16259078323644949</v>
      </c>
      <c r="R146" s="223">
        <v>36223</v>
      </c>
      <c r="S146" s="208">
        <f t="shared" si="67"/>
        <v>-0.2262026830727164</v>
      </c>
      <c r="T146" s="222">
        <v>39063</v>
      </c>
      <c r="U146" s="208">
        <f t="shared" si="42"/>
        <v>-5.4231591811793461E-3</v>
      </c>
      <c r="V146" s="222">
        <v>1000</v>
      </c>
      <c r="W146" s="208">
        <f t="shared" si="68"/>
        <v>0.29870129870129869</v>
      </c>
      <c r="X146" s="223">
        <v>95386</v>
      </c>
      <c r="Y146" s="208">
        <f t="shared" si="44"/>
        <v>0.16185534361373</v>
      </c>
      <c r="Z146" s="223">
        <v>18676</v>
      </c>
      <c r="AA146" s="208">
        <f t="shared" si="59"/>
        <v>-0.13537037037037036</v>
      </c>
      <c r="AB146" s="222">
        <v>25392</v>
      </c>
      <c r="AC146" s="208">
        <f t="shared" si="48"/>
        <v>2.5152408252250735E-2</v>
      </c>
      <c r="AD146" s="222">
        <v>27014</v>
      </c>
      <c r="AE146" s="208">
        <f t="shared" si="69"/>
        <v>-1.0367439645382226E-2</v>
      </c>
      <c r="AF146" s="222">
        <v>2000</v>
      </c>
      <c r="AG146" s="208">
        <f t="shared" si="70"/>
        <v>1.5</v>
      </c>
      <c r="AH146" s="222">
        <v>16778</v>
      </c>
      <c r="AI146" s="208">
        <f t="shared" si="71"/>
        <v>-0.20479643585004026</v>
      </c>
      <c r="AJ146" s="224"/>
      <c r="AK146" s="213"/>
      <c r="AL146" s="222">
        <v>2108</v>
      </c>
      <c r="AM146" s="210">
        <f t="shared" si="34"/>
        <v>-0.34716630535769588</v>
      </c>
      <c r="AN146" s="217"/>
      <c r="AO146" s="189"/>
      <c r="AP146" s="215"/>
      <c r="AQ146" s="216"/>
      <c r="AR146" s="211">
        <v>0</v>
      </c>
      <c r="AS146" s="196" t="str">
        <f t="shared" si="55"/>
        <v>-</v>
      </c>
      <c r="AT146" s="217"/>
      <c r="AU146" s="218"/>
      <c r="AV146" s="217"/>
      <c r="AW146" s="189"/>
      <c r="AX146" s="217"/>
      <c r="AY146" s="189"/>
      <c r="AZ146" s="222">
        <v>886</v>
      </c>
      <c r="BA146" s="172">
        <f t="shared" si="74"/>
        <v>0.23916083916083908</v>
      </c>
      <c r="BB146" s="222"/>
      <c r="BC146" s="208"/>
    </row>
    <row r="147" spans="1:68" s="220" customFormat="1" ht="15.6">
      <c r="A147" s="221"/>
      <c r="B147" s="171" t="s">
        <v>53</v>
      </c>
      <c r="C147" s="222">
        <v>1735308</v>
      </c>
      <c r="D147" s="208">
        <f t="shared" si="72"/>
        <v>0.21172264506668528</v>
      </c>
      <c r="E147" s="209"/>
      <c r="F147" s="207">
        <v>370842</v>
      </c>
      <c r="G147" s="208">
        <f t="shared" si="73"/>
        <v>0.48588211253440822</v>
      </c>
      <c r="H147" s="222">
        <v>447400</v>
      </c>
      <c r="I147" s="208">
        <f t="shared" si="50"/>
        <v>8.0937424498671182E-2</v>
      </c>
      <c r="J147" s="222">
        <v>59864</v>
      </c>
      <c r="K147" s="208">
        <f t="shared" si="63"/>
        <v>0.24758252750916965</v>
      </c>
      <c r="L147" s="223">
        <v>101826</v>
      </c>
      <c r="M147" s="208">
        <f t="shared" si="64"/>
        <v>-1.5346233065475334E-2</v>
      </c>
      <c r="N147" s="222">
        <v>108923</v>
      </c>
      <c r="O147" s="208">
        <f t="shared" si="65"/>
        <v>0.15998935037273698</v>
      </c>
      <c r="P147" s="222">
        <v>86775</v>
      </c>
      <c r="Q147" s="208">
        <f t="shared" si="66"/>
        <v>0.24662395126996906</v>
      </c>
      <c r="R147" s="223">
        <v>42671</v>
      </c>
      <c r="S147" s="208">
        <f t="shared" si="67"/>
        <v>-5.4256521642766953E-2</v>
      </c>
      <c r="T147" s="222">
        <v>50582</v>
      </c>
      <c r="U147" s="208">
        <f t="shared" si="42"/>
        <v>0.12881053336308859</v>
      </c>
      <c r="V147" s="222">
        <v>1106</v>
      </c>
      <c r="W147" s="208">
        <f t="shared" si="68"/>
        <v>-9.4185094185094131E-2</v>
      </c>
      <c r="X147" s="223">
        <v>102057</v>
      </c>
      <c r="Y147" s="208">
        <f t="shared" si="44"/>
        <v>0.10524263853842908</v>
      </c>
      <c r="Z147" s="223">
        <v>27189</v>
      </c>
      <c r="AA147" s="208">
        <f t="shared" si="59"/>
        <v>-3.4447245995951614E-2</v>
      </c>
      <c r="AB147" s="207">
        <v>30636</v>
      </c>
      <c r="AC147" s="208">
        <f t="shared" si="48"/>
        <v>2.4409817427940794E-2</v>
      </c>
      <c r="AD147" s="222">
        <v>32190</v>
      </c>
      <c r="AE147" s="208">
        <f t="shared" si="69"/>
        <v>4.7715141257648641E-2</v>
      </c>
      <c r="AF147" s="222">
        <v>2100</v>
      </c>
      <c r="AG147" s="208">
        <f t="shared" si="70"/>
        <v>0.90909090909090917</v>
      </c>
      <c r="AH147" s="222">
        <v>18328</v>
      </c>
      <c r="AI147" s="208">
        <f t="shared" si="71"/>
        <v>-0.19825021872265969</v>
      </c>
      <c r="AJ147" s="224">
        <f>47213-AJ144-AJ141-AJ138</f>
        <v>5973</v>
      </c>
      <c r="AK147" s="213">
        <f>(AJ147/AJ135-1)</f>
        <v>-2.1781853914182747E-2</v>
      </c>
      <c r="AL147" s="222">
        <v>3704</v>
      </c>
      <c r="AM147" s="210">
        <f t="shared" si="34"/>
        <v>-1.1739594450373536E-2</v>
      </c>
      <c r="AN147" s="217"/>
      <c r="AO147" s="189"/>
      <c r="AP147" s="215"/>
      <c r="AQ147" s="216"/>
      <c r="AR147" s="211">
        <v>0</v>
      </c>
      <c r="AS147" s="196" t="str">
        <f t="shared" si="55"/>
        <v>-</v>
      </c>
      <c r="AT147" s="217"/>
      <c r="AU147" s="218"/>
      <c r="AV147" s="217"/>
      <c r="AW147" s="189"/>
      <c r="AX147" s="217"/>
      <c r="AY147" s="189"/>
      <c r="AZ147" s="222">
        <v>1364</v>
      </c>
      <c r="BA147" s="172">
        <f t="shared" si="74"/>
        <v>-5.6055363321799279E-2</v>
      </c>
      <c r="BB147" s="222"/>
      <c r="BC147" s="208"/>
    </row>
    <row r="148" spans="1:68" s="220" customFormat="1" ht="15.6">
      <c r="A148" s="221"/>
      <c r="B148" s="171" t="s">
        <v>54</v>
      </c>
      <c r="C148" s="222">
        <v>1626063</v>
      </c>
      <c r="D148" s="208">
        <f t="shared" si="72"/>
        <v>0.26173265029633275</v>
      </c>
      <c r="E148" s="209"/>
      <c r="F148" s="207">
        <v>359845</v>
      </c>
      <c r="G148" s="208">
        <f t="shared" si="73"/>
        <v>0.50544494601073509</v>
      </c>
      <c r="H148" s="222">
        <v>370700</v>
      </c>
      <c r="I148" s="208">
        <f t="shared" si="50"/>
        <v>0.10623694419576246</v>
      </c>
      <c r="J148" s="222">
        <v>59168</v>
      </c>
      <c r="K148" s="208">
        <f t="shared" si="63"/>
        <v>0.22633062510363122</v>
      </c>
      <c r="L148" s="223">
        <v>108800</v>
      </c>
      <c r="M148" s="208">
        <f t="shared" si="64"/>
        <v>0.14280912566698878</v>
      </c>
      <c r="N148" s="222">
        <v>123303</v>
      </c>
      <c r="O148" s="208">
        <f t="shared" si="65"/>
        <v>0.3657690987029385</v>
      </c>
      <c r="P148" s="222">
        <v>100782</v>
      </c>
      <c r="Q148" s="208">
        <f t="shared" si="66"/>
        <v>0.28994355488998957</v>
      </c>
      <c r="R148" s="223">
        <v>46071</v>
      </c>
      <c r="S148" s="208">
        <f t="shared" si="67"/>
        <v>0.10768897864974036</v>
      </c>
      <c r="T148" s="222">
        <v>44988</v>
      </c>
      <c r="U148" s="208">
        <f t="shared" si="42"/>
        <v>0.11826994780014914</v>
      </c>
      <c r="V148" s="222">
        <v>1542</v>
      </c>
      <c r="W148" s="208">
        <f t="shared" si="68"/>
        <v>0.21704814522494087</v>
      </c>
      <c r="X148" s="223">
        <v>105330</v>
      </c>
      <c r="Y148" s="208">
        <f t="shared" si="44"/>
        <v>5.0746685554103443E-2</v>
      </c>
      <c r="Z148" s="223">
        <v>28625</v>
      </c>
      <c r="AA148" s="208">
        <f t="shared" si="59"/>
        <v>-0.1437331737959916</v>
      </c>
      <c r="AB148" s="207">
        <v>31619</v>
      </c>
      <c r="AC148" s="208">
        <f t="shared" si="48"/>
        <v>0.27475407192388324</v>
      </c>
      <c r="AD148" s="222">
        <v>34200</v>
      </c>
      <c r="AE148" s="208">
        <f t="shared" si="69"/>
        <v>0.17275907002263224</v>
      </c>
      <c r="AF148" s="222">
        <v>1300</v>
      </c>
      <c r="AG148" s="208">
        <f t="shared" si="70"/>
        <v>8.3333333333333259E-2</v>
      </c>
      <c r="AH148" s="222">
        <v>13595</v>
      </c>
      <c r="AI148" s="208">
        <f t="shared" si="71"/>
        <v>-0.25038597265108076</v>
      </c>
      <c r="AJ148" s="224"/>
      <c r="AK148" s="213"/>
      <c r="AL148" s="222">
        <v>4521</v>
      </c>
      <c r="AM148" s="210">
        <f t="shared" si="34"/>
        <v>0.54722792607802884</v>
      </c>
      <c r="AN148" s="217"/>
      <c r="AO148" s="189"/>
      <c r="AP148" s="215"/>
      <c r="AQ148" s="216"/>
      <c r="AR148" s="211">
        <v>0</v>
      </c>
      <c r="AS148" s="196" t="str">
        <f t="shared" si="55"/>
        <v>-</v>
      </c>
      <c r="AT148" s="217"/>
      <c r="AU148" s="218"/>
      <c r="AV148" s="217"/>
      <c r="AW148" s="189"/>
      <c r="AX148" s="217"/>
      <c r="AY148" s="189"/>
      <c r="AZ148" s="222">
        <v>1931</v>
      </c>
      <c r="BA148" s="172">
        <f t="shared" si="74"/>
        <v>3.3886363636363637</v>
      </c>
      <c r="BB148" s="222"/>
      <c r="BC148" s="208"/>
    </row>
    <row r="149" spans="1:68" s="220" customFormat="1" ht="15.6">
      <c r="A149" s="221"/>
      <c r="B149" s="225" t="s">
        <v>55</v>
      </c>
      <c r="C149" s="226">
        <v>1781715</v>
      </c>
      <c r="D149" s="208">
        <f t="shared" ref="D149:D161" si="75">C149/C137-1</f>
        <v>0.24536495659048119</v>
      </c>
      <c r="E149" s="209"/>
      <c r="F149" s="207">
        <v>415656</v>
      </c>
      <c r="G149" s="208">
        <f t="shared" si="73"/>
        <v>0.53433516793833957</v>
      </c>
      <c r="H149" s="222">
        <v>339600</v>
      </c>
      <c r="I149" s="208">
        <f t="shared" si="50"/>
        <v>-4.7138047138047139E-2</v>
      </c>
      <c r="J149" s="222">
        <v>69555</v>
      </c>
      <c r="K149" s="208">
        <f t="shared" si="63"/>
        <v>0.38404138891652573</v>
      </c>
      <c r="L149" s="223">
        <v>119238</v>
      </c>
      <c r="M149" s="208">
        <f t="shared" si="64"/>
        <v>8.8076944135199842E-2</v>
      </c>
      <c r="N149" s="222">
        <v>149315</v>
      </c>
      <c r="O149" s="208">
        <f t="shared" si="65"/>
        <v>0.30857543490644579</v>
      </c>
      <c r="P149" s="222">
        <v>114741</v>
      </c>
      <c r="Q149" s="208">
        <f t="shared" si="66"/>
        <v>0.38037606919865752</v>
      </c>
      <c r="R149" s="223">
        <v>54856</v>
      </c>
      <c r="S149" s="208">
        <f t="shared" si="67"/>
        <v>0.15861952435263804</v>
      </c>
      <c r="T149" s="222">
        <v>44821</v>
      </c>
      <c r="U149" s="208">
        <f t="shared" si="42"/>
        <v>9.5385893738696909E-2</v>
      </c>
      <c r="V149" s="222">
        <v>1395</v>
      </c>
      <c r="W149" s="208">
        <f t="shared" si="68"/>
        <v>5.2830188679245271E-2</v>
      </c>
      <c r="X149" s="223">
        <v>135156</v>
      </c>
      <c r="Y149" s="208">
        <f t="shared" si="44"/>
        <v>0.15577219086711125</v>
      </c>
      <c r="Z149" s="223">
        <v>42753</v>
      </c>
      <c r="AA149" s="210">
        <f t="shared" si="59"/>
        <v>-7.2341441187319666E-2</v>
      </c>
      <c r="AB149" s="227">
        <v>28155</v>
      </c>
      <c r="AC149" s="210">
        <f t="shared" si="59"/>
        <v>-2.2260036116127258E-2</v>
      </c>
      <c r="AD149" s="222">
        <v>42933</v>
      </c>
      <c r="AE149" s="208">
        <f t="shared" si="69"/>
        <v>0.37986115574982326</v>
      </c>
      <c r="AF149" s="222">
        <v>1100</v>
      </c>
      <c r="AG149" s="208">
        <f t="shared" si="70"/>
        <v>0.375</v>
      </c>
      <c r="AH149" s="222">
        <v>11530</v>
      </c>
      <c r="AI149" s="208">
        <f t="shared" si="71"/>
        <v>-0.32687255531554671</v>
      </c>
      <c r="AJ149" s="228"/>
      <c r="AK149" s="213"/>
      <c r="AL149" s="222">
        <v>2758</v>
      </c>
      <c r="AM149" s="210">
        <f t="shared" si="34"/>
        <v>-0.246448087431694</v>
      </c>
      <c r="AN149" s="229"/>
      <c r="AO149" s="192"/>
      <c r="AP149" s="230"/>
      <c r="AQ149" s="231"/>
      <c r="AR149" s="211">
        <v>0</v>
      </c>
      <c r="AS149" s="196" t="str">
        <f t="shared" si="55"/>
        <v>-</v>
      </c>
      <c r="AT149" s="229"/>
      <c r="AU149" s="232"/>
      <c r="AV149" s="229"/>
      <c r="AW149" s="192"/>
      <c r="AX149" s="229"/>
      <c r="AY149" s="192"/>
      <c r="AZ149" s="222">
        <v>1658</v>
      </c>
      <c r="BA149" s="196">
        <f t="shared" ref="BA149" si="76">IFERROR(AZ149/AZ137-1,"-")</f>
        <v>1.7725752508361206</v>
      </c>
      <c r="BB149" s="222"/>
      <c r="BC149" s="208"/>
    </row>
    <row r="150" spans="1:68" s="244" customFormat="1" ht="15.6">
      <c r="A150" s="233" t="s">
        <v>85</v>
      </c>
      <c r="B150" s="234" t="s">
        <v>43</v>
      </c>
      <c r="C150" s="235">
        <v>2112337</v>
      </c>
      <c r="D150" s="236">
        <f t="shared" si="75"/>
        <v>0.15142722581925261</v>
      </c>
      <c r="E150" s="209"/>
      <c r="F150" s="237">
        <v>514889</v>
      </c>
      <c r="G150" s="236">
        <f t="shared" ref="G150:G166" si="77">F150/F138-1</f>
        <v>0.4378639068621839</v>
      </c>
      <c r="H150" s="238">
        <v>367700</v>
      </c>
      <c r="I150" s="236">
        <f>H150/H138-1</f>
        <v>0</v>
      </c>
      <c r="J150" s="238">
        <v>85640</v>
      </c>
      <c r="K150" s="236">
        <f t="shared" si="63"/>
        <v>0.13881464342229499</v>
      </c>
      <c r="L150" s="239">
        <v>146962</v>
      </c>
      <c r="M150" s="236">
        <f t="shared" si="64"/>
        <v>-4.0255902843666647E-3</v>
      </c>
      <c r="N150" s="238">
        <v>174970</v>
      </c>
      <c r="O150" s="236">
        <f t="shared" si="65"/>
        <v>0.14313154146685658</v>
      </c>
      <c r="P150" s="238">
        <v>149330</v>
      </c>
      <c r="Q150" s="236">
        <f t="shared" si="66"/>
        <v>0.2823529411764707</v>
      </c>
      <c r="R150" s="239">
        <v>69223</v>
      </c>
      <c r="S150" s="236">
        <f t="shared" si="67"/>
        <v>6.2798912648456273E-3</v>
      </c>
      <c r="T150" s="238">
        <v>74180</v>
      </c>
      <c r="U150" s="236">
        <f t="shared" ref="Q150:U169" si="78">T150/T138-1</f>
        <v>3.2859927596769811E-2</v>
      </c>
      <c r="V150" s="238">
        <v>2105</v>
      </c>
      <c r="W150" s="236">
        <f t="shared" si="68"/>
        <v>0.13415948275862077</v>
      </c>
      <c r="X150" s="239">
        <v>147165</v>
      </c>
      <c r="Y150" s="236">
        <f t="shared" si="44"/>
        <v>1.3590372579974641E-5</v>
      </c>
      <c r="Z150" s="239">
        <v>59945</v>
      </c>
      <c r="AA150" s="240">
        <f t="shared" si="59"/>
        <v>-0.17949876127513376</v>
      </c>
      <c r="AB150" s="238">
        <v>35636</v>
      </c>
      <c r="AC150" s="236">
        <f t="shared" ref="AC150:AC167" si="79">(AB150/AB138-1)</f>
        <v>-7.7265665458311705E-2</v>
      </c>
      <c r="AD150" s="238">
        <v>61933</v>
      </c>
      <c r="AE150" s="236">
        <f t="shared" si="69"/>
        <v>0.12000651029893117</v>
      </c>
      <c r="AF150" s="238">
        <v>3300</v>
      </c>
      <c r="AG150" s="236">
        <f t="shared" si="69"/>
        <v>0</v>
      </c>
      <c r="AH150" s="238">
        <v>13773</v>
      </c>
      <c r="AI150" s="236">
        <f t="shared" si="71"/>
        <v>-0.45327881867259445</v>
      </c>
      <c r="AJ150" s="212">
        <v>5353</v>
      </c>
      <c r="AK150" s="241">
        <f>(AJ150/AJ138-1)</f>
        <v>-2.6196106967436794E-2</v>
      </c>
      <c r="AL150" s="238">
        <v>1896</v>
      </c>
      <c r="AM150" s="240">
        <f t="shared" ref="AM150:AM155" si="80">AL150/AL138-1</f>
        <v>-0.11111111111111116</v>
      </c>
      <c r="AN150" s="217">
        <v>64397</v>
      </c>
      <c r="AO150" s="189">
        <f>AN150/AN138-1</f>
        <v>1.0703915875382553E-2</v>
      </c>
      <c r="AP150" s="215">
        <v>111076</v>
      </c>
      <c r="AQ150" s="216">
        <f>(AP150/AP138-1)</f>
        <v>7.8481061819735354E-2</v>
      </c>
      <c r="AR150" s="242">
        <v>0</v>
      </c>
      <c r="AS150" s="243" t="str">
        <f t="shared" si="55"/>
        <v>-</v>
      </c>
      <c r="AT150" s="217">
        <v>1035</v>
      </c>
      <c r="AU150" s="218">
        <f>AT150/AT138-1</f>
        <v>0.6171875</v>
      </c>
      <c r="AV150" s="214">
        <v>10671</v>
      </c>
      <c r="AW150" s="219">
        <f>AV150/AV138-1</f>
        <v>-7.3778317854352959E-2</v>
      </c>
      <c r="AX150" s="217">
        <v>173260</v>
      </c>
      <c r="AY150" s="189">
        <f>(AX150/AX138-1)</f>
        <v>4.7977354108197146E-2</v>
      </c>
      <c r="AZ150" s="238"/>
      <c r="BA150" s="236"/>
      <c r="BB150" s="238"/>
      <c r="BC150" s="236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</row>
    <row r="151" spans="1:68" s="220" customFormat="1" ht="15.6">
      <c r="A151" s="206"/>
      <c r="B151" s="225" t="s">
        <v>84</v>
      </c>
      <c r="C151" s="245">
        <v>1876928</v>
      </c>
      <c r="D151" s="208">
        <f t="shared" si="75"/>
        <v>0.29836491056710357</v>
      </c>
      <c r="E151" s="209"/>
      <c r="F151" s="207">
        <v>490845</v>
      </c>
      <c r="G151" s="208">
        <f t="shared" si="77"/>
        <v>0.52637323680871706</v>
      </c>
      <c r="H151" s="222">
        <v>330400</v>
      </c>
      <c r="I151" s="208">
        <f>H151/H139-1</f>
        <v>0.17915774446823707</v>
      </c>
      <c r="J151" s="222">
        <v>76407</v>
      </c>
      <c r="K151" s="208">
        <f t="shared" si="63"/>
        <v>0.3243950634403383</v>
      </c>
      <c r="L151" s="223">
        <v>127996</v>
      </c>
      <c r="M151" s="208">
        <f t="shared" si="64"/>
        <v>7.7897360753204303E-2</v>
      </c>
      <c r="N151" s="222">
        <v>147688</v>
      </c>
      <c r="O151" s="208">
        <f t="shared" si="65"/>
        <v>0.25872957700863375</v>
      </c>
      <c r="P151" s="222">
        <v>142234</v>
      </c>
      <c r="Q151" s="208">
        <f t="shared" si="66"/>
        <v>-2.2869822688457941E-2</v>
      </c>
      <c r="R151" s="223">
        <v>63013</v>
      </c>
      <c r="S151" s="208">
        <f t="shared" si="67"/>
        <v>0.12043029871977251</v>
      </c>
      <c r="T151" s="222">
        <v>57595</v>
      </c>
      <c r="U151" s="208">
        <f t="shared" si="78"/>
        <v>0.12019838568511143</v>
      </c>
      <c r="V151" s="222">
        <v>1322</v>
      </c>
      <c r="W151" s="208">
        <f t="shared" si="68"/>
        <v>0.1406384814495254</v>
      </c>
      <c r="X151" s="223">
        <v>137598</v>
      </c>
      <c r="Y151" s="208">
        <f t="shared" si="44"/>
        <v>0.13512844627035592</v>
      </c>
      <c r="Z151" s="223">
        <v>43764</v>
      </c>
      <c r="AA151" s="210">
        <f t="shared" si="59"/>
        <v>-0.1179458239277652</v>
      </c>
      <c r="AB151" s="222">
        <v>31609</v>
      </c>
      <c r="AC151" s="208">
        <f t="shared" si="79"/>
        <v>2.1688538367056642E-2</v>
      </c>
      <c r="AD151" s="222">
        <v>47349</v>
      </c>
      <c r="AE151" s="208">
        <f t="shared" si="69"/>
        <v>0.29669998630699723</v>
      </c>
      <c r="AF151" s="222">
        <v>4300</v>
      </c>
      <c r="AG151" s="208">
        <f t="shared" si="69"/>
        <v>0.65384615384615374</v>
      </c>
      <c r="AH151" s="222">
        <v>11399</v>
      </c>
      <c r="AI151" s="208">
        <f t="shared" si="71"/>
        <v>-0.42767485063011501</v>
      </c>
      <c r="AJ151" s="224"/>
      <c r="AK151" s="246"/>
      <c r="AL151" s="222">
        <v>1706</v>
      </c>
      <c r="AM151" s="210">
        <f t="shared" si="80"/>
        <v>3.5194174757281482E-2</v>
      </c>
      <c r="AN151" s="217"/>
      <c r="AO151" s="189"/>
      <c r="AP151" s="215"/>
      <c r="AQ151" s="216"/>
      <c r="AR151" s="211">
        <v>12</v>
      </c>
      <c r="AS151" s="196" t="str">
        <f t="shared" si="55"/>
        <v>-</v>
      </c>
      <c r="AT151" s="217"/>
      <c r="AU151" s="218"/>
      <c r="AV151" s="217"/>
      <c r="AW151" s="189"/>
      <c r="AX151" s="217"/>
      <c r="AY151" s="189"/>
      <c r="AZ151" s="222"/>
      <c r="BA151" s="208"/>
      <c r="BB151" s="222"/>
      <c r="BC151" s="208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</row>
    <row r="152" spans="1:68" s="220" customFormat="1" ht="15.6">
      <c r="A152" s="206"/>
      <c r="B152" s="225" t="s">
        <v>86</v>
      </c>
      <c r="C152" s="245">
        <v>1569162</v>
      </c>
      <c r="D152" s="208">
        <f t="shared" si="75"/>
        <v>0.1076309943720648</v>
      </c>
      <c r="E152" s="209"/>
      <c r="F152" s="207">
        <v>374057</v>
      </c>
      <c r="G152" s="208">
        <f t="shared" si="77"/>
        <v>0.39492310446158196</v>
      </c>
      <c r="H152" s="247">
        <v>4064063</v>
      </c>
      <c r="I152" s="248">
        <f>H152/SUM(H140:H149)-1</f>
        <v>7.0476228104833449E-2</v>
      </c>
      <c r="J152" s="222">
        <v>56442</v>
      </c>
      <c r="K152" s="208">
        <f t="shared" si="63"/>
        <v>0.13490036796493277</v>
      </c>
      <c r="L152" s="223">
        <v>97043</v>
      </c>
      <c r="M152" s="208">
        <f t="shared" si="64"/>
        <v>-1.8865826163443122E-2</v>
      </c>
      <c r="N152" s="222">
        <v>103289</v>
      </c>
      <c r="O152" s="208">
        <f t="shared" si="65"/>
        <v>3.045811883953875E-2</v>
      </c>
      <c r="P152" s="222">
        <v>116593</v>
      </c>
      <c r="Q152" s="208">
        <f t="shared" si="66"/>
        <v>0.28400731245319588</v>
      </c>
      <c r="R152" s="223">
        <v>41675</v>
      </c>
      <c r="S152" s="208">
        <f t="shared" si="67"/>
        <v>-4.4436291931304939E-2</v>
      </c>
      <c r="T152" s="222">
        <v>40959</v>
      </c>
      <c r="U152" s="208">
        <f t="shared" si="78"/>
        <v>-4.4621197984698657E-2</v>
      </c>
      <c r="V152" s="222">
        <v>1194</v>
      </c>
      <c r="W152" s="208">
        <f t="shared" si="68"/>
        <v>0.10555555555555562</v>
      </c>
      <c r="X152" s="223">
        <v>98781</v>
      </c>
      <c r="Y152" s="208">
        <f t="shared" si="44"/>
        <v>6.1031804852898608E-2</v>
      </c>
      <c r="Z152" s="223">
        <v>27839</v>
      </c>
      <c r="AA152" s="210">
        <f t="shared" si="59"/>
        <v>-0.25208210198269843</v>
      </c>
      <c r="AB152" s="222">
        <v>26103</v>
      </c>
      <c r="AC152" s="208">
        <f t="shared" si="79"/>
        <v>-8.6189392613338023E-2</v>
      </c>
      <c r="AD152" s="222">
        <v>30563</v>
      </c>
      <c r="AE152" s="208">
        <f t="shared" si="69"/>
        <v>4.0761424776952992E-2</v>
      </c>
      <c r="AF152" s="222">
        <v>2000</v>
      </c>
      <c r="AG152" s="208">
        <f t="shared" si="69"/>
        <v>-4.7619047619047672E-2</v>
      </c>
      <c r="AH152" s="222">
        <v>8830</v>
      </c>
      <c r="AI152" s="208">
        <f t="shared" si="71"/>
        <v>-0.37663254500529475</v>
      </c>
      <c r="AJ152" s="224"/>
      <c r="AK152" s="246"/>
      <c r="AL152" s="222">
        <v>1981</v>
      </c>
      <c r="AM152" s="210">
        <f t="shared" si="80"/>
        <v>-0.3778266331658291</v>
      </c>
      <c r="AN152" s="217"/>
      <c r="AO152" s="189"/>
      <c r="AP152" s="215"/>
      <c r="AQ152" s="216"/>
      <c r="AR152" s="211">
        <v>0</v>
      </c>
      <c r="AS152" s="196" t="str">
        <f t="shared" si="55"/>
        <v>-</v>
      </c>
      <c r="AT152" s="217"/>
      <c r="AU152" s="218"/>
      <c r="AV152" s="217"/>
      <c r="AW152" s="189"/>
      <c r="AX152" s="217"/>
      <c r="AY152" s="189"/>
      <c r="AZ152" s="222"/>
      <c r="BA152" s="208"/>
      <c r="BB152" s="222"/>
      <c r="BC152" s="208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</row>
    <row r="153" spans="1:68" s="220" customFormat="1" ht="15.6">
      <c r="A153" s="206"/>
      <c r="B153" s="225" t="s">
        <v>87</v>
      </c>
      <c r="C153" s="245">
        <v>1636597</v>
      </c>
      <c r="D153" s="208">
        <f t="shared" si="75"/>
        <v>9.4376980995813931E-2</v>
      </c>
      <c r="E153" s="209"/>
      <c r="F153" s="207">
        <v>353660</v>
      </c>
      <c r="G153" s="208">
        <f t="shared" si="77"/>
        <v>0.16099127106319688</v>
      </c>
      <c r="H153" s="247"/>
      <c r="I153" s="248"/>
      <c r="J153" s="222">
        <v>62668</v>
      </c>
      <c r="K153" s="208">
        <f t="shared" si="63"/>
        <v>0.2577369244972505</v>
      </c>
      <c r="L153" s="223">
        <v>103295</v>
      </c>
      <c r="M153" s="208">
        <f t="shared" si="64"/>
        <v>5.7451142982914094E-2</v>
      </c>
      <c r="N153" s="222">
        <v>95785</v>
      </c>
      <c r="O153" s="208">
        <f t="shared" si="65"/>
        <v>0.10981728017426162</v>
      </c>
      <c r="P153" s="222">
        <v>111154</v>
      </c>
      <c r="Q153" s="208">
        <f t="shared" si="66"/>
        <v>0.30314079041466879</v>
      </c>
      <c r="R153" s="223">
        <v>43661</v>
      </c>
      <c r="S153" s="208">
        <f t="shared" si="67"/>
        <v>5.9347325003032969E-2</v>
      </c>
      <c r="T153" s="222">
        <v>41356</v>
      </c>
      <c r="U153" s="208">
        <f t="shared" si="78"/>
        <v>-5.9131772510937486E-3</v>
      </c>
      <c r="V153" s="222">
        <v>749</v>
      </c>
      <c r="W153" s="208">
        <f t="shared" si="68"/>
        <v>1.904761904761898E-2</v>
      </c>
      <c r="X153" s="223">
        <v>98052</v>
      </c>
      <c r="Y153" s="208">
        <f t="shared" si="44"/>
        <v>8.3866688774664189E-2</v>
      </c>
      <c r="Z153" s="223">
        <v>22386</v>
      </c>
      <c r="AA153" s="210">
        <f t="shared" si="59"/>
        <v>-0.19318099906292796</v>
      </c>
      <c r="AB153" s="222">
        <v>27989</v>
      </c>
      <c r="AC153" s="208">
        <f t="shared" si="79"/>
        <v>-2.6367968831530253E-2</v>
      </c>
      <c r="AD153" s="222">
        <v>31218</v>
      </c>
      <c r="AE153" s="208">
        <f t="shared" si="69"/>
        <v>8.4975497862579408E-2</v>
      </c>
      <c r="AF153" s="222">
        <v>2400</v>
      </c>
      <c r="AG153" s="208">
        <f t="shared" si="69"/>
        <v>0.14285714285714279</v>
      </c>
      <c r="AH153" s="222">
        <v>8438</v>
      </c>
      <c r="AI153" s="208">
        <f t="shared" si="71"/>
        <v>-0.58539701257861632</v>
      </c>
      <c r="AJ153" s="224">
        <v>11093</v>
      </c>
      <c r="AK153" s="246">
        <f>(AJ153/AJ141-1)</f>
        <v>0.14301906233900041</v>
      </c>
      <c r="AL153" s="222">
        <v>2169</v>
      </c>
      <c r="AM153" s="210">
        <f t="shared" si="80"/>
        <v>-0.15438596491228074</v>
      </c>
      <c r="AN153" s="217"/>
      <c r="AO153" s="189"/>
      <c r="AP153" s="215"/>
      <c r="AQ153" s="216"/>
      <c r="AR153" s="211">
        <v>40</v>
      </c>
      <c r="AS153" s="196">
        <f t="shared" si="55"/>
        <v>5.2631578947368363E-2</v>
      </c>
      <c r="AT153" s="217"/>
      <c r="AU153" s="218"/>
      <c r="AV153" s="217"/>
      <c r="AW153" s="189"/>
      <c r="AX153" s="217"/>
      <c r="AY153" s="189"/>
      <c r="AZ153" s="222"/>
      <c r="BA153" s="208"/>
      <c r="BB153" s="222"/>
      <c r="BC153" s="208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</row>
    <row r="154" spans="1:68" s="220" customFormat="1" ht="15.6">
      <c r="A154" s="206"/>
      <c r="B154" s="225" t="s">
        <v>88</v>
      </c>
      <c r="C154" s="245">
        <v>1656728</v>
      </c>
      <c r="D154" s="208">
        <f t="shared" si="75"/>
        <v>4.9050032768408025E-2</v>
      </c>
      <c r="E154" s="209"/>
      <c r="F154" s="207">
        <v>302088</v>
      </c>
      <c r="G154" s="208">
        <f t="shared" si="77"/>
        <v>-4.2173316127068428E-2</v>
      </c>
      <c r="H154" s="247"/>
      <c r="I154" s="248"/>
      <c r="J154" s="222">
        <v>64106</v>
      </c>
      <c r="K154" s="208">
        <f t="shared" si="63"/>
        <v>0.17446824102742609</v>
      </c>
      <c r="L154" s="223">
        <v>106857</v>
      </c>
      <c r="M154" s="208">
        <f t="shared" si="64"/>
        <v>-8.3425542317490553E-2</v>
      </c>
      <c r="N154" s="222">
        <v>96261</v>
      </c>
      <c r="O154" s="208">
        <f t="shared" si="65"/>
        <v>7.4533398821218011E-2</v>
      </c>
      <c r="P154" s="222">
        <v>111952</v>
      </c>
      <c r="Q154" s="208">
        <f t="shared" si="66"/>
        <v>0.37268413502213171</v>
      </c>
      <c r="R154" s="223">
        <v>48109</v>
      </c>
      <c r="S154" s="208">
        <f t="shared" si="67"/>
        <v>-8.0098665340930797E-2</v>
      </c>
      <c r="T154" s="222">
        <v>44932</v>
      </c>
      <c r="U154" s="208">
        <f t="shared" si="78"/>
        <v>2.3904473258437253E-2</v>
      </c>
      <c r="V154" s="222">
        <v>914</v>
      </c>
      <c r="W154" s="208">
        <f t="shared" si="68"/>
        <v>8.8095238095238004E-2</v>
      </c>
      <c r="X154" s="223">
        <v>94736</v>
      </c>
      <c r="Y154" s="208">
        <f t="shared" ref="Y154:AA199" si="81">(X154/X142-1)</f>
        <v>6.9085730076738905E-3</v>
      </c>
      <c r="Z154" s="223">
        <v>17508</v>
      </c>
      <c r="AA154" s="210">
        <f t="shared" si="59"/>
        <v>-0.23828583859038499</v>
      </c>
      <c r="AB154" s="222">
        <v>26859</v>
      </c>
      <c r="AC154" s="208">
        <f t="shared" si="79"/>
        <v>2.5152671755725109E-2</v>
      </c>
      <c r="AD154" s="222">
        <v>29293</v>
      </c>
      <c r="AE154" s="208">
        <f t="shared" si="69"/>
        <v>5.3885227896759424E-3</v>
      </c>
      <c r="AF154" s="222">
        <v>2200</v>
      </c>
      <c r="AG154" s="208">
        <f t="shared" si="69"/>
        <v>0.10000000000000009</v>
      </c>
      <c r="AH154" s="222">
        <v>9516</v>
      </c>
      <c r="AI154" s="208">
        <f t="shared" si="71"/>
        <v>-0.56776889534883723</v>
      </c>
      <c r="AJ154" s="224"/>
      <c r="AK154" s="246"/>
      <c r="AL154" s="222">
        <v>2995</v>
      </c>
      <c r="AM154" s="210">
        <f t="shared" si="80"/>
        <v>-0.14060258249641322</v>
      </c>
      <c r="AN154" s="217"/>
      <c r="AO154" s="189"/>
      <c r="AP154" s="215"/>
      <c r="AQ154" s="216"/>
      <c r="AR154" s="211">
        <v>0</v>
      </c>
      <c r="AS154" s="196" t="str">
        <f t="shared" si="55"/>
        <v>-</v>
      </c>
      <c r="AT154" s="217"/>
      <c r="AU154" s="218"/>
      <c r="AV154" s="217"/>
      <c r="AW154" s="189"/>
      <c r="AX154" s="217"/>
      <c r="AY154" s="189"/>
      <c r="AZ154" s="222"/>
      <c r="BA154" s="208"/>
      <c r="BB154" s="222"/>
      <c r="BC154" s="208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</row>
    <row r="155" spans="1:68" s="220" customFormat="1" ht="15.6">
      <c r="A155" s="206"/>
      <c r="B155" s="225" t="s">
        <v>49</v>
      </c>
      <c r="C155" s="245">
        <v>1778317</v>
      </c>
      <c r="D155" s="208">
        <f t="shared" si="75"/>
        <v>0.29468581800020521</v>
      </c>
      <c r="E155" s="209"/>
      <c r="F155" s="207">
        <v>347365</v>
      </c>
      <c r="G155" s="208">
        <f t="shared" si="77"/>
        <v>0.38115099561040777</v>
      </c>
      <c r="H155" s="247"/>
      <c r="I155" s="248"/>
      <c r="J155" s="222">
        <v>61599</v>
      </c>
      <c r="K155" s="208">
        <f t="shared" si="63"/>
        <v>0.67862982341399603</v>
      </c>
      <c r="L155" s="223">
        <v>105083</v>
      </c>
      <c r="M155" s="208">
        <f t="shared" si="64"/>
        <v>0.52349401957230879</v>
      </c>
      <c r="N155" s="222">
        <v>107506</v>
      </c>
      <c r="O155" s="208">
        <f t="shared" si="65"/>
        <v>0.17139557182705722</v>
      </c>
      <c r="P155" s="222">
        <v>109806</v>
      </c>
      <c r="Q155" s="208">
        <f t="shared" si="66"/>
        <v>0.50569747830021794</v>
      </c>
      <c r="R155" s="223">
        <v>46957</v>
      </c>
      <c r="S155" s="208">
        <f t="shared" si="67"/>
        <v>0.49516016047888933</v>
      </c>
      <c r="T155" s="222">
        <v>43766</v>
      </c>
      <c r="U155" s="208">
        <f t="shared" si="78"/>
        <v>0.1767268034307532</v>
      </c>
      <c r="V155" s="222">
        <v>909</v>
      </c>
      <c r="W155" s="208">
        <f t="shared" si="68"/>
        <v>-3.4006376195536703E-2</v>
      </c>
      <c r="X155" s="223">
        <v>109786</v>
      </c>
      <c r="Y155" s="208">
        <f t="shared" si="81"/>
        <v>0.13235142438682268</v>
      </c>
      <c r="Z155" s="223">
        <v>21556</v>
      </c>
      <c r="AA155" s="210">
        <f t="shared" si="59"/>
        <v>0.24730933919685216</v>
      </c>
      <c r="AB155" s="222">
        <v>26084</v>
      </c>
      <c r="AC155" s="208">
        <f t="shared" si="79"/>
        <v>-4.1874816338524856E-2</v>
      </c>
      <c r="AD155" s="222">
        <v>27667</v>
      </c>
      <c r="AE155" s="208">
        <f t="shared" si="69"/>
        <v>6.7152665278099155E-2</v>
      </c>
      <c r="AF155" s="222">
        <v>2400</v>
      </c>
      <c r="AG155" s="208">
        <f t="shared" si="69"/>
        <v>0.60000000000000009</v>
      </c>
      <c r="AH155" s="222">
        <v>10441</v>
      </c>
      <c r="AI155" s="208">
        <f t="shared" si="71"/>
        <v>-0.43525530073561225</v>
      </c>
      <c r="AJ155" s="224"/>
      <c r="AK155" s="246"/>
      <c r="AL155" s="222">
        <v>2309</v>
      </c>
      <c r="AM155" s="210">
        <f t="shared" si="80"/>
        <v>-0.15544989027066569</v>
      </c>
      <c r="AN155" s="217"/>
      <c r="AO155" s="189"/>
      <c r="AP155" s="215"/>
      <c r="AQ155" s="216"/>
      <c r="AR155" s="211">
        <v>0</v>
      </c>
      <c r="AS155" s="196" t="str">
        <f t="shared" si="55"/>
        <v>-</v>
      </c>
      <c r="AT155" s="217"/>
      <c r="AU155" s="218"/>
      <c r="AV155" s="217"/>
      <c r="AW155" s="189"/>
      <c r="AX155" s="217"/>
      <c r="AY155" s="189"/>
      <c r="AZ155" s="222"/>
      <c r="BA155" s="208"/>
      <c r="BB155" s="222"/>
      <c r="BC155" s="208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</row>
    <row r="156" spans="1:68" s="220" customFormat="1" ht="15.6">
      <c r="A156" s="206"/>
      <c r="B156" s="225" t="s">
        <v>50</v>
      </c>
      <c r="C156" s="245">
        <v>2086068</v>
      </c>
      <c r="D156" s="208">
        <f t="shared" si="75"/>
        <v>0.24516692810738405</v>
      </c>
      <c r="E156" s="209"/>
      <c r="F156" s="207">
        <v>447008</v>
      </c>
      <c r="G156" s="208">
        <f t="shared" si="77"/>
        <v>0.30020157126693214</v>
      </c>
      <c r="H156" s="247"/>
      <c r="I156" s="248"/>
      <c r="J156" s="222">
        <v>71641</v>
      </c>
      <c r="K156" s="208">
        <f t="shared" si="63"/>
        <v>0.57977022646585374</v>
      </c>
      <c r="L156" s="223">
        <v>109094</v>
      </c>
      <c r="M156" s="208">
        <f t="shared" si="64"/>
        <v>0.32443850916595851</v>
      </c>
      <c r="N156" s="222">
        <v>134310</v>
      </c>
      <c r="O156" s="208">
        <f t="shared" si="65"/>
        <v>0.10544119704688937</v>
      </c>
      <c r="P156" s="222">
        <v>116960</v>
      </c>
      <c r="Q156" s="208">
        <f>P156/P144-1</f>
        <v>0.59982491656179904</v>
      </c>
      <c r="R156" s="223">
        <v>51992</v>
      </c>
      <c r="S156" s="208">
        <f t="shared" si="67"/>
        <v>0.40329284750337391</v>
      </c>
      <c r="T156" s="222">
        <v>54700</v>
      </c>
      <c r="U156" s="208">
        <f t="shared" si="78"/>
        <v>0.13074935400516785</v>
      </c>
      <c r="V156" s="222">
        <v>1231</v>
      </c>
      <c r="W156" s="208">
        <f t="shared" si="68"/>
        <v>-0.14927436074637179</v>
      </c>
      <c r="X156" s="223">
        <v>142793</v>
      </c>
      <c r="Y156" s="208">
        <f t="shared" si="81"/>
        <v>0.19700399020889914</v>
      </c>
      <c r="Z156" s="223">
        <v>25272</v>
      </c>
      <c r="AA156" s="210">
        <f t="shared" si="59"/>
        <v>4.7370384185005499E-2</v>
      </c>
      <c r="AB156" s="222">
        <v>31502</v>
      </c>
      <c r="AC156" s="208">
        <f t="shared" si="79"/>
        <v>0.10212363992583007</v>
      </c>
      <c r="AD156" s="222">
        <v>34429</v>
      </c>
      <c r="AE156" s="208">
        <f t="shared" si="69"/>
        <v>-7.694576262098185E-2</v>
      </c>
      <c r="AF156" s="222">
        <v>2000</v>
      </c>
      <c r="AG156" s="208">
        <f t="shared" si="69"/>
        <v>0.4285714285714286</v>
      </c>
      <c r="AH156" s="222">
        <v>9627</v>
      </c>
      <c r="AI156" s="208">
        <f t="shared" si="71"/>
        <v>-0.57268409605397486</v>
      </c>
      <c r="AJ156" s="224">
        <f>50436-AJ153-AJ150</f>
        <v>33990</v>
      </c>
      <c r="AK156" s="246">
        <f>(AJ156/AJ144-1)</f>
        <v>0.30539980029188118</v>
      </c>
      <c r="AL156" s="222">
        <v>2063</v>
      </c>
      <c r="AM156" s="210">
        <f>AL156/AL144-1</f>
        <v>-1.0076775431861806E-2</v>
      </c>
      <c r="AN156" s="217"/>
      <c r="AO156" s="189"/>
      <c r="AP156" s="215"/>
      <c r="AQ156" s="216"/>
      <c r="AR156" s="211">
        <v>23</v>
      </c>
      <c r="AS156" s="196" t="str">
        <f t="shared" si="55"/>
        <v>-</v>
      </c>
      <c r="AT156" s="217"/>
      <c r="AU156" s="218"/>
      <c r="AV156" s="217"/>
      <c r="AW156" s="189"/>
      <c r="AX156" s="217"/>
      <c r="AY156" s="189"/>
      <c r="AZ156" s="222"/>
      <c r="BA156" s="208"/>
      <c r="BB156" s="222"/>
      <c r="BC156" s="208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</row>
    <row r="157" spans="1:68" s="220" customFormat="1" ht="15.6">
      <c r="A157" s="206"/>
      <c r="B157" s="225" t="s">
        <v>89</v>
      </c>
      <c r="C157" s="245">
        <v>2064241</v>
      </c>
      <c r="D157" s="208">
        <f t="shared" si="75"/>
        <v>0.1247743494207052</v>
      </c>
      <c r="E157" s="209"/>
      <c r="F157" s="207">
        <v>458927</v>
      </c>
      <c r="G157" s="208">
        <f t="shared" si="77"/>
        <v>0.17381340304012327</v>
      </c>
      <c r="H157" s="247"/>
      <c r="I157" s="248"/>
      <c r="J157" s="222">
        <v>78023</v>
      </c>
      <c r="K157" s="208">
        <f t="shared" si="63"/>
        <v>0.43635861561119293</v>
      </c>
      <c r="L157" s="223">
        <v>114727</v>
      </c>
      <c r="M157" s="208">
        <f t="shared" si="64"/>
        <v>0.18778535858120482</v>
      </c>
      <c r="N157" s="222">
        <v>140804</v>
      </c>
      <c r="O157" s="208">
        <f t="shared" si="65"/>
        <v>2.4744548921428855E-2</v>
      </c>
      <c r="P157" s="222">
        <v>147028</v>
      </c>
      <c r="Q157" s="208">
        <f>P157/P145-1</f>
        <v>0.41174889097997047</v>
      </c>
      <c r="R157" s="223">
        <v>57739</v>
      </c>
      <c r="S157" s="208">
        <f t="shared" si="67"/>
        <v>0.32095630290551358</v>
      </c>
      <c r="T157" s="222">
        <v>62018</v>
      </c>
      <c r="U157" s="208">
        <f t="shared" si="78"/>
        <v>2.5633392868955385E-2</v>
      </c>
      <c r="V157" s="222">
        <v>1296</v>
      </c>
      <c r="W157" s="208">
        <f t="shared" si="68"/>
        <v>1.8867924528301883E-2</v>
      </c>
      <c r="X157" s="223">
        <v>147588</v>
      </c>
      <c r="Y157" s="208">
        <f t="shared" si="81"/>
        <v>5.8190891361707076E-2</v>
      </c>
      <c r="Z157" s="223">
        <v>25410</v>
      </c>
      <c r="AA157" s="210">
        <f t="shared" si="59"/>
        <v>-2.1827000808407382E-2</v>
      </c>
      <c r="AB157" s="222">
        <v>30940</v>
      </c>
      <c r="AC157" s="208">
        <f t="shared" si="79"/>
        <v>6.5060240963855431E-2</v>
      </c>
      <c r="AD157" s="222">
        <v>42117</v>
      </c>
      <c r="AE157" s="208">
        <f t="shared" si="69"/>
        <v>-9.2914941663529982E-3</v>
      </c>
      <c r="AF157" s="222">
        <v>1400</v>
      </c>
      <c r="AG157" s="208">
        <f t="shared" si="69"/>
        <v>0.27272727272727271</v>
      </c>
      <c r="AH157" s="222">
        <v>6590</v>
      </c>
      <c r="AI157" s="208">
        <f t="shared" si="71"/>
        <v>-0.66531234128999495</v>
      </c>
      <c r="AJ157" s="224"/>
      <c r="AK157" s="246"/>
      <c r="AL157" s="222">
        <v>1852</v>
      </c>
      <c r="AM157" s="210">
        <f>AL157/AL145-1</f>
        <v>-0.10832932113625426</v>
      </c>
      <c r="AN157" s="217"/>
      <c r="AO157" s="189"/>
      <c r="AP157" s="215"/>
      <c r="AQ157" s="216"/>
      <c r="AR157" s="211">
        <v>24</v>
      </c>
      <c r="AS157" s="196" t="str">
        <f t="shared" si="55"/>
        <v>-</v>
      </c>
      <c r="AT157" s="217"/>
      <c r="AU157" s="218"/>
      <c r="AV157" s="217"/>
      <c r="AW157" s="189"/>
      <c r="AX157" s="217"/>
      <c r="AY157" s="189"/>
      <c r="AZ157" s="222"/>
      <c r="BA157" s="208"/>
      <c r="BB157" s="222"/>
      <c r="BC157" s="208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</row>
    <row r="158" spans="1:68" s="220" customFormat="1" ht="15.6">
      <c r="A158" s="206"/>
      <c r="B158" s="225" t="s">
        <v>52</v>
      </c>
      <c r="C158" s="245">
        <v>1904524</v>
      </c>
      <c r="D158" s="208">
        <f t="shared" si="75"/>
        <v>0.25989162885495842</v>
      </c>
      <c r="E158" s="209"/>
      <c r="F158" s="207">
        <v>430614</v>
      </c>
      <c r="G158" s="208">
        <f t="shared" si="77"/>
        <v>0.42755225513434669</v>
      </c>
      <c r="H158" s="247"/>
      <c r="I158" s="248"/>
      <c r="J158" s="222">
        <v>72200</v>
      </c>
      <c r="K158" s="208">
        <f t="shared" si="63"/>
        <v>0.54372460979260206</v>
      </c>
      <c r="L158" s="223">
        <v>113351</v>
      </c>
      <c r="M158" s="208">
        <f t="shared" si="64"/>
        <v>0.31775907368225265</v>
      </c>
      <c r="N158" s="222">
        <v>107890</v>
      </c>
      <c r="O158" s="208">
        <f t="shared" si="65"/>
        <v>0.14473363112605964</v>
      </c>
      <c r="P158" s="222">
        <v>128911</v>
      </c>
      <c r="Q158" s="208">
        <f>P158/P146-1</f>
        <v>0.60738911956508179</v>
      </c>
      <c r="R158" s="223">
        <v>55075</v>
      </c>
      <c r="S158" s="208">
        <f t="shared" si="67"/>
        <v>0.52044281257764413</v>
      </c>
      <c r="T158" s="222">
        <v>37742</v>
      </c>
      <c r="U158" s="208">
        <f t="shared" si="78"/>
        <v>-3.3817167140260618E-2</v>
      </c>
      <c r="V158" s="222">
        <v>1001</v>
      </c>
      <c r="W158" s="208">
        <f t="shared" si="68"/>
        <v>9.9999999999988987E-4</v>
      </c>
      <c r="X158" s="223">
        <v>115147</v>
      </c>
      <c r="Y158" s="208">
        <f t="shared" si="81"/>
        <v>0.20716876690499664</v>
      </c>
      <c r="Z158" s="223">
        <v>20202</v>
      </c>
      <c r="AA158" s="210">
        <f t="shared" si="59"/>
        <v>8.1709145427286467E-2</v>
      </c>
      <c r="AB158" s="222">
        <v>26543</v>
      </c>
      <c r="AC158" s="208">
        <f t="shared" si="79"/>
        <v>4.5329237555135515E-2</v>
      </c>
      <c r="AD158" s="222">
        <v>29565</v>
      </c>
      <c r="AE158" s="208">
        <f t="shared" si="69"/>
        <v>9.4432516472940042E-2</v>
      </c>
      <c r="AF158" s="222">
        <v>2600</v>
      </c>
      <c r="AG158" s="208">
        <f t="shared" si="69"/>
        <v>0.30000000000000004</v>
      </c>
      <c r="AH158" s="222">
        <v>7334</v>
      </c>
      <c r="AI158" s="208">
        <f t="shared" si="71"/>
        <v>-0.56287996185480993</v>
      </c>
      <c r="AJ158" s="224"/>
      <c r="AK158" s="246"/>
      <c r="AL158" s="222">
        <v>2339</v>
      </c>
      <c r="AM158" s="210">
        <f t="shared" ref="AM158:AM170" si="82">AL158/AL146-1</f>
        <v>0.10958254269449719</v>
      </c>
      <c r="AN158" s="217"/>
      <c r="AO158" s="189"/>
      <c r="AP158" s="215"/>
      <c r="AQ158" s="216"/>
      <c r="AR158" s="211">
        <v>22</v>
      </c>
      <c r="AS158" s="196" t="str">
        <f t="shared" si="55"/>
        <v>-</v>
      </c>
      <c r="AT158" s="217"/>
      <c r="AU158" s="218"/>
      <c r="AV158" s="217"/>
      <c r="AW158" s="189"/>
      <c r="AX158" s="217"/>
      <c r="AY158" s="189"/>
      <c r="AZ158" s="222"/>
      <c r="BA158" s="208"/>
      <c r="BB158" s="222"/>
      <c r="BC158" s="208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</row>
    <row r="159" spans="1:68" s="220" customFormat="1" ht="15.6">
      <c r="A159" s="206"/>
      <c r="B159" s="225" t="s">
        <v>53</v>
      </c>
      <c r="C159" s="245">
        <v>1865552</v>
      </c>
      <c r="D159" s="208">
        <f t="shared" si="75"/>
        <v>7.5055263964667995E-2</v>
      </c>
      <c r="E159" s="209"/>
      <c r="F159" s="207">
        <v>449555</v>
      </c>
      <c r="G159" s="208">
        <f t="shared" si="77"/>
        <v>0.21225481471893692</v>
      </c>
      <c r="H159" s="247"/>
      <c r="I159" s="248"/>
      <c r="J159" s="222">
        <v>73819</v>
      </c>
      <c r="K159" s="208">
        <f t="shared" si="63"/>
        <v>0.23311171989843649</v>
      </c>
      <c r="L159" s="223">
        <v>111226</v>
      </c>
      <c r="M159" s="208">
        <f t="shared" si="64"/>
        <v>9.2314340148881513E-2</v>
      </c>
      <c r="N159" s="222">
        <v>99409</v>
      </c>
      <c r="O159" s="208">
        <f t="shared" si="65"/>
        <v>-8.7346106882843833E-2</v>
      </c>
      <c r="P159" s="222">
        <v>123052</v>
      </c>
      <c r="Q159" s="208">
        <f t="shared" ref="Q159:Q167" si="83">P159/P147-1</f>
        <v>0.41805819648516285</v>
      </c>
      <c r="R159" s="223">
        <v>52104</v>
      </c>
      <c r="S159" s="208">
        <f t="shared" si="67"/>
        <v>0.22106348573972956</v>
      </c>
      <c r="T159" s="222">
        <v>34346</v>
      </c>
      <c r="U159" s="208">
        <f t="shared" si="78"/>
        <v>-0.32098374915978012</v>
      </c>
      <c r="V159" s="222">
        <v>1173</v>
      </c>
      <c r="W159" s="208">
        <f t="shared" si="68"/>
        <v>6.0578661844484571E-2</v>
      </c>
      <c r="X159" s="223">
        <v>112508</v>
      </c>
      <c r="Y159" s="208">
        <f t="shared" si="81"/>
        <v>0.10240355879557494</v>
      </c>
      <c r="Z159" s="223">
        <v>24164</v>
      </c>
      <c r="AA159" s="208">
        <f t="shared" si="59"/>
        <v>-0.11125822943101993</v>
      </c>
      <c r="AB159" s="222">
        <v>26869</v>
      </c>
      <c r="AC159" s="208">
        <f t="shared" si="79"/>
        <v>-0.12295991643817727</v>
      </c>
      <c r="AD159" s="222">
        <v>34025</v>
      </c>
      <c r="AE159" s="208">
        <f t="shared" si="69"/>
        <v>5.7005281143212239E-2</v>
      </c>
      <c r="AF159" s="222">
        <v>2200</v>
      </c>
      <c r="AG159" s="208">
        <f t="shared" si="69"/>
        <v>4.7619047619047672E-2</v>
      </c>
      <c r="AH159" s="222">
        <v>6746</v>
      </c>
      <c r="AI159" s="208">
        <f t="shared" si="71"/>
        <v>-0.63192928852029684</v>
      </c>
      <c r="AJ159" s="224">
        <v>7151</v>
      </c>
      <c r="AK159" s="246">
        <f>(AJ159/AJ147-1)</f>
        <v>0.19722082705508126</v>
      </c>
      <c r="AL159" s="222">
        <v>3937</v>
      </c>
      <c r="AM159" s="210">
        <f t="shared" si="82"/>
        <v>6.2904967602591899E-2</v>
      </c>
      <c r="AN159" s="217"/>
      <c r="AO159" s="189"/>
      <c r="AP159" s="215"/>
      <c r="AQ159" s="216"/>
      <c r="AR159" s="211">
        <v>13</v>
      </c>
      <c r="AS159" s="196" t="str">
        <f t="shared" ref="AS159:AS161" si="84">IFERROR(AR159/AR147-1,"-")</f>
        <v>-</v>
      </c>
      <c r="AT159" s="217"/>
      <c r="AU159" s="218"/>
      <c r="AV159" s="217"/>
      <c r="AW159" s="189"/>
      <c r="AX159" s="217"/>
      <c r="AY159" s="189"/>
      <c r="AZ159" s="222"/>
      <c r="BA159" s="208"/>
      <c r="BB159" s="222"/>
      <c r="BC159" s="208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</row>
    <row r="160" spans="1:68" s="220" customFormat="1" ht="15.6">
      <c r="A160" s="206"/>
      <c r="B160" s="225" t="s">
        <v>54</v>
      </c>
      <c r="C160" s="245">
        <v>1825701</v>
      </c>
      <c r="D160" s="208">
        <f t="shared" si="75"/>
        <v>0.12277384086594423</v>
      </c>
      <c r="E160" s="209"/>
      <c r="F160" s="207">
        <v>426918</v>
      </c>
      <c r="G160" s="208">
        <f t="shared" si="77"/>
        <v>0.18639414192221659</v>
      </c>
      <c r="H160" s="247"/>
      <c r="I160" s="248"/>
      <c r="J160" s="222">
        <v>82274</v>
      </c>
      <c r="K160" s="208">
        <f t="shared" si="63"/>
        <v>0.39051514332071391</v>
      </c>
      <c r="L160" s="223">
        <v>123855</v>
      </c>
      <c r="M160" s="208">
        <f t="shared" si="64"/>
        <v>0.13837316176470593</v>
      </c>
      <c r="N160" s="222">
        <v>114745</v>
      </c>
      <c r="O160" s="208">
        <f t="shared" si="65"/>
        <v>-6.9406259377306267E-2</v>
      </c>
      <c r="P160" s="222">
        <v>132698</v>
      </c>
      <c r="Q160" s="208">
        <f t="shared" si="83"/>
        <v>0.31668353475819089</v>
      </c>
      <c r="R160" s="223">
        <v>62009</v>
      </c>
      <c r="S160" s="208">
        <f t="shared" si="67"/>
        <v>0.34594430335786064</v>
      </c>
      <c r="T160" s="222">
        <v>36314</v>
      </c>
      <c r="U160" s="208">
        <f t="shared" si="78"/>
        <v>-0.19280697074775499</v>
      </c>
      <c r="V160" s="222">
        <v>1386</v>
      </c>
      <c r="W160" s="208">
        <f t="shared" si="68"/>
        <v>-0.10116731517509725</v>
      </c>
      <c r="X160" s="223">
        <v>127547</v>
      </c>
      <c r="Y160" s="208">
        <f t="shared" si="81"/>
        <v>0.21092756099876575</v>
      </c>
      <c r="Z160" s="223">
        <v>27507</v>
      </c>
      <c r="AA160" s="208">
        <f t="shared" si="59"/>
        <v>-3.9056768558952015E-2</v>
      </c>
      <c r="AB160" s="222">
        <v>26880</v>
      </c>
      <c r="AC160" s="208">
        <f t="shared" si="79"/>
        <v>-0.14987823776843034</v>
      </c>
      <c r="AD160" s="222">
        <v>33975</v>
      </c>
      <c r="AE160" s="208">
        <f t="shared" si="69"/>
        <v>-6.5789473684210176E-3</v>
      </c>
      <c r="AF160" s="222">
        <v>2100</v>
      </c>
      <c r="AG160" s="208">
        <f t="shared" si="69"/>
        <v>0.61538461538461542</v>
      </c>
      <c r="AH160" s="222">
        <v>6325</v>
      </c>
      <c r="AI160" s="208">
        <f t="shared" si="71"/>
        <v>-0.53475542478852511</v>
      </c>
      <c r="AJ160" s="224"/>
      <c r="AK160" s="246"/>
      <c r="AL160" s="222">
        <v>3527</v>
      </c>
      <c r="AM160" s="210">
        <f t="shared" si="82"/>
        <v>-0.21986286219862861</v>
      </c>
      <c r="AN160" s="217"/>
      <c r="AO160" s="189"/>
      <c r="AP160" s="215"/>
      <c r="AQ160" s="216"/>
      <c r="AR160" s="211">
        <v>0</v>
      </c>
      <c r="AS160" s="196" t="str">
        <f t="shared" si="84"/>
        <v>-</v>
      </c>
      <c r="AT160" s="217"/>
      <c r="AU160" s="218"/>
      <c r="AV160" s="217"/>
      <c r="AW160" s="189"/>
      <c r="AX160" s="217"/>
      <c r="AY160" s="189"/>
      <c r="AZ160" s="222"/>
      <c r="BA160" s="208"/>
      <c r="BB160" s="222"/>
      <c r="BC160" s="208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</row>
    <row r="161" spans="1:68" s="220" customFormat="1" ht="15.6">
      <c r="A161" s="206"/>
      <c r="B161" s="225" t="s">
        <v>55</v>
      </c>
      <c r="C161" s="245">
        <v>2007035</v>
      </c>
      <c r="D161" s="208">
        <f t="shared" si="75"/>
        <v>0.12646242524758455</v>
      </c>
      <c r="E161" s="209"/>
      <c r="F161" s="207">
        <v>494376</v>
      </c>
      <c r="G161" s="208">
        <f t="shared" si="77"/>
        <v>0.1893873780241353</v>
      </c>
      <c r="H161" s="249"/>
      <c r="I161" s="250"/>
      <c r="J161" s="222">
        <v>99578</v>
      </c>
      <c r="K161" s="208">
        <f t="shared" si="63"/>
        <v>0.43164402271583646</v>
      </c>
      <c r="L161" s="223">
        <v>132878</v>
      </c>
      <c r="M161" s="208">
        <f t="shared" si="64"/>
        <v>0.11439306261426729</v>
      </c>
      <c r="N161" s="222">
        <v>141561</v>
      </c>
      <c r="O161" s="208">
        <f t="shared" si="65"/>
        <v>-5.1930482536918565E-2</v>
      </c>
      <c r="P161" s="222">
        <v>154165</v>
      </c>
      <c r="Q161" s="208">
        <f t="shared" si="83"/>
        <v>0.34359121848336693</v>
      </c>
      <c r="R161" s="223">
        <v>70706</v>
      </c>
      <c r="S161" s="208">
        <f t="shared" si="67"/>
        <v>0.28893831121481695</v>
      </c>
      <c r="T161" s="222">
        <v>38595</v>
      </c>
      <c r="U161" s="208">
        <f t="shared" si="78"/>
        <v>-0.13890810111331742</v>
      </c>
      <c r="V161" s="222">
        <v>1240</v>
      </c>
      <c r="W161" s="208">
        <f t="shared" si="68"/>
        <v>-0.11111111111111116</v>
      </c>
      <c r="X161" s="223">
        <v>143380</v>
      </c>
      <c r="Y161" s="208">
        <f t="shared" si="81"/>
        <v>6.0848205037142167E-2</v>
      </c>
      <c r="Z161" s="223">
        <v>41641</v>
      </c>
      <c r="AA161" s="208">
        <f t="shared" si="81"/>
        <v>-2.600987065235183E-2</v>
      </c>
      <c r="AB161" s="251">
        <v>26873</v>
      </c>
      <c r="AC161" s="252">
        <f t="shared" ref="AC161" si="85">AB161/AB149-1</f>
        <v>-4.5533652992363671E-2</v>
      </c>
      <c r="AD161" s="222">
        <v>42305</v>
      </c>
      <c r="AE161" s="208">
        <f t="shared" ref="AE161:AG161" si="86">(AD161/AD149-1)</f>
        <v>-1.4627442759648779E-2</v>
      </c>
      <c r="AF161" s="222">
        <v>1400</v>
      </c>
      <c r="AG161" s="208">
        <f t="shared" si="86"/>
        <v>0.27272727272727271</v>
      </c>
      <c r="AH161" s="222">
        <v>7885</v>
      </c>
      <c r="AI161" s="208">
        <f t="shared" si="71"/>
        <v>-0.31613183000867306</v>
      </c>
      <c r="AJ161" s="228"/>
      <c r="AK161" s="246"/>
      <c r="AL161" s="222">
        <v>2806</v>
      </c>
      <c r="AM161" s="210">
        <f t="shared" si="82"/>
        <v>1.7403915881073262E-2</v>
      </c>
      <c r="AN161" s="217"/>
      <c r="AO161" s="192"/>
      <c r="AP161" s="230"/>
      <c r="AQ161" s="231"/>
      <c r="AR161" s="211">
        <v>33</v>
      </c>
      <c r="AS161" s="196" t="str">
        <f t="shared" si="84"/>
        <v>-</v>
      </c>
      <c r="AT161" s="229"/>
      <c r="AU161" s="232"/>
      <c r="AV161" s="229"/>
      <c r="AW161" s="192"/>
      <c r="AX161" s="217"/>
      <c r="AY161" s="192"/>
      <c r="AZ161" s="222"/>
      <c r="BA161" s="208"/>
      <c r="BB161" s="222"/>
      <c r="BC161" s="208"/>
      <c r="BD161" s="253"/>
      <c r="BE161" s="253"/>
      <c r="BF161" s="253"/>
      <c r="BG161" s="253"/>
      <c r="BH161" s="253"/>
      <c r="BI161" s="253"/>
      <c r="BJ161" s="253"/>
      <c r="BK161" s="253"/>
      <c r="BL161" s="253"/>
      <c r="BM161" s="253"/>
      <c r="BN161" s="253"/>
      <c r="BO161" s="253"/>
      <c r="BP161" s="253"/>
    </row>
    <row r="162" spans="1:68" s="220" customFormat="1" ht="15.6">
      <c r="A162" s="233" t="s">
        <v>90</v>
      </c>
      <c r="B162" s="234" t="s">
        <v>79</v>
      </c>
      <c r="C162" s="235">
        <v>2343048</v>
      </c>
      <c r="D162" s="236">
        <f>C162/C150-1</f>
        <v>0.10922073513837982</v>
      </c>
      <c r="E162" s="209"/>
      <c r="F162" s="237">
        <v>625415</v>
      </c>
      <c r="G162" s="236">
        <f t="shared" si="77"/>
        <v>0.21465985872683246</v>
      </c>
      <c r="H162" s="254">
        <v>3854869</v>
      </c>
      <c r="I162" s="255">
        <f>H162/SUM(H150:H161)-1</f>
        <v>-0.19052140802404283</v>
      </c>
      <c r="J162" s="238">
        <v>112078</v>
      </c>
      <c r="K162" s="236">
        <f t="shared" si="63"/>
        <v>0.30871088276506309</v>
      </c>
      <c r="L162" s="239">
        <v>146326</v>
      </c>
      <c r="M162" s="236">
        <f t="shared" si="64"/>
        <v>-4.3276493243151748E-3</v>
      </c>
      <c r="N162" s="238">
        <v>171485</v>
      </c>
      <c r="O162" s="236">
        <f t="shared" si="65"/>
        <v>-1.9917700177173203E-2</v>
      </c>
      <c r="P162" s="238">
        <v>171932</v>
      </c>
      <c r="Q162" s="236">
        <f t="shared" si="83"/>
        <v>0.15135605705484489</v>
      </c>
      <c r="R162" s="239">
        <v>81448</v>
      </c>
      <c r="S162" s="236">
        <f t="shared" si="67"/>
        <v>0.176603152131517</v>
      </c>
      <c r="T162" s="238">
        <v>60245</v>
      </c>
      <c r="U162" s="236">
        <f t="shared" si="78"/>
        <v>-0.18785386896737666</v>
      </c>
      <c r="V162" s="238">
        <v>1843</v>
      </c>
      <c r="W162" s="236">
        <f t="shared" si="68"/>
        <v>-0.12446555819477434</v>
      </c>
      <c r="X162" s="239">
        <v>154367</v>
      </c>
      <c r="Y162" s="236">
        <f>X162/X150-1</f>
        <v>4.8938266571535438E-2</v>
      </c>
      <c r="Z162" s="239">
        <v>57684</v>
      </c>
      <c r="AA162" s="236">
        <f>Z162/Z150-1</f>
        <v>-3.7717908082408824E-2</v>
      </c>
      <c r="AB162" s="238">
        <v>36221</v>
      </c>
      <c r="AC162" s="208">
        <f t="shared" si="79"/>
        <v>1.6415983836569836E-2</v>
      </c>
      <c r="AD162" s="238">
        <v>53139</v>
      </c>
      <c r="AE162" s="236">
        <f t="shared" si="69"/>
        <v>-0.14199215281029498</v>
      </c>
      <c r="AF162" s="238">
        <v>4100</v>
      </c>
      <c r="AG162" s="236">
        <f t="shared" ref="AG162:AG167" si="87">AF162/AF150-1</f>
        <v>0.24242424242424243</v>
      </c>
      <c r="AH162" s="238">
        <v>9524</v>
      </c>
      <c r="AI162" s="236">
        <f t="shared" si="71"/>
        <v>-0.30850214187177816</v>
      </c>
      <c r="AJ162" s="212">
        <v>6184</v>
      </c>
      <c r="AK162" s="241">
        <f>(AJ162/AJ150-1)</f>
        <v>0.15524005230711757</v>
      </c>
      <c r="AL162" s="238">
        <v>1945</v>
      </c>
      <c r="AM162" s="240">
        <f t="shared" si="82"/>
        <v>2.5843881856540074E-2</v>
      </c>
      <c r="AN162" s="254">
        <v>65829</v>
      </c>
      <c r="AO162" s="189">
        <f>AN162/AN150-1</f>
        <v>2.2237060732642755E-2</v>
      </c>
      <c r="AP162" s="215">
        <v>142383</v>
      </c>
      <c r="AQ162" s="216">
        <f>(AP162/AP150-1)</f>
        <v>0.28185206525261974</v>
      </c>
      <c r="AR162" s="242"/>
      <c r="AS162" s="243"/>
      <c r="AT162" s="217">
        <v>6048</v>
      </c>
      <c r="AU162" s="218">
        <f>AT162/AT150-1</f>
        <v>4.8434782608695652</v>
      </c>
      <c r="AV162" s="217">
        <v>15660</v>
      </c>
      <c r="AW162" s="189">
        <f>AV162/AV150-1</f>
        <v>0.46752881641833</v>
      </c>
      <c r="AX162" s="214">
        <v>170571</v>
      </c>
      <c r="AY162" s="189">
        <f>(AX162/AX150-1)</f>
        <v>-1.5520027704028605E-2</v>
      </c>
      <c r="AZ162" s="238"/>
      <c r="BA162" s="236"/>
      <c r="BB162" s="238"/>
      <c r="BC162" s="236"/>
      <c r="BD162" s="253"/>
      <c r="BE162" s="253"/>
      <c r="BF162" s="253"/>
      <c r="BG162" s="253"/>
      <c r="BH162" s="253"/>
      <c r="BI162" s="253"/>
      <c r="BJ162" s="253"/>
      <c r="BK162" s="253"/>
      <c r="BL162" s="253"/>
      <c r="BM162" s="253"/>
      <c r="BN162" s="253"/>
      <c r="BO162" s="253"/>
      <c r="BP162" s="253"/>
    </row>
    <row r="163" spans="1:68" s="220" customFormat="1" ht="15.6">
      <c r="A163" s="206"/>
      <c r="B163" s="225" t="s">
        <v>44</v>
      </c>
      <c r="C163" s="245">
        <v>2231269</v>
      </c>
      <c r="D163" s="208">
        <f>C163/C151-1</f>
        <v>0.18878774252395414</v>
      </c>
      <c r="E163" s="209"/>
      <c r="F163" s="207">
        <v>600018</v>
      </c>
      <c r="G163" s="208">
        <f t="shared" si="77"/>
        <v>0.22241848241298179</v>
      </c>
      <c r="H163" s="247"/>
      <c r="I163" s="248"/>
      <c r="J163" s="222">
        <v>94803</v>
      </c>
      <c r="K163" s="208">
        <f t="shared" si="63"/>
        <v>0.240763280851231</v>
      </c>
      <c r="L163" s="223">
        <v>150226</v>
      </c>
      <c r="M163" s="208">
        <f t="shared" si="64"/>
        <v>0.17367730241570056</v>
      </c>
      <c r="N163" s="222">
        <v>163559</v>
      </c>
      <c r="O163" s="208">
        <f t="shared" si="65"/>
        <v>0.10746303017171344</v>
      </c>
      <c r="P163" s="222">
        <v>192572</v>
      </c>
      <c r="Q163" s="208">
        <f t="shared" si="83"/>
        <v>0.35390975434846794</v>
      </c>
      <c r="R163" s="223">
        <v>82764</v>
      </c>
      <c r="S163" s="208">
        <f t="shared" si="67"/>
        <v>0.31344325774046622</v>
      </c>
      <c r="T163" s="222">
        <v>60174</v>
      </c>
      <c r="U163" s="208">
        <f t="shared" si="78"/>
        <v>4.477819255143678E-2</v>
      </c>
      <c r="V163" s="222">
        <v>1569</v>
      </c>
      <c r="W163" s="208">
        <f t="shared" si="68"/>
        <v>0.18683812405446298</v>
      </c>
      <c r="X163" s="223">
        <v>150685</v>
      </c>
      <c r="Y163" s="208">
        <f>X163/X151-1</f>
        <v>9.5110394046425073E-2</v>
      </c>
      <c r="Z163" s="223">
        <v>43815</v>
      </c>
      <c r="AA163" s="208">
        <f>Z163/Z151-1</f>
        <v>1.1653413764738385E-3</v>
      </c>
      <c r="AB163" s="222">
        <v>35616</v>
      </c>
      <c r="AC163" s="208">
        <f t="shared" si="79"/>
        <v>0.12676769274573707</v>
      </c>
      <c r="AD163" s="222">
        <v>41699</v>
      </c>
      <c r="AE163" s="208">
        <f t="shared" ref="AE163" si="88">AD163/AD151-1</f>
        <v>-0.11932670172548521</v>
      </c>
      <c r="AF163" s="222">
        <v>5300</v>
      </c>
      <c r="AG163" s="208">
        <f t="shared" si="87"/>
        <v>0.23255813953488369</v>
      </c>
      <c r="AH163" s="222">
        <v>8695</v>
      </c>
      <c r="AI163" s="208">
        <f t="shared" si="71"/>
        <v>-0.23721379068339332</v>
      </c>
      <c r="AJ163" s="224"/>
      <c r="AK163" s="246"/>
      <c r="AL163" s="222">
        <v>2308</v>
      </c>
      <c r="AM163" s="208">
        <f t="shared" si="82"/>
        <v>0.35287221570926142</v>
      </c>
      <c r="AN163" s="247"/>
      <c r="AO163" s="189"/>
      <c r="AP163" s="215"/>
      <c r="AQ163" s="216"/>
      <c r="AR163" s="211"/>
      <c r="AS163" s="196"/>
      <c r="AT163" s="217"/>
      <c r="AU163" s="218"/>
      <c r="AV163" s="217"/>
      <c r="AW163" s="189"/>
      <c r="AX163" s="217"/>
      <c r="AY163" s="189"/>
      <c r="AZ163" s="222"/>
      <c r="BA163" s="208"/>
      <c r="BB163" s="222"/>
      <c r="BC163" s="208"/>
      <c r="BD163" s="253"/>
      <c r="BE163" s="253"/>
      <c r="BF163" s="253"/>
      <c r="BG163" s="253"/>
      <c r="BH163" s="253"/>
      <c r="BI163" s="253"/>
      <c r="BJ163" s="253"/>
      <c r="BK163" s="253"/>
      <c r="BL163" s="253"/>
      <c r="BM163" s="253"/>
      <c r="BN163" s="253"/>
      <c r="BO163" s="253"/>
      <c r="BP163" s="253"/>
    </row>
    <row r="164" spans="1:68" s="220" customFormat="1" ht="15.6">
      <c r="A164" s="206"/>
      <c r="B164" s="225" t="s">
        <v>61</v>
      </c>
      <c r="C164" s="245">
        <v>1940542</v>
      </c>
      <c r="D164" s="208">
        <f>C164/C152-1</f>
        <v>0.23667409738446388</v>
      </c>
      <c r="E164" s="209"/>
      <c r="F164" s="207">
        <v>488349</v>
      </c>
      <c r="G164" s="208">
        <f t="shared" si="77"/>
        <v>0.30554701556179942</v>
      </c>
      <c r="H164" s="247"/>
      <c r="I164" s="248"/>
      <c r="J164" s="222">
        <v>86945</v>
      </c>
      <c r="K164" s="208">
        <f t="shared" si="63"/>
        <v>0.54043088480209778</v>
      </c>
      <c r="L164" s="223">
        <v>121401</v>
      </c>
      <c r="M164" s="208">
        <f t="shared" si="64"/>
        <v>0.2510021330750285</v>
      </c>
      <c r="N164" s="222">
        <v>128234</v>
      </c>
      <c r="O164" s="208">
        <f t="shared" si="65"/>
        <v>0.24150684003136824</v>
      </c>
      <c r="P164" s="222">
        <v>162960</v>
      </c>
      <c r="Q164" s="208">
        <f t="shared" si="83"/>
        <v>0.39768253668745124</v>
      </c>
      <c r="R164" s="223">
        <v>65393</v>
      </c>
      <c r="S164" s="208">
        <f t="shared" si="67"/>
        <v>0.56911817636472706</v>
      </c>
      <c r="T164" s="222">
        <v>43942</v>
      </c>
      <c r="U164" s="208">
        <f t="shared" si="78"/>
        <v>7.2828926487463086E-2</v>
      </c>
      <c r="V164" s="222">
        <v>1193</v>
      </c>
      <c r="W164" s="208">
        <f t="shared" si="68"/>
        <v>-8.3752093802347272E-4</v>
      </c>
      <c r="X164" s="223">
        <v>135813</v>
      </c>
      <c r="Y164" s="208">
        <f>(X164/X152-1)</f>
        <v>0.37488990797825483</v>
      </c>
      <c r="Z164" s="223">
        <v>26243</v>
      </c>
      <c r="AA164" s="208">
        <f>Z164/Z152-1</f>
        <v>-5.7329645461403067E-2</v>
      </c>
      <c r="AB164" s="222">
        <v>30953</v>
      </c>
      <c r="AC164" s="208">
        <f t="shared" si="79"/>
        <v>0.18580239819177868</v>
      </c>
      <c r="AD164" s="222">
        <v>35802</v>
      </c>
      <c r="AE164" s="208">
        <f>AD164/AD152-1</f>
        <v>0.17141641854529976</v>
      </c>
      <c r="AF164" s="222">
        <v>3900</v>
      </c>
      <c r="AG164" s="208">
        <f t="shared" si="87"/>
        <v>0.95</v>
      </c>
      <c r="AH164" s="222">
        <v>8483</v>
      </c>
      <c r="AI164" s="208">
        <f t="shared" si="71"/>
        <v>-3.929784824462057E-2</v>
      </c>
      <c r="AJ164" s="224"/>
      <c r="AK164" s="246"/>
      <c r="AL164" s="222">
        <v>2059</v>
      </c>
      <c r="AM164" s="208">
        <f t="shared" si="82"/>
        <v>3.9374053508329121E-2</v>
      </c>
      <c r="AN164" s="247"/>
      <c r="AO164" s="189"/>
      <c r="AP164" s="215"/>
      <c r="AQ164" s="216"/>
      <c r="AR164" s="211"/>
      <c r="AS164" s="196"/>
      <c r="AT164" s="217"/>
      <c r="AU164" s="218"/>
      <c r="AV164" s="217"/>
      <c r="AW164" s="189"/>
      <c r="AX164" s="217"/>
      <c r="AY164" s="189"/>
      <c r="AZ164" s="222"/>
      <c r="BA164" s="208"/>
      <c r="BB164" s="222"/>
      <c r="BC164" s="208"/>
      <c r="BD164" s="253"/>
      <c r="BE164" s="253"/>
      <c r="BF164" s="253"/>
      <c r="BG164" s="253"/>
      <c r="BH164" s="253"/>
      <c r="BI164" s="253"/>
      <c r="BJ164" s="253"/>
      <c r="BK164" s="253"/>
      <c r="BL164" s="253"/>
      <c r="BM164" s="253"/>
      <c r="BN164" s="253"/>
      <c r="BO164" s="253"/>
      <c r="BP164" s="253"/>
    </row>
    <row r="165" spans="1:68" s="220" customFormat="1" ht="15.6">
      <c r="A165" s="206"/>
      <c r="B165" s="225" t="s">
        <v>46</v>
      </c>
      <c r="C165" s="245">
        <v>2003943</v>
      </c>
      <c r="D165" s="208">
        <f>C165/C153-1</f>
        <v>0.22445721212980341</v>
      </c>
      <c r="E165" s="209"/>
      <c r="F165" s="207">
        <v>554627</v>
      </c>
      <c r="G165" s="208">
        <f t="shared" si="77"/>
        <v>0.56824916586552066</v>
      </c>
      <c r="H165" s="247"/>
      <c r="I165" s="248"/>
      <c r="J165" s="222">
        <v>84249</v>
      </c>
      <c r="K165" s="208">
        <f t="shared" si="63"/>
        <v>0.34437033254611604</v>
      </c>
      <c r="L165" s="223">
        <v>111391</v>
      </c>
      <c r="M165" s="208">
        <f t="shared" si="64"/>
        <v>7.8377462607096104E-2</v>
      </c>
      <c r="N165" s="222">
        <v>116421</v>
      </c>
      <c r="O165" s="208">
        <f t="shared" si="65"/>
        <v>0.21544083102782263</v>
      </c>
      <c r="P165" s="222">
        <v>174373</v>
      </c>
      <c r="Q165" s="208">
        <f t="shared" si="83"/>
        <v>0.56875146193569281</v>
      </c>
      <c r="R165" s="223">
        <v>64924</v>
      </c>
      <c r="S165" s="208">
        <f t="shared" si="67"/>
        <v>0.48700213004741078</v>
      </c>
      <c r="T165" s="222">
        <v>48828</v>
      </c>
      <c r="U165" s="208">
        <f t="shared" si="78"/>
        <v>0.18067511364735478</v>
      </c>
      <c r="V165" s="222">
        <v>886</v>
      </c>
      <c r="W165" s="208">
        <f t="shared" si="68"/>
        <v>0.18291054739652868</v>
      </c>
      <c r="X165" s="223">
        <v>117074</v>
      </c>
      <c r="Y165" s="208">
        <f>X165/X153-1</f>
        <v>0.19399910251703179</v>
      </c>
      <c r="Z165" s="223">
        <v>21876</v>
      </c>
      <c r="AA165" s="208">
        <f t="shared" ref="AA165" si="89">Z165/Z153-1</f>
        <v>-2.2782095952827652E-2</v>
      </c>
      <c r="AB165" s="222">
        <v>36376</v>
      </c>
      <c r="AC165" s="208">
        <f t="shared" si="79"/>
        <v>0.29965343527814503</v>
      </c>
      <c r="AD165" s="222">
        <v>30415</v>
      </c>
      <c r="AE165" s="208">
        <f t="shared" ref="AC165:AI180" si="90">AD165/AD153-1</f>
        <v>-2.5722339675828043E-2</v>
      </c>
      <c r="AF165" s="222">
        <v>2900</v>
      </c>
      <c r="AG165" s="208">
        <f t="shared" si="87"/>
        <v>0.20833333333333326</v>
      </c>
      <c r="AH165" s="222">
        <v>9897</v>
      </c>
      <c r="AI165" s="208">
        <f t="shared" si="71"/>
        <v>0.17290827210239401</v>
      </c>
      <c r="AJ165" s="224">
        <v>17444</v>
      </c>
      <c r="AK165" s="246">
        <f>(AJ165/AJ153-1)</f>
        <v>0.5725232128369242</v>
      </c>
      <c r="AL165" s="222">
        <v>3254</v>
      </c>
      <c r="AM165" s="208">
        <f t="shared" si="82"/>
        <v>0.50023052097740894</v>
      </c>
      <c r="AN165" s="247"/>
      <c r="AO165" s="189"/>
      <c r="AP165" s="215"/>
      <c r="AQ165" s="216"/>
      <c r="AR165" s="211"/>
      <c r="AS165" s="196"/>
      <c r="AT165" s="217"/>
      <c r="AU165" s="218"/>
      <c r="AV165" s="217"/>
      <c r="AW165" s="189"/>
      <c r="AX165" s="217"/>
      <c r="AY165" s="189"/>
      <c r="AZ165" s="222"/>
      <c r="BA165" s="208"/>
      <c r="BB165" s="222"/>
      <c r="BC165" s="208"/>
      <c r="BD165" s="253"/>
      <c r="BE165" s="253"/>
      <c r="BF165" s="253"/>
      <c r="BG165" s="253"/>
      <c r="BH165" s="253"/>
      <c r="BI165" s="253"/>
      <c r="BJ165" s="253"/>
      <c r="BK165" s="253"/>
      <c r="BL165" s="253"/>
      <c r="BM165" s="253"/>
      <c r="BN165" s="253"/>
      <c r="BO165" s="253"/>
      <c r="BP165" s="253"/>
    </row>
    <row r="166" spans="1:68" s="220" customFormat="1" ht="15.6">
      <c r="A166" s="206"/>
      <c r="B166" s="225" t="s">
        <v>47</v>
      </c>
      <c r="C166" s="245">
        <v>2003834</v>
      </c>
      <c r="D166" s="208">
        <f>C166/C154-1</f>
        <v>0.2095129677291625</v>
      </c>
      <c r="E166" s="209"/>
      <c r="F166" s="207">
        <v>558892</v>
      </c>
      <c r="G166" s="208">
        <f t="shared" si="77"/>
        <v>0.8500966605757263</v>
      </c>
      <c r="H166" s="247"/>
      <c r="I166" s="248"/>
      <c r="J166" s="222">
        <v>79543</v>
      </c>
      <c r="K166" s="208">
        <f t="shared" si="63"/>
        <v>0.24080429288990102</v>
      </c>
      <c r="L166" s="223">
        <v>115183</v>
      </c>
      <c r="M166" s="208">
        <f t="shared" si="64"/>
        <v>7.791721646686689E-2</v>
      </c>
      <c r="N166" s="222">
        <v>112220</v>
      </c>
      <c r="O166" s="208">
        <f t="shared" si="65"/>
        <v>0.16578884491123103</v>
      </c>
      <c r="P166" s="222">
        <v>187359</v>
      </c>
      <c r="Q166" s="208">
        <f t="shared" si="83"/>
        <v>0.67356545662426748</v>
      </c>
      <c r="R166" s="223">
        <v>72205</v>
      </c>
      <c r="S166" s="208">
        <f t="shared" si="67"/>
        <v>0.50086262445696228</v>
      </c>
      <c r="T166" s="222">
        <v>52762</v>
      </c>
      <c r="U166" s="208">
        <f t="shared" si="78"/>
        <v>0.17426333125612037</v>
      </c>
      <c r="V166" s="222">
        <v>1003</v>
      </c>
      <c r="W166" s="208">
        <f t="shared" si="68"/>
        <v>9.7374179431072294E-2</v>
      </c>
      <c r="X166" s="223">
        <v>128691</v>
      </c>
      <c r="Y166" s="208">
        <f>X166/X154-1</f>
        <v>0.35841707481844276</v>
      </c>
      <c r="Z166" s="223">
        <v>20119</v>
      </c>
      <c r="AA166" s="208">
        <f>Z166/Z154-1</f>
        <v>0.14913182545122239</v>
      </c>
      <c r="AB166" s="222">
        <v>34092</v>
      </c>
      <c r="AC166" s="208">
        <f t="shared" si="79"/>
        <v>0.26929520831006371</v>
      </c>
      <c r="AD166" s="222">
        <v>27947</v>
      </c>
      <c r="AE166" s="208">
        <f t="shared" si="90"/>
        <v>-4.5949544259720754E-2</v>
      </c>
      <c r="AF166" s="222">
        <v>3700</v>
      </c>
      <c r="AG166" s="208">
        <f t="shared" si="87"/>
        <v>0.68181818181818188</v>
      </c>
      <c r="AH166" s="222">
        <v>9467</v>
      </c>
      <c r="AI166" s="208">
        <f t="shared" si="71"/>
        <v>-5.1492223623371691E-3</v>
      </c>
      <c r="AJ166" s="224"/>
      <c r="AK166" s="246"/>
      <c r="AL166" s="222">
        <v>3154</v>
      </c>
      <c r="AM166" s="208">
        <f t="shared" si="82"/>
        <v>5.3088480801335658E-2</v>
      </c>
      <c r="AN166" s="247"/>
      <c r="AO166" s="189"/>
      <c r="AP166" s="215"/>
      <c r="AQ166" s="216"/>
      <c r="AR166" s="211"/>
      <c r="AS166" s="196"/>
      <c r="AT166" s="217"/>
      <c r="AU166" s="218"/>
      <c r="AV166" s="217"/>
      <c r="AW166" s="189"/>
      <c r="AX166" s="217"/>
      <c r="AY166" s="189"/>
      <c r="AZ166" s="222"/>
      <c r="BA166" s="208"/>
      <c r="BB166" s="222"/>
      <c r="BC166" s="208"/>
      <c r="BD166" s="253"/>
      <c r="BE166" s="253"/>
      <c r="BF166" s="253"/>
      <c r="BG166" s="253"/>
      <c r="BH166" s="253"/>
      <c r="BI166" s="253"/>
      <c r="BJ166" s="253"/>
      <c r="BK166" s="253"/>
      <c r="BL166" s="253"/>
      <c r="BM166" s="253"/>
      <c r="BN166" s="253"/>
      <c r="BO166" s="253"/>
      <c r="BP166" s="253"/>
    </row>
    <row r="167" spans="1:68" s="220" customFormat="1" ht="15.6">
      <c r="A167" s="206"/>
      <c r="B167" s="225" t="s">
        <v>91</v>
      </c>
      <c r="C167" s="245">
        <v>2098126</v>
      </c>
      <c r="D167" s="208">
        <f t="shared" ref="D167:D173" si="91">C167/C155-1</f>
        <v>0.17983801538195943</v>
      </c>
      <c r="E167" s="209"/>
      <c r="F167" s="207">
        <v>568877</v>
      </c>
      <c r="G167" s="208">
        <f>F167/F155-1</f>
        <v>0.63769234090941795</v>
      </c>
      <c r="H167" s="247"/>
      <c r="I167" s="248"/>
      <c r="J167" s="222">
        <v>72031</v>
      </c>
      <c r="K167" s="208">
        <f>J167/J155-1</f>
        <v>0.16935339859413312</v>
      </c>
      <c r="L167" s="222">
        <v>110875</v>
      </c>
      <c r="M167" s="208">
        <f>L167/L155-1</f>
        <v>5.5118335030404531E-2</v>
      </c>
      <c r="N167" s="222">
        <v>133734</v>
      </c>
      <c r="O167" s="208">
        <f t="shared" si="65"/>
        <v>0.24396777854259288</v>
      </c>
      <c r="P167" s="222">
        <v>177061</v>
      </c>
      <c r="Q167" s="208">
        <f t="shared" si="83"/>
        <v>0.61248929930969154</v>
      </c>
      <c r="R167" s="223">
        <v>66758</v>
      </c>
      <c r="S167" s="208">
        <f t="shared" si="67"/>
        <v>0.42168366803671442</v>
      </c>
      <c r="T167" s="222">
        <v>49487</v>
      </c>
      <c r="U167" s="208">
        <f t="shared" si="78"/>
        <v>0.13071790887903845</v>
      </c>
      <c r="V167" s="222">
        <v>952</v>
      </c>
      <c r="W167" s="208">
        <f t="shared" si="68"/>
        <v>4.7304730473047396E-2</v>
      </c>
      <c r="X167" s="223">
        <v>108455</v>
      </c>
      <c r="Y167" s="208">
        <f t="shared" ref="Y167:Y172" si="92">X167/X155-1</f>
        <v>-1.212358588526774E-2</v>
      </c>
      <c r="Z167" s="247">
        <v>175344</v>
      </c>
      <c r="AA167" s="248">
        <f>Z167/SUM(Z155:Z161)-1</f>
        <v>-5.6031698178216072E-2</v>
      </c>
      <c r="AB167" s="222">
        <v>35093</v>
      </c>
      <c r="AC167" s="208">
        <f t="shared" si="79"/>
        <v>0.34538414353626745</v>
      </c>
      <c r="AD167" s="222">
        <v>29460</v>
      </c>
      <c r="AE167" s="208">
        <f t="shared" si="90"/>
        <v>6.480644811508296E-2</v>
      </c>
      <c r="AF167" s="222">
        <v>2600</v>
      </c>
      <c r="AG167" s="208">
        <f t="shared" si="87"/>
        <v>8.3333333333333259E-2</v>
      </c>
      <c r="AH167" s="222">
        <v>9786</v>
      </c>
      <c r="AI167" s="208">
        <f t="shared" si="71"/>
        <v>-6.2733454649937737E-2</v>
      </c>
      <c r="AJ167" s="224"/>
      <c r="AK167" s="246"/>
      <c r="AL167" s="222">
        <v>2432</v>
      </c>
      <c r="AM167" s="208">
        <f t="shared" si="82"/>
        <v>5.3269813772195862E-2</v>
      </c>
      <c r="AN167" s="247"/>
      <c r="AO167" s="189"/>
      <c r="AP167" s="215"/>
      <c r="AQ167" s="216"/>
      <c r="AR167" s="211"/>
      <c r="AS167" s="196"/>
      <c r="AT167" s="217"/>
      <c r="AU167" s="218"/>
      <c r="AV167" s="217"/>
      <c r="AW167" s="189"/>
      <c r="AX167" s="217"/>
      <c r="AY167" s="189"/>
      <c r="AZ167" s="222"/>
      <c r="BA167" s="208"/>
      <c r="BB167" s="222"/>
      <c r="BC167" s="208"/>
      <c r="BD167" s="253"/>
      <c r="BE167" s="253"/>
      <c r="BF167" s="253"/>
      <c r="BG167" s="253"/>
      <c r="BH167" s="253"/>
      <c r="BI167" s="253"/>
      <c r="BJ167" s="253"/>
      <c r="BK167" s="253"/>
      <c r="BL167" s="253"/>
      <c r="BM167" s="253"/>
      <c r="BN167" s="253"/>
      <c r="BO167" s="253"/>
      <c r="BP167" s="253"/>
    </row>
    <row r="168" spans="1:68" s="220" customFormat="1" ht="15.6">
      <c r="A168" s="206"/>
      <c r="B168" s="225" t="s">
        <v>65</v>
      </c>
      <c r="C168" s="245">
        <v>2389447</v>
      </c>
      <c r="D168" s="208">
        <f t="shared" si="91"/>
        <v>0.14543102142403797</v>
      </c>
      <c r="E168" s="209"/>
      <c r="F168" s="207">
        <v>644026</v>
      </c>
      <c r="G168" s="208">
        <f t="shared" ref="G168:G191" si="93">F168/F156-1</f>
        <v>0.44074826401317213</v>
      </c>
      <c r="H168" s="247"/>
      <c r="I168" s="248"/>
      <c r="J168" s="222">
        <v>71320</v>
      </c>
      <c r="K168" s="208">
        <f t="shared" ref="K168:Y183" si="94">J168/J156-1</f>
        <v>-4.4806744741139326E-3</v>
      </c>
      <c r="L168" s="222">
        <v>110754</v>
      </c>
      <c r="M168" s="208">
        <f t="shared" si="94"/>
        <v>1.5216235539992962E-2</v>
      </c>
      <c r="N168" s="222">
        <v>152515</v>
      </c>
      <c r="O168" s="208">
        <f t="shared" si="65"/>
        <v>0.13554463554463547</v>
      </c>
      <c r="P168" s="222">
        <v>193569</v>
      </c>
      <c r="Q168" s="208">
        <f>P168/P156-1</f>
        <v>0.65500170998632012</v>
      </c>
      <c r="R168" s="223">
        <v>74129</v>
      </c>
      <c r="S168" s="208">
        <f>R168/R156-1</f>
        <v>0.42577704262194183</v>
      </c>
      <c r="T168" s="222">
        <v>58270</v>
      </c>
      <c r="U168" s="208">
        <f t="shared" si="78"/>
        <v>6.5265082266910524E-2</v>
      </c>
      <c r="V168" s="222">
        <v>1454</v>
      </c>
      <c r="W168" s="208">
        <f>V168/V157-1</f>
        <v>0.12191358024691357</v>
      </c>
      <c r="X168" s="223">
        <v>132135</v>
      </c>
      <c r="Y168" s="208">
        <f t="shared" si="92"/>
        <v>-7.4639513141400493E-2</v>
      </c>
      <c r="Z168" s="247"/>
      <c r="AA168" s="248"/>
      <c r="AB168" s="207">
        <v>44793</v>
      </c>
      <c r="AC168" s="208">
        <f>AB168/SUM(AB156)-1</f>
        <v>0.4219097200177766</v>
      </c>
      <c r="AD168" s="222">
        <v>42349</v>
      </c>
      <c r="AE168" s="208">
        <f t="shared" si="90"/>
        <v>0.23003863022452009</v>
      </c>
      <c r="AF168" s="222">
        <v>2000</v>
      </c>
      <c r="AG168" s="208">
        <f t="shared" si="90"/>
        <v>0</v>
      </c>
      <c r="AH168" s="222">
        <f>67911-55852</f>
        <v>12059</v>
      </c>
      <c r="AI168" s="208">
        <f t="shared" si="71"/>
        <v>0.25262283161940369</v>
      </c>
      <c r="AJ168" s="224">
        <v>42500</v>
      </c>
      <c r="AK168" s="246">
        <f>(AJ168/AJ156-1)</f>
        <v>0.25036775522212418</v>
      </c>
      <c r="AL168" s="222">
        <v>1856</v>
      </c>
      <c r="AM168" s="208">
        <f t="shared" si="82"/>
        <v>-0.10033931168201649</v>
      </c>
      <c r="AN168" s="247"/>
      <c r="AO168" s="189"/>
      <c r="AP168" s="215"/>
      <c r="AQ168" s="216"/>
      <c r="AR168" s="211"/>
      <c r="AS168" s="196"/>
      <c r="AT168" s="217"/>
      <c r="AU168" s="218"/>
      <c r="AV168" s="217"/>
      <c r="AW168" s="189"/>
      <c r="AX168" s="217"/>
      <c r="AY168" s="189"/>
      <c r="AZ168" s="222"/>
      <c r="BA168" s="208"/>
      <c r="BB168" s="222"/>
      <c r="BC168" s="208"/>
      <c r="BD168" s="253"/>
      <c r="BE168" s="253"/>
      <c r="BF168" s="253"/>
      <c r="BG168" s="253"/>
      <c r="BH168" s="253"/>
      <c r="BI168" s="253"/>
      <c r="BJ168" s="253"/>
      <c r="BK168" s="253"/>
      <c r="BL168" s="253"/>
      <c r="BM168" s="253"/>
      <c r="BN168" s="253"/>
      <c r="BO168" s="253"/>
      <c r="BP168" s="253"/>
    </row>
    <row r="169" spans="1:68" s="220" customFormat="1" ht="15.6">
      <c r="A169" s="206"/>
      <c r="B169" s="225" t="s">
        <v>66</v>
      </c>
      <c r="C169" s="245">
        <v>2385301</v>
      </c>
      <c r="D169" s="208">
        <f t="shared" si="91"/>
        <v>0.15553416485768867</v>
      </c>
      <c r="E169" s="209"/>
      <c r="F169" s="207">
        <v>620904</v>
      </c>
      <c r="G169" s="208">
        <f t="shared" si="93"/>
        <v>0.35294720075306096</v>
      </c>
      <c r="H169" s="247"/>
      <c r="I169" s="248"/>
      <c r="J169" s="222">
        <v>75390</v>
      </c>
      <c r="K169" s="208">
        <f t="shared" si="94"/>
        <v>-3.3746459377363092E-2</v>
      </c>
      <c r="L169" s="222">
        <v>121041</v>
      </c>
      <c r="M169" s="208">
        <f t="shared" si="94"/>
        <v>5.5034996121226865E-2</v>
      </c>
      <c r="N169" s="222">
        <v>164001</v>
      </c>
      <c r="O169" s="208">
        <f t="shared" si="65"/>
        <v>0.16474674014942758</v>
      </c>
      <c r="P169" s="222">
        <v>240985</v>
      </c>
      <c r="Q169" s="208">
        <f t="shared" si="78"/>
        <v>0.63904154310743522</v>
      </c>
      <c r="R169" s="223">
        <v>75548</v>
      </c>
      <c r="S169" s="208">
        <f t="shared" si="78"/>
        <v>0.30843970280053346</v>
      </c>
      <c r="T169" s="222">
        <v>60957</v>
      </c>
      <c r="U169" s="208">
        <f t="shared" si="78"/>
        <v>-1.7107936405559632E-2</v>
      </c>
      <c r="V169" s="222">
        <v>1332</v>
      </c>
      <c r="W169" s="208">
        <f t="shared" si="65"/>
        <v>2.7777777777777679E-2</v>
      </c>
      <c r="X169" s="223">
        <v>141869</v>
      </c>
      <c r="Y169" s="208">
        <f t="shared" si="92"/>
        <v>-3.8749762853348524E-2</v>
      </c>
      <c r="Z169" s="247"/>
      <c r="AA169" s="248"/>
      <c r="AB169" s="207">
        <v>41200</v>
      </c>
      <c r="AC169" s="208">
        <f>AB169/SUM(AB157)-1</f>
        <v>0.33160956690368448</v>
      </c>
      <c r="AD169" s="222">
        <v>46701</v>
      </c>
      <c r="AE169" s="208">
        <f t="shared" si="90"/>
        <v>0.1088396609445117</v>
      </c>
      <c r="AF169" s="222">
        <v>2100</v>
      </c>
      <c r="AG169" s="208">
        <f t="shared" si="90"/>
        <v>0.5</v>
      </c>
      <c r="AH169" s="222">
        <v>10156</v>
      </c>
      <c r="AI169" s="208">
        <f t="shared" si="90"/>
        <v>0.54112291350531105</v>
      </c>
      <c r="AJ169" s="224"/>
      <c r="AK169" s="246"/>
      <c r="AL169" s="222">
        <v>2223</v>
      </c>
      <c r="AM169" s="208">
        <f t="shared" si="82"/>
        <v>0.20032397408207347</v>
      </c>
      <c r="AN169" s="247"/>
      <c r="AO169" s="189"/>
      <c r="AP169" s="215"/>
      <c r="AQ169" s="216"/>
      <c r="AR169" s="211"/>
      <c r="AS169" s="196"/>
      <c r="AT169" s="217"/>
      <c r="AU169" s="218"/>
      <c r="AV169" s="217"/>
      <c r="AW169" s="189"/>
      <c r="AX169" s="217"/>
      <c r="AY169" s="189"/>
      <c r="AZ169" s="222"/>
      <c r="BA169" s="208"/>
      <c r="BB169" s="222"/>
      <c r="BC169" s="208"/>
      <c r="BD169" s="253"/>
      <c r="BE169" s="253"/>
      <c r="BF169" s="253"/>
      <c r="BG169" s="253"/>
      <c r="BH169" s="253"/>
      <c r="BI169" s="253"/>
      <c r="BJ169" s="253"/>
      <c r="BK169" s="253"/>
      <c r="BL169" s="253"/>
      <c r="BM169" s="253"/>
      <c r="BN169" s="253"/>
      <c r="BO169" s="253"/>
      <c r="BP169" s="253"/>
    </row>
    <row r="170" spans="1:68" s="220" customFormat="1" ht="15.6">
      <c r="A170" s="206"/>
      <c r="B170" s="225" t="s">
        <v>92</v>
      </c>
      <c r="C170" s="245">
        <v>2236500</v>
      </c>
      <c r="D170" s="208">
        <f t="shared" si="91"/>
        <v>0.17430917121548473</v>
      </c>
      <c r="E170" s="209"/>
      <c r="F170" s="207">
        <v>556885</v>
      </c>
      <c r="G170" s="208">
        <f t="shared" si="93"/>
        <v>0.29323477638906303</v>
      </c>
      <c r="H170" s="247"/>
      <c r="I170" s="248"/>
      <c r="J170" s="222">
        <v>72012</v>
      </c>
      <c r="K170" s="208">
        <f t="shared" si="94"/>
        <v>-2.6038781163434388E-3</v>
      </c>
      <c r="L170" s="222">
        <v>102433</v>
      </c>
      <c r="M170" s="208">
        <f t="shared" si="94"/>
        <v>-9.6320279485844873E-2</v>
      </c>
      <c r="N170" s="222">
        <v>134475</v>
      </c>
      <c r="O170" s="208">
        <f t="shared" si="94"/>
        <v>0.24640837890443978</v>
      </c>
      <c r="P170" s="222">
        <v>213538</v>
      </c>
      <c r="Q170" s="208">
        <f t="shared" ref="Q170:S172" si="95">P170/P158-1</f>
        <v>0.65647617348403164</v>
      </c>
      <c r="R170" s="223">
        <v>60940</v>
      </c>
      <c r="S170" s="208">
        <f t="shared" si="95"/>
        <v>0.10649114843395369</v>
      </c>
      <c r="T170" s="222">
        <v>47600</v>
      </c>
      <c r="U170" s="208">
        <f t="shared" si="94"/>
        <v>0.26119442530867465</v>
      </c>
      <c r="V170" s="222">
        <v>1150</v>
      </c>
      <c r="W170" s="208">
        <f t="shared" si="94"/>
        <v>0.14885114885114881</v>
      </c>
      <c r="X170" s="223">
        <v>123834</v>
      </c>
      <c r="Y170" s="208">
        <f t="shared" si="92"/>
        <v>7.5442694989882542E-2</v>
      </c>
      <c r="Z170" s="247"/>
      <c r="AA170" s="248"/>
      <c r="AB170" s="222">
        <v>39059</v>
      </c>
      <c r="AC170" s="208">
        <f t="shared" si="90"/>
        <v>0.47153675168594367</v>
      </c>
      <c r="AD170" s="222">
        <v>40339</v>
      </c>
      <c r="AE170" s="208">
        <f t="shared" si="90"/>
        <v>0.36441738542195168</v>
      </c>
      <c r="AF170" s="222">
        <v>2800</v>
      </c>
      <c r="AG170" s="208">
        <f t="shared" si="90"/>
        <v>7.6923076923076872E-2</v>
      </c>
      <c r="AH170" s="222">
        <v>10839</v>
      </c>
      <c r="AI170" s="208">
        <f t="shared" si="90"/>
        <v>0.47791109899100093</v>
      </c>
      <c r="AJ170" s="224"/>
      <c r="AK170" s="246"/>
      <c r="AL170" s="222">
        <v>3189</v>
      </c>
      <c r="AM170" s="208">
        <f t="shared" si="82"/>
        <v>0.36340316374519022</v>
      </c>
      <c r="AN170" s="247"/>
      <c r="AO170" s="189"/>
      <c r="AP170" s="215"/>
      <c r="AQ170" s="216"/>
      <c r="AR170" s="211"/>
      <c r="AS170" s="196"/>
      <c r="AT170" s="217"/>
      <c r="AU170" s="218"/>
      <c r="AV170" s="217"/>
      <c r="AW170" s="189"/>
      <c r="AX170" s="217"/>
      <c r="AY170" s="189"/>
      <c r="AZ170" s="222"/>
      <c r="BA170" s="208"/>
      <c r="BB170" s="222"/>
      <c r="BC170" s="208"/>
      <c r="BD170" s="253"/>
      <c r="BE170" s="253"/>
      <c r="BF170" s="253"/>
      <c r="BG170" s="253"/>
      <c r="BH170" s="253"/>
      <c r="BI170" s="253"/>
      <c r="BJ170" s="253"/>
      <c r="BK170" s="253"/>
      <c r="BL170" s="253"/>
      <c r="BM170" s="253"/>
      <c r="BN170" s="253"/>
      <c r="BO170" s="253"/>
      <c r="BP170" s="253"/>
    </row>
    <row r="171" spans="1:68" s="220" customFormat="1" ht="15.6">
      <c r="A171" s="206"/>
      <c r="B171" s="225" t="s">
        <v>93</v>
      </c>
      <c r="C171" s="245">
        <v>2231748</v>
      </c>
      <c r="D171" s="208">
        <f t="shared" si="91"/>
        <v>0.19629364391879722</v>
      </c>
      <c r="E171" s="209"/>
      <c r="F171" s="207">
        <v>620936</v>
      </c>
      <c r="G171" s="208">
        <f t="shared" si="93"/>
        <v>0.38122365450278606</v>
      </c>
      <c r="H171" s="247"/>
      <c r="I171" s="248"/>
      <c r="J171" s="222">
        <v>94207</v>
      </c>
      <c r="K171" s="208">
        <f t="shared" si="94"/>
        <v>0.27618905701784091</v>
      </c>
      <c r="L171" s="222">
        <v>137957</v>
      </c>
      <c r="M171" s="208">
        <f t="shared" si="94"/>
        <v>0.24033049826479425</v>
      </c>
      <c r="N171" s="222">
        <v>132014</v>
      </c>
      <c r="O171" s="208">
        <f t="shared" si="94"/>
        <v>0.32798841151203617</v>
      </c>
      <c r="P171" s="222">
        <v>219733</v>
      </c>
      <c r="Q171" s="208">
        <f t="shared" si="94"/>
        <v>0.78569222767610447</v>
      </c>
      <c r="R171" s="223">
        <v>80528</v>
      </c>
      <c r="S171" s="208">
        <f t="shared" si="94"/>
        <v>0.54552433594349758</v>
      </c>
      <c r="T171" s="222">
        <v>53425</v>
      </c>
      <c r="U171" s="208">
        <f t="shared" si="94"/>
        <v>0.55549408955919177</v>
      </c>
      <c r="V171" s="222">
        <v>1342</v>
      </c>
      <c r="W171" s="208">
        <f t="shared" si="94"/>
        <v>0.14407502131287298</v>
      </c>
      <c r="X171" s="223">
        <v>139218</v>
      </c>
      <c r="Y171" s="208">
        <f t="shared" si="92"/>
        <v>0.23740534006470648</v>
      </c>
      <c r="Z171" s="247"/>
      <c r="AA171" s="248"/>
      <c r="AB171" s="222">
        <v>33284</v>
      </c>
      <c r="AC171" s="208">
        <f t="shared" si="90"/>
        <v>0.23875097696229863</v>
      </c>
      <c r="AD171" s="222">
        <v>43110</v>
      </c>
      <c r="AE171" s="208">
        <f t="shared" si="90"/>
        <v>0.26700955180014696</v>
      </c>
      <c r="AF171" s="222">
        <v>5100</v>
      </c>
      <c r="AG171" s="208">
        <f>AF171/AF159-1</f>
        <v>1.3181818181818183</v>
      </c>
      <c r="AH171" s="222">
        <v>12784</v>
      </c>
      <c r="AI171" s="208">
        <f>AH171/AH159-1</f>
        <v>0.89504891787726071</v>
      </c>
      <c r="AJ171" s="224">
        <v>8793</v>
      </c>
      <c r="AK171" s="246">
        <f>(AJ171/AJ159-1)</f>
        <v>0.22961823521185853</v>
      </c>
      <c r="AL171" s="222">
        <v>4487</v>
      </c>
      <c r="AM171" s="208">
        <f>AL171/AL159-1</f>
        <v>0.13970027940055885</v>
      </c>
      <c r="AN171" s="247"/>
      <c r="AO171" s="189"/>
      <c r="AP171" s="215"/>
      <c r="AQ171" s="216"/>
      <c r="AR171" s="211"/>
      <c r="AS171" s="196"/>
      <c r="AT171" s="217"/>
      <c r="AU171" s="218"/>
      <c r="AV171" s="217"/>
      <c r="AW171" s="189"/>
      <c r="AX171" s="217"/>
      <c r="AY171" s="189"/>
      <c r="AZ171" s="222"/>
      <c r="BA171" s="208"/>
      <c r="BB171" s="222"/>
      <c r="BC171" s="208"/>
      <c r="BD171" s="253"/>
      <c r="BE171" s="253"/>
      <c r="BF171" s="253"/>
      <c r="BG171" s="253"/>
      <c r="BH171" s="253"/>
      <c r="BI171" s="253"/>
      <c r="BJ171" s="253"/>
      <c r="BK171" s="253"/>
      <c r="BL171" s="253"/>
      <c r="BM171" s="253"/>
      <c r="BN171" s="253"/>
      <c r="BO171" s="253"/>
      <c r="BP171" s="253"/>
    </row>
    <row r="172" spans="1:68" s="220" customFormat="1" ht="15.6">
      <c r="A172" s="206"/>
      <c r="B172" s="225" t="s">
        <v>74</v>
      </c>
      <c r="C172" s="245">
        <v>2227747</v>
      </c>
      <c r="D172" s="208">
        <f t="shared" si="91"/>
        <v>0.22021459154593215</v>
      </c>
      <c r="E172" s="209"/>
      <c r="F172" s="207">
        <v>622604</v>
      </c>
      <c r="G172" s="208">
        <f t="shared" si="93"/>
        <v>0.45836905447884613</v>
      </c>
      <c r="H172" s="247"/>
      <c r="I172" s="248"/>
      <c r="J172" s="222">
        <v>98161</v>
      </c>
      <c r="K172" s="208">
        <f t="shared" si="94"/>
        <v>0.19309867029681316</v>
      </c>
      <c r="L172" s="222">
        <v>128185</v>
      </c>
      <c r="M172" s="208">
        <f t="shared" si="94"/>
        <v>3.4960235759557534E-2</v>
      </c>
      <c r="N172" s="222">
        <v>147762</v>
      </c>
      <c r="O172" s="208">
        <f t="shared" si="94"/>
        <v>0.28774238528911944</v>
      </c>
      <c r="P172" s="222">
        <v>224056</v>
      </c>
      <c r="Q172" s="208">
        <f t="shared" si="94"/>
        <v>0.68846553828995161</v>
      </c>
      <c r="R172" s="223">
        <v>72475</v>
      </c>
      <c r="S172" s="208">
        <f t="shared" si="94"/>
        <v>0.1687819510071118</v>
      </c>
      <c r="T172" s="222">
        <v>52123</v>
      </c>
      <c r="U172" s="208">
        <f t="shared" si="94"/>
        <v>0.43534174147711635</v>
      </c>
      <c r="V172" s="222">
        <v>1757</v>
      </c>
      <c r="W172" s="208">
        <f t="shared" si="94"/>
        <v>0.26767676767676774</v>
      </c>
      <c r="X172" s="223">
        <v>125583</v>
      </c>
      <c r="Y172" s="208">
        <f t="shared" si="92"/>
        <v>-1.5398245352693518E-2</v>
      </c>
      <c r="Z172" s="247"/>
      <c r="AA172" s="248"/>
      <c r="AB172" s="222">
        <v>31675</v>
      </c>
      <c r="AC172" s="208">
        <f t="shared" si="90"/>
        <v>0.17838541666666674</v>
      </c>
      <c r="AD172" s="222">
        <v>42531</v>
      </c>
      <c r="AE172" s="208">
        <f t="shared" si="90"/>
        <v>0.25183222958057394</v>
      </c>
      <c r="AF172" s="222">
        <v>3900</v>
      </c>
      <c r="AG172" s="208">
        <f t="shared" si="90"/>
        <v>0.85714285714285721</v>
      </c>
      <c r="AH172" s="222">
        <v>9497</v>
      </c>
      <c r="AI172" s="208">
        <f t="shared" si="90"/>
        <v>0.50150197628458493</v>
      </c>
      <c r="AJ172" s="224"/>
      <c r="AK172" s="246"/>
      <c r="AL172" s="222">
        <v>4308</v>
      </c>
      <c r="AM172" s="208">
        <f t="shared" ref="AM172:AM191" si="96">AL172/AL160-1</f>
        <v>0.22143464700878934</v>
      </c>
      <c r="AN172" s="247"/>
      <c r="AO172" s="189"/>
      <c r="AP172" s="215"/>
      <c r="AQ172" s="216"/>
      <c r="AR172" s="211"/>
      <c r="AS172" s="196"/>
      <c r="AT172" s="217"/>
      <c r="AU172" s="218"/>
      <c r="AV172" s="217"/>
      <c r="AW172" s="189"/>
      <c r="AX172" s="217"/>
      <c r="AY172" s="189"/>
      <c r="AZ172" s="222"/>
      <c r="BA172" s="208"/>
      <c r="BB172" s="222"/>
      <c r="BC172" s="208"/>
      <c r="BD172" s="253"/>
      <c r="BE172" s="253"/>
      <c r="BF172" s="253"/>
      <c r="BG172" s="253"/>
      <c r="BH172" s="253"/>
      <c r="BI172" s="253"/>
      <c r="BJ172" s="253"/>
      <c r="BK172" s="253"/>
      <c r="BL172" s="253"/>
      <c r="BM172" s="253"/>
      <c r="BN172" s="253"/>
      <c r="BO172" s="253"/>
      <c r="BP172" s="253"/>
    </row>
    <row r="173" spans="1:68" s="220" customFormat="1" ht="15.6">
      <c r="A173" s="256"/>
      <c r="B173" s="257" t="s">
        <v>94</v>
      </c>
      <c r="C173" s="258">
        <v>2404942</v>
      </c>
      <c r="D173" s="252">
        <f t="shared" si="91"/>
        <v>0.19825613404848452</v>
      </c>
      <c r="E173" s="209"/>
      <c r="F173" s="227">
        <v>678905</v>
      </c>
      <c r="G173" s="252">
        <f t="shared" si="93"/>
        <v>0.37325638785054283</v>
      </c>
      <c r="H173" s="249"/>
      <c r="I173" s="250"/>
      <c r="J173" s="259">
        <v>113641</v>
      </c>
      <c r="K173" s="252">
        <f t="shared" si="94"/>
        <v>0.14122597360862832</v>
      </c>
      <c r="L173" s="259">
        <v>131898</v>
      </c>
      <c r="M173" s="252">
        <f t="shared" si="94"/>
        <v>-7.3751862610815788E-3</v>
      </c>
      <c r="N173" s="227">
        <v>161447</v>
      </c>
      <c r="O173" s="252">
        <f t="shared" si="94"/>
        <v>0.14047654368081597</v>
      </c>
      <c r="P173" s="259">
        <v>257107</v>
      </c>
      <c r="Q173" s="252">
        <f t="shared" si="94"/>
        <v>0.66773911069308856</v>
      </c>
      <c r="R173" s="251">
        <v>77141</v>
      </c>
      <c r="S173" s="252">
        <f t="shared" si="94"/>
        <v>9.1010663875767284E-2</v>
      </c>
      <c r="T173" s="259">
        <v>43484</v>
      </c>
      <c r="U173" s="252">
        <f t="shared" si="94"/>
        <v>0.12667443969426095</v>
      </c>
      <c r="V173" s="251">
        <v>1482</v>
      </c>
      <c r="W173" s="252">
        <f t="shared" si="94"/>
        <v>0.19516129032258056</v>
      </c>
      <c r="X173" s="251">
        <v>150097</v>
      </c>
      <c r="Y173" s="252">
        <f t="shared" si="94"/>
        <v>4.6847538010880152E-2</v>
      </c>
      <c r="Z173" s="249"/>
      <c r="AA173" s="250"/>
      <c r="AB173" s="259">
        <v>24829</v>
      </c>
      <c r="AC173" s="252">
        <f t="shared" si="90"/>
        <v>-7.6061474342276614E-2</v>
      </c>
      <c r="AD173" s="259">
        <v>51036</v>
      </c>
      <c r="AE173" s="252">
        <f t="shared" si="90"/>
        <v>0.20638222432336595</v>
      </c>
      <c r="AF173" s="259">
        <v>1900</v>
      </c>
      <c r="AG173" s="252">
        <f t="shared" si="90"/>
        <v>0.35714285714285721</v>
      </c>
      <c r="AH173" s="259">
        <v>9435</v>
      </c>
      <c r="AI173" s="252">
        <f t="shared" si="90"/>
        <v>0.19657577679137606</v>
      </c>
      <c r="AJ173" s="228"/>
      <c r="AK173" s="260"/>
      <c r="AL173" s="259">
        <v>3593</v>
      </c>
      <c r="AM173" s="252">
        <f t="shared" si="96"/>
        <v>0.28047042052744109</v>
      </c>
      <c r="AN173" s="249"/>
      <c r="AO173" s="192"/>
      <c r="AP173" s="230"/>
      <c r="AQ173" s="231"/>
      <c r="AR173" s="261"/>
      <c r="AS173" s="204"/>
      <c r="AT173" s="229"/>
      <c r="AU173" s="232"/>
      <c r="AV173" s="229"/>
      <c r="AW173" s="192"/>
      <c r="AX173" s="229"/>
      <c r="AY173" s="192"/>
      <c r="AZ173" s="259"/>
      <c r="BA173" s="252"/>
      <c r="BB173" s="259"/>
      <c r="BC173" s="252"/>
      <c r="BD173" s="253"/>
      <c r="BE173" s="253"/>
      <c r="BF173" s="253"/>
      <c r="BG173" s="253"/>
      <c r="BH173" s="253"/>
      <c r="BI173" s="253"/>
      <c r="BJ173" s="253"/>
      <c r="BK173" s="253"/>
      <c r="BL173" s="253"/>
      <c r="BM173" s="253"/>
      <c r="BN173" s="253"/>
      <c r="BO173" s="253"/>
      <c r="BP173" s="253"/>
    </row>
    <row r="174" spans="1:68" s="220" customFormat="1" ht="15.6">
      <c r="A174" s="233" t="s">
        <v>95</v>
      </c>
      <c r="B174" s="234" t="s">
        <v>96</v>
      </c>
      <c r="C174" s="245">
        <v>2866780</v>
      </c>
      <c r="D174" s="236">
        <f>C174/C162-1</f>
        <v>0.22352593715536351</v>
      </c>
      <c r="E174" s="209"/>
      <c r="F174" s="207">
        <v>803816</v>
      </c>
      <c r="G174" s="236">
        <f t="shared" si="93"/>
        <v>0.28525219254415068</v>
      </c>
      <c r="H174" s="222"/>
      <c r="I174" s="208"/>
      <c r="J174" s="222">
        <v>129355</v>
      </c>
      <c r="K174" s="236">
        <f t="shared" si="94"/>
        <v>0.1541515730116525</v>
      </c>
      <c r="L174" s="222">
        <v>168152</v>
      </c>
      <c r="M174" s="236">
        <f t="shared" si="94"/>
        <v>0.14916009458332757</v>
      </c>
      <c r="N174" s="238">
        <v>197625</v>
      </c>
      <c r="O174" s="208">
        <f t="shared" si="94"/>
        <v>0.15243315741901631</v>
      </c>
      <c r="P174" s="222">
        <v>316314</v>
      </c>
      <c r="Q174" s="236">
        <f t="shared" si="94"/>
        <v>0.83976223157992691</v>
      </c>
      <c r="R174" s="223">
        <v>97861</v>
      </c>
      <c r="S174" s="236">
        <f t="shared" si="94"/>
        <v>0.20151507710441008</v>
      </c>
      <c r="T174" s="222">
        <v>75502</v>
      </c>
      <c r="U174" s="208">
        <f t="shared" si="94"/>
        <v>0.2532492323014357</v>
      </c>
      <c r="V174" s="222">
        <v>2493</v>
      </c>
      <c r="W174" s="208">
        <f t="shared" si="94"/>
        <v>0.35268583830710787</v>
      </c>
      <c r="X174" s="223">
        <v>198145</v>
      </c>
      <c r="Y174" s="208">
        <f t="shared" si="94"/>
        <v>0.28359688275343831</v>
      </c>
      <c r="Z174" s="214">
        <v>301770</v>
      </c>
      <c r="AA174" s="219">
        <f>Z174/SUM(Z162:Z173)-1</f>
        <v>-0.12550966294869903</v>
      </c>
      <c r="AB174" s="222">
        <v>33453</v>
      </c>
      <c r="AC174" s="208">
        <f t="shared" si="90"/>
        <v>-7.6419756494850999E-2</v>
      </c>
      <c r="AD174" s="222">
        <v>68621</v>
      </c>
      <c r="AE174" s="208">
        <f t="shared" si="90"/>
        <v>0.29134910329513164</v>
      </c>
      <c r="AF174" s="222">
        <v>5700</v>
      </c>
      <c r="AG174" s="208">
        <f t="shared" si="90"/>
        <v>0.39024390243902429</v>
      </c>
      <c r="AH174" s="222">
        <v>11655</v>
      </c>
      <c r="AI174" s="236">
        <f t="shared" si="90"/>
        <v>0.22375052498950021</v>
      </c>
      <c r="AJ174" s="212">
        <v>7714</v>
      </c>
      <c r="AK174" s="241">
        <f>AJ174/AJ162-1</f>
        <v>0.24741267787839583</v>
      </c>
      <c r="AL174" s="222">
        <v>2988</v>
      </c>
      <c r="AM174" s="236">
        <f t="shared" si="96"/>
        <v>0.53624678663239078</v>
      </c>
      <c r="AN174" s="222">
        <v>8591</v>
      </c>
      <c r="AO174" s="219">
        <f>SUM(AN174:AN185)/AN162-1</f>
        <v>0.10668550334958748</v>
      </c>
      <c r="AP174" s="262"/>
      <c r="AQ174" s="263"/>
      <c r="AR174" s="211"/>
      <c r="AS174" s="196"/>
      <c r="AT174" s="222"/>
      <c r="AU174" s="208"/>
      <c r="AV174" s="190"/>
      <c r="AW174" s="208"/>
      <c r="AX174" s="214">
        <v>174405</v>
      </c>
      <c r="AY174" s="189">
        <f>(AX174/AX162-1)</f>
        <v>2.2477443410661824E-2</v>
      </c>
      <c r="AZ174" s="222"/>
      <c r="BA174" s="208"/>
      <c r="BB174" s="222"/>
      <c r="BC174" s="208"/>
      <c r="BD174" s="253"/>
      <c r="BE174" s="253"/>
      <c r="BF174" s="253"/>
      <c r="BG174" s="253"/>
      <c r="BH174" s="253"/>
      <c r="BI174" s="253"/>
      <c r="BJ174" s="253"/>
      <c r="BK174" s="253"/>
      <c r="BL174" s="253"/>
      <c r="BM174" s="253"/>
      <c r="BN174" s="253"/>
      <c r="BO174" s="253"/>
      <c r="BP174" s="253"/>
    </row>
    <row r="175" spans="1:68" s="220" customFormat="1" ht="15.6">
      <c r="A175" s="206"/>
      <c r="B175" s="225" t="s">
        <v>84</v>
      </c>
      <c r="C175" s="245">
        <v>2311009</v>
      </c>
      <c r="D175" s="208">
        <f t="shared" ref="D175:D191" si="97">C175/C163-1</f>
        <v>3.5737510806630679E-2</v>
      </c>
      <c r="E175" s="209"/>
      <c r="F175" s="207">
        <v>708318</v>
      </c>
      <c r="G175" s="208">
        <f t="shared" si="93"/>
        <v>0.1804945851624451</v>
      </c>
      <c r="H175" s="222"/>
      <c r="I175" s="208"/>
      <c r="J175" s="222">
        <v>92515</v>
      </c>
      <c r="K175" s="208">
        <f t="shared" si="94"/>
        <v>-2.4134257354725075E-2</v>
      </c>
      <c r="L175" s="222">
        <v>122667</v>
      </c>
      <c r="M175" s="208">
        <f t="shared" si="94"/>
        <v>-0.18345026826248456</v>
      </c>
      <c r="N175" s="222">
        <v>160148</v>
      </c>
      <c r="O175" s="208">
        <f t="shared" si="94"/>
        <v>-2.0854859714231511E-2</v>
      </c>
      <c r="P175" s="222">
        <v>303391</v>
      </c>
      <c r="Q175" s="208">
        <f t="shared" si="94"/>
        <v>0.57546787694991997</v>
      </c>
      <c r="R175" s="223">
        <v>71633</v>
      </c>
      <c r="S175" s="208">
        <f t="shared" si="94"/>
        <v>-0.13449084142864043</v>
      </c>
      <c r="T175" s="222">
        <v>53161</v>
      </c>
      <c r="U175" s="208">
        <f t="shared" si="94"/>
        <v>-0.11654535181307546</v>
      </c>
      <c r="V175" s="222">
        <v>1359</v>
      </c>
      <c r="W175" s="208">
        <f t="shared" si="94"/>
        <v>-0.13384321223709372</v>
      </c>
      <c r="X175" s="223">
        <v>156555</v>
      </c>
      <c r="Y175" s="208">
        <f t="shared" si="94"/>
        <v>3.8955436838437718E-2</v>
      </c>
      <c r="Z175" s="217"/>
      <c r="AA175" s="189"/>
      <c r="AB175" s="222">
        <v>29361</v>
      </c>
      <c r="AC175" s="208">
        <f t="shared" si="90"/>
        <v>-0.17562331536388143</v>
      </c>
      <c r="AD175" s="222">
        <v>56077</v>
      </c>
      <c r="AE175" s="208">
        <f t="shared" si="90"/>
        <v>0.34480443176095354</v>
      </c>
      <c r="AF175" s="222">
        <v>5400</v>
      </c>
      <c r="AG175" s="208">
        <f t="shared" si="90"/>
        <v>1.8867924528301883E-2</v>
      </c>
      <c r="AH175" s="222">
        <v>9399</v>
      </c>
      <c r="AI175" s="208">
        <f t="shared" si="90"/>
        <v>8.096607245543419E-2</v>
      </c>
      <c r="AJ175" s="224"/>
      <c r="AK175" s="246"/>
      <c r="AL175" s="222">
        <v>2078</v>
      </c>
      <c r="AM175" s="208">
        <f t="shared" si="96"/>
        <v>-9.9653379549393462E-2</v>
      </c>
      <c r="AN175" s="222">
        <v>5515</v>
      </c>
      <c r="AO175" s="189"/>
      <c r="AP175" s="262"/>
      <c r="AQ175" s="263"/>
      <c r="AR175" s="211"/>
      <c r="AS175" s="196"/>
      <c r="AT175" s="222"/>
      <c r="AU175" s="208"/>
      <c r="AV175" s="190"/>
      <c r="AW175" s="208"/>
      <c r="AX175" s="217"/>
      <c r="AY175" s="189"/>
      <c r="AZ175" s="222"/>
      <c r="BA175" s="208"/>
      <c r="BB175" s="222"/>
      <c r="BC175" s="208"/>
      <c r="BD175" s="253"/>
      <c r="BE175" s="253"/>
      <c r="BF175" s="253"/>
      <c r="BG175" s="253"/>
      <c r="BH175" s="253"/>
      <c r="BI175" s="253"/>
      <c r="BJ175" s="253"/>
      <c r="BK175" s="253"/>
      <c r="BL175" s="253"/>
      <c r="BM175" s="253"/>
      <c r="BN175" s="253"/>
      <c r="BO175" s="253"/>
      <c r="BP175" s="253"/>
    </row>
    <row r="176" spans="1:68" s="220" customFormat="1" ht="15.6">
      <c r="A176" s="206"/>
      <c r="B176" s="225" t="s">
        <v>61</v>
      </c>
      <c r="C176" s="245">
        <v>2252565</v>
      </c>
      <c r="D176" s="208">
        <f t="shared" si="97"/>
        <v>0.16079167572770903</v>
      </c>
      <c r="E176" s="209"/>
      <c r="F176" s="207">
        <v>619196</v>
      </c>
      <c r="G176" s="208">
        <f t="shared" si="93"/>
        <v>0.26793747913889443</v>
      </c>
      <c r="H176" s="222"/>
      <c r="I176" s="208"/>
      <c r="J176" s="222">
        <v>78392</v>
      </c>
      <c r="K176" s="208">
        <f t="shared" si="94"/>
        <v>-9.8372534360802844E-2</v>
      </c>
      <c r="L176" s="222">
        <v>127261</v>
      </c>
      <c r="M176" s="208">
        <f t="shared" si="94"/>
        <v>4.8269783609690142E-2</v>
      </c>
      <c r="N176" s="222">
        <v>143644</v>
      </c>
      <c r="O176" s="208">
        <f t="shared" si="94"/>
        <v>0.12017093750487384</v>
      </c>
      <c r="P176" s="222">
        <v>272757</v>
      </c>
      <c r="Q176" s="208">
        <f t="shared" si="94"/>
        <v>0.67376656848306338</v>
      </c>
      <c r="R176" s="223">
        <v>70585</v>
      </c>
      <c r="S176" s="208">
        <f t="shared" si="94"/>
        <v>7.9396877341611383E-2</v>
      </c>
      <c r="T176" s="222">
        <v>49127</v>
      </c>
      <c r="U176" s="208">
        <f t="shared" si="94"/>
        <v>0.11799644986573221</v>
      </c>
      <c r="V176" s="222">
        <v>1398</v>
      </c>
      <c r="W176" s="208">
        <f t="shared" si="94"/>
        <v>0.17183570829840744</v>
      </c>
      <c r="X176" s="223">
        <v>122387</v>
      </c>
      <c r="Y176" s="208">
        <f t="shared" si="94"/>
        <v>-9.8856515944718115E-2</v>
      </c>
      <c r="Z176" s="217"/>
      <c r="AA176" s="189"/>
      <c r="AB176" s="222">
        <v>25316</v>
      </c>
      <c r="AC176" s="208">
        <f t="shared" si="90"/>
        <v>-0.18211481924207673</v>
      </c>
      <c r="AD176" s="222">
        <v>42362</v>
      </c>
      <c r="AE176" s="208">
        <f t="shared" si="90"/>
        <v>0.1832299871515557</v>
      </c>
      <c r="AF176" s="222">
        <v>4100</v>
      </c>
      <c r="AG176" s="208">
        <f t="shared" si="90"/>
        <v>5.1282051282051322E-2</v>
      </c>
      <c r="AH176" s="222">
        <v>11276</v>
      </c>
      <c r="AI176" s="208">
        <f t="shared" si="90"/>
        <v>0.32924672875162098</v>
      </c>
      <c r="AJ176" s="224"/>
      <c r="AK176" s="246"/>
      <c r="AL176" s="222">
        <v>2663</v>
      </c>
      <c r="AM176" s="208">
        <f t="shared" si="96"/>
        <v>0.29334628460417678</v>
      </c>
      <c r="AN176" s="222">
        <v>5748</v>
      </c>
      <c r="AO176" s="189"/>
      <c r="AP176" s="262"/>
      <c r="AQ176" s="263"/>
      <c r="AR176" s="211"/>
      <c r="AS176" s="196"/>
      <c r="AT176" s="222"/>
      <c r="AU176" s="208"/>
      <c r="AV176" s="190"/>
      <c r="AW176" s="208"/>
      <c r="AX176" s="217"/>
      <c r="AY176" s="189"/>
      <c r="AZ176" s="222"/>
      <c r="BA176" s="208"/>
      <c r="BB176" s="222"/>
      <c r="BC176" s="208"/>
      <c r="BD176" s="253"/>
      <c r="BE176" s="253"/>
      <c r="BF176" s="253"/>
      <c r="BG176" s="253"/>
      <c r="BH176" s="253"/>
      <c r="BI176" s="253"/>
      <c r="BJ176" s="253"/>
      <c r="BK176" s="253"/>
      <c r="BL176" s="253"/>
      <c r="BM176" s="253"/>
      <c r="BN176" s="253"/>
      <c r="BO176" s="253"/>
      <c r="BP176" s="253"/>
    </row>
    <row r="177" spans="1:68" s="265" customFormat="1" ht="15.6">
      <c r="A177" s="206"/>
      <c r="B177" s="225" t="s">
        <v>46</v>
      </c>
      <c r="C177" s="245">
        <v>2230200</v>
      </c>
      <c r="D177" s="208">
        <f t="shared" si="97"/>
        <v>0.11290590600630845</v>
      </c>
      <c r="E177" s="209"/>
      <c r="F177" s="207">
        <v>638523</v>
      </c>
      <c r="G177" s="208">
        <f t="shared" si="93"/>
        <v>0.15126562536623722</v>
      </c>
      <c r="H177" s="222"/>
      <c r="I177" s="208"/>
      <c r="J177" s="222">
        <v>66555</v>
      </c>
      <c r="K177" s="208">
        <f t="shared" si="94"/>
        <v>-0.21002029697681868</v>
      </c>
      <c r="L177" s="222">
        <v>106526</v>
      </c>
      <c r="M177" s="208">
        <f t="shared" si="94"/>
        <v>-4.3674982718531985E-2</v>
      </c>
      <c r="N177" s="222">
        <v>115870</v>
      </c>
      <c r="O177" s="208">
        <f t="shared" si="94"/>
        <v>-4.7328231161044565E-3</v>
      </c>
      <c r="P177" s="222">
        <v>281385</v>
      </c>
      <c r="Q177" s="208">
        <f t="shared" si="94"/>
        <v>0.61369592769522807</v>
      </c>
      <c r="R177" s="223">
        <v>61106</v>
      </c>
      <c r="S177" s="208">
        <f t="shared" si="94"/>
        <v>-5.8807220750415889E-2</v>
      </c>
      <c r="T177" s="222">
        <v>44550</v>
      </c>
      <c r="U177" s="208">
        <f t="shared" si="94"/>
        <v>-8.7613664290980608E-2</v>
      </c>
      <c r="V177" s="222">
        <v>825</v>
      </c>
      <c r="W177" s="208">
        <f t="shared" si="94"/>
        <v>-6.8848758465011262E-2</v>
      </c>
      <c r="X177" s="223">
        <v>114973</v>
      </c>
      <c r="Y177" s="208">
        <f t="shared" si="94"/>
        <v>-1.7945914549771902E-2</v>
      </c>
      <c r="Z177" s="217"/>
      <c r="AA177" s="189"/>
      <c r="AB177" s="222">
        <v>26576</v>
      </c>
      <c r="AC177" s="208">
        <f t="shared" si="90"/>
        <v>-0.2694084011436112</v>
      </c>
      <c r="AD177" s="222">
        <v>36684</v>
      </c>
      <c r="AE177" s="208">
        <f t="shared" si="90"/>
        <v>0.20611540358375802</v>
      </c>
      <c r="AF177" s="222">
        <v>4300</v>
      </c>
      <c r="AG177" s="208">
        <f t="shared" si="90"/>
        <v>0.48275862068965525</v>
      </c>
      <c r="AH177" s="222">
        <v>13566</v>
      </c>
      <c r="AI177" s="208">
        <f t="shared" si="90"/>
        <v>0.37071839951500452</v>
      </c>
      <c r="AJ177" s="224">
        <f>28045-AJ174</f>
        <v>20331</v>
      </c>
      <c r="AK177" s="246">
        <f>(AJ177/AJ165-1)</f>
        <v>0.16550103187342358</v>
      </c>
      <c r="AL177" s="222">
        <v>3008</v>
      </c>
      <c r="AM177" s="208">
        <f t="shared" si="96"/>
        <v>-7.5599262446220061E-2</v>
      </c>
      <c r="AN177" s="222">
        <v>4043</v>
      </c>
      <c r="AO177" s="189"/>
      <c r="AP177" s="262"/>
      <c r="AQ177" s="263"/>
      <c r="AR177" s="211"/>
      <c r="AS177" s="196"/>
      <c r="AT177" s="222"/>
      <c r="AU177" s="208"/>
      <c r="AV177" s="190"/>
      <c r="AW177" s="208"/>
      <c r="AX177" s="217"/>
      <c r="AY177" s="189"/>
      <c r="AZ177" s="222"/>
      <c r="BA177" s="208"/>
      <c r="BB177" s="222"/>
      <c r="BC177" s="208"/>
      <c r="BD177" s="264"/>
      <c r="BE177" s="264"/>
      <c r="BF177" s="264"/>
      <c r="BG177" s="264"/>
      <c r="BH177" s="264"/>
      <c r="BI177" s="264"/>
      <c r="BJ177" s="264"/>
      <c r="BK177" s="264"/>
      <c r="BL177" s="264"/>
      <c r="BM177" s="264"/>
      <c r="BN177" s="264"/>
      <c r="BO177" s="264"/>
      <c r="BP177" s="264"/>
    </row>
    <row r="178" spans="1:68" s="265" customFormat="1" ht="15.6">
      <c r="A178" s="206"/>
      <c r="B178" s="225" t="s">
        <v>47</v>
      </c>
      <c r="C178" s="245">
        <v>2331565</v>
      </c>
      <c r="D178" s="208">
        <f t="shared" si="97"/>
        <v>0.1635519708718387</v>
      </c>
      <c r="E178" s="209"/>
      <c r="F178" s="207">
        <v>640355</v>
      </c>
      <c r="G178" s="208">
        <f t="shared" si="93"/>
        <v>0.14575803554175049</v>
      </c>
      <c r="H178" s="222"/>
      <c r="I178" s="208"/>
      <c r="J178" s="222">
        <v>76389</v>
      </c>
      <c r="K178" s="208">
        <f t="shared" si="94"/>
        <v>-3.9651509246571015E-2</v>
      </c>
      <c r="L178" s="222">
        <v>111738</v>
      </c>
      <c r="M178" s="208">
        <f t="shared" si="94"/>
        <v>-2.9908927532708796E-2</v>
      </c>
      <c r="N178" s="222">
        <v>122684</v>
      </c>
      <c r="O178" s="208">
        <f t="shared" si="94"/>
        <v>9.3245410800213868E-2</v>
      </c>
      <c r="P178" s="222">
        <v>267909</v>
      </c>
      <c r="Q178" s="208">
        <f t="shared" si="94"/>
        <v>0.42992330232334708</v>
      </c>
      <c r="R178" s="223">
        <v>64980</v>
      </c>
      <c r="S178" s="208">
        <f t="shared" si="94"/>
        <v>-0.10006232255383973</v>
      </c>
      <c r="T178" s="222">
        <v>46720</v>
      </c>
      <c r="U178" s="208">
        <f t="shared" si="94"/>
        <v>-0.11451423372881997</v>
      </c>
      <c r="V178" s="222">
        <v>892</v>
      </c>
      <c r="W178" s="208">
        <f t="shared" si="94"/>
        <v>-0.11066799601196409</v>
      </c>
      <c r="X178" s="223">
        <v>113488</v>
      </c>
      <c r="Y178" s="208">
        <f t="shared" si="94"/>
        <v>-0.11813568936444663</v>
      </c>
      <c r="Z178" s="217"/>
      <c r="AA178" s="189"/>
      <c r="AB178" s="222">
        <v>28786</v>
      </c>
      <c r="AC178" s="208">
        <f t="shared" si="90"/>
        <v>-0.15563768626070629</v>
      </c>
      <c r="AD178" s="222">
        <v>41825</v>
      </c>
      <c r="AE178" s="208">
        <f t="shared" si="90"/>
        <v>0.49658281747593658</v>
      </c>
      <c r="AF178" s="222">
        <v>3600</v>
      </c>
      <c r="AG178" s="208">
        <f t="shared" si="90"/>
        <v>-2.7027027027026973E-2</v>
      </c>
      <c r="AH178" s="222">
        <v>13312</v>
      </c>
      <c r="AI178" s="208">
        <f t="shared" si="90"/>
        <v>0.40614767085666004</v>
      </c>
      <c r="AJ178" s="224"/>
      <c r="AK178" s="246"/>
      <c r="AL178" s="222">
        <v>2647</v>
      </c>
      <c r="AM178" s="208">
        <f t="shared" si="96"/>
        <v>-0.16074825618262523</v>
      </c>
      <c r="AN178" s="222">
        <v>4191</v>
      </c>
      <c r="AO178" s="189"/>
      <c r="AP178" s="262"/>
      <c r="AQ178" s="263"/>
      <c r="AR178" s="211"/>
      <c r="AS178" s="196"/>
      <c r="AT178" s="222"/>
      <c r="AU178" s="208"/>
      <c r="AV178" s="190"/>
      <c r="AW178" s="208"/>
      <c r="AX178" s="217"/>
      <c r="AY178" s="189"/>
      <c r="AZ178" s="222"/>
      <c r="BA178" s="208"/>
      <c r="BB178" s="222"/>
      <c r="BC178" s="208"/>
      <c r="BD178" s="264"/>
      <c r="BE178" s="264"/>
      <c r="BF178" s="264"/>
      <c r="BG178" s="264"/>
      <c r="BH178" s="264"/>
      <c r="BI178" s="264"/>
      <c r="BJ178" s="264"/>
      <c r="BK178" s="264"/>
      <c r="BL178" s="264"/>
      <c r="BM178" s="264"/>
      <c r="BN178" s="264"/>
      <c r="BO178" s="264"/>
      <c r="BP178" s="264"/>
    </row>
    <row r="179" spans="1:68" s="220" customFormat="1" ht="15.6">
      <c r="A179" s="206"/>
      <c r="B179" s="225" t="s">
        <v>91</v>
      </c>
      <c r="C179" s="245">
        <v>2323986</v>
      </c>
      <c r="D179" s="208">
        <f t="shared" si="97"/>
        <v>0.10764844437369359</v>
      </c>
      <c r="E179" s="209"/>
      <c r="F179" s="207">
        <v>606162</v>
      </c>
      <c r="G179" s="208">
        <f t="shared" si="93"/>
        <v>6.5541408775535048E-2</v>
      </c>
      <c r="H179" s="222"/>
      <c r="I179" s="208"/>
      <c r="J179" s="222">
        <v>64436</v>
      </c>
      <c r="K179" s="208">
        <f t="shared" si="94"/>
        <v>-0.10544071302633584</v>
      </c>
      <c r="L179" s="222">
        <v>96260</v>
      </c>
      <c r="M179" s="208">
        <f t="shared" si="94"/>
        <v>-0.13181510710259303</v>
      </c>
      <c r="N179" s="222">
        <v>141562</v>
      </c>
      <c r="O179" s="208">
        <f t="shared" si="94"/>
        <v>5.8534105014431681E-2</v>
      </c>
      <c r="P179" s="222">
        <v>271848</v>
      </c>
      <c r="Q179" s="208">
        <f t="shared" si="94"/>
        <v>0.53533527993177499</v>
      </c>
      <c r="R179" s="223">
        <v>57787</v>
      </c>
      <c r="S179" s="208">
        <f t="shared" si="94"/>
        <v>-0.13438089816950782</v>
      </c>
      <c r="T179" s="222">
        <v>45325</v>
      </c>
      <c r="U179" s="208">
        <f t="shared" si="94"/>
        <v>-8.4102895709984415E-2</v>
      </c>
      <c r="V179" s="222">
        <v>963</v>
      </c>
      <c r="W179" s="208">
        <f t="shared" si="94"/>
        <v>1.1554621848739455E-2</v>
      </c>
      <c r="X179" s="223">
        <v>110135</v>
      </c>
      <c r="Y179" s="208">
        <f t="shared" si="94"/>
        <v>1.5490295514268615E-2</v>
      </c>
      <c r="Z179" s="217"/>
      <c r="AA179" s="189"/>
      <c r="AB179" s="222">
        <v>25749</v>
      </c>
      <c r="AC179" s="208">
        <f t="shared" si="90"/>
        <v>-0.26626392727894455</v>
      </c>
      <c r="AD179" s="222">
        <v>46460</v>
      </c>
      <c r="AE179" s="208">
        <f t="shared" si="90"/>
        <v>0.57705363204344873</v>
      </c>
      <c r="AF179" s="222">
        <v>2900</v>
      </c>
      <c r="AG179" s="208">
        <f t="shared" si="90"/>
        <v>0.11538461538461542</v>
      </c>
      <c r="AH179" s="222">
        <v>13396</v>
      </c>
      <c r="AI179" s="208">
        <f t="shared" si="90"/>
        <v>0.36889433885142031</v>
      </c>
      <c r="AJ179" s="224"/>
      <c r="AK179" s="246"/>
      <c r="AL179" s="222">
        <v>2531</v>
      </c>
      <c r="AM179" s="208">
        <f t="shared" si="96"/>
        <v>4.070723684210531E-2</v>
      </c>
      <c r="AN179" s="222">
        <v>4255</v>
      </c>
      <c r="AO179" s="189"/>
      <c r="AP179" s="262"/>
      <c r="AQ179" s="263"/>
      <c r="AR179" s="211"/>
      <c r="AS179" s="196"/>
      <c r="AT179" s="222"/>
      <c r="AU179" s="208"/>
      <c r="AV179" s="190"/>
      <c r="AW179" s="208"/>
      <c r="AX179" s="217"/>
      <c r="AY179" s="189"/>
      <c r="AZ179" s="222"/>
      <c r="BA179" s="208"/>
      <c r="BB179" s="222"/>
      <c r="BC179" s="208"/>
      <c r="BD179" s="253"/>
      <c r="BE179" s="253"/>
      <c r="BF179" s="253"/>
      <c r="BG179" s="253"/>
      <c r="BH179" s="253"/>
      <c r="BI179" s="253"/>
      <c r="BJ179" s="253"/>
      <c r="BK179" s="253"/>
      <c r="BL179" s="253"/>
      <c r="BM179" s="253"/>
      <c r="BN179" s="253"/>
      <c r="BO179" s="253"/>
      <c r="BP179" s="253"/>
    </row>
    <row r="180" spans="1:68" s="220" customFormat="1" ht="15.6">
      <c r="A180" s="206"/>
      <c r="B180" s="225" t="s">
        <v>97</v>
      </c>
      <c r="C180" s="245">
        <v>2495297</v>
      </c>
      <c r="D180" s="208">
        <f t="shared" si="97"/>
        <v>4.4298952853944806E-2</v>
      </c>
      <c r="E180" s="209"/>
      <c r="F180" s="207">
        <v>607953</v>
      </c>
      <c r="G180" s="208">
        <f t="shared" si="93"/>
        <v>-5.6011713812796349E-2</v>
      </c>
      <c r="H180" s="222"/>
      <c r="I180" s="208"/>
      <c r="J180" s="222">
        <v>62696</v>
      </c>
      <c r="K180" s="208">
        <f t="shared" si="94"/>
        <v>-0.12091979809310149</v>
      </c>
      <c r="L180" s="222">
        <v>98776</v>
      </c>
      <c r="M180" s="208">
        <f t="shared" si="94"/>
        <v>-0.10814959279123104</v>
      </c>
      <c r="N180" s="222">
        <v>153524</v>
      </c>
      <c r="O180" s="208">
        <f t="shared" si="94"/>
        <v>6.6157427138313629E-3</v>
      </c>
      <c r="P180" s="222">
        <v>252396</v>
      </c>
      <c r="Q180" s="208">
        <f t="shared" si="94"/>
        <v>0.3039071338902406</v>
      </c>
      <c r="R180" s="223">
        <v>59451</v>
      </c>
      <c r="S180" s="208">
        <f t="shared" si="94"/>
        <v>-0.19800617841870249</v>
      </c>
      <c r="T180" s="222">
        <v>57823</v>
      </c>
      <c r="U180" s="208">
        <f t="shared" si="94"/>
        <v>-7.671185858932561E-3</v>
      </c>
      <c r="V180" s="222">
        <v>1444</v>
      </c>
      <c r="W180" s="208">
        <f t="shared" si="94"/>
        <v>-6.8775790921595803E-3</v>
      </c>
      <c r="X180" s="223">
        <v>121544</v>
      </c>
      <c r="Y180" s="208">
        <f t="shared" si="94"/>
        <v>-8.0152873954667525E-2</v>
      </c>
      <c r="Z180" s="217"/>
      <c r="AA180" s="189"/>
      <c r="AB180" s="222">
        <v>37174</v>
      </c>
      <c r="AC180" s="208">
        <f t="shared" si="90"/>
        <v>-0.1700935414015583</v>
      </c>
      <c r="AD180" s="222">
        <v>64496</v>
      </c>
      <c r="AE180" s="208">
        <f t="shared" si="90"/>
        <v>0.52296394247798061</v>
      </c>
      <c r="AF180" s="222">
        <v>2600</v>
      </c>
      <c r="AG180" s="208">
        <f t="shared" si="90"/>
        <v>0.30000000000000004</v>
      </c>
      <c r="AH180" s="222">
        <v>14645</v>
      </c>
      <c r="AI180" s="208">
        <f t="shared" si="90"/>
        <v>0.21444564225889384</v>
      </c>
      <c r="AJ180" s="224">
        <f>76896-AJ177-AJ174</f>
        <v>48851</v>
      </c>
      <c r="AK180" s="246">
        <f>(AJ180/AJ168-1)</f>
        <v>0.14943529411764711</v>
      </c>
      <c r="AL180" s="222">
        <v>2477</v>
      </c>
      <c r="AM180" s="208">
        <f t="shared" si="96"/>
        <v>0.33459051724137923</v>
      </c>
      <c r="AN180" s="222">
        <v>5451</v>
      </c>
      <c r="AO180" s="189"/>
      <c r="AP180" s="262"/>
      <c r="AQ180" s="263"/>
      <c r="AR180" s="211"/>
      <c r="AS180" s="196"/>
      <c r="AT180" s="222"/>
      <c r="AU180" s="208"/>
      <c r="AV180" s="190"/>
      <c r="AW180" s="208"/>
      <c r="AX180" s="217"/>
      <c r="AY180" s="189"/>
      <c r="AZ180" s="222"/>
      <c r="BA180" s="208"/>
      <c r="BB180" s="222"/>
      <c r="BC180" s="208"/>
      <c r="BD180" s="253"/>
      <c r="BE180" s="253"/>
      <c r="BF180" s="253"/>
      <c r="BG180" s="253"/>
      <c r="BH180" s="253"/>
      <c r="BI180" s="253"/>
      <c r="BJ180" s="253"/>
      <c r="BK180" s="253"/>
      <c r="BL180" s="253"/>
      <c r="BM180" s="253"/>
      <c r="BN180" s="253"/>
      <c r="BO180" s="253"/>
      <c r="BP180" s="253"/>
    </row>
    <row r="181" spans="1:68" s="220" customFormat="1" ht="15.6">
      <c r="A181" s="206"/>
      <c r="B181" s="225" t="s">
        <v>66</v>
      </c>
      <c r="C181" s="245">
        <v>2519860</v>
      </c>
      <c r="D181" s="208">
        <f t="shared" si="97"/>
        <v>5.6411748454388011E-2</v>
      </c>
      <c r="E181" s="209"/>
      <c r="F181" s="207">
        <v>593941</v>
      </c>
      <c r="G181" s="208">
        <f t="shared" si="93"/>
        <v>-4.3425392653292594E-2</v>
      </c>
      <c r="H181" s="222"/>
      <c r="I181" s="208"/>
      <c r="J181" s="222">
        <v>71653</v>
      </c>
      <c r="K181" s="208">
        <f t="shared" si="94"/>
        <v>-4.9568908343281648E-2</v>
      </c>
      <c r="L181" s="222">
        <v>112959</v>
      </c>
      <c r="M181" s="208">
        <f t="shared" si="94"/>
        <v>-6.6770763625548346E-2</v>
      </c>
      <c r="N181" s="222">
        <v>164135</v>
      </c>
      <c r="O181" s="208">
        <f t="shared" si="94"/>
        <v>8.1706818860860508E-4</v>
      </c>
      <c r="P181" s="222">
        <v>320714</v>
      </c>
      <c r="Q181" s="208">
        <f t="shared" si="94"/>
        <v>0.33084631823557475</v>
      </c>
      <c r="R181" s="223">
        <v>66052</v>
      </c>
      <c r="S181" s="208">
        <f t="shared" si="94"/>
        <v>-0.12569492243341984</v>
      </c>
      <c r="T181" s="222">
        <v>62728</v>
      </c>
      <c r="U181" s="208">
        <f t="shared" si="94"/>
        <v>2.9053267057105758E-2</v>
      </c>
      <c r="V181" s="222">
        <v>1583</v>
      </c>
      <c r="W181" s="208">
        <f t="shared" si="94"/>
        <v>0.18843843843843855</v>
      </c>
      <c r="X181" s="223">
        <v>122095</v>
      </c>
      <c r="Y181" s="208">
        <f t="shared" si="94"/>
        <v>-0.13938210602739143</v>
      </c>
      <c r="Z181" s="217"/>
      <c r="AA181" s="189"/>
      <c r="AB181" s="222">
        <v>35921</v>
      </c>
      <c r="AC181" s="208">
        <f t="shared" ref="AC181:AI198" si="98">AB181/AB169-1</f>
        <v>-0.12813106796116502</v>
      </c>
      <c r="AD181" s="222">
        <v>61224</v>
      </c>
      <c r="AE181" s="208">
        <f t="shared" si="98"/>
        <v>0.31097835164129251</v>
      </c>
      <c r="AF181" s="222">
        <v>2400</v>
      </c>
      <c r="AG181" s="208">
        <f t="shared" si="98"/>
        <v>0.14285714285714279</v>
      </c>
      <c r="AH181" s="222">
        <v>15463</v>
      </c>
      <c r="AI181" s="208">
        <f t="shared" si="98"/>
        <v>0.52254824734147309</v>
      </c>
      <c r="AJ181" s="224"/>
      <c r="AK181" s="246"/>
      <c r="AL181" s="222">
        <v>2175</v>
      </c>
      <c r="AM181" s="208">
        <f t="shared" si="96"/>
        <v>-2.1592442645074206E-2</v>
      </c>
      <c r="AN181" s="222">
        <v>4741</v>
      </c>
      <c r="AO181" s="189"/>
      <c r="AP181" s="262"/>
      <c r="AQ181" s="263"/>
      <c r="AR181" s="211"/>
      <c r="AS181" s="196"/>
      <c r="AT181" s="222"/>
      <c r="AU181" s="208"/>
      <c r="AV181" s="190"/>
      <c r="AW181" s="208"/>
      <c r="AX181" s="217"/>
      <c r="AY181" s="189"/>
      <c r="AZ181" s="222"/>
      <c r="BA181" s="208"/>
      <c r="BB181" s="222"/>
      <c r="BC181" s="208"/>
      <c r="BD181" s="253"/>
      <c r="BE181" s="253"/>
      <c r="BF181" s="253"/>
      <c r="BG181" s="253"/>
      <c r="BH181" s="253"/>
      <c r="BI181" s="253"/>
      <c r="BJ181" s="253"/>
      <c r="BK181" s="253"/>
      <c r="BL181" s="253"/>
      <c r="BM181" s="253"/>
      <c r="BN181" s="253"/>
      <c r="BO181" s="253"/>
      <c r="BP181" s="253"/>
    </row>
    <row r="182" spans="1:68" s="220" customFormat="1" ht="15.6">
      <c r="A182" s="206"/>
      <c r="B182" s="225" t="s">
        <v>98</v>
      </c>
      <c r="C182" s="245">
        <v>2225756</v>
      </c>
      <c r="D182" s="208">
        <f t="shared" si="97"/>
        <v>-4.8039347194276383E-3</v>
      </c>
      <c r="E182" s="209"/>
      <c r="F182" s="207">
        <v>479733</v>
      </c>
      <c r="G182" s="208">
        <f t="shared" si="93"/>
        <v>-0.13854206882929154</v>
      </c>
      <c r="H182" s="222"/>
      <c r="I182" s="208"/>
      <c r="J182" s="222">
        <v>77457</v>
      </c>
      <c r="K182" s="208">
        <f t="shared" si="94"/>
        <v>7.56123979336778E-2</v>
      </c>
      <c r="L182" s="222">
        <v>100119</v>
      </c>
      <c r="M182" s="208">
        <f t="shared" si="94"/>
        <v>-2.2590376148311608E-2</v>
      </c>
      <c r="N182" s="222">
        <v>135470</v>
      </c>
      <c r="O182" s="208">
        <f t="shared" si="94"/>
        <v>7.3991448224577372E-3</v>
      </c>
      <c r="P182" s="222">
        <v>227249</v>
      </c>
      <c r="Q182" s="208">
        <f t="shared" si="94"/>
        <v>6.4208712266669243E-2</v>
      </c>
      <c r="R182" s="223">
        <v>58246</v>
      </c>
      <c r="S182" s="208">
        <f t="shared" si="94"/>
        <v>-4.4207417131604809E-2</v>
      </c>
      <c r="T182" s="222">
        <v>47734</v>
      </c>
      <c r="U182" s="208">
        <f t="shared" si="94"/>
        <v>2.8151260504201137E-3</v>
      </c>
      <c r="V182" s="222">
        <v>970</v>
      </c>
      <c r="W182" s="208">
        <f t="shared" si="94"/>
        <v>-0.15652173913043477</v>
      </c>
      <c r="X182" s="223">
        <v>119456</v>
      </c>
      <c r="Y182" s="208">
        <f t="shared" si="94"/>
        <v>-3.5353780060403461E-2</v>
      </c>
      <c r="Z182" s="217"/>
      <c r="AA182" s="189"/>
      <c r="AB182" s="222">
        <v>28569</v>
      </c>
      <c r="AC182" s="208">
        <f t="shared" si="98"/>
        <v>-0.26856806369850739</v>
      </c>
      <c r="AD182" s="222">
        <v>45255</v>
      </c>
      <c r="AE182" s="208">
        <f t="shared" si="98"/>
        <v>0.12186717568606054</v>
      </c>
      <c r="AF182" s="222">
        <v>3600</v>
      </c>
      <c r="AG182" s="208">
        <f t="shared" si="98"/>
        <v>0.28571428571428581</v>
      </c>
      <c r="AH182" s="222">
        <v>14241</v>
      </c>
      <c r="AI182" s="208">
        <f t="shared" si="98"/>
        <v>0.31386659285911978</v>
      </c>
      <c r="AJ182" s="224"/>
      <c r="AK182" s="246"/>
      <c r="AL182" s="222">
        <v>2566</v>
      </c>
      <c r="AM182" s="208">
        <f t="shared" si="96"/>
        <v>-0.19535904672311066</v>
      </c>
      <c r="AN182" s="222">
        <v>3784</v>
      </c>
      <c r="AO182" s="189"/>
      <c r="AP182" s="262"/>
      <c r="AQ182" s="263"/>
      <c r="AR182" s="211"/>
      <c r="AS182" s="196"/>
      <c r="AT182" s="222"/>
      <c r="AU182" s="208"/>
      <c r="AV182" s="190"/>
      <c r="AW182" s="208"/>
      <c r="AX182" s="217"/>
      <c r="AY182" s="189"/>
      <c r="AZ182" s="222"/>
      <c r="BA182" s="208"/>
      <c r="BB182" s="222"/>
      <c r="BC182" s="208"/>
      <c r="BD182" s="253"/>
      <c r="BE182" s="253"/>
      <c r="BF182" s="253"/>
      <c r="BG182" s="253"/>
      <c r="BH182" s="253"/>
      <c r="BI182" s="253"/>
      <c r="BJ182" s="253"/>
      <c r="BK182" s="253"/>
      <c r="BL182" s="253"/>
      <c r="BM182" s="253"/>
      <c r="BN182" s="253"/>
      <c r="BO182" s="253"/>
      <c r="BP182" s="253"/>
    </row>
    <row r="183" spans="1:68" s="220" customFormat="1" ht="15.6">
      <c r="A183" s="206"/>
      <c r="B183" s="225" t="s">
        <v>93</v>
      </c>
      <c r="C183" s="245">
        <v>2347876</v>
      </c>
      <c r="D183" s="208">
        <f t="shared" si="97"/>
        <v>5.2034548703527417E-2</v>
      </c>
      <c r="E183" s="209"/>
      <c r="F183" s="207">
        <v>571176</v>
      </c>
      <c r="G183" s="208">
        <f t="shared" si="93"/>
        <v>-8.0137083370910966E-2</v>
      </c>
      <c r="H183" s="222"/>
      <c r="I183" s="208"/>
      <c r="J183" s="222">
        <v>90026</v>
      </c>
      <c r="K183" s="208">
        <f t="shared" si="94"/>
        <v>-4.4380990796862196E-2</v>
      </c>
      <c r="L183" s="222">
        <v>111400</v>
      </c>
      <c r="M183" s="208">
        <f t="shared" si="94"/>
        <v>-0.19250201149633583</v>
      </c>
      <c r="N183" s="222">
        <v>123236</v>
      </c>
      <c r="O183" s="208">
        <f t="shared" si="94"/>
        <v>-6.649294771766634E-2</v>
      </c>
      <c r="P183" s="222">
        <v>303417</v>
      </c>
      <c r="Q183" s="208">
        <f t="shared" si="94"/>
        <v>0.38084402433862907</v>
      </c>
      <c r="R183" s="223">
        <v>60240</v>
      </c>
      <c r="S183" s="208">
        <f t="shared" si="94"/>
        <v>-0.25193721438505856</v>
      </c>
      <c r="T183" s="222">
        <v>53926</v>
      </c>
      <c r="U183" s="208">
        <f t="shared" si="94"/>
        <v>9.377632194665475E-3</v>
      </c>
      <c r="V183" s="222">
        <v>1066</v>
      </c>
      <c r="W183" s="208">
        <f t="shared" si="94"/>
        <v>-0.20566318926974669</v>
      </c>
      <c r="X183" s="223">
        <v>117084</v>
      </c>
      <c r="Y183" s="208">
        <f t="shared" si="94"/>
        <v>-0.15898806188854886</v>
      </c>
      <c r="Z183" s="217"/>
      <c r="AA183" s="189"/>
      <c r="AB183" s="222">
        <v>30284</v>
      </c>
      <c r="AC183" s="208">
        <f t="shared" si="98"/>
        <v>-9.0133397428193707E-2</v>
      </c>
      <c r="AD183" s="222">
        <v>47754</v>
      </c>
      <c r="AE183" s="208">
        <f t="shared" si="98"/>
        <v>0.10772442588726516</v>
      </c>
      <c r="AF183" s="222">
        <v>4300</v>
      </c>
      <c r="AG183" s="208">
        <f t="shared" si="98"/>
        <v>-0.15686274509803921</v>
      </c>
      <c r="AH183" s="222">
        <v>15737</v>
      </c>
      <c r="AI183" s="208">
        <f t="shared" si="98"/>
        <v>0.23099186483103873</v>
      </c>
      <c r="AJ183" s="224">
        <f>86013-AJ180-AJ177-AJ174</f>
        <v>9117</v>
      </c>
      <c r="AK183" s="246">
        <f>(AJ183/AJ171-1)</f>
        <v>3.6847492323439202E-2</v>
      </c>
      <c r="AL183" s="222">
        <v>3826</v>
      </c>
      <c r="AM183" s="208">
        <f t="shared" si="96"/>
        <v>-0.14731446400713166</v>
      </c>
      <c r="AN183" s="222">
        <v>7374</v>
      </c>
      <c r="AO183" s="189"/>
      <c r="AP183" s="262"/>
      <c r="AQ183" s="263"/>
      <c r="AR183" s="211"/>
      <c r="AS183" s="196"/>
      <c r="AT183" s="222"/>
      <c r="AU183" s="208"/>
      <c r="AV183" s="190"/>
      <c r="AW183" s="208"/>
      <c r="AX183" s="217"/>
      <c r="AY183" s="189"/>
      <c r="AZ183" s="222"/>
      <c r="BA183" s="208"/>
      <c r="BB183" s="222"/>
      <c r="BC183" s="208"/>
      <c r="BD183" s="253"/>
      <c r="BE183" s="253"/>
      <c r="BF183" s="253"/>
      <c r="BG183" s="253"/>
      <c r="BH183" s="253"/>
      <c r="BI183" s="253"/>
      <c r="BJ183" s="253"/>
      <c r="BK183" s="253"/>
      <c r="BL183" s="253"/>
      <c r="BM183" s="253"/>
      <c r="BN183" s="253"/>
      <c r="BO183" s="253"/>
      <c r="BP183" s="253"/>
    </row>
    <row r="184" spans="1:68" s="220" customFormat="1" ht="15.6">
      <c r="A184" s="206"/>
      <c r="B184" s="225" t="s">
        <v>99</v>
      </c>
      <c r="C184" s="245">
        <v>2295810</v>
      </c>
      <c r="D184" s="208">
        <f t="shared" si="97"/>
        <v>3.0552392170206E-2</v>
      </c>
      <c r="E184" s="209"/>
      <c r="F184" s="207">
        <v>588213</v>
      </c>
      <c r="G184" s="208">
        <f t="shared" si="93"/>
        <v>-5.5237357935381093E-2</v>
      </c>
      <c r="H184" s="222"/>
      <c r="I184" s="208"/>
      <c r="J184" s="222">
        <v>100382</v>
      </c>
      <c r="K184" s="208">
        <f t="shared" ref="K184:Y201" si="99">J184/J172-1</f>
        <v>2.2626093866199515E-2</v>
      </c>
      <c r="L184" s="222">
        <v>128753</v>
      </c>
      <c r="M184" s="208">
        <f t="shared" si="99"/>
        <v>4.431095682022157E-3</v>
      </c>
      <c r="N184" s="222">
        <v>154561</v>
      </c>
      <c r="O184" s="208">
        <f t="shared" si="99"/>
        <v>4.6013183362434207E-2</v>
      </c>
      <c r="P184" s="222">
        <v>293481</v>
      </c>
      <c r="Q184" s="208">
        <f t="shared" si="99"/>
        <v>0.30985557182133028</v>
      </c>
      <c r="R184" s="223">
        <v>67685</v>
      </c>
      <c r="S184" s="208">
        <f t="shared" si="99"/>
        <v>-6.6091755777854422E-2</v>
      </c>
      <c r="T184" s="222">
        <v>50633</v>
      </c>
      <c r="U184" s="208">
        <f t="shared" si="99"/>
        <v>-2.8586228728200602E-2</v>
      </c>
      <c r="V184" s="222">
        <v>1444</v>
      </c>
      <c r="W184" s="208">
        <f t="shared" si="99"/>
        <v>-0.17814456459874783</v>
      </c>
      <c r="X184" s="223">
        <v>122869</v>
      </c>
      <c r="Y184" s="208">
        <f t="shared" si="99"/>
        <v>-2.1611205338302186E-2</v>
      </c>
      <c r="Z184" s="217"/>
      <c r="AA184" s="189"/>
      <c r="AB184" s="222">
        <v>27676</v>
      </c>
      <c r="AC184" s="208">
        <f t="shared" si="98"/>
        <v>-0.12625098658247824</v>
      </c>
      <c r="AD184" s="222">
        <v>52851</v>
      </c>
      <c r="AE184" s="208">
        <f t="shared" si="98"/>
        <v>0.24264654017069898</v>
      </c>
      <c r="AF184" s="222">
        <v>4400</v>
      </c>
      <c r="AG184" s="208">
        <f t="shared" si="98"/>
        <v>0.12820512820512819</v>
      </c>
      <c r="AH184" s="222">
        <v>14001</v>
      </c>
      <c r="AI184" s="208">
        <f t="shared" si="98"/>
        <v>0.47425502790354845</v>
      </c>
      <c r="AJ184" s="224"/>
      <c r="AK184" s="246"/>
      <c r="AL184" s="222">
        <v>4098</v>
      </c>
      <c r="AM184" s="208">
        <f t="shared" si="96"/>
        <v>-4.8746518105849623E-2</v>
      </c>
      <c r="AN184" s="222">
        <v>9218</v>
      </c>
      <c r="AO184" s="189"/>
      <c r="AP184" s="262"/>
      <c r="AQ184" s="263"/>
      <c r="AR184" s="211"/>
      <c r="AS184" s="196"/>
      <c r="AT184" s="222"/>
      <c r="AU184" s="208"/>
      <c r="AV184" s="190"/>
      <c r="AW184" s="208"/>
      <c r="AX184" s="217"/>
      <c r="AY184" s="189"/>
      <c r="AZ184" s="222"/>
      <c r="BA184" s="208"/>
      <c r="BB184" s="222"/>
      <c r="BC184" s="208"/>
      <c r="BD184" s="253"/>
      <c r="BE184" s="253"/>
      <c r="BF184" s="253"/>
      <c r="BG184" s="253"/>
      <c r="BH184" s="253"/>
      <c r="BI184" s="253"/>
      <c r="BJ184" s="253"/>
      <c r="BK184" s="253"/>
      <c r="BL184" s="253"/>
      <c r="BM184" s="253"/>
      <c r="BN184" s="253"/>
      <c r="BO184" s="253"/>
      <c r="BP184" s="253"/>
    </row>
    <row r="185" spans="1:68" s="220" customFormat="1" ht="15.6">
      <c r="A185" s="256"/>
      <c r="B185" s="257" t="s">
        <v>100</v>
      </c>
      <c r="C185" s="258">
        <v>2495279</v>
      </c>
      <c r="D185" s="252">
        <f t="shared" si="97"/>
        <v>3.7563068049042414E-2</v>
      </c>
      <c r="E185" s="209"/>
      <c r="F185" s="227">
        <v>681566</v>
      </c>
      <c r="G185" s="252">
        <f t="shared" si="93"/>
        <v>3.9195469174626574E-3</v>
      </c>
      <c r="H185" s="259"/>
      <c r="I185" s="252"/>
      <c r="J185" s="259">
        <v>109266</v>
      </c>
      <c r="K185" s="252">
        <f t="shared" si="99"/>
        <v>-3.8498429264085976E-2</v>
      </c>
      <c r="L185" s="259">
        <v>136800</v>
      </c>
      <c r="M185" s="252">
        <f t="shared" si="99"/>
        <v>3.7165082108902237E-2</v>
      </c>
      <c r="N185" s="259">
        <v>175359</v>
      </c>
      <c r="O185" s="252">
        <f t="shared" si="99"/>
        <v>8.6170693788054198E-2</v>
      </c>
      <c r="P185" s="259">
        <v>324545</v>
      </c>
      <c r="Q185" s="252">
        <f t="shared" si="99"/>
        <v>0.26229546453422126</v>
      </c>
      <c r="R185" s="251">
        <v>77216</v>
      </c>
      <c r="S185" s="252">
        <f t="shared" si="99"/>
        <v>9.722456281355818E-4</v>
      </c>
      <c r="T185" s="259">
        <v>42222</v>
      </c>
      <c r="U185" s="252">
        <f t="shared" si="99"/>
        <v>-2.9022169073682269E-2</v>
      </c>
      <c r="V185" s="259">
        <v>1311</v>
      </c>
      <c r="W185" s="252">
        <f t="shared" si="99"/>
        <v>-0.11538461538461542</v>
      </c>
      <c r="X185" s="251">
        <v>169228</v>
      </c>
      <c r="Y185" s="252">
        <f t="shared" si="99"/>
        <v>0.12745757743325981</v>
      </c>
      <c r="Z185" s="229"/>
      <c r="AA185" s="192"/>
      <c r="AB185" s="259">
        <v>30020</v>
      </c>
      <c r="AC185" s="252">
        <f t="shared" si="98"/>
        <v>0.20907003906721977</v>
      </c>
      <c r="AD185" s="259">
        <v>53174</v>
      </c>
      <c r="AE185" s="252">
        <f t="shared" si="98"/>
        <v>4.1891997805470593E-2</v>
      </c>
      <c r="AF185" s="259">
        <v>2300</v>
      </c>
      <c r="AG185" s="252">
        <f t="shared" si="98"/>
        <v>0.21052631578947367</v>
      </c>
      <c r="AH185" s="259">
        <v>12663</v>
      </c>
      <c r="AI185" s="252">
        <f t="shared" si="98"/>
        <v>0.34213036565977739</v>
      </c>
      <c r="AJ185" s="228"/>
      <c r="AK185" s="260"/>
      <c r="AL185" s="259">
        <v>3343</v>
      </c>
      <c r="AM185" s="252">
        <f t="shared" si="96"/>
        <v>-6.957973838018372E-2</v>
      </c>
      <c r="AN185" s="259">
        <v>9941</v>
      </c>
      <c r="AO185" s="192"/>
      <c r="AP185" s="266"/>
      <c r="AQ185" s="267"/>
      <c r="AR185" s="261"/>
      <c r="AS185" s="204"/>
      <c r="AT185" s="259"/>
      <c r="AU185" s="252"/>
      <c r="AV185" s="194"/>
      <c r="AW185" s="252"/>
      <c r="AX185" s="229"/>
      <c r="AY185" s="192"/>
      <c r="AZ185" s="259"/>
      <c r="BA185" s="252"/>
      <c r="BB185" s="259"/>
      <c r="BC185" s="252"/>
      <c r="BD185" s="253"/>
      <c r="BE185" s="253"/>
      <c r="BF185" s="253"/>
      <c r="BG185" s="253"/>
      <c r="BH185" s="253"/>
      <c r="BI185" s="253"/>
      <c r="BJ185" s="253"/>
      <c r="BK185" s="253"/>
      <c r="BL185" s="253"/>
      <c r="BM185" s="253"/>
      <c r="BN185" s="253"/>
      <c r="BO185" s="253"/>
      <c r="BP185" s="253"/>
    </row>
    <row r="186" spans="1:68" s="220" customFormat="1" ht="15.6">
      <c r="A186" s="206" t="s">
        <v>101</v>
      </c>
      <c r="B186" s="225" t="s">
        <v>96</v>
      </c>
      <c r="C186" s="245">
        <v>2912331</v>
      </c>
      <c r="D186" s="208">
        <f t="shared" si="97"/>
        <v>1.588925554105991E-2</v>
      </c>
      <c r="E186" s="209"/>
      <c r="F186" s="207">
        <v>779383</v>
      </c>
      <c r="G186" s="208">
        <f t="shared" si="93"/>
        <v>-3.0396259840560491E-2</v>
      </c>
      <c r="H186" s="222"/>
      <c r="I186" s="208"/>
      <c r="J186" s="222">
        <v>116976</v>
      </c>
      <c r="K186" s="208">
        <f t="shared" si="99"/>
        <v>-9.569788566348425E-2</v>
      </c>
      <c r="L186" s="222">
        <v>161115</v>
      </c>
      <c r="M186" s="236">
        <f t="shared" si="99"/>
        <v>-4.1849041343546278E-2</v>
      </c>
      <c r="N186" s="222">
        <v>208158</v>
      </c>
      <c r="O186" s="208">
        <f t="shared" si="99"/>
        <v>5.3297912713472506E-2</v>
      </c>
      <c r="P186" s="222">
        <v>388977</v>
      </c>
      <c r="Q186" s="208">
        <f t="shared" si="99"/>
        <v>0.22971793850414457</v>
      </c>
      <c r="R186" s="223">
        <v>99463</v>
      </c>
      <c r="S186" s="208">
        <f t="shared" si="99"/>
        <v>1.637015767261718E-2</v>
      </c>
      <c r="T186" s="222">
        <v>72659</v>
      </c>
      <c r="U186" s="208">
        <f t="shared" si="99"/>
        <v>-3.7654631665386296E-2</v>
      </c>
      <c r="V186" s="222">
        <v>2140</v>
      </c>
      <c r="W186" s="208">
        <f t="shared" si="99"/>
        <v>-0.1415964701163257</v>
      </c>
      <c r="X186" s="223"/>
      <c r="Y186" s="208"/>
      <c r="Z186" s="223"/>
      <c r="AA186" s="208"/>
      <c r="AB186" s="222">
        <v>33588</v>
      </c>
      <c r="AC186" s="208">
        <f t="shared" si="98"/>
        <v>4.0355125100888234E-3</v>
      </c>
      <c r="AD186" s="222">
        <v>74964</v>
      </c>
      <c r="AE186" s="208">
        <f t="shared" si="98"/>
        <v>9.2435260343043613E-2</v>
      </c>
      <c r="AF186" s="222"/>
      <c r="AG186" s="208"/>
      <c r="AH186" s="222">
        <v>16661</v>
      </c>
      <c r="AI186" s="236">
        <f t="shared" si="98"/>
        <v>0.42951522951522958</v>
      </c>
      <c r="AJ186" s="224">
        <v>8084</v>
      </c>
      <c r="AK186" s="241">
        <f>(AJ186/AJ174-1)</f>
        <v>4.7964739434793957E-2</v>
      </c>
      <c r="AL186" s="222">
        <v>3069</v>
      </c>
      <c r="AM186" s="208">
        <f t="shared" si="96"/>
        <v>2.7108433734939652E-2</v>
      </c>
      <c r="AN186" s="222">
        <v>14435</v>
      </c>
      <c r="AO186" s="236">
        <f>AN186/AN174-1</f>
        <v>0.68024676987545107</v>
      </c>
      <c r="AP186" s="262"/>
      <c r="AQ186" s="263"/>
      <c r="AR186" s="211"/>
      <c r="AS186" s="196"/>
      <c r="AT186" s="222"/>
      <c r="AU186" s="208"/>
      <c r="AV186" s="190"/>
      <c r="AW186" s="208"/>
      <c r="AX186" s="268"/>
      <c r="AY186" s="269"/>
      <c r="AZ186" s="222"/>
      <c r="BA186" s="208"/>
      <c r="BB186" s="222"/>
      <c r="BC186" s="208"/>
      <c r="BD186" s="253"/>
      <c r="BE186" s="253"/>
      <c r="BF186" s="253"/>
      <c r="BG186" s="253"/>
      <c r="BH186" s="253"/>
      <c r="BI186" s="253"/>
      <c r="BJ186" s="253"/>
      <c r="BK186" s="253"/>
      <c r="BL186" s="253"/>
      <c r="BM186" s="253"/>
      <c r="BN186" s="253"/>
      <c r="BO186" s="253"/>
      <c r="BP186" s="253"/>
    </row>
    <row r="187" spans="1:68" s="220" customFormat="1" ht="15.6">
      <c r="A187" s="206"/>
      <c r="B187" s="225" t="s">
        <v>77</v>
      </c>
      <c r="C187" s="245">
        <v>2617946</v>
      </c>
      <c r="D187" s="208">
        <f t="shared" si="97"/>
        <v>0.13281514697692653</v>
      </c>
      <c r="E187" s="209"/>
      <c r="F187" s="207">
        <v>715804</v>
      </c>
      <c r="G187" s="208">
        <f t="shared" si="93"/>
        <v>1.0568699369492229E-2</v>
      </c>
      <c r="H187" s="222"/>
      <c r="I187" s="208"/>
      <c r="J187" s="222">
        <v>114425</v>
      </c>
      <c r="K187" s="208">
        <f t="shared" si="99"/>
        <v>0.23682646057396095</v>
      </c>
      <c r="L187" s="222">
        <v>143804</v>
      </c>
      <c r="M187" s="208">
        <f t="shared" si="99"/>
        <v>0.17231203176078336</v>
      </c>
      <c r="N187" s="222">
        <v>184406</v>
      </c>
      <c r="O187" s="208">
        <f t="shared" si="99"/>
        <v>0.151472388041062</v>
      </c>
      <c r="P187" s="222">
        <v>383205</v>
      </c>
      <c r="Q187" s="208">
        <f t="shared" si="99"/>
        <v>0.26307306413176401</v>
      </c>
      <c r="R187" s="223">
        <v>86179</v>
      </c>
      <c r="S187" s="208">
        <f t="shared" si="99"/>
        <v>0.20306283416860937</v>
      </c>
      <c r="T187" s="222">
        <v>62238</v>
      </c>
      <c r="U187" s="208">
        <f t="shared" si="99"/>
        <v>0.17074547130415163</v>
      </c>
      <c r="V187" s="222">
        <v>1606</v>
      </c>
      <c r="W187" s="208">
        <f t="shared" si="99"/>
        <v>0.18175128771155258</v>
      </c>
      <c r="X187" s="223"/>
      <c r="Y187" s="208"/>
      <c r="Z187" s="223"/>
      <c r="AA187" s="208"/>
      <c r="AB187" s="222">
        <v>31814</v>
      </c>
      <c r="AC187" s="208">
        <f t="shared" si="98"/>
        <v>8.3546200742481425E-2</v>
      </c>
      <c r="AD187" s="222">
        <v>64366</v>
      </c>
      <c r="AE187" s="208">
        <f t="shared" si="98"/>
        <v>0.14781461205128665</v>
      </c>
      <c r="AF187" s="222"/>
      <c r="AG187" s="208"/>
      <c r="AH187" s="222">
        <v>15147</v>
      </c>
      <c r="AI187" s="208">
        <f t="shared" si="98"/>
        <v>0.61155442068305144</v>
      </c>
      <c r="AJ187" s="224"/>
      <c r="AK187" s="246"/>
      <c r="AL187" s="222">
        <v>2582</v>
      </c>
      <c r="AM187" s="208">
        <f t="shared" si="96"/>
        <v>0.24254090471607315</v>
      </c>
      <c r="AN187" s="222">
        <v>12266</v>
      </c>
      <c r="AO187" s="208">
        <f>AN187/AN175-1</f>
        <v>1.2241160471441521</v>
      </c>
      <c r="AP187" s="262"/>
      <c r="AQ187" s="263"/>
      <c r="AR187" s="211"/>
      <c r="AS187" s="196"/>
      <c r="AT187" s="222"/>
      <c r="AU187" s="208"/>
      <c r="AV187" s="190"/>
      <c r="AW187" s="208"/>
      <c r="AX187" s="268"/>
      <c r="AY187" s="269"/>
      <c r="AZ187" s="222"/>
      <c r="BA187" s="208"/>
      <c r="BB187" s="222"/>
      <c r="BC187" s="208"/>
      <c r="BD187" s="253"/>
      <c r="BE187" s="253"/>
      <c r="BF187" s="253"/>
      <c r="BG187" s="253"/>
      <c r="BH187" s="253"/>
      <c r="BI187" s="253"/>
      <c r="BJ187" s="253"/>
      <c r="BK187" s="253"/>
      <c r="BL187" s="253"/>
      <c r="BM187" s="253"/>
      <c r="BN187" s="253"/>
      <c r="BO187" s="253"/>
      <c r="BP187" s="253"/>
    </row>
    <row r="188" spans="1:68" s="265" customFormat="1" ht="15.6">
      <c r="A188" s="206"/>
      <c r="B188" s="225" t="s">
        <v>86</v>
      </c>
      <c r="C188" s="245">
        <v>2334153</v>
      </c>
      <c r="D188" s="208">
        <f t="shared" si="97"/>
        <v>3.6220042484900627E-2</v>
      </c>
      <c r="E188" s="209"/>
      <c r="F188" s="207">
        <v>585586</v>
      </c>
      <c r="G188" s="208">
        <f t="shared" si="93"/>
        <v>-5.4280066408697758E-2</v>
      </c>
      <c r="H188" s="222"/>
      <c r="I188" s="208"/>
      <c r="J188" s="222">
        <v>94907</v>
      </c>
      <c r="K188" s="208">
        <f t="shared" si="99"/>
        <v>0.21067200734768865</v>
      </c>
      <c r="L188" s="222">
        <v>136225</v>
      </c>
      <c r="M188" s="208">
        <f t="shared" si="99"/>
        <v>7.0437918922529263E-2</v>
      </c>
      <c r="N188" s="222">
        <v>144524</v>
      </c>
      <c r="O188" s="208">
        <f t="shared" si="99"/>
        <v>6.1262565787640888E-3</v>
      </c>
      <c r="P188" s="222">
        <v>335612</v>
      </c>
      <c r="Q188" s="208">
        <f t="shared" si="99"/>
        <v>0.23044321502289589</v>
      </c>
      <c r="R188" s="223">
        <v>76409</v>
      </c>
      <c r="S188" s="208">
        <f t="shared" si="99"/>
        <v>8.2510448395551439E-2</v>
      </c>
      <c r="T188" s="222">
        <v>47168</v>
      </c>
      <c r="U188" s="208">
        <f t="shared" si="99"/>
        <v>-3.987623913530236E-2</v>
      </c>
      <c r="V188" s="222">
        <v>1214</v>
      </c>
      <c r="W188" s="208">
        <f t="shared" si="99"/>
        <v>-0.1316165951359084</v>
      </c>
      <c r="X188" s="223"/>
      <c r="Y188" s="208"/>
      <c r="Z188" s="223"/>
      <c r="AA188" s="208"/>
      <c r="AB188" s="222">
        <v>26954</v>
      </c>
      <c r="AC188" s="208">
        <f t="shared" si="98"/>
        <v>6.4702164638963611E-2</v>
      </c>
      <c r="AD188" s="222">
        <v>47497</v>
      </c>
      <c r="AE188" s="208">
        <f t="shared" si="98"/>
        <v>0.12121712855861388</v>
      </c>
      <c r="AF188" s="222"/>
      <c r="AG188" s="208"/>
      <c r="AH188" s="222">
        <v>16326</v>
      </c>
      <c r="AI188" s="208">
        <f t="shared" si="98"/>
        <v>0.44785384888258251</v>
      </c>
      <c r="AJ188" s="224"/>
      <c r="AK188" s="246"/>
      <c r="AL188" s="222">
        <v>2505</v>
      </c>
      <c r="AM188" s="208">
        <f t="shared" si="96"/>
        <v>-5.9331580923770222E-2</v>
      </c>
      <c r="AN188" s="222">
        <v>10947</v>
      </c>
      <c r="AO188" s="208">
        <f>AN188/AN176-1</f>
        <v>0.90448851774530281</v>
      </c>
      <c r="AP188" s="262"/>
      <c r="AQ188" s="263"/>
      <c r="AR188" s="211"/>
      <c r="AS188" s="196"/>
      <c r="AT188" s="222"/>
      <c r="AU188" s="208"/>
      <c r="AV188" s="190"/>
      <c r="AW188" s="208"/>
      <c r="AX188" s="268"/>
      <c r="AY188" s="269"/>
      <c r="AZ188" s="222"/>
      <c r="BA188" s="208"/>
      <c r="BB188" s="222"/>
      <c r="BC188" s="208"/>
      <c r="BD188" s="264"/>
      <c r="BE188" s="264"/>
      <c r="BF188" s="264"/>
      <c r="BG188" s="264"/>
      <c r="BH188" s="264"/>
      <c r="BI188" s="264"/>
      <c r="BJ188" s="264"/>
      <c r="BK188" s="264"/>
      <c r="BL188" s="264"/>
      <c r="BM188" s="264"/>
      <c r="BN188" s="264"/>
      <c r="BO188" s="264"/>
      <c r="BP188" s="264"/>
    </row>
    <row r="189" spans="1:68" s="265" customFormat="1" ht="15.6">
      <c r="A189" s="206"/>
      <c r="B189" s="225" t="s">
        <v>46</v>
      </c>
      <c r="C189" s="245">
        <v>2246417</v>
      </c>
      <c r="D189" s="208">
        <f t="shared" si="97"/>
        <v>7.2715451529010711E-3</v>
      </c>
      <c r="E189" s="209"/>
      <c r="F189" s="207">
        <v>566624</v>
      </c>
      <c r="G189" s="208">
        <f t="shared" si="93"/>
        <v>-0.11260205192295347</v>
      </c>
      <c r="H189" s="222"/>
      <c r="I189" s="208"/>
      <c r="J189" s="222">
        <v>80214</v>
      </c>
      <c r="K189" s="208">
        <f t="shared" si="99"/>
        <v>0.20522875816993458</v>
      </c>
      <c r="L189" s="222">
        <v>97710</v>
      </c>
      <c r="M189" s="208">
        <f t="shared" si="99"/>
        <v>-8.2759138614047267E-2</v>
      </c>
      <c r="N189" s="222">
        <v>118145</v>
      </c>
      <c r="O189" s="208">
        <f t="shared" si="99"/>
        <v>1.963407266764472E-2</v>
      </c>
      <c r="P189" s="222">
        <v>338085</v>
      </c>
      <c r="Q189" s="208">
        <f t="shared" si="99"/>
        <v>0.20150327842635529</v>
      </c>
      <c r="R189" s="223">
        <v>61573</v>
      </c>
      <c r="S189" s="208">
        <f t="shared" si="99"/>
        <v>7.6424573691618036E-3</v>
      </c>
      <c r="T189" s="222">
        <v>39464</v>
      </c>
      <c r="U189" s="208">
        <f t="shared" si="99"/>
        <v>-0.11416386083052754</v>
      </c>
      <c r="V189" s="222">
        <v>677</v>
      </c>
      <c r="W189" s="208">
        <f t="shared" si="99"/>
        <v>-0.17939393939393944</v>
      </c>
      <c r="X189" s="223"/>
      <c r="Y189" s="208"/>
      <c r="Z189" s="223"/>
      <c r="AA189" s="208"/>
      <c r="AB189" s="222">
        <v>26605</v>
      </c>
      <c r="AC189" s="208">
        <f t="shared" si="98"/>
        <v>1.0912101143889519E-3</v>
      </c>
      <c r="AD189" s="222">
        <v>39966</v>
      </c>
      <c r="AE189" s="208">
        <f t="shared" si="98"/>
        <v>8.9466797513902518E-2</v>
      </c>
      <c r="AF189" s="222"/>
      <c r="AG189" s="208"/>
      <c r="AH189" s="222">
        <v>16641</v>
      </c>
      <c r="AI189" s="208">
        <f t="shared" si="98"/>
        <v>0.2266696152145069</v>
      </c>
      <c r="AJ189" s="224">
        <v>21797</v>
      </c>
      <c r="AK189" s="246">
        <f>(AJ189/AJ177-1)</f>
        <v>7.2106635187644486E-2</v>
      </c>
      <c r="AL189" s="222">
        <v>3103</v>
      </c>
      <c r="AM189" s="208">
        <f t="shared" si="96"/>
        <v>3.1582446808510634E-2</v>
      </c>
      <c r="AN189" s="222">
        <v>7596</v>
      </c>
      <c r="AO189" s="208">
        <f t="shared" ref="AO189:AO191" si="100">AN189/AN177-1</f>
        <v>0.8788028691565668</v>
      </c>
      <c r="AP189" s="262"/>
      <c r="AQ189" s="263"/>
      <c r="AR189" s="211"/>
      <c r="AS189" s="196"/>
      <c r="AT189" s="222"/>
      <c r="AU189" s="208"/>
      <c r="AV189" s="190"/>
      <c r="AW189" s="208"/>
      <c r="AX189" s="268"/>
      <c r="AY189" s="269"/>
      <c r="AZ189" s="222"/>
      <c r="BA189" s="208"/>
      <c r="BB189" s="222"/>
      <c r="BC189" s="208"/>
      <c r="BD189" s="264"/>
      <c r="BE189" s="264"/>
      <c r="BF189" s="264"/>
      <c r="BG189" s="264"/>
      <c r="BH189" s="264"/>
      <c r="BI189" s="264"/>
      <c r="BJ189" s="264"/>
      <c r="BK189" s="264"/>
      <c r="BL189" s="264"/>
      <c r="BM189" s="264"/>
      <c r="BN189" s="264"/>
      <c r="BO189" s="264"/>
      <c r="BP189" s="264"/>
    </row>
    <row r="190" spans="1:68" s="265" customFormat="1" ht="15.6">
      <c r="A190" s="206"/>
      <c r="B190" s="225" t="s">
        <v>47</v>
      </c>
      <c r="C190" s="245">
        <v>2401204</v>
      </c>
      <c r="D190" s="208">
        <f t="shared" si="97"/>
        <v>2.9867921331809377E-2</v>
      </c>
      <c r="E190" s="209"/>
      <c r="F190" s="207">
        <v>603400</v>
      </c>
      <c r="G190" s="208">
        <f t="shared" si="93"/>
        <v>-5.7710176386535639E-2</v>
      </c>
      <c r="H190" s="222"/>
      <c r="I190" s="208"/>
      <c r="J190" s="222">
        <v>80273</v>
      </c>
      <c r="K190" s="208">
        <f t="shared" si="99"/>
        <v>5.0845016952702604E-2</v>
      </c>
      <c r="L190" s="222">
        <v>106017</v>
      </c>
      <c r="M190" s="208">
        <f t="shared" si="99"/>
        <v>-5.1200128872899153E-2</v>
      </c>
      <c r="N190" s="222">
        <v>111911</v>
      </c>
      <c r="O190" s="208">
        <f t="shared" si="99"/>
        <v>-8.781096149457146E-2</v>
      </c>
      <c r="P190" s="222">
        <v>318326</v>
      </c>
      <c r="Q190" s="208">
        <f t="shared" si="99"/>
        <v>0.18818703365695066</v>
      </c>
      <c r="R190" s="223">
        <v>65763</v>
      </c>
      <c r="S190" s="208">
        <f t="shared" si="99"/>
        <v>1.204986149584486E-2</v>
      </c>
      <c r="T190" s="222">
        <v>43456</v>
      </c>
      <c r="U190" s="208">
        <f t="shared" si="99"/>
        <v>-6.9863013698630128E-2</v>
      </c>
      <c r="V190" s="222">
        <v>334</v>
      </c>
      <c r="W190" s="208">
        <f t="shared" si="99"/>
        <v>-0.62556053811659185</v>
      </c>
      <c r="X190" s="223"/>
      <c r="Y190" s="208"/>
      <c r="Z190" s="223"/>
      <c r="AA190" s="208"/>
      <c r="AB190" s="222">
        <v>26823</v>
      </c>
      <c r="AC190" s="208">
        <f t="shared" si="98"/>
        <v>-6.8192871534773825E-2</v>
      </c>
      <c r="AD190" s="222">
        <v>43894</v>
      </c>
      <c r="AE190" s="208">
        <f t="shared" si="98"/>
        <v>4.946802151823082E-2</v>
      </c>
      <c r="AF190" s="222"/>
      <c r="AG190" s="208"/>
      <c r="AH190" s="222">
        <v>19091</v>
      </c>
      <c r="AI190" s="208">
        <f t="shared" si="98"/>
        <v>0.43411959134615374</v>
      </c>
      <c r="AJ190" s="224"/>
      <c r="AK190" s="246"/>
      <c r="AL190" s="222">
        <v>2875</v>
      </c>
      <c r="AM190" s="208">
        <f t="shared" si="96"/>
        <v>8.6135247449943275E-2</v>
      </c>
      <c r="AN190" s="222">
        <v>6789</v>
      </c>
      <c r="AO190" s="208">
        <f t="shared" si="100"/>
        <v>0.61989978525411593</v>
      </c>
      <c r="AP190" s="262"/>
      <c r="AQ190" s="263"/>
      <c r="AR190" s="211"/>
      <c r="AS190" s="196"/>
      <c r="AT190" s="222"/>
      <c r="AU190" s="208"/>
      <c r="AV190" s="190"/>
      <c r="AW190" s="208"/>
      <c r="AX190" s="268"/>
      <c r="AY190" s="269"/>
      <c r="AZ190" s="222"/>
      <c r="BA190" s="208"/>
      <c r="BB190" s="222"/>
      <c r="BC190" s="208"/>
      <c r="BD190" s="264"/>
      <c r="BE190" s="264"/>
      <c r="BF190" s="264"/>
      <c r="BG190" s="264"/>
      <c r="BH190" s="264"/>
      <c r="BI190" s="264"/>
      <c r="BJ190" s="264"/>
      <c r="BK190" s="264"/>
      <c r="BL190" s="264"/>
      <c r="BM190" s="264"/>
      <c r="BN190" s="264"/>
      <c r="BO190" s="264"/>
      <c r="BP190" s="264"/>
    </row>
    <row r="191" spans="1:68" s="220" customFormat="1" ht="16.2" thickBot="1">
      <c r="A191" s="206"/>
      <c r="B191" s="225" t="s">
        <v>91</v>
      </c>
      <c r="C191" s="245">
        <v>2495798</v>
      </c>
      <c r="D191" s="208">
        <f t="shared" si="97"/>
        <v>7.3929877374476538E-2</v>
      </c>
      <c r="E191" s="209"/>
      <c r="F191" s="207">
        <v>611900</v>
      </c>
      <c r="G191" s="208">
        <f t="shared" si="93"/>
        <v>9.4661163187399477E-3</v>
      </c>
      <c r="H191" s="222"/>
      <c r="I191" s="208"/>
      <c r="J191" s="222">
        <v>68770</v>
      </c>
      <c r="K191" s="208">
        <f t="shared" si="99"/>
        <v>6.72605375876838E-2</v>
      </c>
      <c r="L191" s="222"/>
      <c r="M191" s="208"/>
      <c r="N191" s="222">
        <v>140243</v>
      </c>
      <c r="O191" s="208">
        <f t="shared" si="99"/>
        <v>-9.317472202992283E-3</v>
      </c>
      <c r="P191" s="222">
        <v>314397</v>
      </c>
      <c r="Q191" s="208">
        <f t="shared" si="99"/>
        <v>0.15651761278361431</v>
      </c>
      <c r="R191" s="223">
        <v>60753</v>
      </c>
      <c r="S191" s="208">
        <f t="shared" si="99"/>
        <v>5.1326422897883583E-2</v>
      </c>
      <c r="T191" s="222"/>
      <c r="U191" s="208"/>
      <c r="V191" s="222">
        <v>623</v>
      </c>
      <c r="W191" s="208">
        <f t="shared" si="99"/>
        <v>-0.35306334371754933</v>
      </c>
      <c r="X191" s="223"/>
      <c r="Y191" s="208"/>
      <c r="Z191" s="223"/>
      <c r="AA191" s="208"/>
      <c r="AB191" s="222"/>
      <c r="AC191" s="208"/>
      <c r="AD191" s="222"/>
      <c r="AE191" s="208"/>
      <c r="AF191" s="222"/>
      <c r="AG191" s="208"/>
      <c r="AH191" s="222"/>
      <c r="AI191" s="208"/>
      <c r="AJ191" s="224"/>
      <c r="AK191" s="246"/>
      <c r="AL191" s="222">
        <v>3224</v>
      </c>
      <c r="AM191" s="208">
        <f t="shared" si="96"/>
        <v>0.27380482022915853</v>
      </c>
      <c r="AN191" s="222">
        <v>7535</v>
      </c>
      <c r="AO191" s="208">
        <f t="shared" si="100"/>
        <v>0.77085781433607514</v>
      </c>
      <c r="AP191" s="262"/>
      <c r="AQ191" s="263"/>
      <c r="AR191" s="211"/>
      <c r="AS191" s="196"/>
      <c r="AT191" s="222"/>
      <c r="AU191" s="208"/>
      <c r="AV191" s="190"/>
      <c r="AW191" s="208"/>
      <c r="AX191" s="268"/>
      <c r="AY191" s="269"/>
      <c r="AZ191" s="222"/>
      <c r="BA191" s="208"/>
      <c r="BB191" s="222"/>
      <c r="BC191" s="208"/>
      <c r="BD191" s="253"/>
      <c r="BE191" s="253"/>
      <c r="BF191" s="253"/>
      <c r="BG191" s="253"/>
      <c r="BH191" s="253"/>
      <c r="BI191" s="253"/>
      <c r="BJ191" s="253"/>
      <c r="BK191" s="253"/>
      <c r="BL191" s="253"/>
      <c r="BM191" s="253"/>
      <c r="BN191" s="253"/>
      <c r="BO191" s="253"/>
      <c r="BP191" s="253"/>
    </row>
    <row r="192" spans="1:68" s="220" customFormat="1" ht="16.2" hidden="1" thickBot="1">
      <c r="A192" s="206"/>
      <c r="B192" s="225" t="s">
        <v>97</v>
      </c>
      <c r="C192" s="245"/>
      <c r="D192" s="208"/>
      <c r="E192" s="209"/>
      <c r="F192" s="207"/>
      <c r="G192" s="208"/>
      <c r="H192" s="222"/>
      <c r="I192" s="208"/>
      <c r="J192" s="222"/>
      <c r="K192" s="208"/>
      <c r="L192" s="222"/>
      <c r="M192" s="208">
        <f t="shared" si="99"/>
        <v>-1</v>
      </c>
      <c r="N192" s="222"/>
      <c r="O192" s="208"/>
      <c r="P192" s="222"/>
      <c r="Q192" s="208"/>
      <c r="R192" s="223"/>
      <c r="S192" s="208"/>
      <c r="T192" s="222"/>
      <c r="U192" s="208"/>
      <c r="V192" s="222"/>
      <c r="W192" s="208"/>
      <c r="X192" s="223"/>
      <c r="Y192" s="208"/>
      <c r="Z192" s="223"/>
      <c r="AA192" s="208"/>
      <c r="AB192" s="222"/>
      <c r="AC192" s="208"/>
      <c r="AD192" s="222"/>
      <c r="AE192" s="208"/>
      <c r="AF192" s="222"/>
      <c r="AG192" s="208"/>
      <c r="AH192" s="222"/>
      <c r="AI192" s="208"/>
      <c r="AJ192" s="224"/>
      <c r="AK192" s="246"/>
      <c r="AL192" s="222"/>
      <c r="AM192" s="208"/>
      <c r="AN192" s="222"/>
      <c r="AO192" s="208"/>
      <c r="AP192" s="262"/>
      <c r="AQ192" s="263"/>
      <c r="AR192" s="211"/>
      <c r="AS192" s="196"/>
      <c r="AT192" s="222"/>
      <c r="AU192" s="208"/>
      <c r="AV192" s="190"/>
      <c r="AW192" s="208"/>
      <c r="AX192" s="268"/>
      <c r="AY192" s="269"/>
      <c r="AZ192" s="222"/>
      <c r="BA192" s="208"/>
      <c r="BB192" s="222"/>
      <c r="BC192" s="208"/>
      <c r="BD192" s="253"/>
      <c r="BE192" s="253"/>
      <c r="BF192" s="253"/>
      <c r="BG192" s="253"/>
      <c r="BH192" s="253"/>
      <c r="BI192" s="253"/>
      <c r="BJ192" s="253"/>
      <c r="BK192" s="253"/>
      <c r="BL192" s="253"/>
      <c r="BM192" s="253"/>
      <c r="BN192" s="253"/>
      <c r="BO192" s="253"/>
      <c r="BP192" s="253"/>
    </row>
    <row r="193" spans="1:68" s="220" customFormat="1" ht="16.2" hidden="1" thickBot="1">
      <c r="A193" s="206"/>
      <c r="B193" s="225" t="s">
        <v>66</v>
      </c>
      <c r="C193" s="245"/>
      <c r="D193" s="208"/>
      <c r="E193" s="209"/>
      <c r="F193" s="207"/>
      <c r="G193" s="208"/>
      <c r="H193" s="222"/>
      <c r="I193" s="208"/>
      <c r="J193" s="222"/>
      <c r="K193" s="208"/>
      <c r="L193" s="222"/>
      <c r="M193" s="208">
        <f t="shared" si="99"/>
        <v>-1</v>
      </c>
      <c r="N193" s="222"/>
      <c r="O193" s="208"/>
      <c r="P193" s="222"/>
      <c r="Q193" s="208"/>
      <c r="R193" s="223"/>
      <c r="S193" s="208"/>
      <c r="T193" s="222"/>
      <c r="U193" s="208"/>
      <c r="V193" s="222"/>
      <c r="W193" s="208"/>
      <c r="X193" s="223"/>
      <c r="Y193" s="208"/>
      <c r="Z193" s="223"/>
      <c r="AA193" s="208"/>
      <c r="AB193" s="222"/>
      <c r="AC193" s="208"/>
      <c r="AD193" s="222"/>
      <c r="AE193" s="208"/>
      <c r="AF193" s="222"/>
      <c r="AG193" s="208"/>
      <c r="AH193" s="222"/>
      <c r="AI193" s="208"/>
      <c r="AJ193" s="224"/>
      <c r="AK193" s="246"/>
      <c r="AL193" s="222"/>
      <c r="AM193" s="208"/>
      <c r="AN193" s="222"/>
      <c r="AO193" s="208"/>
      <c r="AP193" s="262"/>
      <c r="AQ193" s="263"/>
      <c r="AR193" s="211"/>
      <c r="AS193" s="196"/>
      <c r="AT193" s="222"/>
      <c r="AU193" s="208"/>
      <c r="AV193" s="190"/>
      <c r="AW193" s="208"/>
      <c r="AX193" s="268"/>
      <c r="AY193" s="269"/>
      <c r="AZ193" s="222"/>
      <c r="BA193" s="208"/>
      <c r="BB193" s="222"/>
      <c r="BC193" s="208"/>
      <c r="BD193" s="253"/>
      <c r="BE193" s="253"/>
      <c r="BF193" s="253"/>
      <c r="BG193" s="253"/>
      <c r="BH193" s="253"/>
      <c r="BI193" s="253"/>
      <c r="BJ193" s="253"/>
      <c r="BK193" s="253"/>
      <c r="BL193" s="253"/>
      <c r="BM193" s="253"/>
      <c r="BN193" s="253"/>
      <c r="BO193" s="253"/>
      <c r="BP193" s="253"/>
    </row>
    <row r="194" spans="1:68" s="220" customFormat="1" ht="16.2" hidden="1" thickBot="1">
      <c r="A194" s="206"/>
      <c r="B194" s="225" t="s">
        <v>98</v>
      </c>
      <c r="C194" s="245"/>
      <c r="D194" s="208"/>
      <c r="E194" s="209"/>
      <c r="F194" s="207"/>
      <c r="G194" s="208"/>
      <c r="H194" s="222"/>
      <c r="I194" s="208"/>
      <c r="J194" s="222"/>
      <c r="K194" s="208"/>
      <c r="L194" s="222"/>
      <c r="M194" s="208">
        <f t="shared" si="99"/>
        <v>-1</v>
      </c>
      <c r="N194" s="222"/>
      <c r="O194" s="208"/>
      <c r="P194" s="222"/>
      <c r="Q194" s="208"/>
      <c r="R194" s="223"/>
      <c r="S194" s="208"/>
      <c r="T194" s="222"/>
      <c r="U194" s="208"/>
      <c r="V194" s="222"/>
      <c r="W194" s="208"/>
      <c r="X194" s="223"/>
      <c r="Y194" s="208"/>
      <c r="Z194" s="223"/>
      <c r="AA194" s="208"/>
      <c r="AB194" s="222"/>
      <c r="AC194" s="208"/>
      <c r="AD194" s="222"/>
      <c r="AE194" s="208"/>
      <c r="AF194" s="222"/>
      <c r="AG194" s="208"/>
      <c r="AH194" s="222"/>
      <c r="AI194" s="208"/>
      <c r="AJ194" s="224"/>
      <c r="AK194" s="246"/>
      <c r="AL194" s="222"/>
      <c r="AM194" s="208"/>
      <c r="AN194" s="222"/>
      <c r="AO194" s="208"/>
      <c r="AP194" s="262"/>
      <c r="AQ194" s="263"/>
      <c r="AR194" s="211"/>
      <c r="AS194" s="196"/>
      <c r="AT194" s="222"/>
      <c r="AU194" s="208"/>
      <c r="AV194" s="190"/>
      <c r="AW194" s="208"/>
      <c r="AX194" s="268"/>
      <c r="AY194" s="269"/>
      <c r="AZ194" s="222"/>
      <c r="BA194" s="208"/>
      <c r="BB194" s="222"/>
      <c r="BC194" s="208"/>
      <c r="BD194" s="253"/>
      <c r="BE194" s="253"/>
      <c r="BF194" s="253"/>
      <c r="BG194" s="253"/>
      <c r="BH194" s="253"/>
      <c r="BI194" s="253"/>
      <c r="BJ194" s="253"/>
      <c r="BK194" s="253"/>
      <c r="BL194" s="253"/>
      <c r="BM194" s="253"/>
      <c r="BN194" s="253"/>
      <c r="BO194" s="253"/>
      <c r="BP194" s="253"/>
    </row>
    <row r="195" spans="1:68" s="220" customFormat="1" ht="16.2" hidden="1" thickBot="1">
      <c r="A195" s="206"/>
      <c r="B195" s="225" t="s">
        <v>93</v>
      </c>
      <c r="C195" s="245"/>
      <c r="D195" s="208"/>
      <c r="E195" s="209"/>
      <c r="F195" s="207"/>
      <c r="G195" s="208"/>
      <c r="H195" s="222"/>
      <c r="I195" s="208"/>
      <c r="J195" s="222"/>
      <c r="K195" s="208"/>
      <c r="L195" s="222"/>
      <c r="M195" s="208">
        <f t="shared" si="99"/>
        <v>-1</v>
      </c>
      <c r="N195" s="222"/>
      <c r="O195" s="208"/>
      <c r="P195" s="222"/>
      <c r="Q195" s="208"/>
      <c r="R195" s="223"/>
      <c r="S195" s="208"/>
      <c r="T195" s="222"/>
      <c r="U195" s="208"/>
      <c r="V195" s="222"/>
      <c r="W195" s="208"/>
      <c r="X195" s="223"/>
      <c r="Y195" s="208"/>
      <c r="Z195" s="223"/>
      <c r="AA195" s="208"/>
      <c r="AB195" s="222"/>
      <c r="AC195" s="208"/>
      <c r="AD195" s="222"/>
      <c r="AE195" s="208"/>
      <c r="AF195" s="222"/>
      <c r="AG195" s="208"/>
      <c r="AH195" s="222"/>
      <c r="AI195" s="208"/>
      <c r="AJ195" s="224"/>
      <c r="AK195" s="246"/>
      <c r="AL195" s="222"/>
      <c r="AM195" s="208"/>
      <c r="AN195" s="222"/>
      <c r="AO195" s="208"/>
      <c r="AP195" s="262"/>
      <c r="AQ195" s="263"/>
      <c r="AR195" s="211"/>
      <c r="AS195" s="196"/>
      <c r="AT195" s="222"/>
      <c r="AU195" s="208"/>
      <c r="AV195" s="190"/>
      <c r="AW195" s="208"/>
      <c r="AX195" s="268"/>
      <c r="AY195" s="269"/>
      <c r="AZ195" s="222"/>
      <c r="BA195" s="208"/>
      <c r="BB195" s="222"/>
      <c r="BC195" s="208"/>
      <c r="BD195" s="253"/>
      <c r="BE195" s="253"/>
      <c r="BF195" s="253"/>
      <c r="BG195" s="253"/>
      <c r="BH195" s="253"/>
      <c r="BI195" s="253"/>
      <c r="BJ195" s="253"/>
      <c r="BK195" s="253"/>
      <c r="BL195" s="253"/>
      <c r="BM195" s="253"/>
      <c r="BN195" s="253"/>
      <c r="BO195" s="253"/>
      <c r="BP195" s="253"/>
    </row>
    <row r="196" spans="1:68" s="220" customFormat="1" ht="16.2" hidden="1" thickBot="1">
      <c r="A196" s="206"/>
      <c r="B196" s="225" t="s">
        <v>99</v>
      </c>
      <c r="C196" s="245"/>
      <c r="D196" s="208"/>
      <c r="E196" s="209"/>
      <c r="F196" s="207"/>
      <c r="G196" s="208"/>
      <c r="H196" s="222"/>
      <c r="I196" s="208"/>
      <c r="J196" s="222"/>
      <c r="K196" s="208"/>
      <c r="L196" s="222"/>
      <c r="M196" s="208">
        <f t="shared" si="99"/>
        <v>-1</v>
      </c>
      <c r="N196" s="222"/>
      <c r="O196" s="208"/>
      <c r="P196" s="222"/>
      <c r="Q196" s="208"/>
      <c r="R196" s="223"/>
      <c r="S196" s="208"/>
      <c r="T196" s="222"/>
      <c r="U196" s="208"/>
      <c r="V196" s="222"/>
      <c r="W196" s="208"/>
      <c r="X196" s="223"/>
      <c r="Y196" s="208"/>
      <c r="Z196" s="223"/>
      <c r="AA196" s="208"/>
      <c r="AB196" s="222"/>
      <c r="AC196" s="208"/>
      <c r="AD196" s="222"/>
      <c r="AE196" s="208"/>
      <c r="AF196" s="222"/>
      <c r="AG196" s="208"/>
      <c r="AH196" s="222"/>
      <c r="AI196" s="208"/>
      <c r="AJ196" s="224"/>
      <c r="AK196" s="246"/>
      <c r="AL196" s="222"/>
      <c r="AM196" s="208"/>
      <c r="AN196" s="222"/>
      <c r="AO196" s="208"/>
      <c r="AP196" s="262"/>
      <c r="AQ196" s="263"/>
      <c r="AR196" s="211"/>
      <c r="AS196" s="196"/>
      <c r="AT196" s="222"/>
      <c r="AU196" s="208"/>
      <c r="AV196" s="190"/>
      <c r="AW196" s="208"/>
      <c r="AX196" s="268"/>
      <c r="AY196" s="269"/>
      <c r="AZ196" s="222"/>
      <c r="BA196" s="208"/>
      <c r="BB196" s="222"/>
      <c r="BC196" s="208"/>
      <c r="BD196" s="253"/>
      <c r="BE196" s="253"/>
      <c r="BF196" s="253"/>
      <c r="BG196" s="253"/>
      <c r="BH196" s="253"/>
      <c r="BI196" s="253"/>
      <c r="BJ196" s="253"/>
      <c r="BK196" s="253"/>
      <c r="BL196" s="253"/>
      <c r="BM196" s="253"/>
      <c r="BN196" s="253"/>
      <c r="BO196" s="253"/>
      <c r="BP196" s="253"/>
    </row>
    <row r="197" spans="1:68" s="220" customFormat="1" ht="16.2" hidden="1" thickBot="1">
      <c r="A197" s="270"/>
      <c r="B197" s="225" t="s">
        <v>69</v>
      </c>
      <c r="C197" s="245"/>
      <c r="D197" s="208"/>
      <c r="E197" s="209"/>
      <c r="F197" s="207"/>
      <c r="G197" s="208"/>
      <c r="H197" s="222"/>
      <c r="I197" s="208"/>
      <c r="J197" s="222"/>
      <c r="K197" s="208"/>
      <c r="L197" s="222"/>
      <c r="M197" s="208">
        <f t="shared" si="99"/>
        <v>-1</v>
      </c>
      <c r="N197" s="222"/>
      <c r="O197" s="208"/>
      <c r="P197" s="222"/>
      <c r="Q197" s="208"/>
      <c r="R197" s="223"/>
      <c r="S197" s="208"/>
      <c r="T197" s="222"/>
      <c r="U197" s="208"/>
      <c r="V197" s="222"/>
      <c r="W197" s="208"/>
      <c r="X197" s="223"/>
      <c r="Y197" s="208"/>
      <c r="Z197" s="223"/>
      <c r="AA197" s="208"/>
      <c r="AB197" s="222"/>
      <c r="AC197" s="208"/>
      <c r="AD197" s="222"/>
      <c r="AE197" s="208"/>
      <c r="AF197" s="222"/>
      <c r="AG197" s="208"/>
      <c r="AH197" s="222"/>
      <c r="AI197" s="208"/>
      <c r="AJ197" s="271"/>
      <c r="AK197" s="260"/>
      <c r="AL197" s="222"/>
      <c r="AM197" s="208"/>
      <c r="AN197" s="222"/>
      <c r="AO197" s="208"/>
      <c r="AP197" s="262"/>
      <c r="AQ197" s="263"/>
      <c r="AR197" s="211"/>
      <c r="AS197" s="196"/>
      <c r="AT197" s="222"/>
      <c r="AU197" s="208"/>
      <c r="AV197" s="190"/>
      <c r="AW197" s="208"/>
      <c r="AX197" s="268"/>
      <c r="AY197" s="269"/>
      <c r="AZ197" s="222"/>
      <c r="BA197" s="208"/>
      <c r="BB197" s="222"/>
      <c r="BC197" s="208"/>
      <c r="BD197" s="253"/>
      <c r="BE197" s="253"/>
      <c r="BF197" s="253"/>
      <c r="BG197" s="253"/>
      <c r="BH197" s="253"/>
      <c r="BI197" s="253"/>
      <c r="BJ197" s="253"/>
      <c r="BK197" s="253"/>
      <c r="BL197" s="253"/>
      <c r="BM197" s="253"/>
      <c r="BN197" s="253"/>
      <c r="BO197" s="253"/>
      <c r="BP197" s="253"/>
    </row>
    <row r="198" spans="1:68" s="9" customFormat="1" ht="16.5" customHeight="1">
      <c r="A198" s="272" t="s">
        <v>102</v>
      </c>
      <c r="B198" s="273" t="s">
        <v>103</v>
      </c>
      <c r="C198" s="274">
        <v>5508242</v>
      </c>
      <c r="D198" s="275">
        <v>0.26900000000000002</v>
      </c>
      <c r="E198" s="14"/>
      <c r="F198" s="276">
        <v>1064390</v>
      </c>
      <c r="G198" s="277">
        <v>0.129</v>
      </c>
      <c r="H198" s="276">
        <v>1344721</v>
      </c>
      <c r="I198" s="278" t="s">
        <v>104</v>
      </c>
      <c r="J198" s="276">
        <v>83729</v>
      </c>
      <c r="K198" s="278" t="s">
        <v>104</v>
      </c>
      <c r="L198" s="279" t="s">
        <v>104</v>
      </c>
      <c r="M198" s="278" t="s">
        <v>104</v>
      </c>
      <c r="N198" s="276">
        <v>448207</v>
      </c>
      <c r="O198" s="278" t="s">
        <v>104</v>
      </c>
      <c r="P198" s="279" t="s">
        <v>104</v>
      </c>
      <c r="Q198" s="278" t="s">
        <v>104</v>
      </c>
      <c r="R198" s="279" t="s">
        <v>104</v>
      </c>
      <c r="S198" s="278" t="s">
        <v>104</v>
      </c>
      <c r="T198" s="279" t="s">
        <v>104</v>
      </c>
      <c r="U198" s="278" t="s">
        <v>104</v>
      </c>
      <c r="V198" s="279" t="s">
        <v>104</v>
      </c>
      <c r="W198" s="278" t="s">
        <v>104</v>
      </c>
      <c r="X198" s="280" t="s">
        <v>105</v>
      </c>
      <c r="Y198" s="278" t="s">
        <v>105</v>
      </c>
      <c r="Z198" s="281" t="s">
        <v>105</v>
      </c>
      <c r="AA198" s="278" t="s">
        <v>105</v>
      </c>
      <c r="AB198" s="279">
        <v>181032</v>
      </c>
      <c r="AC198" s="282" t="s">
        <v>104</v>
      </c>
      <c r="AD198" s="279" t="s">
        <v>104</v>
      </c>
      <c r="AE198" s="278" t="s">
        <v>104</v>
      </c>
      <c r="AF198" s="279" t="s">
        <v>104</v>
      </c>
      <c r="AG198" s="278" t="s">
        <v>104</v>
      </c>
      <c r="AH198" s="279" t="s">
        <v>104</v>
      </c>
      <c r="AI198" s="278" t="s">
        <v>104</v>
      </c>
      <c r="AJ198" s="279" t="s">
        <v>104</v>
      </c>
      <c r="AK198" s="278" t="s">
        <v>104</v>
      </c>
      <c r="AL198" s="279" t="s">
        <v>104</v>
      </c>
      <c r="AM198" s="283" t="s">
        <v>104</v>
      </c>
      <c r="AN198" s="279" t="s">
        <v>104</v>
      </c>
      <c r="AO198" s="278" t="s">
        <v>104</v>
      </c>
      <c r="AP198" s="284">
        <v>23411</v>
      </c>
      <c r="AQ198" s="285" t="s">
        <v>104</v>
      </c>
      <c r="AR198" s="286">
        <v>171</v>
      </c>
      <c r="AS198" s="278" t="s">
        <v>104</v>
      </c>
      <c r="AT198" s="279" t="s">
        <v>104</v>
      </c>
      <c r="AU198" s="278" t="s">
        <v>104</v>
      </c>
      <c r="AV198" s="279" t="s">
        <v>104</v>
      </c>
      <c r="AW198" s="278" t="s">
        <v>104</v>
      </c>
      <c r="AX198" s="279" t="s">
        <v>104</v>
      </c>
      <c r="AY198" s="278" t="s">
        <v>104</v>
      </c>
      <c r="AZ198" s="279" t="s">
        <v>104</v>
      </c>
      <c r="BA198" s="278" t="s">
        <v>104</v>
      </c>
      <c r="BB198" s="279" t="s">
        <v>104</v>
      </c>
      <c r="BC198" s="278" t="s">
        <v>104</v>
      </c>
      <c r="BD198" s="287"/>
      <c r="BE198" s="287"/>
      <c r="BF198" s="287"/>
      <c r="BG198" s="287"/>
      <c r="BH198" s="287"/>
      <c r="BI198" s="287"/>
      <c r="BJ198" s="287"/>
      <c r="BK198" s="287"/>
      <c r="BL198" s="287"/>
      <c r="BM198" s="287"/>
      <c r="BN198" s="287"/>
      <c r="BO198" s="287"/>
      <c r="BP198" s="287"/>
    </row>
    <row r="199" spans="1:68" s="9" customFormat="1" ht="16.5" customHeight="1">
      <c r="A199" s="288" t="s">
        <v>106</v>
      </c>
      <c r="B199" s="145" t="s">
        <v>103</v>
      </c>
      <c r="C199" s="48">
        <v>6084476</v>
      </c>
      <c r="D199" s="55">
        <f t="shared" ref="D199:D207" si="101">C199/C198-1</f>
        <v>0.10461305077010041</v>
      </c>
      <c r="E199" s="14"/>
      <c r="F199" s="164">
        <v>1133971</v>
      </c>
      <c r="G199" s="172">
        <f t="shared" ref="G199:G210" si="102">F199/F198-1</f>
        <v>6.5371715254746832E-2</v>
      </c>
      <c r="H199" s="164">
        <v>1678836</v>
      </c>
      <c r="I199" s="172">
        <f t="shared" ref="I199:I210" si="103">H199/H198-1</f>
        <v>0.24846417955843636</v>
      </c>
      <c r="J199" s="164">
        <v>85744</v>
      </c>
      <c r="K199" s="172">
        <f t="shared" ref="K199:K210" si="104">J199/J198-1</f>
        <v>2.406573588601324E-2</v>
      </c>
      <c r="L199" s="190" t="s">
        <v>104</v>
      </c>
      <c r="M199" s="187" t="s">
        <v>104</v>
      </c>
      <c r="N199" s="164">
        <v>553441</v>
      </c>
      <c r="O199" s="172">
        <f t="shared" ref="O199:O210" si="105">N199/N198-1</f>
        <v>0.23478883640817738</v>
      </c>
      <c r="P199" s="190" t="s">
        <v>104</v>
      </c>
      <c r="Q199" s="187" t="s">
        <v>104</v>
      </c>
      <c r="R199" s="164">
        <v>48274</v>
      </c>
      <c r="S199" s="172">
        <v>6.4699999999999994E-2</v>
      </c>
      <c r="T199" s="190" t="s">
        <v>104</v>
      </c>
      <c r="U199" s="187" t="s">
        <v>104</v>
      </c>
      <c r="V199" s="190" t="s">
        <v>104</v>
      </c>
      <c r="W199" s="187" t="s">
        <v>104</v>
      </c>
      <c r="X199" s="289" t="s">
        <v>105</v>
      </c>
      <c r="Y199" s="187" t="s">
        <v>105</v>
      </c>
      <c r="Z199" s="290" t="s">
        <v>105</v>
      </c>
      <c r="AA199" s="187" t="s">
        <v>105</v>
      </c>
      <c r="AB199" s="190">
        <v>211220</v>
      </c>
      <c r="AC199" s="187" t="s">
        <v>104</v>
      </c>
      <c r="AD199" s="190" t="s">
        <v>104</v>
      </c>
      <c r="AE199" s="187" t="s">
        <v>104</v>
      </c>
      <c r="AF199" s="190" t="s">
        <v>104</v>
      </c>
      <c r="AG199" s="187" t="s">
        <v>104</v>
      </c>
      <c r="AH199" s="190" t="s">
        <v>104</v>
      </c>
      <c r="AI199" s="187" t="s">
        <v>104</v>
      </c>
      <c r="AJ199" s="190" t="s">
        <v>104</v>
      </c>
      <c r="AK199" s="187" t="s">
        <v>104</v>
      </c>
      <c r="AL199" s="190" t="s">
        <v>104</v>
      </c>
      <c r="AM199" s="291" t="s">
        <v>104</v>
      </c>
      <c r="AN199" s="190" t="s">
        <v>104</v>
      </c>
      <c r="AO199" s="187" t="s">
        <v>104</v>
      </c>
      <c r="AP199" s="292">
        <v>27150</v>
      </c>
      <c r="AQ199" s="293">
        <f t="shared" ref="AQ199:AQ209" si="106">AP199/AP198-1</f>
        <v>0.15971124684977145</v>
      </c>
      <c r="AR199" s="294">
        <v>327</v>
      </c>
      <c r="AS199" s="172">
        <f t="shared" ref="AS199:AS206" si="107">AR199/AR198-1</f>
        <v>0.91228070175438591</v>
      </c>
      <c r="AT199" s="190" t="s">
        <v>104</v>
      </c>
      <c r="AU199" s="187" t="s">
        <v>104</v>
      </c>
      <c r="AV199" s="190" t="s">
        <v>104</v>
      </c>
      <c r="AW199" s="187" t="s">
        <v>104</v>
      </c>
      <c r="AX199" s="190" t="s">
        <v>104</v>
      </c>
      <c r="AY199" s="187" t="s">
        <v>104</v>
      </c>
      <c r="AZ199" s="190" t="s">
        <v>104</v>
      </c>
      <c r="BA199" s="187" t="s">
        <v>104</v>
      </c>
      <c r="BB199" s="190" t="s">
        <v>104</v>
      </c>
      <c r="BC199" s="187" t="s">
        <v>104</v>
      </c>
      <c r="BD199" s="287"/>
      <c r="BE199" s="287"/>
      <c r="BF199" s="287"/>
      <c r="BG199" s="287"/>
      <c r="BH199" s="287"/>
      <c r="BI199" s="287"/>
      <c r="BJ199" s="287"/>
      <c r="BK199" s="287"/>
      <c r="BL199" s="287"/>
      <c r="BM199" s="287"/>
      <c r="BN199" s="287"/>
      <c r="BO199" s="287"/>
      <c r="BP199" s="287"/>
    </row>
    <row r="200" spans="1:68" s="9" customFormat="1" ht="16.5" customHeight="1">
      <c r="A200" s="288" t="s">
        <v>107</v>
      </c>
      <c r="B200" s="145" t="s">
        <v>103</v>
      </c>
      <c r="C200" s="48">
        <v>7123407</v>
      </c>
      <c r="D200" s="55">
        <f t="shared" si="101"/>
        <v>0.17075110494313717</v>
      </c>
      <c r="E200" s="14"/>
      <c r="F200" s="164">
        <v>1271835</v>
      </c>
      <c r="G200" s="172">
        <f t="shared" si="102"/>
        <v>0.12157630133398478</v>
      </c>
      <c r="H200" s="164">
        <v>2124310</v>
      </c>
      <c r="I200" s="172">
        <f t="shared" si="103"/>
        <v>0.26534694276272375</v>
      </c>
      <c r="J200" s="164">
        <v>83624</v>
      </c>
      <c r="K200" s="172">
        <f t="shared" si="104"/>
        <v>-2.4724762082478091E-2</v>
      </c>
      <c r="L200" s="164">
        <v>457438</v>
      </c>
      <c r="M200" s="187" t="s">
        <v>104</v>
      </c>
      <c r="N200" s="164">
        <v>717361</v>
      </c>
      <c r="O200" s="172">
        <f t="shared" si="105"/>
        <v>0.29618333300207245</v>
      </c>
      <c r="P200" s="190" t="s">
        <v>104</v>
      </c>
      <c r="Q200" s="187" t="s">
        <v>104</v>
      </c>
      <c r="R200" s="164">
        <v>50447</v>
      </c>
      <c r="S200" s="172">
        <f>R200/R199-1</f>
        <v>4.5013879106765575E-2</v>
      </c>
      <c r="T200" s="190" t="s">
        <v>104</v>
      </c>
      <c r="U200" s="187" t="s">
        <v>104</v>
      </c>
      <c r="V200" s="190" t="s">
        <v>104</v>
      </c>
      <c r="W200" s="187" t="s">
        <v>104</v>
      </c>
      <c r="X200" s="289" t="s">
        <v>105</v>
      </c>
      <c r="Y200" s="187" t="s">
        <v>105</v>
      </c>
      <c r="Z200" s="290" t="s">
        <v>105</v>
      </c>
      <c r="AA200" s="187" t="s">
        <v>105</v>
      </c>
      <c r="AB200" s="164">
        <v>218155</v>
      </c>
      <c r="AC200" s="187" t="s">
        <v>104</v>
      </c>
      <c r="AD200" s="190" t="s">
        <v>104</v>
      </c>
      <c r="AE200" s="187" t="s">
        <v>104</v>
      </c>
      <c r="AF200" s="190" t="s">
        <v>104</v>
      </c>
      <c r="AG200" s="187" t="s">
        <v>104</v>
      </c>
      <c r="AH200" s="190" t="s">
        <v>104</v>
      </c>
      <c r="AI200" s="187" t="s">
        <v>104</v>
      </c>
      <c r="AJ200" s="190" t="s">
        <v>104</v>
      </c>
      <c r="AK200" s="187" t="s">
        <v>104</v>
      </c>
      <c r="AL200" s="190" t="s">
        <v>104</v>
      </c>
      <c r="AM200" s="291" t="s">
        <v>104</v>
      </c>
      <c r="AN200" s="190" t="s">
        <v>104</v>
      </c>
      <c r="AO200" s="187" t="s">
        <v>104</v>
      </c>
      <c r="AP200" s="292">
        <v>29374</v>
      </c>
      <c r="AQ200" s="293">
        <f t="shared" si="106"/>
        <v>8.1915285451197084E-2</v>
      </c>
      <c r="AR200" s="294">
        <v>146</v>
      </c>
      <c r="AS200" s="172">
        <f t="shared" si="107"/>
        <v>-0.55351681957186538</v>
      </c>
      <c r="AT200" s="190" t="s">
        <v>104</v>
      </c>
      <c r="AU200" s="187" t="s">
        <v>104</v>
      </c>
      <c r="AV200" s="190" t="s">
        <v>104</v>
      </c>
      <c r="AW200" s="187" t="s">
        <v>104</v>
      </c>
      <c r="AX200" s="190" t="s">
        <v>104</v>
      </c>
      <c r="AY200" s="187" t="s">
        <v>104</v>
      </c>
      <c r="AZ200" s="190" t="s">
        <v>104</v>
      </c>
      <c r="BA200" s="187" t="s">
        <v>104</v>
      </c>
      <c r="BB200" s="190" t="s">
        <v>104</v>
      </c>
      <c r="BC200" s="187" t="s">
        <v>104</v>
      </c>
      <c r="BD200" s="287"/>
      <c r="BE200" s="287"/>
      <c r="BF200" s="287"/>
      <c r="BG200" s="287"/>
      <c r="BH200" s="287"/>
      <c r="BI200" s="287"/>
      <c r="BJ200" s="287"/>
      <c r="BK200" s="287"/>
      <c r="BL200" s="287"/>
      <c r="BM200" s="287"/>
      <c r="BN200" s="287"/>
      <c r="BO200" s="287"/>
      <c r="BP200" s="287"/>
    </row>
    <row r="201" spans="1:68" s="9" customFormat="1" ht="16.5" customHeight="1">
      <c r="A201" s="288" t="s">
        <v>108</v>
      </c>
      <c r="B201" s="145" t="s">
        <v>103</v>
      </c>
      <c r="C201" s="48">
        <v>7086133</v>
      </c>
      <c r="D201" s="55">
        <f t="shared" si="101"/>
        <v>-5.2326084975911069E-3</v>
      </c>
      <c r="E201" s="14"/>
      <c r="F201" s="164">
        <v>1459333</v>
      </c>
      <c r="G201" s="172">
        <f t="shared" si="102"/>
        <v>0.14742321134423886</v>
      </c>
      <c r="H201" s="164">
        <v>1945500</v>
      </c>
      <c r="I201" s="172">
        <f t="shared" si="103"/>
        <v>-8.417321389062804E-2</v>
      </c>
      <c r="J201" s="164">
        <v>92893</v>
      </c>
      <c r="K201" s="172">
        <f t="shared" si="104"/>
        <v>0.11084138524825415</v>
      </c>
      <c r="L201" s="164">
        <v>368176</v>
      </c>
      <c r="M201" s="172">
        <f t="shared" ref="M201:M210" si="108">L201/L200-1</f>
        <v>-0.19513464119727697</v>
      </c>
      <c r="N201" s="164">
        <v>695034</v>
      </c>
      <c r="O201" s="172">
        <f t="shared" si="105"/>
        <v>-3.1123799593231305E-2</v>
      </c>
      <c r="P201" s="190" t="s">
        <v>104</v>
      </c>
      <c r="Q201" s="187" t="s">
        <v>104</v>
      </c>
      <c r="R201" s="164">
        <v>38281</v>
      </c>
      <c r="S201" s="172">
        <f t="shared" ref="S201:S209" si="109">R201/R200-1</f>
        <v>-0.24116399389458243</v>
      </c>
      <c r="T201" s="190" t="s">
        <v>104</v>
      </c>
      <c r="U201" s="187" t="s">
        <v>104</v>
      </c>
      <c r="V201" s="190" t="s">
        <v>104</v>
      </c>
      <c r="W201" s="187" t="s">
        <v>104</v>
      </c>
      <c r="X201" s="289" t="s">
        <v>105</v>
      </c>
      <c r="Y201" s="187" t="s">
        <v>105</v>
      </c>
      <c r="Z201" s="290" t="s">
        <v>105</v>
      </c>
      <c r="AA201" s="187" t="s">
        <v>105</v>
      </c>
      <c r="AB201" s="164">
        <v>190630</v>
      </c>
      <c r="AC201" s="295">
        <f t="shared" ref="AC201:AC210" si="110">AB201/AB200-1</f>
        <v>-0.12617175861199603</v>
      </c>
      <c r="AD201" s="190" t="s">
        <v>104</v>
      </c>
      <c r="AE201" s="187" t="s">
        <v>104</v>
      </c>
      <c r="AF201" s="190" t="s">
        <v>104</v>
      </c>
      <c r="AG201" s="187" t="s">
        <v>104</v>
      </c>
      <c r="AH201" s="190" t="s">
        <v>104</v>
      </c>
      <c r="AI201" s="187" t="s">
        <v>104</v>
      </c>
      <c r="AJ201" s="190" t="s">
        <v>104</v>
      </c>
      <c r="AK201" s="187" t="s">
        <v>104</v>
      </c>
      <c r="AL201" s="190" t="s">
        <v>104</v>
      </c>
      <c r="AM201" s="291" t="s">
        <v>104</v>
      </c>
      <c r="AN201" s="190" t="s">
        <v>104</v>
      </c>
      <c r="AO201" s="187" t="s">
        <v>104</v>
      </c>
      <c r="AP201" s="292">
        <v>35584</v>
      </c>
      <c r="AQ201" s="293">
        <f t="shared" si="106"/>
        <v>0.21141145230475922</v>
      </c>
      <c r="AR201" s="294">
        <v>25</v>
      </c>
      <c r="AS201" s="172">
        <f t="shared" si="107"/>
        <v>-0.82876712328767121</v>
      </c>
      <c r="AT201" s="190" t="s">
        <v>104</v>
      </c>
      <c r="AU201" s="187" t="s">
        <v>104</v>
      </c>
      <c r="AV201" s="190" t="s">
        <v>104</v>
      </c>
      <c r="AW201" s="187" t="s">
        <v>104</v>
      </c>
      <c r="AX201" s="190"/>
      <c r="AY201" s="187" t="s">
        <v>104</v>
      </c>
      <c r="AZ201" s="190" t="s">
        <v>104</v>
      </c>
      <c r="BA201" s="187" t="s">
        <v>104</v>
      </c>
      <c r="BB201" s="190" t="s">
        <v>104</v>
      </c>
      <c r="BC201" s="187" t="s">
        <v>104</v>
      </c>
      <c r="BD201" s="287"/>
      <c r="BE201" s="287"/>
      <c r="BF201" s="287"/>
      <c r="BG201" s="287"/>
      <c r="BH201" s="287"/>
      <c r="BI201" s="287"/>
      <c r="BJ201" s="287"/>
      <c r="BK201" s="287"/>
      <c r="BL201" s="287"/>
      <c r="BM201" s="287"/>
      <c r="BN201" s="287"/>
      <c r="BO201" s="287"/>
      <c r="BP201" s="287"/>
    </row>
    <row r="202" spans="1:68" s="9" customFormat="1" ht="16.5" customHeight="1">
      <c r="A202" s="288" t="s">
        <v>109</v>
      </c>
      <c r="B202" s="145" t="s">
        <v>103</v>
      </c>
      <c r="C202" s="48">
        <v>8825585</v>
      </c>
      <c r="D202" s="55">
        <f t="shared" si="101"/>
        <v>0.24547267176610998</v>
      </c>
      <c r="E202" s="14"/>
      <c r="F202" s="164">
        <f>SUM(F6:F17)</f>
        <v>1588472</v>
      </c>
      <c r="G202" s="172">
        <f t="shared" si="102"/>
        <v>8.8491797279990347E-2</v>
      </c>
      <c r="H202" s="164">
        <f>SUM(H6:H17)</f>
        <v>2844893</v>
      </c>
      <c r="I202" s="172">
        <f t="shared" si="103"/>
        <v>0.46229401182215368</v>
      </c>
      <c r="J202" s="164">
        <f>SUM(J6:J17)</f>
        <v>148095</v>
      </c>
      <c r="K202" s="172">
        <f t="shared" si="104"/>
        <v>0.5942536036084527</v>
      </c>
      <c r="L202" s="164">
        <f>SUM(L6:L17)</f>
        <v>539190</v>
      </c>
      <c r="M202" s="172">
        <f t="shared" si="108"/>
        <v>0.46448980922167649</v>
      </c>
      <c r="N202" s="164">
        <f>SUM(N6:N17)</f>
        <v>910891</v>
      </c>
      <c r="O202" s="172">
        <f t="shared" si="105"/>
        <v>0.31057041813781772</v>
      </c>
      <c r="P202" s="190">
        <v>232995</v>
      </c>
      <c r="Q202" s="187">
        <v>0.79100000000000004</v>
      </c>
      <c r="R202" s="164">
        <f>SUM(R6:R17)</f>
        <v>65631</v>
      </c>
      <c r="S202" s="172">
        <f t="shared" si="109"/>
        <v>0.71445364541156198</v>
      </c>
      <c r="T202" s="164">
        <f>SUM(T6:T17)</f>
        <v>360870</v>
      </c>
      <c r="U202" s="187" t="s">
        <v>104</v>
      </c>
      <c r="V202" s="190" t="s">
        <v>104</v>
      </c>
      <c r="W202" s="187" t="s">
        <v>104</v>
      </c>
      <c r="X202" s="176">
        <f>SUM(X6:X17)</f>
        <v>378602</v>
      </c>
      <c r="Y202" s="187" t="s">
        <v>105</v>
      </c>
      <c r="Z202" s="290" t="s">
        <v>105</v>
      </c>
      <c r="AA202" s="187" t="s">
        <v>105</v>
      </c>
      <c r="AB202" s="164">
        <v>246545</v>
      </c>
      <c r="AC202" s="295">
        <f t="shared" si="110"/>
        <v>0.2933168966059907</v>
      </c>
      <c r="AD202" s="164">
        <f>SUM(AD6:AD17)</f>
        <v>91270</v>
      </c>
      <c r="AE202" s="187" t="s">
        <v>104</v>
      </c>
      <c r="AF202" s="190">
        <f>SUM(AF6:AF17)</f>
        <v>18503</v>
      </c>
      <c r="AG202" s="187" t="s">
        <v>104</v>
      </c>
      <c r="AH202" s="190" t="s">
        <v>104</v>
      </c>
      <c r="AI202" s="187" t="s">
        <v>104</v>
      </c>
      <c r="AJ202" s="190" t="s">
        <v>104</v>
      </c>
      <c r="AK202" s="187" t="s">
        <v>104</v>
      </c>
      <c r="AL202" s="190" t="s">
        <v>104</v>
      </c>
      <c r="AM202" s="291" t="s">
        <v>104</v>
      </c>
      <c r="AN202" s="190" t="s">
        <v>104</v>
      </c>
      <c r="AO202" s="187" t="s">
        <v>104</v>
      </c>
      <c r="AP202" s="292">
        <v>47835</v>
      </c>
      <c r="AQ202" s="293">
        <f t="shared" si="106"/>
        <v>0.34428394784172656</v>
      </c>
      <c r="AR202" s="294">
        <v>12</v>
      </c>
      <c r="AS202" s="172">
        <f t="shared" si="107"/>
        <v>-0.52</v>
      </c>
      <c r="AT202" s="190">
        <v>10</v>
      </c>
      <c r="AU202" s="187" t="s">
        <v>104</v>
      </c>
      <c r="AV202" s="190" t="s">
        <v>104</v>
      </c>
      <c r="AW202" s="187" t="s">
        <v>104</v>
      </c>
      <c r="AX202" s="190">
        <v>7274</v>
      </c>
      <c r="AY202" s="187" t="s">
        <v>104</v>
      </c>
      <c r="AZ202" s="164">
        <v>3189</v>
      </c>
      <c r="BA202" s="187" t="s">
        <v>104</v>
      </c>
      <c r="BB202" s="190" t="s">
        <v>104</v>
      </c>
      <c r="BC202" s="187" t="s">
        <v>104</v>
      </c>
      <c r="BD202" s="287"/>
      <c r="BE202" s="287"/>
      <c r="BF202" s="287"/>
      <c r="BG202" s="287"/>
      <c r="BH202" s="287"/>
      <c r="BI202" s="287"/>
      <c r="BJ202" s="287"/>
      <c r="BK202" s="287"/>
      <c r="BL202" s="287"/>
      <c r="BM202" s="287"/>
      <c r="BN202" s="287"/>
      <c r="BO202" s="287"/>
      <c r="BP202" s="287"/>
    </row>
    <row r="203" spans="1:68" s="9" customFormat="1" ht="16.5" customHeight="1">
      <c r="A203" s="288" t="s">
        <v>110</v>
      </c>
      <c r="B203" s="145" t="s">
        <v>103</v>
      </c>
      <c r="C203" s="48">
        <f>SUM(C18:C29)</f>
        <v>10080143</v>
      </c>
      <c r="D203" s="55">
        <f t="shared" si="101"/>
        <v>0.14215012375950153</v>
      </c>
      <c r="E203" s="14"/>
      <c r="F203" s="164">
        <f>SUM(F18:F29)</f>
        <v>1747171</v>
      </c>
      <c r="G203" s="172">
        <f t="shared" si="102"/>
        <v>9.9906702793628011E-2</v>
      </c>
      <c r="H203" s="164">
        <v>3545341</v>
      </c>
      <c r="I203" s="172">
        <f t="shared" si="103"/>
        <v>0.24621242345494188</v>
      </c>
      <c r="J203" s="164">
        <f>SUM(J18:J29)</f>
        <v>182517</v>
      </c>
      <c r="K203" s="172">
        <f t="shared" si="104"/>
        <v>0.23243188493872169</v>
      </c>
      <c r="L203" s="164">
        <f>SUM(L18:L29)</f>
        <v>642480</v>
      </c>
      <c r="M203" s="172">
        <f t="shared" si="108"/>
        <v>0.1915651254659767</v>
      </c>
      <c r="N203" s="164">
        <v>816407</v>
      </c>
      <c r="O203" s="172">
        <f t="shared" si="105"/>
        <v>-0.10372701014720753</v>
      </c>
      <c r="P203" s="164">
        <f>SUM(P18:P29)</f>
        <v>317213</v>
      </c>
      <c r="Q203" s="172">
        <f t="shared" ref="Q203:Q210" si="111">P203/P202-1</f>
        <v>0.36145840039485821</v>
      </c>
      <c r="R203" s="164">
        <f>SUM(R18:R29)</f>
        <v>120739</v>
      </c>
      <c r="S203" s="172">
        <f t="shared" si="109"/>
        <v>0.83966418308421331</v>
      </c>
      <c r="T203" s="164">
        <f>SUM(T18:T29)</f>
        <v>364192</v>
      </c>
      <c r="U203" s="172">
        <f t="shared" ref="U203:U209" si="112">T203/T202-1</f>
        <v>9.2055310776733013E-3</v>
      </c>
      <c r="V203" s="190" t="s">
        <v>104</v>
      </c>
      <c r="W203" s="187" t="s">
        <v>104</v>
      </c>
      <c r="X203" s="176">
        <f>SUM(X18:X29)</f>
        <v>489465</v>
      </c>
      <c r="Y203" s="172">
        <f>X203/X202-1</f>
        <v>0.29282201361852289</v>
      </c>
      <c r="Z203" s="290" t="s">
        <v>105</v>
      </c>
      <c r="AA203" s="187" t="s">
        <v>105</v>
      </c>
      <c r="AB203" s="164">
        <v>263356</v>
      </c>
      <c r="AC203" s="295">
        <f t="shared" si="110"/>
        <v>6.818633515179795E-2</v>
      </c>
      <c r="AD203" s="164">
        <f>SUM(AD18:AD29)</f>
        <v>158177</v>
      </c>
      <c r="AE203" s="172">
        <f t="shared" ref="AE203:AE210" si="113">AD203/AD202-1</f>
        <v>0.73306672510134763</v>
      </c>
      <c r="AF203" s="190">
        <f>SUM(AF18:AF29)</f>
        <v>25888</v>
      </c>
      <c r="AG203" s="172">
        <f t="shared" ref="AG203:AG209" si="114">AF203/AF202-1</f>
        <v>0.39912446630276177</v>
      </c>
      <c r="AH203" s="190" t="s">
        <v>104</v>
      </c>
      <c r="AI203" s="187" t="s">
        <v>104</v>
      </c>
      <c r="AJ203" s="296">
        <v>30787</v>
      </c>
      <c r="AK203" s="187" t="s">
        <v>104</v>
      </c>
      <c r="AL203" s="190" t="s">
        <v>104</v>
      </c>
      <c r="AM203" s="291" t="s">
        <v>104</v>
      </c>
      <c r="AN203" s="190" t="s">
        <v>104</v>
      </c>
      <c r="AO203" s="187" t="s">
        <v>104</v>
      </c>
      <c r="AP203" s="297">
        <v>49895</v>
      </c>
      <c r="AQ203" s="293">
        <f t="shared" si="106"/>
        <v>4.3064701578342302E-2</v>
      </c>
      <c r="AR203" s="294">
        <f>SUM(AR18:AR29)</f>
        <v>51</v>
      </c>
      <c r="AS203" s="172">
        <f t="shared" si="107"/>
        <v>3.25</v>
      </c>
      <c r="AT203" s="190">
        <v>61</v>
      </c>
      <c r="AU203" s="172">
        <f t="shared" ref="AU203:AU215" si="115">AT203/AT202-1</f>
        <v>5.0999999999999996</v>
      </c>
      <c r="AV203" s="190">
        <v>13200</v>
      </c>
      <c r="AW203" s="187" t="s">
        <v>104</v>
      </c>
      <c r="AX203" s="190">
        <v>9189</v>
      </c>
      <c r="AY203" s="172">
        <f t="shared" ref="AY203:AY209" si="116">AX203/AX202-1</f>
        <v>0.26326642837503433</v>
      </c>
      <c r="AZ203" s="164">
        <v>5475</v>
      </c>
      <c r="BA203" s="172">
        <f>AZ203/AZ202-1</f>
        <v>0.71683913452492942</v>
      </c>
      <c r="BB203" s="190" t="s">
        <v>104</v>
      </c>
      <c r="BC203" s="187" t="s">
        <v>104</v>
      </c>
      <c r="BD203" s="287"/>
      <c r="BE203" s="287"/>
      <c r="BF203" s="287"/>
      <c r="BG203" s="287"/>
      <c r="BH203" s="287"/>
      <c r="BI203" s="287"/>
      <c r="BJ203" s="287"/>
      <c r="BK203" s="287"/>
      <c r="BL203" s="287"/>
      <c r="BM203" s="287"/>
      <c r="BN203" s="287"/>
      <c r="BO203" s="287"/>
      <c r="BP203" s="287"/>
    </row>
    <row r="204" spans="1:68" s="9" customFormat="1" ht="16.5" customHeight="1">
      <c r="A204" s="288" t="s">
        <v>111</v>
      </c>
      <c r="B204" s="145" t="s">
        <v>103</v>
      </c>
      <c r="C204" s="48">
        <f>SUM(C30:C41)</f>
        <v>11609879</v>
      </c>
      <c r="D204" s="55">
        <f t="shared" si="101"/>
        <v>0.15175737090237718</v>
      </c>
      <c r="E204" s="14"/>
      <c r="F204" s="164">
        <f>SUM(F30:F41)</f>
        <v>2117325</v>
      </c>
      <c r="G204" s="172">
        <f t="shared" si="102"/>
        <v>0.21185905672655969</v>
      </c>
      <c r="H204" s="164">
        <v>3923986</v>
      </c>
      <c r="I204" s="172">
        <f t="shared" si="103"/>
        <v>0.10680072805408569</v>
      </c>
      <c r="J204" s="164">
        <f>SUM(J30:J41)</f>
        <v>196260</v>
      </c>
      <c r="K204" s="172">
        <f t="shared" si="104"/>
        <v>7.5297095613011455E-2</v>
      </c>
      <c r="L204" s="164">
        <f>SUM(L30:L41)</f>
        <v>718758</v>
      </c>
      <c r="M204" s="172">
        <f t="shared" si="108"/>
        <v>0.11872431826671637</v>
      </c>
      <c r="N204" s="164">
        <v>1092783</v>
      </c>
      <c r="O204" s="172">
        <f t="shared" si="105"/>
        <v>0.33852722967833437</v>
      </c>
      <c r="P204" s="164">
        <v>421741</v>
      </c>
      <c r="Q204" s="172">
        <f t="shared" si="111"/>
        <v>0.32951991248782364</v>
      </c>
      <c r="R204" s="164">
        <f>SUM(R30:R41)</f>
        <v>162709</v>
      </c>
      <c r="S204" s="172">
        <f t="shared" si="109"/>
        <v>0.34760930602373707</v>
      </c>
      <c r="T204" s="164">
        <f>SUM(T30:T41)</f>
        <v>454661</v>
      </c>
      <c r="U204" s="172">
        <f t="shared" si="112"/>
        <v>0.24841017924611197</v>
      </c>
      <c r="V204" s="190">
        <f>SUM(V30:V41)</f>
        <v>5298</v>
      </c>
      <c r="W204" s="187" t="s">
        <v>104</v>
      </c>
      <c r="X204" s="176">
        <f>SUM(X30:X41)</f>
        <v>572133</v>
      </c>
      <c r="Y204" s="172">
        <f>X204/X203-1</f>
        <v>0.16889460942048973</v>
      </c>
      <c r="Z204" s="296">
        <v>285353</v>
      </c>
      <c r="AA204" s="187" t="s">
        <v>105</v>
      </c>
      <c r="AB204" s="164">
        <v>298228</v>
      </c>
      <c r="AC204" s="295">
        <f t="shared" si="110"/>
        <v>0.13241391880192599</v>
      </c>
      <c r="AD204" s="164">
        <f>SUM(AD30:AD41)</f>
        <v>189464</v>
      </c>
      <c r="AE204" s="172">
        <f t="shared" si="113"/>
        <v>0.19779740417380531</v>
      </c>
      <c r="AF204" s="190">
        <f>SUM(AF30:AF41)</f>
        <v>28035</v>
      </c>
      <c r="AG204" s="172">
        <f t="shared" si="114"/>
        <v>8.2934177997527891E-2</v>
      </c>
      <c r="AH204" s="190" t="s">
        <v>104</v>
      </c>
      <c r="AI204" s="187" t="s">
        <v>104</v>
      </c>
      <c r="AJ204" s="296">
        <f>SUM(AJ30:AJ41)</f>
        <v>39930</v>
      </c>
      <c r="AK204" s="172">
        <f t="shared" ref="AK204:AK209" si="117">AJ204/AJ203-1</f>
        <v>0.29697599636210081</v>
      </c>
      <c r="AL204" s="190">
        <v>16157</v>
      </c>
      <c r="AM204" s="291" t="s">
        <v>104</v>
      </c>
      <c r="AN204" s="190">
        <f>SUM(AN30:AN41)</f>
        <v>18265</v>
      </c>
      <c r="AO204" s="187" t="s">
        <v>104</v>
      </c>
      <c r="AP204" s="297">
        <v>70407</v>
      </c>
      <c r="AQ204" s="293">
        <f t="shared" si="106"/>
        <v>0.41110331696562774</v>
      </c>
      <c r="AR204" s="294">
        <f>SUM(AR30:AR41)</f>
        <v>48</v>
      </c>
      <c r="AS204" s="172">
        <f t="shared" si="107"/>
        <v>-5.8823529411764719E-2</v>
      </c>
      <c r="AT204" s="190">
        <v>60</v>
      </c>
      <c r="AU204" s="172">
        <f t="shared" si="115"/>
        <v>-1.6393442622950838E-2</v>
      </c>
      <c r="AV204" s="190">
        <v>17499</v>
      </c>
      <c r="AW204" s="172">
        <f t="shared" ref="AW204:AW210" si="118">AV204/AV203-1</f>
        <v>0.32568181818181818</v>
      </c>
      <c r="AX204" s="190">
        <v>10963</v>
      </c>
      <c r="AY204" s="172">
        <f t="shared" si="116"/>
        <v>0.19305691587767981</v>
      </c>
      <c r="AZ204" s="164">
        <v>7002</v>
      </c>
      <c r="BA204" s="172">
        <f t="shared" ref="BA204:BA209" si="119">AZ204/AZ203-1</f>
        <v>0.27890410958904099</v>
      </c>
      <c r="BB204" s="190" t="s">
        <v>104</v>
      </c>
      <c r="BC204" s="187" t="s">
        <v>104</v>
      </c>
      <c r="BD204" s="287"/>
      <c r="BE204" s="287"/>
      <c r="BF204" s="287"/>
      <c r="BG204" s="287"/>
      <c r="BH204" s="287"/>
      <c r="BI204" s="287"/>
      <c r="BJ204" s="287"/>
      <c r="BK204" s="287"/>
      <c r="BL204" s="287"/>
      <c r="BM204" s="287"/>
      <c r="BN204" s="287"/>
      <c r="BO204" s="287"/>
      <c r="BP204" s="287"/>
    </row>
    <row r="205" spans="1:68" s="9" customFormat="1" ht="16.5" customHeight="1">
      <c r="A205" s="288" t="s">
        <v>112</v>
      </c>
      <c r="B205" s="145" t="s">
        <v>103</v>
      </c>
      <c r="C205" s="48">
        <f>SUM(SUM(C42:C53))</f>
        <v>13324977</v>
      </c>
      <c r="D205" s="55">
        <f t="shared" si="101"/>
        <v>0.147727465548952</v>
      </c>
      <c r="E205" s="14"/>
      <c r="F205" s="190">
        <f>SUM(F42:F53)</f>
        <v>2600694</v>
      </c>
      <c r="G205" s="172">
        <f t="shared" si="102"/>
        <v>0.22829230278771573</v>
      </c>
      <c r="H205" s="190">
        <f>SUM(H42:H53)</f>
        <v>4776752</v>
      </c>
      <c r="I205" s="172">
        <f t="shared" si="103"/>
        <v>0.2173213665899929</v>
      </c>
      <c r="J205" s="190">
        <f>SUM(J42:J53)</f>
        <v>225814</v>
      </c>
      <c r="K205" s="172">
        <f t="shared" si="104"/>
        <v>0.15058595740344449</v>
      </c>
      <c r="L205" s="190">
        <f>SUM(L42:L53)</f>
        <v>876231</v>
      </c>
      <c r="M205" s="172">
        <f t="shared" si="108"/>
        <v>0.21909043099346381</v>
      </c>
      <c r="N205" s="164">
        <f>SUM(N42:N53)</f>
        <v>1083652</v>
      </c>
      <c r="O205" s="172">
        <f t="shared" si="105"/>
        <v>-8.3557302776489095E-3</v>
      </c>
      <c r="P205" s="190">
        <v>475535</v>
      </c>
      <c r="Q205" s="172">
        <f t="shared" si="111"/>
        <v>0.12755221806748684</v>
      </c>
      <c r="R205" s="190">
        <f>SUM(R42:R53)</f>
        <v>225417</v>
      </c>
      <c r="S205" s="172">
        <f t="shared" si="109"/>
        <v>0.38539970130724166</v>
      </c>
      <c r="T205" s="190">
        <f>SUM(T42:T53)</f>
        <v>463610</v>
      </c>
      <c r="U205" s="172">
        <f t="shared" si="112"/>
        <v>1.9682796633095911E-2</v>
      </c>
      <c r="V205" s="190">
        <f>SUM(V42:V53)</f>
        <v>4870</v>
      </c>
      <c r="W205" s="172">
        <f>V205/V204-1</f>
        <v>-8.0785201963004871E-2</v>
      </c>
      <c r="X205" s="176">
        <f>SUM(X42:X53)</f>
        <v>653310</v>
      </c>
      <c r="Y205" s="172">
        <f>X205/X204-1</f>
        <v>0.141884841461688</v>
      </c>
      <c r="Z205" s="296">
        <v>329909</v>
      </c>
      <c r="AA205" s="295">
        <f t="shared" ref="AA205:AA210" si="120">Z205/Z204-1</f>
        <v>0.15614344338415931</v>
      </c>
      <c r="AB205" s="164">
        <v>337246</v>
      </c>
      <c r="AC205" s="295">
        <f t="shared" si="110"/>
        <v>0.13083278565392931</v>
      </c>
      <c r="AD205" s="190">
        <f>SUM(AD42:AD53)</f>
        <v>224867</v>
      </c>
      <c r="AE205" s="172">
        <f t="shared" si="113"/>
        <v>0.1868587172233247</v>
      </c>
      <c r="AF205" s="190">
        <f>SUM(AF42:AF53)</f>
        <v>33836</v>
      </c>
      <c r="AG205" s="172">
        <f t="shared" si="114"/>
        <v>0.20691992152666305</v>
      </c>
      <c r="AH205" s="190" t="s">
        <v>104</v>
      </c>
      <c r="AI205" s="187" t="s">
        <v>104</v>
      </c>
      <c r="AJ205" s="296">
        <f>SUM(AJ42:AJ53)</f>
        <v>32273</v>
      </c>
      <c r="AK205" s="172">
        <f t="shared" si="117"/>
        <v>-0.1917605810167794</v>
      </c>
      <c r="AL205" s="190">
        <v>20976</v>
      </c>
      <c r="AM205" s="173">
        <f>AL205/AL204-1</f>
        <v>0.29826081574549734</v>
      </c>
      <c r="AN205" s="190">
        <f>SUM(AN42:AN53)</f>
        <v>13821</v>
      </c>
      <c r="AO205" s="172">
        <f t="shared" ref="AO205:AO210" si="121">AN205/AN204-1</f>
        <v>-0.24330687106487814</v>
      </c>
      <c r="AP205" s="297">
        <v>84583</v>
      </c>
      <c r="AQ205" s="293">
        <f t="shared" si="106"/>
        <v>0.20134361640177834</v>
      </c>
      <c r="AR205" s="294">
        <f>SUM(AR42:AR53)</f>
        <v>133</v>
      </c>
      <c r="AS205" s="172">
        <f t="shared" si="107"/>
        <v>1.7708333333333335</v>
      </c>
      <c r="AT205" s="190">
        <v>172</v>
      </c>
      <c r="AU205" s="172">
        <f t="shared" si="115"/>
        <v>1.8666666666666667</v>
      </c>
      <c r="AV205" s="190">
        <v>21238</v>
      </c>
      <c r="AW205" s="172">
        <f t="shared" si="118"/>
        <v>0.21366935253443065</v>
      </c>
      <c r="AX205" s="190">
        <v>13060</v>
      </c>
      <c r="AY205" s="172">
        <f t="shared" si="116"/>
        <v>0.19127975919000284</v>
      </c>
      <c r="AZ205" s="164">
        <f>SUM(AZ42:AZ53)</f>
        <v>12513</v>
      </c>
      <c r="BA205" s="172">
        <f t="shared" si="119"/>
        <v>0.78706083976006846</v>
      </c>
      <c r="BB205" s="190">
        <f>SUM(BB42:BB53)</f>
        <v>1242</v>
      </c>
      <c r="BC205" s="187" t="s">
        <v>104</v>
      </c>
      <c r="BD205" s="287"/>
      <c r="BE205" s="287"/>
      <c r="BF205" s="287"/>
      <c r="BG205" s="287"/>
      <c r="BH205" s="287"/>
      <c r="BI205" s="287"/>
      <c r="BJ205" s="287"/>
      <c r="BK205" s="287"/>
      <c r="BL205" s="287"/>
      <c r="BM205" s="287"/>
      <c r="BN205" s="287"/>
      <c r="BO205" s="287"/>
      <c r="BP205" s="287"/>
    </row>
    <row r="206" spans="1:68" s="9" customFormat="1" ht="16.5" customHeight="1">
      <c r="A206" s="288" t="s">
        <v>70</v>
      </c>
      <c r="B206" s="145" t="s">
        <v>113</v>
      </c>
      <c r="C206" s="48">
        <f>SUM(C54:C65)</f>
        <v>11996094</v>
      </c>
      <c r="D206" s="55">
        <f t="shared" si="101"/>
        <v>-9.9728727486734114E-2</v>
      </c>
      <c r="E206" s="14"/>
      <c r="F206" s="164">
        <f>SUM(F54:F65)</f>
        <v>2382397</v>
      </c>
      <c r="G206" s="172">
        <f t="shared" si="102"/>
        <v>-8.3937979631590665E-2</v>
      </c>
      <c r="H206" s="164">
        <f>SUM(H54:H65)</f>
        <v>3960392</v>
      </c>
      <c r="I206" s="172">
        <f t="shared" si="103"/>
        <v>-0.1709027389322284</v>
      </c>
      <c r="J206" s="164">
        <f>SUM(J54:J65)</f>
        <v>252266</v>
      </c>
      <c r="K206" s="172">
        <f t="shared" si="104"/>
        <v>0.11714065558379905</v>
      </c>
      <c r="L206" s="164">
        <f>SUM(L54:L65)</f>
        <v>904320</v>
      </c>
      <c r="M206" s="172">
        <f t="shared" si="108"/>
        <v>3.2056615207633588E-2</v>
      </c>
      <c r="N206" s="164">
        <f>SUM(N54:N65)</f>
        <v>888344</v>
      </c>
      <c r="O206" s="172">
        <f t="shared" si="105"/>
        <v>-0.18023129196457899</v>
      </c>
      <c r="P206" s="164">
        <f>SUM(P54:P65)</f>
        <v>449237</v>
      </c>
      <c r="Q206" s="172">
        <f t="shared" si="111"/>
        <v>-5.5301923097143213E-2</v>
      </c>
      <c r="R206" s="164">
        <f>SUM(R54:R65)</f>
        <v>279794</v>
      </c>
      <c r="S206" s="172">
        <f t="shared" si="109"/>
        <v>0.24122847877489284</v>
      </c>
      <c r="T206" s="164">
        <f>SUM(T54:T65)</f>
        <v>423011</v>
      </c>
      <c r="U206" s="172">
        <f t="shared" si="112"/>
        <v>-8.7571450141282536E-2</v>
      </c>
      <c r="V206" s="190">
        <f>SUM(V54:V65)</f>
        <v>4300</v>
      </c>
      <c r="W206" s="172">
        <f>V206/V205-1</f>
        <v>-0.11704312114989734</v>
      </c>
      <c r="X206" s="176">
        <f>SUM(X54:X65)</f>
        <v>611629</v>
      </c>
      <c r="Y206" s="172">
        <f>X206/X205-1</f>
        <v>-6.3799727541289708E-2</v>
      </c>
      <c r="Z206" s="296">
        <v>266525</v>
      </c>
      <c r="AA206" s="295">
        <f t="shared" si="120"/>
        <v>-0.19212570739203838</v>
      </c>
      <c r="AB206" s="164">
        <v>331409</v>
      </c>
      <c r="AC206" s="295">
        <f t="shared" si="110"/>
        <v>-1.730784056741963E-2</v>
      </c>
      <c r="AD206" s="164">
        <f>SUM(AD54:AD65)</f>
        <v>267461</v>
      </c>
      <c r="AE206" s="172">
        <f t="shared" si="113"/>
        <v>0.18941863412595006</v>
      </c>
      <c r="AF206" s="190">
        <f>SUM(AF54:AF65)</f>
        <v>37601</v>
      </c>
      <c r="AG206" s="172">
        <f t="shared" si="114"/>
        <v>0.11127201796902697</v>
      </c>
      <c r="AH206" s="164">
        <f>SUM(AH54:AH65)</f>
        <v>119500</v>
      </c>
      <c r="AI206" s="187" t="s">
        <v>105</v>
      </c>
      <c r="AJ206" s="296">
        <f>SUM(AJ54:AJ65)</f>
        <v>43396</v>
      </c>
      <c r="AK206" s="172">
        <f t="shared" si="117"/>
        <v>0.34465342546401012</v>
      </c>
      <c r="AL206" s="190">
        <v>20934</v>
      </c>
      <c r="AM206" s="173">
        <f>AL206/AL205-1</f>
        <v>-2.0022883295194305E-3</v>
      </c>
      <c r="AN206" s="190">
        <f>SUM(AN54:AN65)</f>
        <v>12369</v>
      </c>
      <c r="AO206" s="172">
        <f t="shared" si="121"/>
        <v>-0.10505752116344691</v>
      </c>
      <c r="AP206" s="297">
        <v>79802</v>
      </c>
      <c r="AQ206" s="293">
        <f t="shared" si="106"/>
        <v>-5.6524360687135733E-2</v>
      </c>
      <c r="AR206" s="294">
        <v>0</v>
      </c>
      <c r="AS206" s="172">
        <f t="shared" si="107"/>
        <v>-1</v>
      </c>
      <c r="AT206" s="190">
        <v>97</v>
      </c>
      <c r="AU206" s="172">
        <f t="shared" si="115"/>
        <v>-0.43604651162790697</v>
      </c>
      <c r="AV206" s="190">
        <v>20896</v>
      </c>
      <c r="AW206" s="172">
        <f t="shared" si="118"/>
        <v>-1.610321122516245E-2</v>
      </c>
      <c r="AX206" s="190">
        <v>18065</v>
      </c>
      <c r="AY206" s="172">
        <f t="shared" si="116"/>
        <v>0.38323124042879031</v>
      </c>
      <c r="AZ206" s="164">
        <f>SUM(AZ54:AZ65)</f>
        <v>12556</v>
      </c>
      <c r="BA206" s="172">
        <f t="shared" si="119"/>
        <v>3.4364261168384758E-3</v>
      </c>
      <c r="BB206" s="190">
        <f>SUM(BB54:BB65)</f>
        <v>1053</v>
      </c>
      <c r="BC206" s="172">
        <f>BB206/BB205-1</f>
        <v>-0.15217391304347827</v>
      </c>
      <c r="BD206" s="287"/>
      <c r="BE206" s="287"/>
      <c r="BF206" s="287"/>
      <c r="BG206" s="287"/>
      <c r="BH206" s="287"/>
      <c r="BI206" s="287"/>
      <c r="BJ206" s="287"/>
      <c r="BK206" s="287"/>
      <c r="BL206" s="287"/>
      <c r="BM206" s="287"/>
      <c r="BN206" s="287"/>
      <c r="BO206" s="287"/>
      <c r="BP206" s="287"/>
    </row>
    <row r="207" spans="1:68" s="9" customFormat="1" ht="16.5" customHeight="1">
      <c r="A207" s="288" t="s">
        <v>71</v>
      </c>
      <c r="B207" s="145" t="s">
        <v>113</v>
      </c>
      <c r="C207" s="48">
        <f>SUM(C66:C77)</f>
        <v>9494111</v>
      </c>
      <c r="D207" s="55">
        <f t="shared" si="101"/>
        <v>-0.20856647171987819</v>
      </c>
      <c r="E207" s="14"/>
      <c r="F207" s="164">
        <f>SUM(F66:F77)</f>
        <v>1586772</v>
      </c>
      <c r="G207" s="172">
        <f t="shared" si="102"/>
        <v>-0.33395987318654274</v>
      </c>
      <c r="H207" s="164">
        <f>SUM(H66:H77)</f>
        <v>3197500</v>
      </c>
      <c r="I207" s="172">
        <f t="shared" si="103"/>
        <v>-0.19263042648303497</v>
      </c>
      <c r="J207" s="164">
        <f>SUM(J66:J77)</f>
        <v>167641</v>
      </c>
      <c r="K207" s="172">
        <f t="shared" si="104"/>
        <v>-0.33545939603434471</v>
      </c>
      <c r="L207" s="164">
        <f>SUM(L66:L77)</f>
        <v>618694</v>
      </c>
      <c r="M207" s="172">
        <f t="shared" si="108"/>
        <v>-0.31584616065109694</v>
      </c>
      <c r="N207" s="164">
        <f>SUM(N66:N77)</f>
        <v>618227</v>
      </c>
      <c r="O207" s="172">
        <f t="shared" si="105"/>
        <v>-0.3040680186954603</v>
      </c>
      <c r="P207" s="164">
        <f>SUM(P66:P77)</f>
        <v>362115</v>
      </c>
      <c r="Q207" s="172">
        <f t="shared" si="111"/>
        <v>-0.19393326907623365</v>
      </c>
      <c r="R207" s="164">
        <f>SUM(R66:R77)</f>
        <v>204767</v>
      </c>
      <c r="S207" s="172">
        <f t="shared" si="109"/>
        <v>-0.26815085384246984</v>
      </c>
      <c r="T207" s="164">
        <f>SUM(T66:T77)</f>
        <v>271982</v>
      </c>
      <c r="U207" s="172">
        <f t="shared" si="112"/>
        <v>-0.35703326863840423</v>
      </c>
      <c r="V207" s="164">
        <f>SUM(V66:V77)</f>
        <v>3695</v>
      </c>
      <c r="W207" s="172">
        <f>V207/V206-1</f>
        <v>-0.1406976744186047</v>
      </c>
      <c r="X207" s="176">
        <f>SUM(X66:X77)</f>
        <v>497936</v>
      </c>
      <c r="Y207" s="172">
        <f>X207/X206-1</f>
        <v>-0.18588556134519452</v>
      </c>
      <c r="Z207" s="296">
        <v>197725</v>
      </c>
      <c r="AA207" s="295">
        <f t="shared" si="120"/>
        <v>-0.25813713535315641</v>
      </c>
      <c r="AB207" s="164">
        <v>260314</v>
      </c>
      <c r="AC207" s="172">
        <f t="shared" si="110"/>
        <v>-0.21452344384129585</v>
      </c>
      <c r="AD207" s="164">
        <f>SUM(AD66:AD77)</f>
        <v>227312</v>
      </c>
      <c r="AE207" s="172">
        <f t="shared" si="113"/>
        <v>-0.15011160505643817</v>
      </c>
      <c r="AF207" s="190">
        <f>SUM(AF66:AF77)</f>
        <v>20900</v>
      </c>
      <c r="AG207" s="172">
        <f t="shared" si="114"/>
        <v>-0.44416371905002527</v>
      </c>
      <c r="AH207" s="164">
        <f>SUM(AH66:AH77)</f>
        <v>89148</v>
      </c>
      <c r="AI207" s="172">
        <f>AH207/AH206-1</f>
        <v>-0.25399163179916318</v>
      </c>
      <c r="AJ207" s="296">
        <f>SUM(AJ66:AJ77)</f>
        <v>27189</v>
      </c>
      <c r="AK207" s="172">
        <f t="shared" si="117"/>
        <v>-0.37346760070052543</v>
      </c>
      <c r="AL207" s="164">
        <f>SUM(AL66:AL77)</f>
        <v>16126</v>
      </c>
      <c r="AM207" s="173">
        <f>AL207/AL206-1</f>
        <v>-0.22967421419700007</v>
      </c>
      <c r="AN207" s="190">
        <f>SUM(AN66:AN77)</f>
        <v>12508</v>
      </c>
      <c r="AO207" s="172">
        <f t="shared" si="121"/>
        <v>1.123777184897734E-2</v>
      </c>
      <c r="AP207" s="297">
        <v>70485</v>
      </c>
      <c r="AQ207" s="293">
        <f t="shared" si="106"/>
        <v>-0.11675145986316138</v>
      </c>
      <c r="AR207" s="170">
        <f>SUM(AR66:AR77)</f>
        <v>60</v>
      </c>
      <c r="AS207" s="172">
        <v>0.6</v>
      </c>
      <c r="AT207" s="190">
        <v>49</v>
      </c>
      <c r="AU207" s="172">
        <f t="shared" si="115"/>
        <v>-0.49484536082474229</v>
      </c>
      <c r="AV207" s="164">
        <v>11191</v>
      </c>
      <c r="AW207" s="172">
        <f t="shared" si="118"/>
        <v>-0.46444295558958648</v>
      </c>
      <c r="AX207" s="164">
        <v>17876</v>
      </c>
      <c r="AY207" s="172">
        <f>AX207/AX206-1</f>
        <v>-1.0462219761970704E-2</v>
      </c>
      <c r="AZ207" s="164">
        <f>SUM(AZ66:AZ77)</f>
        <v>11792</v>
      </c>
      <c r="BA207" s="172">
        <f t="shared" si="119"/>
        <v>-6.0847403631729802E-2</v>
      </c>
      <c r="BB207" s="190" t="s">
        <v>104</v>
      </c>
      <c r="BC207" s="187" t="s">
        <v>104</v>
      </c>
      <c r="BD207" s="287"/>
      <c r="BE207" s="287"/>
      <c r="BF207" s="287"/>
      <c r="BG207" s="287"/>
      <c r="BH207" s="287"/>
      <c r="BI207" s="287"/>
      <c r="BJ207" s="287"/>
      <c r="BK207" s="287"/>
      <c r="BL207" s="287"/>
      <c r="BM207" s="287"/>
      <c r="BN207" s="287"/>
      <c r="BO207" s="287"/>
      <c r="BP207" s="287"/>
    </row>
    <row r="208" spans="1:68" s="9" customFormat="1" ht="16.5" customHeight="1">
      <c r="A208" s="288" t="s">
        <v>73</v>
      </c>
      <c r="B208" s="145" t="s">
        <v>113</v>
      </c>
      <c r="C208" s="48">
        <f>SUM(C78:C89)</f>
        <v>12488364</v>
      </c>
      <c r="D208" s="55">
        <f>C208/SUM(C66:C77)-1</f>
        <v>0.31538002873570781</v>
      </c>
      <c r="E208" s="14"/>
      <c r="F208" s="164">
        <f>SUM(F78:F89)</f>
        <v>2439816</v>
      </c>
      <c r="G208" s="172">
        <f t="shared" si="102"/>
        <v>0.53759708389106953</v>
      </c>
      <c r="H208" s="164">
        <f>SUM(H78:H89)</f>
        <v>4076400</v>
      </c>
      <c r="I208" s="172">
        <f t="shared" si="103"/>
        <v>0.27487099296325246</v>
      </c>
      <c r="J208" s="164">
        <f>SUM(J78:J89)</f>
        <v>216901</v>
      </c>
      <c r="K208" s="172">
        <f t="shared" si="104"/>
        <v>0.29384219850752502</v>
      </c>
      <c r="L208" s="164">
        <f>SUM(L78:L89)</f>
        <v>891024</v>
      </c>
      <c r="M208" s="172">
        <f t="shared" si="108"/>
        <v>0.44016913045867589</v>
      </c>
      <c r="N208" s="164">
        <f>SUM(N78:N89)</f>
        <v>805445</v>
      </c>
      <c r="O208" s="172">
        <f t="shared" si="105"/>
        <v>0.30283051371098324</v>
      </c>
      <c r="P208" s="164">
        <f>SUM(P78:P89)</f>
        <v>495902</v>
      </c>
      <c r="Q208" s="172">
        <f t="shared" si="111"/>
        <v>0.36945997818372622</v>
      </c>
      <c r="R208" s="164">
        <f>SUM(R78:R89)</f>
        <v>331768</v>
      </c>
      <c r="S208" s="172">
        <f t="shared" si="109"/>
        <v>0.62022200842909259</v>
      </c>
      <c r="T208" s="164">
        <f>SUM(T78:T89)</f>
        <v>360615</v>
      </c>
      <c r="U208" s="172">
        <f t="shared" si="112"/>
        <v>0.32587818311505901</v>
      </c>
      <c r="V208" s="164">
        <f>SUM(V78:V89)</f>
        <v>4426</v>
      </c>
      <c r="W208" s="172">
        <f>V208/V207-1</f>
        <v>0.19783491204330184</v>
      </c>
      <c r="X208" s="170">
        <f>SUM(X78:X89)</f>
        <v>740622</v>
      </c>
      <c r="Y208" s="172">
        <f>X208/SUM(X66:X77)-1</f>
        <v>0.48738392082516624</v>
      </c>
      <c r="Z208" s="164">
        <f>SUM(Z78:Z89)</f>
        <v>289702</v>
      </c>
      <c r="AA208" s="295">
        <f t="shared" si="120"/>
        <v>0.46517638133771655</v>
      </c>
      <c r="AB208" s="164">
        <v>296060</v>
      </c>
      <c r="AC208" s="172">
        <f t="shared" si="110"/>
        <v>0.13731877655446878</v>
      </c>
      <c r="AD208" s="164">
        <f>SUM(AD78:AD89)</f>
        <v>264052</v>
      </c>
      <c r="AE208" s="172">
        <f t="shared" si="113"/>
        <v>0.16162807066938822</v>
      </c>
      <c r="AF208" s="190">
        <f>SUM(AF78:AF89)</f>
        <v>38300</v>
      </c>
      <c r="AG208" s="172">
        <f t="shared" si="114"/>
        <v>0.83253588516746402</v>
      </c>
      <c r="AH208" s="164">
        <f>SUM(AH78:AH89)</f>
        <v>123315</v>
      </c>
      <c r="AI208" s="172">
        <f>AH208/AH207-1</f>
        <v>0.38326154260331124</v>
      </c>
      <c r="AJ208" s="296">
        <f>SUM(AJ78:AJ89)</f>
        <v>42231</v>
      </c>
      <c r="AK208" s="172">
        <f t="shared" si="117"/>
        <v>0.55323844201699224</v>
      </c>
      <c r="AL208" s="164">
        <f>SUM(AL78:AL89)</f>
        <v>24808</v>
      </c>
      <c r="AM208" s="173">
        <f>AL208/AL207-1</f>
        <v>0.53838521642068704</v>
      </c>
      <c r="AN208" s="190">
        <f>SUM(AN78:AN89)</f>
        <v>18930</v>
      </c>
      <c r="AO208" s="172">
        <f t="shared" si="121"/>
        <v>0.5134314039015031</v>
      </c>
      <c r="AP208" s="297">
        <v>95587</v>
      </c>
      <c r="AQ208" s="293">
        <f t="shared" si="106"/>
        <v>0.35613251046321914</v>
      </c>
      <c r="AR208" s="170">
        <f>SUM(AR78:AR89)</f>
        <v>143</v>
      </c>
      <c r="AS208" s="172">
        <f>AR208/AR207-1</f>
        <v>1.3833333333333333</v>
      </c>
      <c r="AT208" s="190">
        <v>182</v>
      </c>
      <c r="AU208" s="172">
        <f t="shared" si="115"/>
        <v>2.7142857142857144</v>
      </c>
      <c r="AV208" s="164">
        <v>18833</v>
      </c>
      <c r="AW208" s="172">
        <f t="shared" si="118"/>
        <v>0.68287016352426066</v>
      </c>
      <c r="AX208" s="164">
        <v>27312</v>
      </c>
      <c r="AY208" s="172">
        <f t="shared" si="116"/>
        <v>0.52785858133810692</v>
      </c>
      <c r="AZ208" s="164">
        <f>SUM(AZ78:AZ89)</f>
        <v>15151</v>
      </c>
      <c r="BA208" s="172">
        <f>AZ208/AZ207-1</f>
        <v>0.28485413839891449</v>
      </c>
      <c r="BB208" s="190" t="s">
        <v>104</v>
      </c>
      <c r="BC208" s="187" t="s">
        <v>104</v>
      </c>
      <c r="BD208" s="287"/>
      <c r="BE208" s="287"/>
      <c r="BF208" s="287"/>
      <c r="BG208" s="287"/>
      <c r="BH208" s="287"/>
      <c r="BI208" s="287"/>
      <c r="BJ208" s="287"/>
      <c r="BK208" s="287"/>
      <c r="BL208" s="287"/>
      <c r="BM208" s="287"/>
      <c r="BN208" s="287"/>
      <c r="BO208" s="287"/>
      <c r="BP208" s="287"/>
    </row>
    <row r="209" spans="1:68" s="253" customFormat="1" ht="16.5" customHeight="1">
      <c r="A209" s="298" t="s">
        <v>75</v>
      </c>
      <c r="B209" s="225" t="s">
        <v>113</v>
      </c>
      <c r="C209" s="164">
        <v>12693733</v>
      </c>
      <c r="D209" s="299">
        <f>C209/SUM(C78:C89)-1</f>
        <v>1.6444828161639169E-2</v>
      </c>
      <c r="E209" s="14"/>
      <c r="F209" s="164">
        <f>SUM(F90:F101)</f>
        <v>1658073</v>
      </c>
      <c r="G209" s="172">
        <f t="shared" si="102"/>
        <v>-0.32041063752348542</v>
      </c>
      <c r="H209" s="164">
        <f>SUM(H90:H101)</f>
        <v>4185400</v>
      </c>
      <c r="I209" s="172">
        <f t="shared" si="103"/>
        <v>2.6739279756647916E-2</v>
      </c>
      <c r="J209" s="164">
        <f>SUM(J90:J101)</f>
        <v>242902</v>
      </c>
      <c r="K209" s="172">
        <f t="shared" si="104"/>
        <v>0.11987496599831249</v>
      </c>
      <c r="L209" s="164">
        <f>SUM(L90:L101)</f>
        <v>1020996</v>
      </c>
      <c r="M209" s="172">
        <f t="shared" si="108"/>
        <v>0.1458681247643161</v>
      </c>
      <c r="N209" s="164">
        <f>SUM(N90:N101)</f>
        <v>1006283</v>
      </c>
      <c r="O209" s="172">
        <f t="shared" si="105"/>
        <v>0.24935035911825132</v>
      </c>
      <c r="P209" s="164">
        <v>536408</v>
      </c>
      <c r="Q209" s="172">
        <f t="shared" si="111"/>
        <v>8.1681461256458032E-2</v>
      </c>
      <c r="R209" s="164">
        <f>SUM(R90:R101)</f>
        <v>398807</v>
      </c>
      <c r="S209" s="172">
        <f t="shared" si="109"/>
        <v>0.2020659014733186</v>
      </c>
      <c r="T209" s="164">
        <f>SUM(T90:T101)</f>
        <v>414879</v>
      </c>
      <c r="U209" s="172">
        <f t="shared" si="112"/>
        <v>0.15047626970591899</v>
      </c>
      <c r="V209" s="164">
        <f>SUM(V90:V101)</f>
        <v>5485</v>
      </c>
      <c r="W209" s="172">
        <f>V209/V208-1</f>
        <v>0.23926796204247625</v>
      </c>
      <c r="X209" s="170">
        <f>SUM(X90:X101)</f>
        <v>925204</v>
      </c>
      <c r="Y209" s="299">
        <f>X209/SUM(X78:X89)-1</f>
        <v>0.24922565087183468</v>
      </c>
      <c r="Z209" s="164">
        <f>SUM(Z90:Z101)</f>
        <v>342810</v>
      </c>
      <c r="AA209" s="295">
        <f t="shared" si="120"/>
        <v>0.18331941098093907</v>
      </c>
      <c r="AB209" s="164">
        <v>320596</v>
      </c>
      <c r="AC209" s="172">
        <f t="shared" si="110"/>
        <v>8.2875092886577129E-2</v>
      </c>
      <c r="AD209" s="164">
        <f>SUM(AD90:AD101)</f>
        <v>263428</v>
      </c>
      <c r="AE209" s="172">
        <f t="shared" si="113"/>
        <v>-2.3631708905821336E-3</v>
      </c>
      <c r="AF209" s="190">
        <f>SUM(AF90:AF101)</f>
        <v>31800</v>
      </c>
      <c r="AG209" s="172">
        <f t="shared" si="114"/>
        <v>-0.16971279373368142</v>
      </c>
      <c r="AH209" s="164">
        <f>SUM(AH90:AH101)</f>
        <v>149943</v>
      </c>
      <c r="AI209" s="172">
        <f>AH209/AH208-1</f>
        <v>0.21593480111908536</v>
      </c>
      <c r="AJ209" s="296">
        <f>SUM(AJ90:AJ101)</f>
        <v>43994</v>
      </c>
      <c r="AK209" s="172">
        <f t="shared" si="117"/>
        <v>4.1746584262745356E-2</v>
      </c>
      <c r="AL209" s="164">
        <f>SUM(AL90:AL101)</f>
        <v>25285</v>
      </c>
      <c r="AM209" s="173">
        <f>AL209/AL208-1</f>
        <v>1.9227668494034234E-2</v>
      </c>
      <c r="AN209" s="190">
        <f>SUM(AN90:AN101)</f>
        <v>22524</v>
      </c>
      <c r="AO209" s="172">
        <f t="shared" si="121"/>
        <v>0.18985736925515062</v>
      </c>
      <c r="AP209" s="297">
        <v>108680</v>
      </c>
      <c r="AQ209" s="293">
        <f t="shared" si="106"/>
        <v>0.13697469321141997</v>
      </c>
      <c r="AR209" s="170">
        <f>SUM(AR90:AR101)</f>
        <v>290</v>
      </c>
      <c r="AS209" s="172">
        <f>AR209/AR208-1</f>
        <v>1.0279720279720279</v>
      </c>
      <c r="AT209" s="190">
        <v>407</v>
      </c>
      <c r="AU209" s="172">
        <f t="shared" si="115"/>
        <v>1.2362637362637363</v>
      </c>
      <c r="AV209" s="164">
        <v>18683</v>
      </c>
      <c r="AW209" s="172">
        <f t="shared" si="118"/>
        <v>-7.9647427388095382E-3</v>
      </c>
      <c r="AX209" s="164">
        <v>34707</v>
      </c>
      <c r="AY209" s="172">
        <f t="shared" si="116"/>
        <v>0.27076010544815476</v>
      </c>
      <c r="AZ209" s="164">
        <f>SUM(AZ90:AZ101)</f>
        <v>17495</v>
      </c>
      <c r="BA209" s="172">
        <f t="shared" si="119"/>
        <v>0.15470926011484387</v>
      </c>
      <c r="BB209" s="190" t="s">
        <v>104</v>
      </c>
      <c r="BC209" s="187" t="s">
        <v>104</v>
      </c>
      <c r="BD209" s="287"/>
      <c r="BE209" s="287"/>
      <c r="BF209" s="287"/>
      <c r="BG209" s="287"/>
      <c r="BH209" s="287"/>
      <c r="BI209" s="287"/>
      <c r="BJ209" s="287"/>
      <c r="BK209" s="287"/>
      <c r="BL209" s="287"/>
      <c r="BM209" s="287"/>
      <c r="BN209" s="287"/>
      <c r="BO209" s="287"/>
      <c r="BP209" s="287"/>
    </row>
    <row r="210" spans="1:68" ht="16.5" customHeight="1">
      <c r="A210" s="288" t="s">
        <v>76</v>
      </c>
      <c r="B210" s="145" t="s">
        <v>113</v>
      </c>
      <c r="C210" s="48">
        <f>SUM(C102:C113)</f>
        <v>13736976</v>
      </c>
      <c r="D210" s="55">
        <f>C210/SUM(C90:C101)-1</f>
        <v>8.2185673828179651E-2</v>
      </c>
      <c r="E210" s="14"/>
      <c r="F210" s="164">
        <f>SUM(F102:F113)</f>
        <v>2042775</v>
      </c>
      <c r="G210" s="172">
        <f t="shared" si="102"/>
        <v>0.23201752878190529</v>
      </c>
      <c r="H210" s="164">
        <v>4069900</v>
      </c>
      <c r="I210" s="172">
        <f t="shared" si="103"/>
        <v>-2.7595928704544415E-2</v>
      </c>
      <c r="J210" s="164">
        <f>SUM(J102:J113)</f>
        <v>259089</v>
      </c>
      <c r="K210" s="172">
        <f t="shared" si="104"/>
        <v>6.6640044133024823E-2</v>
      </c>
      <c r="L210" s="164">
        <f>SUM(L102:L113)</f>
        <v>1078458</v>
      </c>
      <c r="M210" s="172">
        <f t="shared" si="108"/>
        <v>5.6280338022871801E-2</v>
      </c>
      <c r="N210" s="164">
        <f>SUM(N102:N113)</f>
        <v>1163619</v>
      </c>
      <c r="O210" s="172">
        <f t="shared" si="105"/>
        <v>0.15635363014181891</v>
      </c>
      <c r="P210" s="164">
        <f>SUM(P102:P113)</f>
        <v>700917</v>
      </c>
      <c r="Q210" s="172">
        <f t="shared" si="111"/>
        <v>0.30668632831725096</v>
      </c>
      <c r="R210" s="164">
        <f>SUM(R102:R113)</f>
        <v>444773</v>
      </c>
      <c r="S210" s="172">
        <f>R210/R209-1</f>
        <v>0.11525875924946161</v>
      </c>
      <c r="T210" s="164">
        <f>SUM(T102:T113)</f>
        <v>445157</v>
      </c>
      <c r="U210" s="172">
        <f>T210/T209-1</f>
        <v>7.2980314742370656E-2</v>
      </c>
      <c r="V210" s="164">
        <f>SUM(V102:V113)</f>
        <v>7838</v>
      </c>
      <c r="W210" s="172">
        <f>V210/SUM(V90:V101)-1</f>
        <v>0.42898814949863273</v>
      </c>
      <c r="X210" s="170">
        <f>SUM(X102:X113)</f>
        <v>1031155</v>
      </c>
      <c r="Y210" s="172">
        <f>X210/X209-1</f>
        <v>0.11451636612033678</v>
      </c>
      <c r="Z210" s="164">
        <f>SUM(Z102:Z113)</f>
        <v>411491</v>
      </c>
      <c r="AA210" s="295">
        <f t="shared" si="120"/>
        <v>0.20034713106385471</v>
      </c>
      <c r="AB210" s="164">
        <v>328989</v>
      </c>
      <c r="AC210" s="172">
        <f t="shared" si="110"/>
        <v>2.6179365930953491E-2</v>
      </c>
      <c r="AD210" s="164">
        <f>SUM(AD102:AD113)</f>
        <v>283977</v>
      </c>
      <c r="AE210" s="172">
        <f t="shared" si="113"/>
        <v>7.8006134503545654E-2</v>
      </c>
      <c r="AF210" s="190">
        <f>SUM(AF102:AF113)</f>
        <v>32200</v>
      </c>
      <c r="AG210" s="172">
        <f>AF210/SUM(AF90:AF101)-1</f>
        <v>1.2578616352201255E-2</v>
      </c>
      <c r="AH210" s="164">
        <f>SUM(AH102:AH113)</f>
        <v>159084</v>
      </c>
      <c r="AI210" s="172">
        <f>AH210/AH209-1</f>
        <v>6.096316600308116E-2</v>
      </c>
      <c r="AJ210" s="296">
        <f>SUM(AJ102:AJ113)</f>
        <v>44360</v>
      </c>
      <c r="AK210" s="172">
        <f>AJ210/SUM(AJ90:AJ101)-1</f>
        <v>8.3193162704005008E-3</v>
      </c>
      <c r="AL210" s="164">
        <f>SUM(AL102:AL113)</f>
        <v>23933</v>
      </c>
      <c r="AM210" s="173">
        <f>AL210/SUM(AL90:AL101)-1</f>
        <v>-5.347043701799481E-2</v>
      </c>
      <c r="AN210" s="190">
        <f>SUM(AN102:AN113)</f>
        <v>34805</v>
      </c>
      <c r="AO210" s="172">
        <f t="shared" si="121"/>
        <v>0.54524063221452668</v>
      </c>
      <c r="AP210" s="297">
        <v>109469</v>
      </c>
      <c r="AQ210" s="293">
        <f>AP210/SUM(AP90:AP101)-1</f>
        <v>7.2598454177401628E-3</v>
      </c>
      <c r="AR210" s="170">
        <f>SUM(AR102:AR113)</f>
        <v>81</v>
      </c>
      <c r="AS210" s="172">
        <f>AR210/AR209-1</f>
        <v>-0.72068965517241379</v>
      </c>
      <c r="AT210" s="190">
        <v>630</v>
      </c>
      <c r="AU210" s="172">
        <f t="shared" si="115"/>
        <v>0.54791154791154795</v>
      </c>
      <c r="AV210" s="164">
        <v>14479</v>
      </c>
      <c r="AW210" s="172">
        <f t="shared" si="118"/>
        <v>-0.22501739549322919</v>
      </c>
      <c r="AX210" s="164">
        <v>53829</v>
      </c>
      <c r="AY210" s="172">
        <f>AX210/AX209-1</f>
        <v>0.55095513873282043</v>
      </c>
      <c r="AZ210" s="164">
        <f>SUM(AZ102:AZ113)</f>
        <v>18544</v>
      </c>
      <c r="BA210" s="172">
        <f>AZ210/SUM(AZ90:AZ101)-1</f>
        <v>5.9959988568162315E-2</v>
      </c>
      <c r="BB210" s="190"/>
      <c r="BC210" s="187"/>
    </row>
    <row r="211" spans="1:68" ht="16.5" customHeight="1" thickBot="1">
      <c r="A211" s="288" t="s">
        <v>114</v>
      </c>
      <c r="B211" s="145" t="s">
        <v>113</v>
      </c>
      <c r="C211" s="48">
        <f>SUM(C114:C125)</f>
        <v>14846485</v>
      </c>
      <c r="D211" s="55">
        <f>C211/SUM(C102:C113)-1</f>
        <v>8.0768067149567635E-2</v>
      </c>
      <c r="E211" s="14"/>
      <c r="F211" s="164">
        <f>SUM(F114:F125)</f>
        <v>2456165</v>
      </c>
      <c r="G211" s="172">
        <f>F211/SUM(F102:F113)-1</f>
        <v>0.20236687838846668</v>
      </c>
      <c r="H211" s="164">
        <v>3968998</v>
      </c>
      <c r="I211" s="172">
        <f>H211/SUM(H102:H113)-1</f>
        <v>-2.4768293282225184E-2</v>
      </c>
      <c r="J211" s="164">
        <f>SUM(J114:J125)</f>
        <v>351301</v>
      </c>
      <c r="K211" s="172">
        <f>J211/SUM(J102:J113)-1</f>
        <v>0.3559085873966088</v>
      </c>
      <c r="L211" s="164">
        <f>SUM(L114:L125)</f>
        <v>1083543</v>
      </c>
      <c r="M211" s="172">
        <f>L211/SUM(L102:L113)-1</f>
        <v>4.7150653989307401E-3</v>
      </c>
      <c r="N211" s="164">
        <f>SUM(N114:N125)</f>
        <v>1295342</v>
      </c>
      <c r="O211" s="172">
        <f>N211/SUM(N102:N113)-1</f>
        <v>0.11320114229829525</v>
      </c>
      <c r="P211" s="164">
        <f>SUM(P114:P125)</f>
        <v>748727</v>
      </c>
      <c r="Q211" s="172">
        <f>P211/SUM(P102:P113)-1</f>
        <v>6.8210644056286185E-2</v>
      </c>
      <c r="R211" s="164">
        <f>SUM(R114:R125)</f>
        <v>474269</v>
      </c>
      <c r="S211" s="172">
        <f>R211/SUM(R102:R113)-1</f>
        <v>6.6316975176101023E-2</v>
      </c>
      <c r="T211" s="164">
        <f>SUM(T114:T125)</f>
        <v>471768</v>
      </c>
      <c r="U211" s="172">
        <f>T211/SUM(T102:T113)-1</f>
        <v>5.9778909463402696E-2</v>
      </c>
      <c r="V211" s="164">
        <f>SUM(V114:V125)</f>
        <v>12207</v>
      </c>
      <c r="W211" s="172">
        <f>V211/SUM(V102:V113)-1</f>
        <v>0.55741260525644298</v>
      </c>
      <c r="X211" s="170">
        <f>SUM(X114:X125)</f>
        <v>1165789</v>
      </c>
      <c r="Y211" s="172">
        <f>X211/SUM(X102:X113)-1</f>
        <v>0.13056620973568478</v>
      </c>
      <c r="Z211" s="164">
        <f>SUM(Z114:Z125)</f>
        <v>435009</v>
      </c>
      <c r="AA211" s="295">
        <f>Z211/SUM(Z102:Z113)-1</f>
        <v>5.7153133361361519E-2</v>
      </c>
      <c r="AB211" s="164">
        <v>351154</v>
      </c>
      <c r="AC211" s="172">
        <f>AB211/SUM(AB102:AB113)-1</f>
        <v>0.1556592596493076</v>
      </c>
      <c r="AD211" s="164">
        <f>SUM(AD114:AD125)</f>
        <v>274622</v>
      </c>
      <c r="AE211" s="172">
        <f>AD211/SUM(AD102:AD113)-1</f>
        <v>-3.2942808748595787E-2</v>
      </c>
      <c r="AF211" s="190">
        <f>SUM(AF114:AF125)</f>
        <v>28000</v>
      </c>
      <c r="AG211" s="172">
        <f>AF211/SUM(AF102:AF113)-1</f>
        <v>-0.13043478260869568</v>
      </c>
      <c r="AH211" s="164">
        <f>SUM(AH114:AH125)</f>
        <v>187040</v>
      </c>
      <c r="AI211" s="172">
        <f>AH211/SUM(AH102:AH113)-1</f>
        <v>0.17573106032033392</v>
      </c>
      <c r="AJ211" s="296">
        <f>SUM(AJ114:AJ125)</f>
        <v>45178</v>
      </c>
      <c r="AK211" s="172">
        <f>AJ211/SUM(AJ102:AJ113)-1</f>
        <v>1.8440036068530175E-2</v>
      </c>
      <c r="AL211" s="164">
        <f>SUM(AL114:AL125)</f>
        <v>30306</v>
      </c>
      <c r="AM211" s="173">
        <f>AL211/SUM(AL102:AL113)-1</f>
        <v>0.26628504575272638</v>
      </c>
      <c r="AN211" s="190">
        <f>SUM(AN114:AN125)</f>
        <v>54934</v>
      </c>
      <c r="AO211" s="172">
        <f>AN211/SUM(AN102:AN113)-1</f>
        <v>0.57833644591294364</v>
      </c>
      <c r="AP211" s="297">
        <f>SUM(AP114:AP125)</f>
        <v>112619</v>
      </c>
      <c r="AQ211" s="293">
        <f>AQ114</f>
        <v>2.8775269711059703E-2</v>
      </c>
      <c r="AR211" s="170">
        <f>SUM(AR114:AR125)</f>
        <v>0</v>
      </c>
      <c r="AS211" s="172">
        <f>AR211/AR210-1</f>
        <v>-1</v>
      </c>
      <c r="AT211" s="190">
        <f>SUM(AT114:AT125)</f>
        <v>596</v>
      </c>
      <c r="AU211" s="172">
        <f t="shared" si="115"/>
        <v>-5.3968253968253999E-2</v>
      </c>
      <c r="AV211" s="164">
        <v>14270</v>
      </c>
      <c r="AW211" s="172">
        <f>AV211/SUM(AV102)-1</f>
        <v>-0.21700960219478738</v>
      </c>
      <c r="AX211" s="164">
        <f>SUM(AX114:AX125)</f>
        <v>81799</v>
      </c>
      <c r="AY211" s="172">
        <f>AX211/AX210-1</f>
        <v>0.51960838952980737</v>
      </c>
      <c r="AZ211" s="164">
        <f>SUM(AZ114:AZ125)</f>
        <v>12039</v>
      </c>
      <c r="BA211" s="172">
        <f>AZ211/SUM(AZ102:AZ109)-1</f>
        <v>-6.4786762992309455E-2</v>
      </c>
      <c r="BB211" s="190"/>
      <c r="BC211" s="187"/>
    </row>
    <row r="212" spans="1:68" s="308" customFormat="1" ht="16.5" customHeight="1" thickBot="1">
      <c r="A212" s="300" t="s">
        <v>115</v>
      </c>
      <c r="B212" s="301" t="s">
        <v>113</v>
      </c>
      <c r="C212" s="1">
        <f>SUM(C126:C137)</f>
        <v>16080684</v>
      </c>
      <c r="D212" s="302">
        <f>C212/SUM(C114:C125)-1</f>
        <v>8.3130720840656869E-2</v>
      </c>
      <c r="E212" s="209"/>
      <c r="F212" s="1">
        <f>SUM(F126:F137)</f>
        <v>2755313</v>
      </c>
      <c r="G212" s="302">
        <f>F212/SUM(F114:F125)-1</f>
        <v>0.12179474913126764</v>
      </c>
      <c r="H212" s="1">
        <v>4181700</v>
      </c>
      <c r="I212" s="302">
        <f>H212/SUM(H114:H125)-1</f>
        <v>5.359032501889649E-2</v>
      </c>
      <c r="J212" s="1">
        <f>SUM(J126:J137)</f>
        <v>527684</v>
      </c>
      <c r="K212" s="302">
        <f>J212/SUM(J114:J125)-1</f>
        <v>0.50208510650410898</v>
      </c>
      <c r="L212" s="1">
        <f>SUM(L126:L137)</f>
        <v>1251047</v>
      </c>
      <c r="M212" s="302">
        <f>L212/SUM(L114:L125)-1</f>
        <v>0.15458915797527184</v>
      </c>
      <c r="N212" s="1">
        <f>SUM(N126:N137)</f>
        <v>1116493</v>
      </c>
      <c r="O212" s="302">
        <f>N212/SUM(N114:N125)-1</f>
        <v>-0.13807087240280946</v>
      </c>
      <c r="P212" s="1">
        <f>SUM(P126:P137)</f>
        <v>832969</v>
      </c>
      <c r="Q212" s="302">
        <f>P212/SUM(P114:P125)-1</f>
        <v>0.11251363981798446</v>
      </c>
      <c r="R212" s="1">
        <f>SUM(R126:R137)</f>
        <v>554521</v>
      </c>
      <c r="S212" s="302">
        <f>R212/SUM(R114:R125)-1</f>
        <v>0.1692119872899136</v>
      </c>
      <c r="T212" s="1">
        <f>SUM(T126:T137)</f>
        <v>536975</v>
      </c>
      <c r="U212" s="302">
        <f>T212/SUM(T114:T125)-1</f>
        <v>0.13821836156755007</v>
      </c>
      <c r="V212" s="1">
        <f>SUM(V126:V137)</f>
        <v>13412</v>
      </c>
      <c r="W212" s="302">
        <f>V212/SUM(V114:V125)-1</f>
        <v>9.8713852707462912E-2</v>
      </c>
      <c r="X212" s="303">
        <f>SUM(X126:X137)</f>
        <v>1175472</v>
      </c>
      <c r="Y212" s="302">
        <f>X212/SUM(X114:X125)-1</f>
        <v>8.3059627428290206E-3</v>
      </c>
      <c r="Z212" s="1">
        <f>SUM(Z126:Z137)</f>
        <v>424424</v>
      </c>
      <c r="AA212" s="302">
        <f>Z212/SUM(Z114:Z125)-1</f>
        <v>-2.4332829895473473E-2</v>
      </c>
      <c r="AB212" s="1">
        <f>SUM(AB126:AB137)</f>
        <v>328122</v>
      </c>
      <c r="AC212" s="302">
        <f>AB212/SUM(AB114:AB125)-1</f>
        <v>1.0974858269657384E-2</v>
      </c>
      <c r="AD212" s="1">
        <f>SUM(AD126:AD137)</f>
        <v>385769</v>
      </c>
      <c r="AE212" s="302">
        <f>AD212/SUM(AD114:AD125)-1</f>
        <v>0.40472722505844394</v>
      </c>
      <c r="AF212" s="1">
        <f>SUM(AF126:AF137)</f>
        <v>21700</v>
      </c>
      <c r="AG212" s="302">
        <f>AF212/SUM(AF114:AF125)-1</f>
        <v>-0.22499999999999998</v>
      </c>
      <c r="AH212" s="1">
        <f>SUM(AH126:AH137)</f>
        <v>248654</v>
      </c>
      <c r="AI212" s="302">
        <f>AH212/SUM(AH114:AH125)-1</f>
        <v>0.32941616766467074</v>
      </c>
      <c r="AJ212" s="1">
        <f>SUM(AJ126:AJ137)</f>
        <v>45476</v>
      </c>
      <c r="AK212" s="302">
        <f>AJ212/SUM(AJ114:AJ125)-1</f>
        <v>6.5961308601532043E-3</v>
      </c>
      <c r="AL212" s="1">
        <f>SUM(AL126:AL137)</f>
        <v>34896</v>
      </c>
      <c r="AM212" s="304">
        <f>AL212/SUM(AL114:AL125)-1</f>
        <v>0.15145515739457527</v>
      </c>
      <c r="AN212" s="1">
        <f>SUM(AN126:AN137)</f>
        <v>58472</v>
      </c>
      <c r="AO212" s="302">
        <f>AO126</f>
        <v>6.4404558197109329E-2</v>
      </c>
      <c r="AP212" s="305">
        <v>106870</v>
      </c>
      <c r="AQ212" s="306">
        <f>AQ126</f>
        <v>-5.1048224544703813E-2</v>
      </c>
      <c r="AR212" s="303">
        <f>SUM(AR126:AR137)</f>
        <v>77</v>
      </c>
      <c r="AS212" s="307" t="str">
        <f>IFERROR(AR212/AR211-1,"-")</f>
        <v>-</v>
      </c>
      <c r="AT212" s="1">
        <f>SUM(AT126:AT137)</f>
        <v>858</v>
      </c>
      <c r="AU212" s="302">
        <f t="shared" si="115"/>
        <v>0.43959731543624159</v>
      </c>
      <c r="AV212" s="1">
        <f>SUM(AV126:AV137)</f>
        <v>15366</v>
      </c>
      <c r="AW212" s="302">
        <f>AV212/SUM(AV114)-1</f>
        <v>-0.17754108012631808</v>
      </c>
      <c r="AX212" s="1">
        <f>SUM(AX126:AX137)</f>
        <v>96085</v>
      </c>
      <c r="AY212" s="302">
        <f>AX212/AX211-1</f>
        <v>0.17464761182899546</v>
      </c>
      <c r="AZ212" s="1">
        <f>SUM(AZ126:AZ137)</f>
        <v>11475</v>
      </c>
      <c r="BA212" s="302">
        <f>AZ212/SUM(AZ114:AZ125)-1</f>
        <v>-4.684774482930476E-2</v>
      </c>
      <c r="BB212" s="1"/>
      <c r="BC212" s="302"/>
      <c r="BD212" s="287"/>
      <c r="BE212" s="287"/>
      <c r="BF212" s="287"/>
      <c r="BG212" s="287"/>
      <c r="BH212" s="287"/>
      <c r="BI212" s="287"/>
      <c r="BJ212" s="287"/>
      <c r="BK212" s="287"/>
      <c r="BL212" s="287"/>
      <c r="BM212" s="287"/>
      <c r="BN212" s="287"/>
      <c r="BO212" s="287"/>
      <c r="BP212" s="287"/>
    </row>
    <row r="213" spans="1:68" ht="16.5" customHeight="1" thickBot="1">
      <c r="A213" s="300" t="s">
        <v>116</v>
      </c>
      <c r="B213" s="301" t="s">
        <v>113</v>
      </c>
      <c r="C213" s="1">
        <f>SUM(C138:C149)</f>
        <v>19310430</v>
      </c>
      <c r="D213" s="302">
        <f>C213/C212-1</f>
        <v>0.20084630728394393</v>
      </c>
      <c r="E213" s="14"/>
      <c r="F213" s="1">
        <f>SUM(F138:F149)</f>
        <v>4002095</v>
      </c>
      <c r="G213" s="302">
        <f>F213/F212-1</f>
        <v>0.45250104071660835</v>
      </c>
      <c r="H213" s="1">
        <v>4444389</v>
      </c>
      <c r="I213" s="302">
        <f>H213/H212-1</f>
        <v>6.2818710093980989E-2</v>
      </c>
      <c r="J213" s="1">
        <f>SUM(J138:J149)</f>
        <v>658757</v>
      </c>
      <c r="K213" s="302">
        <f>J213/J212-1</f>
        <v>0.24839297761539103</v>
      </c>
      <c r="L213" s="1">
        <f>SUM(L138:L149)</f>
        <v>1243293</v>
      </c>
      <c r="M213" s="302">
        <f>L213/L212-1</f>
        <v>-6.1980085480402014E-3</v>
      </c>
      <c r="N213" s="1">
        <f>SUM(N138:N149)</f>
        <v>1372989</v>
      </c>
      <c r="O213" s="302">
        <f>N213/N212-1</f>
        <v>0.22973363917194289</v>
      </c>
      <c r="P213" s="1">
        <f>SUM(P138:P149)</f>
        <v>1152349</v>
      </c>
      <c r="Q213" s="302">
        <f>P213/P212-1</f>
        <v>0.38342363281226555</v>
      </c>
      <c r="R213" s="1">
        <f>SUM(R138:R149)</f>
        <v>554144</v>
      </c>
      <c r="S213" s="302">
        <f>R213/R212-1</f>
        <v>-6.7986604655190241E-4</v>
      </c>
      <c r="T213" s="1">
        <f>SUM(T138:T149)</f>
        <v>577082</v>
      </c>
      <c r="U213" s="302">
        <f>T213/T212-1</f>
        <v>7.4690628055309904E-2</v>
      </c>
      <c r="V213" s="1">
        <f>SUM(V138:V149)</f>
        <v>14373</v>
      </c>
      <c r="W213" s="302">
        <f>V213/V212-1</f>
        <v>7.1652251714882098E-2</v>
      </c>
      <c r="X213" s="303">
        <f>SUM(X138:X149)</f>
        <v>1339678</v>
      </c>
      <c r="Y213" s="302">
        <f>X213/SUM(X126:X137)-1</f>
        <v>0.13969367198878402</v>
      </c>
      <c r="Z213" s="1">
        <f>SUM(Z138:Z149)</f>
        <v>395259</v>
      </c>
      <c r="AA213" s="302">
        <f>Z213/Z212-1</f>
        <v>-6.8716660697792808E-2</v>
      </c>
      <c r="AB213" s="1">
        <f>SUM(AB138:AB149)</f>
        <v>353729</v>
      </c>
      <c r="AC213" s="302">
        <f>IFERROR(AB213/AB212-1,"-")</f>
        <v>7.8041094470959083E-2</v>
      </c>
      <c r="AD213" s="1">
        <f>SUM(AD138:AD149)</f>
        <v>421161</v>
      </c>
      <c r="AE213" s="302">
        <f>AD213/SUM(AD126:AD137)-1</f>
        <v>9.1744022977481299E-2</v>
      </c>
      <c r="AF213" s="1">
        <f>SUM(AF138:AF149)</f>
        <v>22600</v>
      </c>
      <c r="AG213" s="302">
        <f>AF213/AF212-1</f>
        <v>4.1474654377880116E-2</v>
      </c>
      <c r="AH213" s="1">
        <f>SUM(AH138:AH149)</f>
        <v>222580</v>
      </c>
      <c r="AI213" s="302">
        <f>AH213/AH212-1</f>
        <v>-0.10486056930513887</v>
      </c>
      <c r="AJ213" s="1">
        <f>SUM(AJ138:AJ149)</f>
        <v>47213</v>
      </c>
      <c r="AK213" s="302">
        <f>AJ213/AJ212-1</f>
        <v>3.8195971501451265E-2</v>
      </c>
      <c r="AL213" s="1">
        <f>SUM(AL138:AL149)</f>
        <v>33001</v>
      </c>
      <c r="AM213" s="302">
        <f>AL213/AL212-1</f>
        <v>-5.4304218248509839E-2</v>
      </c>
      <c r="AN213" s="1">
        <f>SUM(AN138:AN149)</f>
        <v>63715</v>
      </c>
      <c r="AO213" s="302">
        <f>AN213/AN212-1</f>
        <v>8.966684909016287E-2</v>
      </c>
      <c r="AP213" s="305">
        <v>102993</v>
      </c>
      <c r="AQ213" s="306">
        <f>AQ138</f>
        <v>-3.6277720595115581E-2</v>
      </c>
      <c r="AR213" s="303">
        <f>SUM(AR138:AR149)</f>
        <v>38</v>
      </c>
      <c r="AS213" s="302">
        <f>AR213/AR212-1</f>
        <v>-0.50649350649350655</v>
      </c>
      <c r="AT213" s="1">
        <f>SUM(AT138:AT149)</f>
        <v>640</v>
      </c>
      <c r="AU213" s="302">
        <f t="shared" si="115"/>
        <v>-0.25407925407925402</v>
      </c>
      <c r="AV213" s="1">
        <f>SUM(AV138:AV149)</f>
        <v>11521</v>
      </c>
      <c r="AW213" s="302">
        <f>AV213/AV212-1</f>
        <v>-0.2502277756084863</v>
      </c>
      <c r="AX213" s="1">
        <v>165328</v>
      </c>
      <c r="AY213" s="302">
        <f>AX213/AX212-1</f>
        <v>0.7206431805172504</v>
      </c>
      <c r="AZ213" s="1">
        <f>SUM(AZ138:AZ149)</f>
        <v>18112</v>
      </c>
      <c r="BA213" s="307">
        <f>AZ213/AZ212-1</f>
        <v>0.57838779956427011</v>
      </c>
      <c r="BB213" s="1"/>
      <c r="BC213" s="302"/>
    </row>
    <row r="214" spans="1:68" ht="16.5" customHeight="1" thickBot="1">
      <c r="A214" s="300" t="s">
        <v>117</v>
      </c>
      <c r="B214" s="301" t="s">
        <v>113</v>
      </c>
      <c r="C214" s="1">
        <f>SUM(C150:C161)</f>
        <v>22383190</v>
      </c>
      <c r="D214" s="302">
        <f>C214/C213-1</f>
        <v>0.15912436957644127</v>
      </c>
      <c r="E214" s="14"/>
      <c r="F214" s="1">
        <f>IFERROR(SUM(F150:F161),"-")</f>
        <v>5090302</v>
      </c>
      <c r="G214" s="302">
        <f>IFERROR(F214/SUM(F138:F149)-1,"-")</f>
        <v>0.27190933748449253</v>
      </c>
      <c r="H214" s="1">
        <v>4762163</v>
      </c>
      <c r="I214" s="302">
        <f>IFERROR(H214/H213-1,"-")</f>
        <v>7.1500041963023397E-2</v>
      </c>
      <c r="J214" s="1">
        <f>IFERROR(SUM(J150:J161),"-")</f>
        <v>884397</v>
      </c>
      <c r="K214" s="302">
        <f>IFERROR(J214/SUM(J138:J149)-1,"-")</f>
        <v>0.34252387450911348</v>
      </c>
      <c r="L214" s="1">
        <f>IFERROR(SUM(L150:L161),"-")</f>
        <v>1392367</v>
      </c>
      <c r="M214" s="302">
        <f>IFERROR(L214/SUM(L138:L149)-1,"-")</f>
        <v>0.11990254911754517</v>
      </c>
      <c r="N214" s="1">
        <f>IFERROR(SUM(N150:N161),"-")</f>
        <v>1464218</v>
      </c>
      <c r="O214" s="302">
        <f>IFERROR(N214/SUM(N138:N149)-1,"-")</f>
        <v>6.6445543263638607E-2</v>
      </c>
      <c r="P214" s="1">
        <f>IFERROR(SUM(P150:P161),"-")</f>
        <v>1543883</v>
      </c>
      <c r="Q214" s="302">
        <f>IFERROR(P214/SUM(P138:P149)-1,"-")</f>
        <v>0.33977032999551349</v>
      </c>
      <c r="R214" s="1">
        <f>IFERROR(SUM(R150:R161),"-")</f>
        <v>662263</v>
      </c>
      <c r="S214" s="302">
        <f>IFERROR(R214/SUM(R138:R149)-1,"-")</f>
        <v>0.19510993532367049</v>
      </c>
      <c r="T214" s="1">
        <f>IFERROR(SUM(T150:T161),"-")</f>
        <v>566503</v>
      </c>
      <c r="U214" s="302">
        <f>IFERROR(T214/SUM(T138:T149)-1,"-")</f>
        <v>-1.8331883510488978E-2</v>
      </c>
      <c r="V214" s="1">
        <f>IFERROR(SUM(V150:V161),"-")</f>
        <v>14520</v>
      </c>
      <c r="W214" s="302">
        <f>IFERROR(V214/SUM(V138:V149)-1,"-")</f>
        <v>1.0227509914422894E-2</v>
      </c>
      <c r="X214" s="303">
        <f>IFERROR(SUM(X150:X161),"-")</f>
        <v>1475081</v>
      </c>
      <c r="Y214" s="302">
        <f>IFERROR(X214/SUM(X138:X149)-1,"-")</f>
        <v>0.10107130220844107</v>
      </c>
      <c r="Z214" s="1">
        <f>IFERROR(SUM(Z150:Z161),"-")</f>
        <v>357194</v>
      </c>
      <c r="AA214" s="302">
        <f>IFERROR(Z214/SUM(Z138:Z149)-1,"-")</f>
        <v>-9.6303942478223159E-2</v>
      </c>
      <c r="AB214" s="1">
        <f>IFERROR(SUM(AB150:AB161),"-")</f>
        <v>343887</v>
      </c>
      <c r="AC214" s="302">
        <f>IFERROR(AB214/AB213-1,"-")</f>
        <v>-2.7823559843835222E-2</v>
      </c>
      <c r="AD214" s="1">
        <f>IFERROR(SUM(AD150:AD161),"-")</f>
        <v>444439</v>
      </c>
      <c r="AE214" s="302">
        <f>IFERROR(AD214/SUM(AD138:AD149)-1,"-")</f>
        <v>5.5271024620038522E-2</v>
      </c>
      <c r="AF214" s="1">
        <f>SUM(AF150:AF161)</f>
        <v>28300</v>
      </c>
      <c r="AG214" s="302">
        <f>AF214/AF213-1</f>
        <v>0.25221238938053103</v>
      </c>
      <c r="AH214" s="1">
        <f>IFERROR(SUM(AH150:AH161),"-")</f>
        <v>106904</v>
      </c>
      <c r="AI214" s="302">
        <f>IFERROR(AH214/SUM(AH138:AH149)-1,"-")</f>
        <v>-0.51970527450804205</v>
      </c>
      <c r="AJ214" s="1">
        <f>IFERROR(SUM(AJ150:AJ161),"-")</f>
        <v>57587</v>
      </c>
      <c r="AK214" s="302">
        <f>IFERROR(AJ214/SUM(AJ138:AJ149)-1,"-")</f>
        <v>0.21972761739351454</v>
      </c>
      <c r="AL214" s="1">
        <f>IFERROR(SUM(AL150:AL161),"-")</f>
        <v>29580</v>
      </c>
      <c r="AM214" s="302">
        <f>IFERROR(AL214/SUM(AL138:AL149)-1,"-")</f>
        <v>-0.10366352534771672</v>
      </c>
      <c r="AN214" s="1">
        <f>SUM(AN150)</f>
        <v>64397</v>
      </c>
      <c r="AO214" s="302">
        <f>AN214/AN213-1</f>
        <v>1.0703915875382553E-2</v>
      </c>
      <c r="AP214" s="305">
        <v>111076</v>
      </c>
      <c r="AQ214" s="306">
        <f>(AP150/AP138-1)</f>
        <v>7.8481061819735354E-2</v>
      </c>
      <c r="AR214" s="303">
        <f>IFERROR(SUM(AR150:AR161),"-")</f>
        <v>167</v>
      </c>
      <c r="AS214" s="302">
        <f>IFERROR(AR214/SUM(AR138:AR149)-1,"-")</f>
        <v>3.3947368421052628</v>
      </c>
      <c r="AT214" s="1">
        <f>AT150</f>
        <v>1035</v>
      </c>
      <c r="AU214" s="302">
        <f t="shared" si="115"/>
        <v>0.6171875</v>
      </c>
      <c r="AV214" s="1">
        <f>SUM(AV150:AV161)</f>
        <v>10671</v>
      </c>
      <c r="AW214" s="302">
        <f>AV214/AV213-1</f>
        <v>-7.3778317854352959E-2</v>
      </c>
      <c r="AX214" s="1">
        <f>SUM(AX150)</f>
        <v>173260</v>
      </c>
      <c r="AY214" s="302">
        <f>AX214/AX213-1</f>
        <v>4.7977354108197146E-2</v>
      </c>
      <c r="AZ214" s="1"/>
      <c r="BA214" s="302"/>
      <c r="BB214" s="1"/>
      <c r="BC214" s="302"/>
    </row>
    <row r="215" spans="1:68" ht="18" thickBot="1">
      <c r="A215" s="300" t="s">
        <v>90</v>
      </c>
      <c r="B215" s="301" t="s">
        <v>113</v>
      </c>
      <c r="C215" s="1">
        <f>SUM(C162:C173)</f>
        <v>26496447</v>
      </c>
      <c r="D215" s="302">
        <f>C215/C214-1</f>
        <v>0.18376545076908157</v>
      </c>
      <c r="E215" s="14"/>
      <c r="F215" s="1">
        <f>SUM(F162:F173)</f>
        <v>7140438</v>
      </c>
      <c r="G215" s="302">
        <f>F215/SUM(F150:F161)-1</f>
        <v>0.40275331404698589</v>
      </c>
      <c r="H215" s="1">
        <v>3854869</v>
      </c>
      <c r="I215" s="302">
        <f>IFERROR(H215/H214-1,"-")</f>
        <v>-0.19052140802404283</v>
      </c>
      <c r="J215" s="1">
        <f>SUM(J162:J173)</f>
        <v>1054380</v>
      </c>
      <c r="K215" s="302">
        <f>J215/SUM(J150:J161)-1</f>
        <v>0.19220214451202344</v>
      </c>
      <c r="L215" s="1">
        <f>SUM(L162:L173)</f>
        <v>1487670</v>
      </c>
      <c r="M215" s="302">
        <f>L215/SUM(L150:L161)-1</f>
        <v>6.8446752903508878E-2</v>
      </c>
      <c r="N215" s="1">
        <f>IFERROR(SUM(N162:N173),"-")</f>
        <v>1717867</v>
      </c>
      <c r="O215" s="302">
        <f>IFERROR(N215/SUM(N150:N161)-1,"-")</f>
        <v>0.1732317182277503</v>
      </c>
      <c r="P215" s="1">
        <f>SUM(P162:P173)</f>
        <v>2415245</v>
      </c>
      <c r="Q215" s="302">
        <f>P215/SUM(P150:P161)-1</f>
        <v>0.56439639532270247</v>
      </c>
      <c r="R215" s="1">
        <f>SUM(R162:R173)</f>
        <v>874253</v>
      </c>
      <c r="S215" s="302">
        <f>R215/SUM(R150:R161)-1</f>
        <v>0.32009941669699193</v>
      </c>
      <c r="T215" s="1">
        <f>SUM(T162:T173)</f>
        <v>631297</v>
      </c>
      <c r="U215" s="302">
        <f>T215/SUM(T150:T161)-1</f>
        <v>0.11437538724419816</v>
      </c>
      <c r="V215" s="1">
        <f>SUM(V162:V173)</f>
        <v>15963</v>
      </c>
      <c r="W215" s="302">
        <f>V215/SUM(V150:V161)-1</f>
        <v>9.9380165289256306E-2</v>
      </c>
      <c r="X215" s="1">
        <f>SUM(X162:X173)</f>
        <v>1607821</v>
      </c>
      <c r="Y215" s="302">
        <f>X215/SUM(X150:X161)-1</f>
        <v>8.9988278609784755E-2</v>
      </c>
      <c r="Z215" s="1">
        <f>SUM(Z162:Z173)</f>
        <v>345081</v>
      </c>
      <c r="AA215" s="302">
        <f>Z215/SUM(Z150:Z161)-1</f>
        <v>-3.3911543866918303E-2</v>
      </c>
      <c r="AB215" s="1">
        <f>SUM(AB162:AB173)</f>
        <v>423191</v>
      </c>
      <c r="AC215" s="302">
        <f>AB215/SUM(AB150:AB161)-1</f>
        <v>0.23061063663354542</v>
      </c>
      <c r="AD215" s="1">
        <f>SUM(AD162:AD173)</f>
        <v>484528</v>
      </c>
      <c r="AE215" s="302">
        <f>AD215/SUM(AD150:AD161)-1</f>
        <v>9.0201354966598313E-2</v>
      </c>
      <c r="AF215" s="1">
        <f>SUM(AF162:AF173)</f>
        <v>40300</v>
      </c>
      <c r="AG215" s="302">
        <f>AF215/SUM(AF150:AF161)-1</f>
        <v>0.42402826855123665</v>
      </c>
      <c r="AH215" s="1">
        <f>SUM(AH162:AH173)</f>
        <v>120622</v>
      </c>
      <c r="AI215" s="302">
        <f>AH215/SUM(AH150:AH161)-1</f>
        <v>0.12832073636159547</v>
      </c>
      <c r="AJ215" s="1">
        <f>SUM(AJ162:AJ173)</f>
        <v>74921</v>
      </c>
      <c r="AK215" s="302">
        <f>AJ215/SUM(AJ150:AJ161)-1</f>
        <v>0.30100543525448442</v>
      </c>
      <c r="AL215" s="1">
        <f>SUM(AL162:AL173)</f>
        <v>34808</v>
      </c>
      <c r="AM215" s="302">
        <f>AL215/SUM(AL150:AL161)-1</f>
        <v>0.17674104124408374</v>
      </c>
      <c r="AN215" s="1">
        <f>SUM(AN162)</f>
        <v>65829</v>
      </c>
      <c r="AO215" s="302">
        <f>AN215/AN214-1</f>
        <v>2.2237060732642755E-2</v>
      </c>
      <c r="AP215" s="305">
        <f>AP162</f>
        <v>142383</v>
      </c>
      <c r="AQ215" s="302">
        <f>AP215/AP214-1</f>
        <v>0.28185206525261974</v>
      </c>
      <c r="AR215" s="303"/>
      <c r="AS215" s="302"/>
      <c r="AT215" s="1">
        <f>AT162</f>
        <v>6048</v>
      </c>
      <c r="AU215" s="302">
        <f t="shared" si="115"/>
        <v>4.8434782608695652</v>
      </c>
      <c r="AV215" s="1">
        <f>SUM(AV162:AV173)</f>
        <v>15660</v>
      </c>
      <c r="AW215" s="302">
        <f>AV215/AV214-1</f>
        <v>0.46752881641833</v>
      </c>
      <c r="AX215" s="1">
        <f>AX162</f>
        <v>170571</v>
      </c>
      <c r="AY215" s="302">
        <f t="shared" ref="AY215:AY216" si="122">AX215/AX214-1</f>
        <v>-1.5520027704028605E-2</v>
      </c>
      <c r="AZ215" s="1"/>
      <c r="BA215" s="302"/>
      <c r="BB215" s="1"/>
      <c r="BC215" s="302"/>
    </row>
    <row r="216" spans="1:68" ht="18" thickBot="1">
      <c r="A216" s="300" t="s">
        <v>118</v>
      </c>
      <c r="B216" s="301" t="s">
        <v>113</v>
      </c>
      <c r="C216" s="1">
        <f>SUM(C174:C185)</f>
        <v>28695983</v>
      </c>
      <c r="D216" s="302">
        <f ca="1">C216/SUM(OFFSET(C$162,0,0,COUNTIF(C$174:C$185,"&gt;0")))-1</f>
        <v>8.3012488429109021E-2</v>
      </c>
      <c r="E216" s="14"/>
      <c r="F216" s="1">
        <f>SUM(F174:F185)</f>
        <v>7538952</v>
      </c>
      <c r="G216" s="302">
        <f ca="1">F216/SUM(OFFSET(F$162,0,0,COUNTIF(F$174:F$185,"&gt;0")))-1</f>
        <v>5.5810862022749763E-2</v>
      </c>
      <c r="H216" s="1"/>
      <c r="I216" s="302"/>
      <c r="J216" s="1">
        <f>SUM(J174:J185)</f>
        <v>1019122</v>
      </c>
      <c r="K216" s="302">
        <f ca="1">J216/SUM(OFFSET(J$162,0,0,COUNTIF(J$174:J$185,"&gt;0")))-1</f>
        <v>-3.3439556895995759E-2</v>
      </c>
      <c r="L216" s="1">
        <f>SUM(L174:L185)</f>
        <v>1421411</v>
      </c>
      <c r="M216" s="302">
        <f ca="1">L216/SUM(OFFSET(L$162,0,0,COUNTIF(L$174:L$185,"&gt;0")))-1</f>
        <v>-4.4538775400458475E-2</v>
      </c>
      <c r="N216" s="1">
        <f>SUM(N174:N185)</f>
        <v>1787818</v>
      </c>
      <c r="O216" s="302">
        <f ca="1">N216/SUM(OFFSET(N$162,0,0,COUNTIF(N$174:N$185,"&gt;0")))-1</f>
        <v>4.0719683188512157E-2</v>
      </c>
      <c r="P216" s="1">
        <f>SUM(P174:P185)</f>
        <v>3435406</v>
      </c>
      <c r="Q216" s="302">
        <f ca="1">P216/SUM(OFFSET(P$162,0,0,COUNTIF(P$174:P$185,"&gt;0")))-1</f>
        <v>0.42238406455659772</v>
      </c>
      <c r="R216" s="1">
        <f>SUM(R174:R185)</f>
        <v>812842</v>
      </c>
      <c r="S216" s="302">
        <f ca="1">R216/SUM(OFFSET(R$162,0,0,COUNTIF(R$174:R$185,"&gt;0")))-1</f>
        <v>-7.0243968279205204E-2</v>
      </c>
      <c r="T216" s="1">
        <f>SUM(T174:T185)</f>
        <v>629451</v>
      </c>
      <c r="U216" s="302">
        <f ca="1">T216/SUM(OFFSET(T$162,0,0,COUNTIF(T$174:T$185,"&gt;0")))-1</f>
        <v>-2.9241387175925615E-3</v>
      </c>
      <c r="V216" s="1">
        <f>SUM(V174:V185)</f>
        <v>15748</v>
      </c>
      <c r="W216" s="302">
        <f ca="1">V216/SUM(OFFSET(V$162,0,0,COUNTIF(V$174:V$185,"&gt;0")))-1</f>
        <v>-1.3468646244440219E-2</v>
      </c>
      <c r="X216" s="1">
        <f>SUM(X174:X185)</f>
        <v>1587959</v>
      </c>
      <c r="Y216" s="302">
        <f ca="1">X216/SUM(OFFSET(X$162,0,0,COUNTIF(X$174:X$185,"&gt;0")))-1</f>
        <v>-1.2353365206699052E-2</v>
      </c>
      <c r="Z216" s="1">
        <f>SUM(Z174)</f>
        <v>301770</v>
      </c>
      <c r="AA216" s="302">
        <f>Z216/SUM(Z151:Z162)-1</f>
        <v>-0.14978319851915711</v>
      </c>
      <c r="AB216" s="1">
        <f>SUM(AB174:AB185)</f>
        <v>358885</v>
      </c>
      <c r="AC216" s="302">
        <f ca="1">AB216/SUM(OFFSET(AB$162,0,0,COUNTIF(AB$174:AB$185,"&gt;0")))-1</f>
        <v>-0.15195502739897593</v>
      </c>
      <c r="AD216" s="1">
        <f>SUM(AD174:AD185)</f>
        <v>616783</v>
      </c>
      <c r="AE216" s="302">
        <f ca="1">AD216/SUM(OFFSET(AD$162,0,0,COUNTIF(AD$174:AD$185,"&gt;0")))-1</f>
        <v>0.27295636165505388</v>
      </c>
      <c r="AF216" s="1">
        <f>SUM(AF174:AF185)</f>
        <v>45600</v>
      </c>
      <c r="AG216" s="302">
        <f ca="1">AF216/SUM(OFFSET(AF$162,0,0,COUNTIF(AF$174:AF$185,"&gt;0")))-1</f>
        <v>0.13151364764267992</v>
      </c>
      <c r="AH216" s="1">
        <f>SUM(AH174:AH185)</f>
        <v>159354</v>
      </c>
      <c r="AI216" s="302">
        <f ca="1">AH216/SUM(OFFSET(AH$162,0,0,COUNTIF(AH$174:AH$185,"&gt;0")))-1</f>
        <v>0.32110228648173633</v>
      </c>
      <c r="AJ216" s="1">
        <f>SUM(AJ174:AJ185)</f>
        <v>86013</v>
      </c>
      <c r="AK216" s="302">
        <f>AJ216/SUM(AJ162:AJ173)-1</f>
        <v>0.14804927857343064</v>
      </c>
      <c r="AL216" s="1">
        <f>SUM(AL174:AL185)</f>
        <v>34400</v>
      </c>
      <c r="AM216" s="302">
        <f ca="1">AL216/SUM(OFFSET(AL$162,0,0,COUNTIF(AL$174:AL$185,"&gt;0")))-1</f>
        <v>-1.1721443346357163E-2</v>
      </c>
      <c r="AN216" s="1">
        <f>SUM(AN174:AN185)</f>
        <v>72852</v>
      </c>
      <c r="AO216" s="302">
        <f>AO174</f>
        <v>0.10668550334958748</v>
      </c>
      <c r="AP216" s="305"/>
      <c r="AQ216" s="306"/>
      <c r="AR216" s="303"/>
      <c r="AS216" s="302"/>
      <c r="AT216" s="1"/>
      <c r="AU216" s="302"/>
      <c r="AV216" s="1"/>
      <c r="AW216" s="302"/>
      <c r="AX216" s="1">
        <f>AX174</f>
        <v>174405</v>
      </c>
      <c r="AY216" s="302">
        <f t="shared" si="122"/>
        <v>2.2477443410661824E-2</v>
      </c>
      <c r="AZ216" s="1"/>
      <c r="BA216" s="302"/>
      <c r="BB216" s="1"/>
      <c r="BC216" s="302"/>
    </row>
    <row r="217" spans="1:68" ht="18" thickBot="1">
      <c r="A217" s="300" t="s">
        <v>119</v>
      </c>
      <c r="B217" s="301" t="s">
        <v>113</v>
      </c>
      <c r="C217" s="1">
        <f>SUM(C186:C197)</f>
        <v>15007849</v>
      </c>
      <c r="D217" s="302">
        <f ca="1">C217/SUM(OFFSET(C$174,0,0,COUNTIF(C$186:C$197,"&gt;0")))-1</f>
        <v>4.8319287962752533E-2</v>
      </c>
      <c r="E217" s="14"/>
      <c r="F217" s="1">
        <f>SUM(F186:F197)</f>
        <v>3862697</v>
      </c>
      <c r="G217" s="302">
        <f ca="1">IFERROR(F217/SUM(OFFSET(F$174,0,0,COUNTIF(F$186:F$197,"&gt;0")))-1,"-")</f>
        <v>-3.8261664139509044E-2</v>
      </c>
      <c r="H217" s="1"/>
      <c r="I217" s="302"/>
      <c r="J217" s="1">
        <f>SUM(J186:J197)</f>
        <v>555565</v>
      </c>
      <c r="K217" s="302">
        <f ca="1">IFERROR(J217/SUM(OFFSET(J$174,0,0,COUNTIF(J$186:J$197,"&gt;0")))-1,"-")</f>
        <v>9.4403142371986659E-2</v>
      </c>
      <c r="L217" s="1">
        <f>SUM(L186:L197)</f>
        <v>644871</v>
      </c>
      <c r="M217" s="302">
        <f ca="1">IFERROR(L217/SUM(OFFSET(L$174,0,0,COUNTIF(L$186:L$197,"&gt;0")))-1,"-")</f>
        <v>1.3399984913820218E-2</v>
      </c>
      <c r="N217" s="1">
        <f>SUM(N186:N197)</f>
        <v>907387</v>
      </c>
      <c r="O217" s="302">
        <f ca="1">IFERROR(N217/SUM(OFFSET(N$174,0,0,COUNTIF(N$186:N$197,"&gt;0")))-1,"-")</f>
        <v>2.9328453954645006E-2</v>
      </c>
      <c r="P217" s="1">
        <f>SUM(P186:P197)</f>
        <v>2078602</v>
      </c>
      <c r="Q217" s="302">
        <f ca="1">IFERROR(P217/SUM(OFFSET(P$174,0,0,COUNTIF(P$186:P$197,"&gt;0")))-1,"-")</f>
        <v>0.21300020308075851</v>
      </c>
      <c r="R217" s="1">
        <f>SUM(R186:R197)</f>
        <v>450140</v>
      </c>
      <c r="S217" s="302">
        <f ca="1">IFERROR(R217/SUM(OFFSET(R$174,0,0,COUNTIF(R$186:R$197,"&gt;0")))-1,"-")</f>
        <v>6.177114390308347E-2</v>
      </c>
      <c r="T217" s="1">
        <f>SUM(T186:T197)</f>
        <v>264985</v>
      </c>
      <c r="U217" s="302">
        <f ca="1">IFERROR(T217/SUM(OFFSET(T$174,0,0,COUNTIF(T$186:T$197,"&gt;0")))-1,"-")</f>
        <v>-1.5145320746301927E-2</v>
      </c>
      <c r="V217" s="1">
        <f>SUM(V186:V197)</f>
        <v>6594</v>
      </c>
      <c r="W217" s="302">
        <f ca="1">IFERROR(V217/SUM(OFFSET(V$174,0,0,COUNTIF(V$186:V$197,"&gt;0")))-1,"-")</f>
        <v>-0.16847414880201761</v>
      </c>
      <c r="X217" s="1"/>
      <c r="Y217" s="302"/>
      <c r="Z217" s="1"/>
      <c r="AA217" s="302"/>
      <c r="AB217" s="1">
        <f>SUM(AB186:AB197)</f>
        <v>145784</v>
      </c>
      <c r="AC217" s="302">
        <f ca="1">IFERROR(AB217/SUM(OFFSET(AB$174,0,0,COUNTIF(AB$186:AB$197,"&gt;0")))-1,"-")</f>
        <v>1.5973015917263744E-2</v>
      </c>
      <c r="AD217" s="1">
        <f>SUM(AD186:AD197)</f>
        <v>270687</v>
      </c>
      <c r="AE217" s="302">
        <f ca="1">IFERROR(AD217/SUM(OFFSET(AD$174,0,0,COUNTIF(AD$186:AD$197,"&gt;0")))-1,"-")</f>
        <v>0.10228489752371028</v>
      </c>
      <c r="AF217" s="1"/>
      <c r="AG217" s="302"/>
      <c r="AH217" s="1">
        <f>SUM(AH186:AH197)</f>
        <v>83866</v>
      </c>
      <c r="AI217" s="302">
        <f ca="1">IFERROR(AH217/SUM(OFFSET(AH$174,0,0,COUNTIF(AH$186:AH$197,"&gt;0")))-1,"-")</f>
        <v>0.41646399135251988</v>
      </c>
      <c r="AJ217" s="1">
        <f>SUM(AJ186:AJ197)</f>
        <v>29881</v>
      </c>
      <c r="AK217" s="302">
        <f>AJ217/SUM(AJ174:AJ179)-1</f>
        <v>6.5466215011588558E-2</v>
      </c>
      <c r="AL217" s="1">
        <f>SUM(AL186:AL197)</f>
        <v>17358</v>
      </c>
      <c r="AM217" s="302">
        <f ca="1">IFERROR(AL217/SUM(OFFSET(AL$174,0,0,COUNTIF(AL$186:AL$197,"&gt;0")))-1,"-")</f>
        <v>9.066918001885016E-2</v>
      </c>
      <c r="AN217" s="1">
        <f>SUM(AN186:AN197)</f>
        <v>59568</v>
      </c>
      <c r="AO217" s="302">
        <f ca="1">IFERROR(AN217/SUM(OFFSET(AN$174,0,0,COUNTIF(AN$186:AN$197,"&gt;0")))-1,"-")</f>
        <v>0.84175864947592993</v>
      </c>
      <c r="AP217" s="305"/>
      <c r="AQ217" s="306"/>
      <c r="AR217" s="303"/>
      <c r="AS217" s="302"/>
      <c r="AT217" s="1"/>
      <c r="AU217" s="302"/>
      <c r="AV217" s="1"/>
      <c r="AW217" s="302"/>
      <c r="AX217" s="1"/>
      <c r="AY217" s="302"/>
      <c r="AZ217" s="1"/>
      <c r="BA217" s="302"/>
      <c r="BB217" s="1"/>
      <c r="BC217" s="302"/>
    </row>
    <row r="218" spans="1:68">
      <c r="F218" s="309"/>
      <c r="H218" s="310"/>
      <c r="P218" s="309"/>
      <c r="Q218" s="309"/>
      <c r="X218" s="309"/>
      <c r="Z218" s="309"/>
      <c r="AB218" s="312"/>
      <c r="AD218" s="309"/>
      <c r="AL218" s="309"/>
    </row>
    <row r="219" spans="1:68" s="308" customFormat="1">
      <c r="C219" s="313"/>
      <c r="F219" s="313"/>
      <c r="H219" s="314"/>
      <c r="J219" s="313"/>
      <c r="L219" s="313"/>
      <c r="N219" s="313"/>
      <c r="P219" s="315"/>
      <c r="R219" s="315"/>
      <c r="T219" s="315"/>
      <c r="V219" s="316"/>
      <c r="W219" s="313"/>
      <c r="Z219" s="313"/>
      <c r="AB219" s="315"/>
      <c r="AD219" s="315"/>
      <c r="AH219" s="315"/>
      <c r="AJ219" s="315"/>
      <c r="AK219" s="317"/>
      <c r="AL219" s="315"/>
      <c r="AN219" s="315"/>
      <c r="AZ219" s="316"/>
    </row>
    <row r="220" spans="1:68" s="308" customFormat="1">
      <c r="F220" s="313"/>
      <c r="V220" s="316"/>
      <c r="Z220" s="313"/>
      <c r="AB220" s="313"/>
      <c r="AJ220" s="313"/>
      <c r="AZ220" s="316"/>
    </row>
    <row r="221" spans="1:68" s="308" customFormat="1">
      <c r="J221" s="318"/>
      <c r="T221" s="319"/>
      <c r="U221" s="319"/>
      <c r="V221" s="316"/>
      <c r="Z221" s="319"/>
      <c r="AA221" s="319"/>
      <c r="AC221" s="319"/>
      <c r="AJ221" s="319"/>
      <c r="AK221" s="319"/>
      <c r="AN221" s="319"/>
      <c r="AO221" s="319"/>
      <c r="AP221" s="319"/>
      <c r="AQ221" s="319"/>
      <c r="AZ221" s="316"/>
    </row>
    <row r="222" spans="1:68" s="308" customFormat="1">
      <c r="J222" s="318"/>
      <c r="V222" s="316"/>
      <c r="AZ222" s="316"/>
    </row>
    <row r="223" spans="1:68" s="308" customFormat="1">
      <c r="V223" s="316"/>
      <c r="AZ223" s="316"/>
    </row>
    <row r="224" spans="1:68" s="308" customFormat="1">
      <c r="V224" s="316"/>
      <c r="AD224" s="320"/>
      <c r="AZ224" s="316"/>
    </row>
    <row r="225" spans="22:52" s="308" customFormat="1">
      <c r="V225" s="316"/>
      <c r="AZ225" s="316"/>
    </row>
    <row r="226" spans="22:52" s="308" customFormat="1">
      <c r="V226" s="316"/>
      <c r="AZ226" s="316"/>
    </row>
    <row r="227" spans="22:52" s="308" customFormat="1">
      <c r="V227" s="316"/>
      <c r="AZ227" s="316"/>
    </row>
    <row r="228" spans="22:52" s="308" customFormat="1">
      <c r="V228" s="316"/>
      <c r="AZ228" s="316"/>
    </row>
    <row r="229" spans="22:52" s="308" customFormat="1">
      <c r="V229" s="316"/>
      <c r="AZ229" s="316"/>
    </row>
    <row r="230" spans="22:52" s="308" customFormat="1">
      <c r="V230" s="316"/>
      <c r="AZ230" s="316"/>
    </row>
    <row r="231" spans="22:52" s="308" customFormat="1">
      <c r="V231" s="316"/>
      <c r="AZ231" s="316"/>
    </row>
    <row r="232" spans="22:52" s="308" customFormat="1">
      <c r="V232" s="316"/>
      <c r="AZ232" s="316"/>
    </row>
    <row r="233" spans="22:52" s="308" customFormat="1">
      <c r="V233" s="316"/>
      <c r="AZ233" s="316"/>
    </row>
    <row r="234" spans="22:52" s="308" customFormat="1">
      <c r="V234" s="316"/>
      <c r="AZ234" s="316"/>
    </row>
    <row r="235" spans="22:52" s="308" customFormat="1">
      <c r="V235" s="316"/>
      <c r="AZ235" s="316"/>
    </row>
    <row r="236" spans="22:52" s="308" customFormat="1">
      <c r="V236" s="316"/>
      <c r="AZ236" s="316"/>
    </row>
    <row r="237" spans="22:52" s="308" customFormat="1">
      <c r="V237" s="316"/>
      <c r="AZ237" s="316"/>
    </row>
    <row r="238" spans="22:52" s="308" customFormat="1">
      <c r="V238" s="316"/>
      <c r="AZ238" s="316"/>
    </row>
    <row r="239" spans="22:52" s="308" customFormat="1">
      <c r="V239" s="316"/>
      <c r="AZ239" s="316"/>
    </row>
    <row r="240" spans="22:52" s="308" customFormat="1">
      <c r="V240" s="316"/>
      <c r="AZ240" s="316"/>
    </row>
    <row r="241" spans="22:52" s="308" customFormat="1">
      <c r="V241" s="316"/>
      <c r="AZ241" s="316"/>
    </row>
    <row r="242" spans="22:52" s="308" customFormat="1">
      <c r="V242" s="316"/>
      <c r="AZ242" s="316"/>
    </row>
    <row r="243" spans="22:52" s="308" customFormat="1">
      <c r="V243" s="316"/>
      <c r="AZ243" s="316"/>
    </row>
    <row r="244" spans="22:52" s="308" customFormat="1">
      <c r="V244" s="316"/>
      <c r="AZ244" s="316"/>
    </row>
    <row r="245" spans="22:52" s="308" customFormat="1">
      <c r="V245" s="316"/>
      <c r="AZ245" s="316"/>
    </row>
    <row r="246" spans="22:52" s="308" customFormat="1">
      <c r="V246" s="316"/>
      <c r="AZ246" s="316"/>
    </row>
    <row r="247" spans="22:52" s="308" customFormat="1">
      <c r="V247" s="316"/>
      <c r="AZ247" s="316"/>
    </row>
    <row r="248" spans="22:52" s="308" customFormat="1">
      <c r="V248" s="316"/>
      <c r="AZ248" s="316"/>
    </row>
    <row r="249" spans="22:52" s="308" customFormat="1">
      <c r="V249" s="316"/>
      <c r="AZ249" s="316"/>
    </row>
    <row r="250" spans="22:52" s="308" customFormat="1">
      <c r="V250" s="316"/>
      <c r="AZ250" s="316"/>
    </row>
    <row r="251" spans="22:52" s="308" customFormat="1">
      <c r="V251" s="316"/>
      <c r="AZ251" s="316"/>
    </row>
    <row r="252" spans="22:52" s="308" customFormat="1">
      <c r="V252" s="316"/>
      <c r="AZ252" s="316"/>
    </row>
    <row r="253" spans="22:52" s="308" customFormat="1">
      <c r="V253" s="316"/>
      <c r="AZ253" s="316"/>
    </row>
    <row r="254" spans="22:52" s="308" customFormat="1">
      <c r="V254" s="316"/>
      <c r="AZ254" s="316"/>
    </row>
    <row r="255" spans="22:52" s="308" customFormat="1">
      <c r="V255" s="316"/>
      <c r="AZ255" s="316"/>
    </row>
    <row r="256" spans="22:52" s="308" customFormat="1">
      <c r="V256" s="316"/>
      <c r="AZ256" s="316"/>
    </row>
  </sheetData>
  <mergeCells count="310">
    <mergeCell ref="A186:A197"/>
    <mergeCell ref="AJ186:AJ188"/>
    <mergeCell ref="AK186:AK188"/>
    <mergeCell ref="AJ189:AJ191"/>
    <mergeCell ref="AK189:AK191"/>
    <mergeCell ref="AJ192:AJ194"/>
    <mergeCell ref="AK192:AK194"/>
    <mergeCell ref="AJ195:AJ197"/>
    <mergeCell ref="AK195:AK197"/>
    <mergeCell ref="AX174:AX185"/>
    <mergeCell ref="AY174:AY185"/>
    <mergeCell ref="AJ177:AJ179"/>
    <mergeCell ref="AK177:AK179"/>
    <mergeCell ref="AJ180:AJ182"/>
    <mergeCell ref="AK180:AK182"/>
    <mergeCell ref="AJ183:AJ185"/>
    <mergeCell ref="AK183:AK185"/>
    <mergeCell ref="A174:A185"/>
    <mergeCell ref="Z174:Z185"/>
    <mergeCell ref="AA174:AA185"/>
    <mergeCell ref="AJ174:AJ176"/>
    <mergeCell ref="AK174:AK176"/>
    <mergeCell ref="AO174:AO185"/>
    <mergeCell ref="AW162:AW173"/>
    <mergeCell ref="AX162:AX173"/>
    <mergeCell ref="AY162:AY173"/>
    <mergeCell ref="AJ165:AJ167"/>
    <mergeCell ref="AK165:AK167"/>
    <mergeCell ref="Z167:Z173"/>
    <mergeCell ref="AA167:AA173"/>
    <mergeCell ref="AJ168:AJ170"/>
    <mergeCell ref="AK168:AK170"/>
    <mergeCell ref="AJ171:AJ173"/>
    <mergeCell ref="AO162:AO173"/>
    <mergeCell ref="AP162:AP173"/>
    <mergeCell ref="AQ162:AQ173"/>
    <mergeCell ref="AT162:AT173"/>
    <mergeCell ref="AU162:AU173"/>
    <mergeCell ref="AV162:AV173"/>
    <mergeCell ref="A162:A173"/>
    <mergeCell ref="H162:H173"/>
    <mergeCell ref="I162:I173"/>
    <mergeCell ref="AJ162:AJ164"/>
    <mergeCell ref="AK162:AK164"/>
    <mergeCell ref="AN162:AN173"/>
    <mergeCell ref="AK171:AK173"/>
    <mergeCell ref="AY150:AY161"/>
    <mergeCell ref="H152:H161"/>
    <mergeCell ref="I152:I161"/>
    <mergeCell ref="AJ153:AJ155"/>
    <mergeCell ref="AK153:AK155"/>
    <mergeCell ref="AJ156:AJ158"/>
    <mergeCell ref="AK156:AK158"/>
    <mergeCell ref="AJ159:AJ161"/>
    <mergeCell ref="AK159:AK161"/>
    <mergeCell ref="AQ150:AQ161"/>
    <mergeCell ref="AT150:AT161"/>
    <mergeCell ref="AU150:AU161"/>
    <mergeCell ref="AV150:AV161"/>
    <mergeCell ref="AW150:AW161"/>
    <mergeCell ref="AX150:AX161"/>
    <mergeCell ref="A150:A161"/>
    <mergeCell ref="AJ150:AJ152"/>
    <mergeCell ref="AK150:AK152"/>
    <mergeCell ref="AN150:AN161"/>
    <mergeCell ref="AO150:AO161"/>
    <mergeCell ref="AP150:AP161"/>
    <mergeCell ref="AY138:AY149"/>
    <mergeCell ref="AJ141:AJ143"/>
    <mergeCell ref="AK141:AK143"/>
    <mergeCell ref="AJ144:AJ146"/>
    <mergeCell ref="AK144:AK146"/>
    <mergeCell ref="AJ147:AJ149"/>
    <mergeCell ref="AK147:AK149"/>
    <mergeCell ref="AQ138:AQ149"/>
    <mergeCell ref="AT138:AT149"/>
    <mergeCell ref="AU138:AU149"/>
    <mergeCell ref="AV138:AV149"/>
    <mergeCell ref="AW138:AW149"/>
    <mergeCell ref="AX138:AX149"/>
    <mergeCell ref="A138:A149"/>
    <mergeCell ref="AJ138:AJ140"/>
    <mergeCell ref="AK138:AK140"/>
    <mergeCell ref="AN138:AN149"/>
    <mergeCell ref="AO138:AO149"/>
    <mergeCell ref="AP138:AP149"/>
    <mergeCell ref="AV126:AV137"/>
    <mergeCell ref="AW126:AW137"/>
    <mergeCell ref="AX126:AX137"/>
    <mergeCell ref="AY126:AY137"/>
    <mergeCell ref="AJ129:AJ131"/>
    <mergeCell ref="AK129:AK131"/>
    <mergeCell ref="AJ132:AJ134"/>
    <mergeCell ref="AK132:AK134"/>
    <mergeCell ref="AJ135:AJ137"/>
    <mergeCell ref="AK135:AK137"/>
    <mergeCell ref="AN126:AN137"/>
    <mergeCell ref="AO126:AO137"/>
    <mergeCell ref="AP126:AP137"/>
    <mergeCell ref="AQ126:AQ137"/>
    <mergeCell ref="AT126:AT137"/>
    <mergeCell ref="AU126:AU137"/>
    <mergeCell ref="AJ120:AJ122"/>
    <mergeCell ref="AK120:AK122"/>
    <mergeCell ref="AJ123:AJ125"/>
    <mergeCell ref="AK123:AK125"/>
    <mergeCell ref="A126:A137"/>
    <mergeCell ref="AJ126:AJ128"/>
    <mergeCell ref="AK126:AK128"/>
    <mergeCell ref="AT114:AT125"/>
    <mergeCell ref="AU114:AU125"/>
    <mergeCell ref="AV114:AV125"/>
    <mergeCell ref="AW114:AW125"/>
    <mergeCell ref="AX114:AX125"/>
    <mergeCell ref="AY114:AY125"/>
    <mergeCell ref="A114:A125"/>
    <mergeCell ref="AA114:AA120"/>
    <mergeCell ref="AJ114:AJ116"/>
    <mergeCell ref="AK114:AK116"/>
    <mergeCell ref="AP114:AP125"/>
    <mergeCell ref="AQ114:AQ125"/>
    <mergeCell ref="AJ117:AJ119"/>
    <mergeCell ref="AK117:AK119"/>
    <mergeCell ref="AN118:AN125"/>
    <mergeCell ref="AO118:AO125"/>
    <mergeCell ref="AY102:AY113"/>
    <mergeCell ref="AJ105:AJ107"/>
    <mergeCell ref="AK105:AK107"/>
    <mergeCell ref="AJ108:AJ110"/>
    <mergeCell ref="AK108:AK110"/>
    <mergeCell ref="AJ111:AJ113"/>
    <mergeCell ref="AK111:AK113"/>
    <mergeCell ref="AQ102:AQ113"/>
    <mergeCell ref="AT102:AT113"/>
    <mergeCell ref="AU102:AU113"/>
    <mergeCell ref="AV102:AV113"/>
    <mergeCell ref="AW102:AW113"/>
    <mergeCell ref="AX102:AX113"/>
    <mergeCell ref="A102:A113"/>
    <mergeCell ref="Z102:Z108"/>
    <mergeCell ref="AA102:AA108"/>
    <mergeCell ref="AJ102:AJ104"/>
    <mergeCell ref="AK102:AK104"/>
    <mergeCell ref="AP102:AP113"/>
    <mergeCell ref="AQ96:AQ98"/>
    <mergeCell ref="AA99:AA101"/>
    <mergeCell ref="AJ99:AJ101"/>
    <mergeCell ref="AK99:AK101"/>
    <mergeCell ref="AP99:AP101"/>
    <mergeCell ref="AQ99:AQ101"/>
    <mergeCell ref="AQ90:AQ92"/>
    <mergeCell ref="AT90:AT101"/>
    <mergeCell ref="AU90:AU101"/>
    <mergeCell ref="AV90:AV101"/>
    <mergeCell ref="AW90:AW101"/>
    <mergeCell ref="AJ93:AJ95"/>
    <mergeCell ref="AK93:AK95"/>
    <mergeCell ref="AP93:AP95"/>
    <mergeCell ref="AQ93:AQ95"/>
    <mergeCell ref="AJ96:AJ98"/>
    <mergeCell ref="A90:A101"/>
    <mergeCell ref="Z90:Z96"/>
    <mergeCell ref="AA90:AA96"/>
    <mergeCell ref="AJ90:AJ92"/>
    <mergeCell ref="AK90:AK92"/>
    <mergeCell ref="AP90:AP92"/>
    <mergeCell ref="AK96:AK98"/>
    <mergeCell ref="AP96:AP98"/>
    <mergeCell ref="AP84:AP86"/>
    <mergeCell ref="AQ84:AQ86"/>
    <mergeCell ref="Z87:Z89"/>
    <mergeCell ref="AA87:AA89"/>
    <mergeCell ref="AJ87:AJ89"/>
    <mergeCell ref="AK87:AK89"/>
    <mergeCell ref="AP87:AP89"/>
    <mergeCell ref="AQ87:AQ89"/>
    <mergeCell ref="AQ78:AQ80"/>
    <mergeCell ref="AT78:AT89"/>
    <mergeCell ref="AU78:AU89"/>
    <mergeCell ref="AV78:AV89"/>
    <mergeCell ref="AW78:AW89"/>
    <mergeCell ref="Z81:Z82"/>
    <mergeCell ref="AA81:AA82"/>
    <mergeCell ref="AJ81:AJ83"/>
    <mergeCell ref="AP81:AP83"/>
    <mergeCell ref="AQ81:AQ83"/>
    <mergeCell ref="A78:A89"/>
    <mergeCell ref="Z78:Z80"/>
    <mergeCell ref="AA78:AA80"/>
    <mergeCell ref="AJ78:AJ80"/>
    <mergeCell ref="AK78:AK83"/>
    <mergeCell ref="AP78:AP80"/>
    <mergeCell ref="Z83:Z85"/>
    <mergeCell ref="AA83:AA85"/>
    <mergeCell ref="AJ84:AJ86"/>
    <mergeCell ref="AK84:AK86"/>
    <mergeCell ref="AU66:AU77"/>
    <mergeCell ref="AV66:AV77"/>
    <mergeCell ref="AW66:AW77"/>
    <mergeCell ref="AP69:AP71"/>
    <mergeCell ref="AQ69:AQ71"/>
    <mergeCell ref="AJ72:AJ74"/>
    <mergeCell ref="AK72:AK77"/>
    <mergeCell ref="AP72:AP74"/>
    <mergeCell ref="AQ72:AQ74"/>
    <mergeCell ref="AJ75:AJ77"/>
    <mergeCell ref="A66:A77"/>
    <mergeCell ref="AJ66:AJ71"/>
    <mergeCell ref="AK66:AK71"/>
    <mergeCell ref="AP66:AP68"/>
    <mergeCell ref="AQ66:AQ68"/>
    <mergeCell ref="AT66:AT77"/>
    <mergeCell ref="AP75:AP77"/>
    <mergeCell ref="AQ75:AQ77"/>
    <mergeCell ref="AV54:AV65"/>
    <mergeCell ref="AW54:AW65"/>
    <mergeCell ref="AP57:AP59"/>
    <mergeCell ref="AQ57:AQ59"/>
    <mergeCell ref="AJ60:AJ65"/>
    <mergeCell ref="AK60:AK65"/>
    <mergeCell ref="AP60:AP62"/>
    <mergeCell ref="AQ60:AQ62"/>
    <mergeCell ref="AP63:AP65"/>
    <mergeCell ref="AQ63:AQ65"/>
    <mergeCell ref="A54:A65"/>
    <mergeCell ref="AJ54:AJ59"/>
    <mergeCell ref="AK54:AK59"/>
    <mergeCell ref="AP54:AP56"/>
    <mergeCell ref="AQ54:AQ56"/>
    <mergeCell ref="AT54:AT65"/>
    <mergeCell ref="AW42:AW53"/>
    <mergeCell ref="AP45:AP47"/>
    <mergeCell ref="AQ45:AQ47"/>
    <mergeCell ref="AJ48:AJ53"/>
    <mergeCell ref="AK48:AK53"/>
    <mergeCell ref="AP48:AP50"/>
    <mergeCell ref="AQ48:AQ50"/>
    <mergeCell ref="AP51:AP53"/>
    <mergeCell ref="AQ51:AQ53"/>
    <mergeCell ref="A42:A53"/>
    <mergeCell ref="AJ42:AJ47"/>
    <mergeCell ref="AK42:AK47"/>
    <mergeCell ref="AP42:AP44"/>
    <mergeCell ref="AQ42:AQ44"/>
    <mergeCell ref="AV42:AV53"/>
    <mergeCell ref="AW30:AW41"/>
    <mergeCell ref="AP33:AP35"/>
    <mergeCell ref="AQ33:AQ35"/>
    <mergeCell ref="AJ36:AJ41"/>
    <mergeCell ref="AK36:AK41"/>
    <mergeCell ref="AP36:AP38"/>
    <mergeCell ref="AQ36:AQ38"/>
    <mergeCell ref="AP39:AP41"/>
    <mergeCell ref="AQ39:AQ41"/>
    <mergeCell ref="A30:A41"/>
    <mergeCell ref="AJ30:AJ35"/>
    <mergeCell ref="AK30:AK35"/>
    <mergeCell ref="AP30:AP32"/>
    <mergeCell ref="AQ30:AQ32"/>
    <mergeCell ref="AV30:AV41"/>
    <mergeCell ref="AV18:AV29"/>
    <mergeCell ref="AP21:AP23"/>
    <mergeCell ref="AQ21:AQ23"/>
    <mergeCell ref="AP24:AP26"/>
    <mergeCell ref="AQ24:AQ26"/>
    <mergeCell ref="AP27:AP29"/>
    <mergeCell ref="AQ27:AQ29"/>
    <mergeCell ref="AQ12:AQ14"/>
    <mergeCell ref="AP15:AP17"/>
    <mergeCell ref="AQ15:AQ17"/>
    <mergeCell ref="A18:A29"/>
    <mergeCell ref="AP18:AP20"/>
    <mergeCell ref="AQ18:AQ20"/>
    <mergeCell ref="AV3:AW3"/>
    <mergeCell ref="AX3:AY3"/>
    <mergeCell ref="AZ3:BA3"/>
    <mergeCell ref="BB3:BC3"/>
    <mergeCell ref="A6:A17"/>
    <mergeCell ref="AP6:AP8"/>
    <mergeCell ref="AQ6:AQ8"/>
    <mergeCell ref="AP9:AP11"/>
    <mergeCell ref="AQ9:AQ11"/>
    <mergeCell ref="AP12:AP14"/>
    <mergeCell ref="AJ3:AK3"/>
    <mergeCell ref="AL3:AM3"/>
    <mergeCell ref="AN3:AO3"/>
    <mergeCell ref="AP3:AQ3"/>
    <mergeCell ref="AR3:AS3"/>
    <mergeCell ref="AT3:AU3"/>
    <mergeCell ref="X3:Y3"/>
    <mergeCell ref="Z3:AA3"/>
    <mergeCell ref="AB3:AC3"/>
    <mergeCell ref="AD3:AE3"/>
    <mergeCell ref="AF3:AG3"/>
    <mergeCell ref="AH3:AI3"/>
    <mergeCell ref="L3:M3"/>
    <mergeCell ref="N3:O3"/>
    <mergeCell ref="P3:Q3"/>
    <mergeCell ref="R3:S3"/>
    <mergeCell ref="T3:U3"/>
    <mergeCell ref="V3:W3"/>
    <mergeCell ref="A1:B1"/>
    <mergeCell ref="C1:K1"/>
    <mergeCell ref="A2:B5"/>
    <mergeCell ref="C2:D2"/>
    <mergeCell ref="F2:G2"/>
    <mergeCell ref="C3:D3"/>
    <mergeCell ref="F3:G3"/>
    <mergeCell ref="H3:I3"/>
    <mergeCell ref="J3:K3"/>
  </mergeCells>
  <phoneticPr fontId="3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2019-08-26T06:11:29Z</dcterms:created>
  <dcterms:modified xsi:type="dcterms:W3CDTF">2019-08-26T06:12:49Z</dcterms:modified>
</cp:coreProperties>
</file>