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mc:AlternateContent xmlns:mc="http://schemas.openxmlformats.org/markup-compatibility/2006">
    <mc:Choice Requires="x15">
      <x15ac:absPath xmlns:x15ac="http://schemas.microsoft.com/office/spreadsheetml/2010/11/ac" url="C:\Users\Dell\PycharmProjects\pythonProject\"/>
    </mc:Choice>
  </mc:AlternateContent>
  <xr:revisionPtr revIDLastSave="0" documentId="13_ncr:1_{3E710300-EB7E-416F-A685-4CF30CB1040A}" xr6:coauthVersionLast="47" xr6:coauthVersionMax="47" xr10:uidLastSave="{00000000-0000-0000-0000-000000000000}"/>
  <bookViews>
    <workbookView xWindow="-108" yWindow="-108" windowWidth="23256" windowHeight="12576" xr2:uid="{00000000-000D-0000-FFFF-FFFF00000000}"/>
  </bookViews>
  <sheets>
    <sheet name="Cost of Capital Schedule" sheetId="1" r:id="rId1"/>
    <sheet name="Cost of equity" sheetId="8" r:id="rId2"/>
    <sheet name="Cost of debt" sheetId="9" r:id="rId3"/>
    <sheet name="Default spread" sheetId="10" r:id="rId4"/>
    <sheet name="Sheet4" sheetId="11" r:id="rId5"/>
    <sheet name="WACC" sheetId="7" r:id="rId6"/>
    <sheet name="EV calculation" sheetId="6" r:id="rId7"/>
    <sheet name="Options" sheetId="4" r:id="rId8"/>
    <sheet name="Final share count" sheetId="2" r:id="rId9"/>
    <sheet name="Historical DAta" sheetId="14" r:id="rId10"/>
  </sheets>
  <definedNames>
    <definedName name="_Hlk159097386" localSheetId="4">Sheet4!$D$9</definedName>
  </definedNames>
  <calcPr calcId="191029" calcMode="autoNoTable"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 i="1" l="1"/>
  <c r="G24" i="6"/>
  <c r="G23" i="6"/>
  <c r="G22" i="6"/>
  <c r="G21" i="6"/>
  <c r="G20" i="6"/>
  <c r="G19" i="6"/>
  <c r="J43" i="14" l="1"/>
  <c r="E43" i="14"/>
  <c r="F43" i="14" s="1"/>
  <c r="F42" i="14"/>
  <c r="E42" i="14"/>
  <c r="D42" i="14"/>
  <c r="E41" i="14"/>
  <c r="D41" i="14"/>
  <c r="F41" i="14" s="1"/>
  <c r="E40" i="14"/>
  <c r="H40" i="14" s="1"/>
  <c r="D40" i="14"/>
  <c r="F40" i="14" s="1"/>
  <c r="F39" i="14"/>
  <c r="E39" i="14"/>
  <c r="F38" i="14"/>
  <c r="E38" i="14"/>
  <c r="D38" i="14"/>
  <c r="D37" i="14" s="1"/>
  <c r="E37" i="14"/>
  <c r="E36" i="14"/>
  <c r="H36" i="14" s="1"/>
  <c r="F35" i="14"/>
  <c r="E35" i="14"/>
  <c r="F34" i="14"/>
  <c r="E34" i="14"/>
  <c r="D34" i="14"/>
  <c r="D33" i="14" s="1"/>
  <c r="E33" i="14"/>
  <c r="E32" i="14"/>
  <c r="H32" i="14" s="1"/>
  <c r="F31" i="14"/>
  <c r="E31" i="14"/>
  <c r="F30" i="14"/>
  <c r="E30" i="14"/>
  <c r="D30" i="14"/>
  <c r="D29" i="14" s="1"/>
  <c r="E29" i="14"/>
  <c r="E28" i="14" s="1"/>
  <c r="H28" i="14" s="1"/>
  <c r="F27" i="14"/>
  <c r="E26" i="14"/>
  <c r="E25" i="14" s="1"/>
  <c r="E24" i="14" s="1"/>
  <c r="H24" i="14" s="1"/>
  <c r="D26" i="14"/>
  <c r="F26" i="14" s="1"/>
  <c r="D25" i="14"/>
  <c r="E23" i="14"/>
  <c r="F23" i="14" s="1"/>
  <c r="E22" i="14"/>
  <c r="E21" i="14" s="1"/>
  <c r="E20" i="14" s="1"/>
  <c r="H20" i="14" s="1"/>
  <c r="D22" i="14"/>
  <c r="F22" i="14" s="1"/>
  <c r="D21" i="14"/>
  <c r="E19" i="14"/>
  <c r="F19" i="14" s="1"/>
  <c r="E18" i="14"/>
  <c r="E17" i="14" s="1"/>
  <c r="D18" i="14"/>
  <c r="F18" i="14" s="1"/>
  <c r="D17" i="14"/>
  <c r="F14" i="14"/>
  <c r="F13" i="14"/>
  <c r="F12" i="14"/>
  <c r="F11" i="14"/>
  <c r="F10" i="14"/>
  <c r="F9" i="14"/>
  <c r="D9" i="14"/>
  <c r="D8" i="14"/>
  <c r="F8" i="14" s="1"/>
  <c r="F7" i="14"/>
  <c r="D7" i="14"/>
  <c r="D6" i="14"/>
  <c r="F6" i="14" s="1"/>
  <c r="F5" i="14"/>
  <c r="D5" i="14"/>
  <c r="C5" i="14"/>
  <c r="C6" i="14" s="1"/>
  <c r="C7" i="14" s="1"/>
  <c r="C8" i="14" s="1"/>
  <c r="C9" i="14" s="1"/>
  <c r="C10" i="14" s="1"/>
  <c r="C11" i="14" s="1"/>
  <c r="C12" i="14" s="1"/>
  <c r="C13" i="14" s="1"/>
  <c r="D4" i="14"/>
  <c r="F4" i="14" s="1"/>
  <c r="D36" i="14" l="1"/>
  <c r="F36" i="14" s="1"/>
  <c r="F37" i="14"/>
  <c r="D28" i="14"/>
  <c r="F28" i="14" s="1"/>
  <c r="F29" i="14"/>
  <c r="F17" i="14"/>
  <c r="F21" i="14"/>
  <c r="F25" i="14"/>
  <c r="D32" i="14"/>
  <c r="F32" i="14" s="1"/>
  <c r="F33" i="14"/>
  <c r="D20" i="14"/>
  <c r="F20" i="14" s="1"/>
  <c r="D24" i="14"/>
  <c r="F24" i="14" s="1"/>
  <c r="E10" i="7" l="1"/>
  <c r="E6" i="7" l="1"/>
  <c r="H13" i="9"/>
  <c r="H12" i="9"/>
  <c r="H11" i="9"/>
  <c r="H10" i="9"/>
  <c r="H9" i="9"/>
  <c r="H6" i="9"/>
  <c r="D10" i="11"/>
  <c r="H4" i="9" s="1"/>
  <c r="E4" i="7"/>
  <c r="E19" i="7"/>
  <c r="E17" i="7"/>
  <c r="E11" i="7"/>
  <c r="F3" i="4"/>
  <c r="D9" i="11"/>
  <c r="C4" i="9"/>
  <c r="D3" i="11" s="1"/>
  <c r="C4" i="8"/>
  <c r="D4" i="8" s="1"/>
  <c r="C22" i="1"/>
  <c r="C5" i="8" s="1"/>
  <c r="D5" i="8" s="1"/>
  <c r="F19" i="10"/>
  <c r="F15" i="10"/>
  <c r="F12" i="10"/>
  <c r="F10" i="10"/>
  <c r="D18" i="10"/>
  <c r="C18" i="10"/>
  <c r="C17" i="10"/>
  <c r="D17" i="10"/>
  <c r="D16" i="10"/>
  <c r="D15" i="10"/>
  <c r="D10" i="10"/>
  <c r="D9" i="10"/>
  <c r="D8" i="10"/>
  <c r="D7" i="10"/>
  <c r="D6" i="10"/>
  <c r="C14" i="10"/>
  <c r="C9" i="10"/>
  <c r="C10" i="10" s="1"/>
  <c r="D11" i="10" s="1"/>
  <c r="C8" i="10"/>
  <c r="C7" i="10"/>
  <c r="C6" i="10"/>
  <c r="E4" i="8"/>
  <c r="F4" i="8" s="1"/>
  <c r="E53" i="6"/>
  <c r="F35" i="6"/>
  <c r="E48" i="6" s="1"/>
  <c r="H15" i="6"/>
  <c r="H14" i="6"/>
  <c r="H13" i="6"/>
  <c r="F23" i="6"/>
  <c r="C19" i="6"/>
  <c r="C20" i="6" s="1"/>
  <c r="C21" i="6" s="1"/>
  <c r="C22" i="6" s="1"/>
  <c r="F16" i="6"/>
  <c r="I15" i="6" s="1"/>
  <c r="J15" i="6" s="1"/>
  <c r="F5" i="6"/>
  <c r="E8" i="6"/>
  <c r="E7" i="6"/>
  <c r="E6" i="6"/>
  <c r="E5" i="6"/>
  <c r="E20" i="2"/>
  <c r="E17" i="2"/>
  <c r="F10" i="4"/>
  <c r="F4" i="4"/>
  <c r="F7" i="6" s="1"/>
  <c r="E13" i="7" l="1"/>
  <c r="E14" i="7" s="1"/>
  <c r="C23" i="1"/>
  <c r="C24" i="1" s="1"/>
  <c r="C7" i="9" s="1"/>
  <c r="C7" i="8"/>
  <c r="C5" i="9"/>
  <c r="C6" i="9"/>
  <c r="C6" i="8"/>
  <c r="H8" i="9"/>
  <c r="H7" i="9"/>
  <c r="C25" i="1"/>
  <c r="C26" i="1" s="1"/>
  <c r="C27" i="1" s="1"/>
  <c r="C28" i="1" s="1"/>
  <c r="C29" i="1" s="1"/>
  <c r="C30" i="1" s="1"/>
  <c r="C13" i="9" s="1"/>
  <c r="C11" i="10"/>
  <c r="E7" i="7"/>
  <c r="E3" i="11"/>
  <c r="E4" i="11" s="1"/>
  <c r="D4" i="11"/>
  <c r="H16" i="6"/>
  <c r="G7" i="6"/>
  <c r="E37" i="6"/>
  <c r="F24" i="6"/>
  <c r="I13" i="6"/>
  <c r="J13" i="6" s="1"/>
  <c r="I14" i="6"/>
  <c r="J14" i="6" s="1"/>
  <c r="F8" i="6"/>
  <c r="G8" i="6" s="1"/>
  <c r="G5" i="6"/>
  <c r="F6" i="6"/>
  <c r="G6" i="6" s="1"/>
  <c r="E38" i="6" l="1"/>
  <c r="C8" i="9"/>
  <c r="C9" i="8"/>
  <c r="C9" i="9"/>
  <c r="C10" i="8"/>
  <c r="C10" i="9"/>
  <c r="C11" i="8"/>
  <c r="C11" i="9"/>
  <c r="C12" i="8"/>
  <c r="C12" i="9"/>
  <c r="C13" i="8"/>
  <c r="C8" i="8"/>
  <c r="D6" i="8"/>
  <c r="C12" i="10"/>
  <c r="D13" i="10" s="1"/>
  <c r="D12" i="10"/>
  <c r="F3" i="11"/>
  <c r="G3" i="11" s="1"/>
  <c r="E41" i="6"/>
  <c r="E45" i="6"/>
  <c r="F25" i="6"/>
  <c r="E44" i="6" s="1"/>
  <c r="G9" i="6"/>
  <c r="J16" i="6"/>
  <c r="E40" i="6" s="1"/>
  <c r="E42" i="6" l="1"/>
  <c r="D7" i="8"/>
  <c r="C13" i="10"/>
  <c r="D14" i="10" s="1"/>
  <c r="E24" i="7"/>
  <c r="E58" i="6"/>
  <c r="F4" i="11"/>
  <c r="H3" i="11"/>
  <c r="G4" i="11"/>
  <c r="G25" i="6" l="1"/>
  <c r="D8" i="8"/>
  <c r="H4" i="11"/>
  <c r="I3" i="11"/>
  <c r="E46" i="6" l="1"/>
  <c r="E50" i="6" s="1"/>
  <c r="D9" i="8"/>
  <c r="I4" i="11"/>
  <c r="J3" i="11"/>
  <c r="E59" i="6" l="1"/>
  <c r="E23" i="7"/>
  <c r="D10" i="8"/>
  <c r="J4" i="11"/>
  <c r="K3" i="11"/>
  <c r="E55" i="6" l="1"/>
  <c r="E54" i="6" s="1"/>
  <c r="E18" i="7" s="1"/>
  <c r="E20" i="7" s="1"/>
  <c r="E25" i="7" s="1"/>
  <c r="E60" i="6"/>
  <c r="D11" i="9" s="1"/>
  <c r="E11" i="9" s="1"/>
  <c r="E56" i="6"/>
  <c r="D11" i="8"/>
  <c r="L3" i="11"/>
  <c r="K4" i="11"/>
  <c r="K5" i="11" l="1"/>
  <c r="K7" i="11" s="1"/>
  <c r="K6" i="11" s="1"/>
  <c r="K8" i="11" s="1"/>
  <c r="K9" i="11" s="1"/>
  <c r="F5" i="11"/>
  <c r="F7" i="11" s="1"/>
  <c r="D5" i="11"/>
  <c r="D7" i="11" s="1"/>
  <c r="D6" i="11" s="1"/>
  <c r="H5" i="11"/>
  <c r="H7" i="11" s="1"/>
  <c r="J5" i="11"/>
  <c r="J7" i="11" s="1"/>
  <c r="D8" i="9"/>
  <c r="E8" i="9" s="1"/>
  <c r="I8" i="9" s="1"/>
  <c r="J8" i="9" s="1"/>
  <c r="F25" i="1" s="1"/>
  <c r="E5" i="11"/>
  <c r="D7" i="9"/>
  <c r="E7" i="9" s="1"/>
  <c r="I7" i="9" s="1"/>
  <c r="J7" i="9" s="1"/>
  <c r="F24" i="1" s="1"/>
  <c r="D4" i="9"/>
  <c r="E4" i="9" s="1"/>
  <c r="I4" i="9" s="1"/>
  <c r="J4" i="9" s="1"/>
  <c r="F21" i="1" s="1"/>
  <c r="D6" i="9"/>
  <c r="E6" i="9" s="1"/>
  <c r="I6" i="9" s="1"/>
  <c r="J6" i="9" s="1"/>
  <c r="F23" i="1" s="1"/>
  <c r="G5" i="11"/>
  <c r="G7" i="11" s="1"/>
  <c r="I5" i="11"/>
  <c r="I7" i="11" s="1"/>
  <c r="D10" i="9"/>
  <c r="E10" i="9" s="1"/>
  <c r="I10" i="9" s="1"/>
  <c r="J10" i="9" s="1"/>
  <c r="F27" i="1" s="1"/>
  <c r="D5" i="9"/>
  <c r="D9" i="9"/>
  <c r="E9" i="9" s="1"/>
  <c r="I9" i="9" s="1"/>
  <c r="J9" i="9" s="1"/>
  <c r="F26" i="1" s="1"/>
  <c r="I11" i="9"/>
  <c r="J11" i="9" s="1"/>
  <c r="F28" i="1" s="1"/>
  <c r="D12" i="9"/>
  <c r="E12" i="9" s="1"/>
  <c r="D12" i="8"/>
  <c r="L5" i="11"/>
  <c r="L7" i="11" s="1"/>
  <c r="L6" i="11" s="1"/>
  <c r="L4" i="11"/>
  <c r="M3" i="11"/>
  <c r="H6" i="11" l="1"/>
  <c r="H8" i="11" s="1"/>
  <c r="G6" i="11"/>
  <c r="G8" i="11" s="1"/>
  <c r="F6" i="11"/>
  <c r="F8" i="11" s="1"/>
  <c r="I6" i="11"/>
  <c r="I8" i="11" s="1"/>
  <c r="J6" i="11"/>
  <c r="J8" i="11" s="1"/>
  <c r="I12" i="9"/>
  <c r="J12" i="9" s="1"/>
  <c r="F29" i="1" s="1"/>
  <c r="F11" i="9"/>
  <c r="D13" i="9"/>
  <c r="E13" i="9" s="1"/>
  <c r="D13" i="8"/>
  <c r="L8" i="11"/>
  <c r="L9" i="11" s="1"/>
  <c r="M4" i="11"/>
  <c r="M5" i="11"/>
  <c r="M7" i="11" s="1"/>
  <c r="M6" i="11" s="1"/>
  <c r="E9" i="8"/>
  <c r="E11" i="8"/>
  <c r="E21" i="1"/>
  <c r="G21" i="1" s="1"/>
  <c r="E10" i="8"/>
  <c r="F10" i="8" s="1"/>
  <c r="D21" i="1"/>
  <c r="I9" i="11" l="1"/>
  <c r="G9" i="9" s="1"/>
  <c r="F9" i="9"/>
  <c r="F9" i="11"/>
  <c r="G6" i="9" s="1"/>
  <c r="F6" i="9"/>
  <c r="G9" i="11"/>
  <c r="G7" i="9" s="1"/>
  <c r="F7" i="9"/>
  <c r="J9" i="11"/>
  <c r="G10" i="9" s="1"/>
  <c r="F10" i="9"/>
  <c r="H9" i="11"/>
  <c r="G8" i="9" s="1"/>
  <c r="F8" i="9"/>
  <c r="D28" i="1"/>
  <c r="F11" i="8"/>
  <c r="E28" i="1" s="1"/>
  <c r="G28" i="1" s="1"/>
  <c r="F9" i="8"/>
  <c r="E26" i="1" s="1"/>
  <c r="G26" i="1" s="1"/>
  <c r="I13" i="9"/>
  <c r="J13" i="9" s="1"/>
  <c r="F30" i="1" s="1"/>
  <c r="G11" i="9"/>
  <c r="F12" i="9"/>
  <c r="M8" i="11"/>
  <c r="M9" i="11" s="1"/>
  <c r="E12" i="8"/>
  <c r="E13" i="8"/>
  <c r="F13" i="8" s="1"/>
  <c r="E5" i="8"/>
  <c r="F5" i="8" s="1"/>
  <c r="E8" i="8"/>
  <c r="E27" i="1"/>
  <c r="G27" i="1" s="1"/>
  <c r="D27" i="1"/>
  <c r="E7" i="8"/>
  <c r="F7" i="8" s="1"/>
  <c r="E6" i="8"/>
  <c r="F6" i="8" s="1"/>
  <c r="D26" i="1"/>
  <c r="F8" i="8" l="1"/>
  <c r="E25" i="1" s="1"/>
  <c r="G25" i="1" s="1"/>
  <c r="F12" i="8"/>
  <c r="E29" i="1" s="1"/>
  <c r="G29" i="1" s="1"/>
  <c r="G12" i="9"/>
  <c r="F13" i="9"/>
  <c r="D29" i="1"/>
  <c r="D25" i="1"/>
  <c r="D22" i="1"/>
  <c r="E22" i="1"/>
  <c r="E30" i="1"/>
  <c r="G30" i="1" s="1"/>
  <c r="D30" i="1"/>
  <c r="E23" i="1"/>
  <c r="G23" i="1" s="1"/>
  <c r="D23" i="1"/>
  <c r="E24" i="1"/>
  <c r="G24" i="1" s="1"/>
  <c r="D24" i="1"/>
  <c r="G13" i="9" l="1"/>
  <c r="H5" i="9"/>
  <c r="E5" i="9" s="1"/>
  <c r="E7" i="11"/>
  <c r="E6" i="11" s="1"/>
  <c r="E8" i="11" l="1"/>
  <c r="I5" i="9"/>
  <c r="J5" i="9" s="1"/>
  <c r="F22" i="1" s="1"/>
  <c r="G22" i="1" s="1"/>
  <c r="E9" i="11" l="1"/>
  <c r="G5" i="9" s="1"/>
  <c r="F5"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Parth Ponkshe</author>
  </authors>
  <commentList>
    <comment ref="E9" authorId="0" shapeId="0" xr:uid="{1EBE7AA6-B8D9-4F9F-8A84-3ECAFA625D10}">
      <text>
        <r>
          <rPr>
            <b/>
            <sz val="9"/>
            <color indexed="81"/>
            <rFont val="Tahoma"/>
            <family val="2"/>
          </rPr>
          <t>Parth Ponkshe:</t>
        </r>
        <r>
          <rPr>
            <sz val="9"/>
            <color indexed="81"/>
            <rFont val="Tahoma"/>
            <family val="2"/>
          </rPr>
          <t xml:space="preserve">
https://pages.stern.nyu.edu/~adamodar/New_Home_Page/datafile/totalbeta.html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Parth Ponkshe</author>
  </authors>
  <commentList>
    <comment ref="E4" authorId="0" shapeId="0" xr:uid="{D9063694-5990-421C-913F-4756852F861B}">
      <text>
        <r>
          <rPr>
            <b/>
            <sz val="9"/>
            <color indexed="81"/>
            <rFont val="Tahoma"/>
            <charset val="1"/>
          </rPr>
          <t>Parth Ponkshe:</t>
        </r>
        <r>
          <rPr>
            <sz val="9"/>
            <color indexed="81"/>
            <rFont val="Tahoma"/>
            <charset val="1"/>
          </rPr>
          <t xml:space="preserve">
Unlevered beta = BetaL/(1+(1-T)D/E)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Parth Ponkshe</author>
  </authors>
  <commentList>
    <comment ref="I3" authorId="0" shapeId="0" xr:uid="{82910C45-D8C8-49F9-B556-240F2C6B6EC1}">
      <text>
        <r>
          <rPr>
            <b/>
            <sz val="9"/>
            <color indexed="81"/>
            <rFont val="Tahoma"/>
            <family val="2"/>
          </rPr>
          <t>Parth Ponkshe:</t>
        </r>
        <r>
          <rPr>
            <sz val="9"/>
            <color indexed="81"/>
            <rFont val="Tahoma"/>
            <family val="2"/>
          </rPr>
          <t xml:space="preserve">
Adjusted marginal tax benefit - 
once the interest expense exceeds EBIT, the tax benefit is topped off.</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Parth Ponkshe</author>
  </authors>
  <commentList>
    <comment ref="E4" authorId="0" shapeId="0" xr:uid="{A39FA395-87F6-40DE-9FEA-7B9445FEA0C2}">
      <text>
        <r>
          <rPr>
            <b/>
            <sz val="9"/>
            <color indexed="81"/>
            <rFont val="Tahoma"/>
            <family val="2"/>
          </rPr>
          <t>Parth Ponkshe:</t>
        </r>
        <r>
          <rPr>
            <sz val="9"/>
            <color indexed="81"/>
            <rFont val="Tahoma"/>
            <family val="2"/>
          </rPr>
          <t xml:space="preserve">
https://ratings.moodys.com/api/rmc-documents/68547
Financial strength Factor 4</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Parth Ponkshe</author>
  </authors>
  <commentList>
    <comment ref="C6" authorId="0" shapeId="0" xr:uid="{5F5E64C8-37CA-4CC7-ABD2-D8F3D96012CC}">
      <text>
        <r>
          <rPr>
            <b/>
            <sz val="9"/>
            <color indexed="81"/>
            <rFont val="Tahoma"/>
            <family val="2"/>
          </rPr>
          <t>Parth Ponkshe:</t>
        </r>
        <r>
          <rPr>
            <sz val="9"/>
            <color indexed="81"/>
            <rFont val="Tahoma"/>
            <family val="2"/>
          </rPr>
          <t xml:space="preserve">
Indirect bankruptcy costs could have the potential to increase financing costs</t>
        </r>
      </text>
    </comment>
    <comment ref="E6" authorId="0" shapeId="0" xr:uid="{F6637E04-CD20-4E12-BF0E-09B960BE9486}">
      <text>
        <r>
          <rPr>
            <b/>
            <sz val="9"/>
            <color indexed="81"/>
            <rFont val="Tahoma"/>
            <family val="2"/>
          </rPr>
          <t>Parth Ponkshe:</t>
        </r>
        <r>
          <rPr>
            <sz val="9"/>
            <color indexed="81"/>
            <rFont val="Tahoma"/>
            <family val="2"/>
          </rPr>
          <t xml:space="preserve">
EBIT could have a left skewed distribution. As operating costs go down over time for current projects. However, balanced out by costs associated with new project dev. Relatively stable due to LT PPA. 
Presense of default risk of off-takers.</t>
        </r>
      </text>
    </comment>
    <comment ref="C7" authorId="0" shapeId="0" xr:uid="{28D26921-EC75-4206-A1A1-496399BEAA0A}">
      <text>
        <r>
          <rPr>
            <b/>
            <sz val="9"/>
            <color indexed="81"/>
            <rFont val="Tahoma"/>
            <family val="2"/>
          </rPr>
          <t>Parth Ponkshe:</t>
        </r>
        <r>
          <rPr>
            <sz val="9"/>
            <color indexed="81"/>
            <rFont val="Tahoma"/>
            <family val="2"/>
          </rPr>
          <t xml:space="preserve">
input</t>
        </r>
      </text>
    </comment>
    <comment ref="C10" authorId="0" shapeId="0" xr:uid="{F428C586-013E-4219-878E-0C513D4CA1DF}">
      <text>
        <r>
          <rPr>
            <b/>
            <sz val="9"/>
            <color indexed="81"/>
            <rFont val="Tahoma"/>
            <family val="2"/>
          </rPr>
          <t>Parth Ponkshe:
For our purposes, we will attach Moody's rating to get the pre-tax cost of debt</t>
        </r>
      </text>
    </comment>
    <comment ref="C11" authorId="0" shapeId="0" xr:uid="{AA83854B-3AC6-40D4-8397-A6BAF789DD50}">
      <text>
        <r>
          <rPr>
            <b/>
            <sz val="9"/>
            <color indexed="81"/>
            <rFont val="Tahoma"/>
            <family val="2"/>
          </rPr>
          <t>Parth Ponkshe:</t>
        </r>
        <r>
          <rPr>
            <sz val="9"/>
            <color indexed="81"/>
            <rFont val="Tahoma"/>
            <family val="2"/>
          </rPr>
          <t xml:space="preserve">
input</t>
        </r>
      </text>
    </comment>
    <comment ref="C17" authorId="0" shapeId="0" xr:uid="{7476BA1B-E32B-4F92-8ACC-A18FF77DE48D}">
      <text>
        <r>
          <rPr>
            <b/>
            <sz val="9"/>
            <color indexed="81"/>
            <rFont val="Tahoma"/>
            <family val="2"/>
          </rPr>
          <t>Parth Ponkshe:</t>
        </r>
        <r>
          <rPr>
            <sz val="9"/>
            <color indexed="81"/>
            <rFont val="Tahoma"/>
            <family val="2"/>
          </rPr>
          <t xml:space="preserve">
input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Parth Ponkshe</author>
  </authors>
  <commentList>
    <comment ref="F6" authorId="0" shapeId="0" xr:uid="{F8C93C3B-F500-4C52-A163-9B74EB382538}">
      <text>
        <r>
          <rPr>
            <b/>
            <sz val="9"/>
            <color indexed="81"/>
            <rFont val="Tahoma"/>
            <family val="2"/>
          </rPr>
          <t>Parth Ponkshe:</t>
        </r>
        <r>
          <rPr>
            <sz val="9"/>
            <color indexed="81"/>
            <rFont val="Tahoma"/>
            <family val="2"/>
          </rPr>
          <t xml:space="preserve">
Control premium - 5-10% over non-voting.
Source - 
The market value of control in publicly-traded corporations.</t>
        </r>
      </text>
    </comment>
    <comment ref="F8" authorId="0" shapeId="0" xr:uid="{DF83F877-06A3-4A43-BF44-33A1C6B4A2B7}">
      <text>
        <r>
          <rPr>
            <b/>
            <sz val="9"/>
            <color indexed="81"/>
            <rFont val="Tahoma"/>
            <family val="2"/>
          </rPr>
          <t>Parth Ponkshe:</t>
        </r>
        <r>
          <rPr>
            <sz val="9"/>
            <color indexed="81"/>
            <rFont val="Tahoma"/>
            <family val="2"/>
          </rPr>
          <t xml:space="preserve">
Control premium - 5-10% over non-voting.
Source - 
The market value of control in publicly-traded corporations.</t>
        </r>
      </text>
    </comment>
    <comment ref="C18" authorId="0" shapeId="0" xr:uid="{5BAAD15B-4EA0-4587-8EAA-9A2564722D8D}">
      <text>
        <r>
          <rPr>
            <b/>
            <sz val="9"/>
            <color indexed="81"/>
            <rFont val="Tahoma"/>
            <family val="2"/>
          </rPr>
          <t>Parth Ponkshe:</t>
        </r>
        <r>
          <rPr>
            <sz val="9"/>
            <color indexed="81"/>
            <rFont val="Tahoma"/>
            <family val="2"/>
          </rPr>
          <t xml:space="preserve">
Assumptions - pre-tax cost of debt used is of the firm, and not of the project. (due to lack of availability of data)</t>
        </r>
      </text>
    </comment>
    <comment ref="F27" authorId="0" shapeId="0" xr:uid="{0E6FFC82-0033-4BD5-9EBC-AB517FABEE6C}">
      <text>
        <r>
          <rPr>
            <b/>
            <sz val="9"/>
            <color indexed="81"/>
            <rFont val="Tahoma"/>
            <family val="2"/>
          </rPr>
          <t>Parth Ponkshe:</t>
        </r>
        <r>
          <rPr>
            <sz val="9"/>
            <color indexed="81"/>
            <rFont val="Tahoma"/>
            <family val="2"/>
          </rPr>
          <t xml:space="preserve">
As given on a PV basis on the 10k
</t>
        </r>
      </text>
    </comment>
    <comment ref="C39" authorId="0" shapeId="0" xr:uid="{2DF6A6C4-2532-477F-982E-ABF76C3422BD}">
      <text>
        <r>
          <rPr>
            <b/>
            <sz val="9"/>
            <color indexed="81"/>
            <rFont val="Tahoma"/>
            <family val="2"/>
          </rPr>
          <t>Parth Ponkshe:</t>
        </r>
        <r>
          <rPr>
            <sz val="9"/>
            <color indexed="81"/>
            <rFont val="Tahoma"/>
            <family val="2"/>
          </rPr>
          <t xml:space="preserve">
From a recent project level non recourse debt transaction - July 3, 2023 - fixed annual rate of 9%</t>
        </r>
      </text>
    </comment>
    <comment ref="E46" authorId="0" shapeId="0" xr:uid="{BA5F4389-EC0F-46E2-AA11-B72757006348}">
      <text>
        <r>
          <rPr>
            <b/>
            <sz val="9"/>
            <color indexed="81"/>
            <rFont val="Tahoma"/>
            <family val="2"/>
          </rPr>
          <t>Parth Ponkshe:</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Parth Ponkshe</author>
  </authors>
  <commentList>
    <comment ref="E16" authorId="0" shapeId="0" xr:uid="{62F1093B-A2E6-463F-9A86-B4E612994FD5}">
      <text>
        <r>
          <rPr>
            <b/>
            <sz val="9"/>
            <color indexed="81"/>
            <rFont val="Tahoma"/>
            <family val="2"/>
          </rPr>
          <t>Parth Ponkshe:</t>
        </r>
        <r>
          <rPr>
            <sz val="9"/>
            <color indexed="81"/>
            <rFont val="Tahoma"/>
            <family val="2"/>
          </rPr>
          <t xml:space="preserve">
Standalone valuation - vested already accounted for in basic share count; Though reserves the right to issue 3,110,282 (class C)</t>
        </r>
      </text>
    </comment>
    <comment ref="E17" authorId="0" shapeId="0" xr:uid="{49B23A6C-A5DC-4F84-AC44-EB2CC2391ED3}">
      <text>
        <r>
          <rPr>
            <b/>
            <sz val="9"/>
            <color indexed="81"/>
            <rFont val="Tahoma"/>
            <family val="2"/>
          </rPr>
          <t>Parth Ponkshe:</t>
        </r>
        <r>
          <rPr>
            <sz val="9"/>
            <color indexed="81"/>
            <rFont val="Tahoma"/>
            <family val="2"/>
          </rPr>
          <t xml:space="preserve">
No options/Warrants granted</t>
        </r>
      </text>
    </comment>
    <comment ref="E19" authorId="0" shapeId="0" xr:uid="{B9863EBA-F188-4617-A412-DFF6A8A64CD1}">
      <text>
        <r>
          <rPr>
            <b/>
            <sz val="9"/>
            <color indexed="81"/>
            <rFont val="Tahoma"/>
            <family val="2"/>
          </rPr>
          <t>Parth Ponkshe:</t>
        </r>
        <r>
          <rPr>
            <sz val="9"/>
            <color indexed="81"/>
            <rFont val="Tahoma"/>
            <family val="2"/>
          </rPr>
          <t xml:space="preserve">
None issued. Yet reserves the right to issue 10mm preferred stock</t>
        </r>
      </text>
    </comment>
  </commentList>
</comments>
</file>

<file path=xl/sharedStrings.xml><?xml version="1.0" encoding="utf-8"?>
<sst xmlns="http://schemas.openxmlformats.org/spreadsheetml/2006/main" count="246" uniqueCount="191">
  <si>
    <t>Interest expense</t>
  </si>
  <si>
    <t>$ Debt</t>
  </si>
  <si>
    <t>Debt ratio</t>
  </si>
  <si>
    <t>General Information</t>
  </si>
  <si>
    <t>Company Name</t>
  </si>
  <si>
    <t>Ticker</t>
  </si>
  <si>
    <t>Stock Exchange</t>
  </si>
  <si>
    <t>Fiscal Year Ending</t>
  </si>
  <si>
    <t>Moody's Corporate Rating</t>
  </si>
  <si>
    <t>Marginal Tax rate</t>
  </si>
  <si>
    <t>Class A</t>
  </si>
  <si>
    <t>Options/Warrants</t>
  </si>
  <si>
    <t>Class B</t>
  </si>
  <si>
    <t>Class C</t>
  </si>
  <si>
    <t>Class D</t>
  </si>
  <si>
    <t>-</t>
  </si>
  <si>
    <t>Clearway Energy, Inc.</t>
  </si>
  <si>
    <t>New York Stock Exchange</t>
  </si>
  <si>
    <t>Ba2</t>
  </si>
  <si>
    <t>December 31</t>
  </si>
  <si>
    <t>CWEN.A; CWEN</t>
  </si>
  <si>
    <t>Shares Outstanding</t>
  </si>
  <si>
    <t>$ and shares in million, except share price</t>
  </si>
  <si>
    <t>End of fiscal year</t>
  </si>
  <si>
    <t>Most recent quarter end date</t>
  </si>
  <si>
    <t>Valuation date</t>
  </si>
  <si>
    <t>Fully diluted shares outstanding</t>
  </si>
  <si>
    <t>Basic shares outstanding</t>
  </si>
  <si>
    <t>Restricted stock/RSUs</t>
  </si>
  <si>
    <t>Convertible debt</t>
  </si>
  <si>
    <t>Convertible preferred stock</t>
  </si>
  <si>
    <t>Shares</t>
  </si>
  <si>
    <t>source</t>
  </si>
  <si>
    <t>Share price</t>
  </si>
  <si>
    <t>Stock options - TSM</t>
  </si>
  <si>
    <t>Outstanding</t>
  </si>
  <si>
    <t xml:space="preserve">Exercise </t>
  </si>
  <si>
    <t>In-the-$</t>
  </si>
  <si>
    <t>options</t>
  </si>
  <si>
    <t>price</t>
  </si>
  <si>
    <t>Current share price - Class C</t>
  </si>
  <si>
    <t>Current share price - Class A</t>
  </si>
  <si>
    <t>10-Q</t>
  </si>
  <si>
    <t xml:space="preserve">Class A </t>
  </si>
  <si>
    <t>Net shares from exercised options</t>
  </si>
  <si>
    <t>DEF 14A</t>
  </si>
  <si>
    <t>10-K</t>
  </si>
  <si>
    <t>Filing date</t>
  </si>
  <si>
    <t>Tranche</t>
  </si>
  <si>
    <t>Equity Value per share class</t>
  </si>
  <si>
    <t>Equity value</t>
  </si>
  <si>
    <t>Market Capitalization</t>
  </si>
  <si>
    <t>Market Value of Debt</t>
  </si>
  <si>
    <t>2028 Senior Notes</t>
  </si>
  <si>
    <t>2031 Senior Notes</t>
  </si>
  <si>
    <t>2032 Senior Notes</t>
  </si>
  <si>
    <t>Book value</t>
  </si>
  <si>
    <t>Coupon</t>
  </si>
  <si>
    <t>Weight</t>
  </si>
  <si>
    <t>Year</t>
  </si>
  <si>
    <t>Interest</t>
  </si>
  <si>
    <t>Total</t>
  </si>
  <si>
    <t>Cost of Capital</t>
  </si>
  <si>
    <t>Cost of debt</t>
  </si>
  <si>
    <t>Moody's rating</t>
  </si>
  <si>
    <t>Default spread</t>
  </si>
  <si>
    <t>Riskfree rate</t>
  </si>
  <si>
    <t>Pre-tax cost of debt</t>
  </si>
  <si>
    <t>After-tax cost of debt</t>
  </si>
  <si>
    <t>B1</t>
  </si>
  <si>
    <t>Cost of Equity</t>
  </si>
  <si>
    <t>Equity Risk Premium</t>
  </si>
  <si>
    <t>Cost of equity</t>
  </si>
  <si>
    <t>D/E</t>
  </si>
  <si>
    <t>WACC</t>
  </si>
  <si>
    <t>Debt</t>
  </si>
  <si>
    <t>Equity</t>
  </si>
  <si>
    <t>Weighted maturity</t>
  </si>
  <si>
    <t>PV of LT corporate debt</t>
  </si>
  <si>
    <t>Book value of corporate debt</t>
  </si>
  <si>
    <t>There-after</t>
  </si>
  <si>
    <t>Weighted average maturity of corporate debt</t>
  </si>
  <si>
    <t>Interest expense on LT corporate debt</t>
  </si>
  <si>
    <t>Book value of project debt</t>
  </si>
  <si>
    <t>Interest expense on LT project debt</t>
  </si>
  <si>
    <t>PV</t>
  </si>
  <si>
    <t>Corporate senior debt</t>
  </si>
  <si>
    <t>Operating lease commitments</t>
  </si>
  <si>
    <t>Thereafter</t>
  </si>
  <si>
    <t>Imputed interest</t>
  </si>
  <si>
    <t>PV of Operating lease commitments</t>
  </si>
  <si>
    <t>MV of LT Debt (incl. Operating lease commitments)</t>
  </si>
  <si>
    <t>Non-recourse project-level debt (excl. Interest exp)</t>
  </si>
  <si>
    <t>PV of LT project debt (incl. Interest exp)</t>
  </si>
  <si>
    <t>Diluted shares #</t>
  </si>
  <si>
    <t>MV of LT debt (incl. Lease commitments)</t>
  </si>
  <si>
    <t>Debt/Capital</t>
  </si>
  <si>
    <t>Levered Beta</t>
  </si>
  <si>
    <t>Adj. Beta (levered)</t>
  </si>
  <si>
    <t>Unlevered beta</t>
  </si>
  <si>
    <t>Levered beta</t>
  </si>
  <si>
    <t>Synthetic rating</t>
  </si>
  <si>
    <t>Bond rating</t>
  </si>
  <si>
    <t>After-tax 
cost of debt</t>
  </si>
  <si>
    <t>Pre-tax 
cost of debt</t>
  </si>
  <si>
    <t>Interest 
expense</t>
  </si>
  <si>
    <t>Market Value of Firm Debt &amp; Equity</t>
  </si>
  <si>
    <t>D/(D+E)</t>
  </si>
  <si>
    <t>EBIT</t>
  </si>
  <si>
    <t>Aaa</t>
  </si>
  <si>
    <t>Aa2</t>
  </si>
  <si>
    <t>A3</t>
  </si>
  <si>
    <t>B2</t>
  </si>
  <si>
    <t>B3</t>
  </si>
  <si>
    <t>Corporate default spread</t>
  </si>
  <si>
    <t>A1</t>
  </si>
  <si>
    <t>A2</t>
  </si>
  <si>
    <t>Baa2</t>
  </si>
  <si>
    <t>Ba1</t>
  </si>
  <si>
    <t>Caa</t>
  </si>
  <si>
    <t>Adj. Marginal
 Tax rate</t>
  </si>
  <si>
    <t>Adjusted Synthetic rating and default spreads</t>
  </si>
  <si>
    <t>&gt;</t>
  </si>
  <si>
    <t>&lt;= to</t>
  </si>
  <si>
    <t>+∞</t>
  </si>
  <si>
    <t>Cost of capital schedule</t>
  </si>
  <si>
    <t>Beta</t>
  </si>
  <si>
    <t xml:space="preserve">After-tax cost of debt </t>
  </si>
  <si>
    <t>Average sector unlevered beta</t>
  </si>
  <si>
    <t>Country default spread</t>
  </si>
  <si>
    <t xml:space="preserve"> Synthetic rating</t>
  </si>
  <si>
    <t>Pre-tax cost of debt as per ratings spread</t>
  </si>
  <si>
    <t>Cost of equity schedule</t>
  </si>
  <si>
    <t>Cost of debt schedule</t>
  </si>
  <si>
    <t>Market Value - Debt &amp; Equity</t>
  </si>
  <si>
    <t>Project-level cost of debt</t>
  </si>
  <si>
    <t>if cash flows coverage ratio is</t>
  </si>
  <si>
    <t>Cash flow coverage ratio</t>
  </si>
  <si>
    <t>Baa1</t>
  </si>
  <si>
    <t>Baa3</t>
  </si>
  <si>
    <t>Ba3</t>
  </si>
  <si>
    <t>Pre-WC CFO + interest exp</t>
  </si>
  <si>
    <t>CFO Pre-WC + interest expense</t>
  </si>
  <si>
    <t>Cash coverage ratio</t>
  </si>
  <si>
    <t>1.7x</t>
  </si>
  <si>
    <t>Interest Expense</t>
  </si>
  <si>
    <t xml:space="preserve">Cash Coverage </t>
  </si>
  <si>
    <t>Cash Coverage ratio</t>
  </si>
  <si>
    <t>Adj. EBIT (3 year avg)</t>
  </si>
  <si>
    <t>2023 (LTM)</t>
  </si>
  <si>
    <t>CFO Pre-WC + int exp.</t>
  </si>
  <si>
    <t>Historical data - Cash Coverage</t>
  </si>
  <si>
    <t>Risk-free rate</t>
  </si>
  <si>
    <t>Stocastic input variables</t>
  </si>
  <si>
    <t>Equity risk Premium</t>
  </si>
  <si>
    <t>Adj. EBIT</t>
  </si>
  <si>
    <t>CFO Pre-WC</t>
  </si>
  <si>
    <t>Cost of Capital as of Valuation date</t>
  </si>
  <si>
    <t>EBIT/CFO Pre-WC multiple</t>
  </si>
  <si>
    <t>Qs</t>
  </si>
  <si>
    <t>EBIT/CFO Pre-WC</t>
  </si>
  <si>
    <t>2023 - Q3</t>
  </si>
  <si>
    <t>2023 - Q2</t>
  </si>
  <si>
    <t>2023 - Q1</t>
  </si>
  <si>
    <t>2022-Q4</t>
  </si>
  <si>
    <t>2022-Q3</t>
  </si>
  <si>
    <t>2022-Q2</t>
  </si>
  <si>
    <t>2022-Q1</t>
  </si>
  <si>
    <t>2021-Q4</t>
  </si>
  <si>
    <t>2021-Q3</t>
  </si>
  <si>
    <t>2021-Q2</t>
  </si>
  <si>
    <t>2021-Q1</t>
  </si>
  <si>
    <t>2020-Q4</t>
  </si>
  <si>
    <t>2020-Q3</t>
  </si>
  <si>
    <t>2020-Q2</t>
  </si>
  <si>
    <t>2020-Q1</t>
  </si>
  <si>
    <t>2019-Q4</t>
  </si>
  <si>
    <t>2019-Q3</t>
  </si>
  <si>
    <t>2019-Q2</t>
  </si>
  <si>
    <t>2019-Q1</t>
  </si>
  <si>
    <t>2018-Q4</t>
  </si>
  <si>
    <t>2018-Q3</t>
  </si>
  <si>
    <t>2018-Q2</t>
  </si>
  <si>
    <t>2018-Q1</t>
  </si>
  <si>
    <t>Mean</t>
  </si>
  <si>
    <t>2017-Q4</t>
  </si>
  <si>
    <t>STD</t>
  </si>
  <si>
    <t>2017-Q3</t>
  </si>
  <si>
    <t>Conf int 99%</t>
  </si>
  <si>
    <t>2017-Q2</t>
  </si>
  <si>
    <t>2017-Q1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</si>
</sst>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5" formatCode="&quot;$&quot;#,##0_);\(&quot;$&quot;#,##0\)"/>
    <numFmt numFmtId="6" formatCode="&quot;$&quot;#,##0_);[Red]\(&quot;$&quot;#,##0\)"/>
    <numFmt numFmtId="7" formatCode="&quot;$&quot;#,##0.00_);\(&quot;$&quot;#,##0.00\)"/>
    <numFmt numFmtId="8" formatCode="&quot;$&quot;#,##0.00_);[Red]\(&quot;$&quot;#,##0.00\)"/>
    <numFmt numFmtId="43" formatCode="_(* #,##0.00_);_(* \(#,##0.00\);_(* &quot;-&quot;??_);_(@_)"/>
    <numFmt numFmtId="164" formatCode="0.0%"/>
    <numFmt numFmtId="165" formatCode="#,##0.0_);\(#,##0.0\)"/>
    <numFmt numFmtId="166" formatCode="#,##0.00_);\(#,##0\)"/>
    <numFmt numFmtId="167" formatCode="#,##0.0%_);\(#,##0.0%\)"/>
    <numFmt numFmtId="168" formatCode="0.0\ \x"/>
    <numFmt numFmtId="169" formatCode="#,##0.00\ ;\(#,##0.00\)"/>
    <numFmt numFmtId="170" formatCode="&quot;$&quot;#,##0.00\ ;\(&quot;$&quot;#,##0.00\)"/>
    <numFmt numFmtId="171" formatCode="0.0%_);\(0.0%\)"/>
    <numFmt numFmtId="172" formatCode="0.000\ \x&quot;rate&quot;"/>
    <numFmt numFmtId="173" formatCode="#,##0.000_);[Red]\(#,##0.000\)"/>
    <numFmt numFmtId="174" formatCode="0.00_);\(0.00\);0.00"/>
    <numFmt numFmtId="175" formatCode="\C&quot;$&quot;#,##0.00_);[Red]\(&quot;$&quot;#,##0.00\)"/>
    <numFmt numFmtId="176" formatCode="#,##0%_);\(#,##0.0%\)"/>
    <numFmt numFmtId="177" formatCode="_(* #,##0.00000000_);_(* \(#,##0.00000000\);_(* &quot;-&quot;?_);_(@_)"/>
    <numFmt numFmtId="178" formatCode="mmm\-d\-yyyy"/>
    <numFmt numFmtId="179" formatCode="mmm\-yyyy"/>
    <numFmt numFmtId="180" formatCode="yyyy"/>
    <numFmt numFmtId="181" formatCode="0.00\x&quot;rate&quot;"/>
    <numFmt numFmtId="182" formatCode="0.0&quot;  &quot;"/>
    <numFmt numFmtId="183" formatCode="&quot;$&quot;#,##0.0\ ;[Red]\(&quot;$&quot;#,##0\)"/>
    <numFmt numFmtId="184" formatCode="&quot;$&quot;#,##0.000_);[Red]\(&quot;$&quot;#,##0.000\)"/>
    <numFmt numFmtId="185" formatCode="&quot;$&quot;#,##0.00&quot;A&quot;;[Red]\(&quot;$&quot;#,##0.00\)&quot;A&quot;"/>
    <numFmt numFmtId="186" formatCode="#,##0.0\ ;[Red]\(&quot;$&quot;#,##0\)"/>
    <numFmt numFmtId="187" formatCode="&quot;$&quot;#,##0.00&quot;E&quot;;[Red]\(&quot;$&quot;#,##0.00\)&quot;E&quot;"/>
    <numFmt numFmtId="188" formatCode="_([$€-2]* #,##0.00_);_([$€-2]* \(#,##0.00\);_([$€-2]* &quot;-&quot;??_)"/>
    <numFmt numFmtId="189" formatCode="#,##0.00;\(#,##0.00\)"/>
    <numFmt numFmtId="190" formatCode=".%\,\(0.0%%;\t"/>
    <numFmt numFmtId="191" formatCode="#,##0.0_);[Red]\(#,##0.0\)"/>
    <numFmt numFmtId="192" formatCode="0.0%_);[Red]\(0.0%\)"/>
    <numFmt numFmtId="193" formatCode="0.00_);\(0.00\);0.00_)"/>
    <numFmt numFmtId="194" formatCode="#,##0\x"/>
    <numFmt numFmtId="195" formatCode="&quot;TKR&quot;\ 0"/>
    <numFmt numFmtId="196" formatCode=".%\,\(0.%%;\t"/>
    <numFmt numFmtId="197" formatCode="&quot;$&quot;#,###.0\ \ "/>
    <numFmt numFmtId="198" formatCode="#,##0.00\x_);[Red]\(#,##0.00\x\)"/>
    <numFmt numFmtId="199" formatCode="#,##0.000_);\(#,##0.000\)"/>
    <numFmt numFmtId="200" formatCode="#,##0.00\x_);[Red]\(#,##0.00\x\);&quot;--  &quot;"/>
    <numFmt numFmtId="201" formatCode="_(* #,##0.0_);_(* \(#,##0.0\);_(* &quot;-&quot;??_);_(@_)"/>
    <numFmt numFmtId="202" formatCode="0.0\x_);[Red]\(0.0\x\)"/>
    <numFmt numFmtId="203" formatCode="0.0\ "/>
    <numFmt numFmtId="204" formatCode="&quot;$&quot;#,##0.0;\(&quot;$&quot;#,##0.00\)"/>
    <numFmt numFmtId="205" formatCode="#,##0.00%_);\(#,##0.00%\)"/>
    <numFmt numFmtId="206" formatCode="0.00\%;\-0.00\%;0.00\%"/>
    <numFmt numFmtId="207" formatCode="0.0%\ ;\(0.0%\)"/>
    <numFmt numFmtId="208" formatCode="_(&quot;$&quot;* #,##0_);_(&quot;$&quot;* \(#,##0\);_(&quot;$&quot;* &quot;-&quot;??_);_(@_)"/>
    <numFmt numFmtId="209" formatCode="&quot;$&quot;0.00\ "/>
    <numFmt numFmtId="210" formatCode="0.0\ \ \ \ \ "/>
    <numFmt numFmtId="211" formatCode="0.00\x;\-0.00\x;0.00\x"/>
    <numFmt numFmtId="212" formatCode="&quot;$&quot;#,##0.000_);\(&quot;$&quot;#,##0.000\)"/>
    <numFmt numFmtId="213" formatCode="#,##0.0_);\(#,##0.0\);_(* &quot;-&quot;_)"/>
    <numFmt numFmtId="214" formatCode="_(&quot;$&quot;* #,##0.00_);_(&quot;$&quot;* \(#,##0.00\);_(* &quot;-&quot;_);_(@_)"/>
    <numFmt numFmtId="215" formatCode="0.00%_);[Red]\(0.00%\)"/>
    <numFmt numFmtId="216" formatCode="#,##0.0\x_);\(#,##0.0\x\)"/>
    <numFmt numFmtId="217" formatCode="#,##0.00\x_);\(#,##0.00\x\)"/>
    <numFmt numFmtId="218" formatCode="###0&quot;E&quot;_)"/>
    <numFmt numFmtId="219" formatCode="[&gt;1]&quot;10Q: &quot;0&quot; qtrs&quot;;&quot;10Q: &quot;0&quot; qtr&quot;"/>
    <numFmt numFmtId="220" formatCode="&quot;$&quot;#,##0.00_);[Red]\(&quot;$&quot;#,##0.00\);&quot;--  &quot;;_(@_)"/>
    <numFmt numFmtId="221" formatCode="mmm\-dd\-yy"/>
    <numFmt numFmtId="222" formatCode="mmm\-dd\-yyyy"/>
    <numFmt numFmtId="223" formatCode="#,##0.0_);[Red]\(#,##0.0\);&quot;--  &quot;"/>
    <numFmt numFmtId="224" formatCode="0.00\x"/>
    <numFmt numFmtId="225" formatCode="0.0&quot; years&quot;"/>
    <numFmt numFmtId="226" formatCode="#,##0.000"/>
    <numFmt numFmtId="227" formatCode="dd\/mm\/yy"/>
    <numFmt numFmtId="228" formatCode="&quot;Due &quot;0"/>
    <numFmt numFmtId="229" formatCode="0.0"/>
    <numFmt numFmtId="230" formatCode="&quot;$&quot;#,##0.0_);\(&quot;$&quot;#,##0.0\)"/>
    <numFmt numFmtId="231" formatCode="0.0\x"/>
    <numFmt numFmtId="232" formatCode="0.0000%"/>
  </numFmts>
  <fonts count="87">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sz val="11"/>
      <color theme="8" tint="-0.249977111117893"/>
      <name val="Calibri"/>
      <family val="2"/>
      <scheme val="minor"/>
    </font>
    <font>
      <i/>
      <sz val="9"/>
      <color theme="1"/>
      <name val="Calibri"/>
      <family val="2"/>
      <scheme val="minor"/>
    </font>
    <font>
      <u/>
      <sz val="11"/>
      <color theme="1"/>
      <name val="Calibri"/>
      <family val="2"/>
      <scheme val="minor"/>
    </font>
    <font>
      <sz val="10"/>
      <name val="GillSans"/>
    </font>
    <font>
      <sz val="8"/>
      <color indexed="49"/>
      <name val="Times New Roman"/>
      <family val="1"/>
    </font>
    <font>
      <sz val="10"/>
      <name val="Arial"/>
      <family val="2"/>
    </font>
    <font>
      <sz val="10"/>
      <name val="Trebuchet MS"/>
      <family val="2"/>
    </font>
    <font>
      <sz val="11"/>
      <color indexed="8"/>
      <name val="Calibri"/>
      <family val="2"/>
    </font>
    <font>
      <sz val="11"/>
      <color indexed="9"/>
      <name val="Calibri"/>
      <family val="2"/>
    </font>
    <font>
      <sz val="11"/>
      <color indexed="20"/>
      <name val="Calibri"/>
      <family val="2"/>
    </font>
    <font>
      <sz val="8"/>
      <name val="Times New Roman"/>
      <family val="1"/>
    </font>
    <font>
      <sz val="10"/>
      <name val="Times New Roman"/>
      <family val="1"/>
    </font>
    <font>
      <b/>
      <sz val="18"/>
      <name val="Tms Rmn"/>
    </font>
    <font>
      <b/>
      <sz val="11"/>
      <color indexed="52"/>
      <name val="Calibri"/>
      <family val="2"/>
    </font>
    <font>
      <b/>
      <sz val="11"/>
      <color indexed="9"/>
      <name val="Calibri"/>
      <family val="2"/>
    </font>
    <font>
      <b/>
      <sz val="7"/>
      <name val="GillSans"/>
    </font>
    <font>
      <sz val="10"/>
      <name val="Geneva"/>
    </font>
    <font>
      <sz val="24"/>
      <name val="Arial"/>
      <family val="2"/>
    </font>
    <font>
      <sz val="8"/>
      <name val="Arial"/>
      <family val="2"/>
    </font>
    <font>
      <sz val="10"/>
      <name val="Helvetica"/>
      <family val="2"/>
    </font>
    <font>
      <b/>
      <sz val="8"/>
      <name val="Arial"/>
      <family val="2"/>
    </font>
    <font>
      <b/>
      <sz val="8"/>
      <name val="Times New Roman"/>
      <family val="1"/>
    </font>
    <font>
      <i/>
      <sz val="11"/>
      <color indexed="23"/>
      <name val="Calibri"/>
      <family val="2"/>
    </font>
    <font>
      <sz val="11"/>
      <color indexed="17"/>
      <name val="Calibri"/>
      <family val="2"/>
    </font>
    <font>
      <i/>
      <sz val="8"/>
      <color indexed="17"/>
      <name val="Times New Roman"/>
      <family val="1"/>
    </font>
    <font>
      <sz val="8"/>
      <color indexed="21"/>
      <name val="Arial"/>
      <family val="2"/>
    </font>
    <font>
      <b/>
      <sz val="15"/>
      <color indexed="56"/>
      <name val="Calibri"/>
      <family val="2"/>
    </font>
    <font>
      <b/>
      <sz val="13"/>
      <color indexed="56"/>
      <name val="Calibri"/>
      <family val="2"/>
    </font>
    <font>
      <b/>
      <sz val="11"/>
      <color indexed="56"/>
      <name val="Calibri"/>
      <family val="2"/>
    </font>
    <font>
      <sz val="10"/>
      <color indexed="12"/>
      <name val="Trebuchet MS"/>
      <family val="2"/>
    </font>
    <font>
      <sz val="10"/>
      <name val="MS Sans Serif"/>
      <family val="2"/>
    </font>
    <font>
      <sz val="11"/>
      <color indexed="62"/>
      <name val="Calibri"/>
      <family val="2"/>
    </font>
    <font>
      <b/>
      <sz val="10"/>
      <color indexed="9"/>
      <name val="Tms Rmn"/>
    </font>
    <font>
      <b/>
      <sz val="10"/>
      <name val="Arial"/>
      <family val="2"/>
    </font>
    <font>
      <sz val="11"/>
      <color indexed="52"/>
      <name val="Calibri"/>
      <family val="2"/>
    </font>
    <font>
      <sz val="8"/>
      <color indexed="18"/>
      <name val="Times New Roman"/>
      <family val="1"/>
    </font>
    <font>
      <sz val="11"/>
      <color indexed="60"/>
      <name val="Calibri"/>
      <family val="2"/>
    </font>
    <font>
      <b/>
      <sz val="11"/>
      <color indexed="63"/>
      <name val="Calibri"/>
      <family val="2"/>
    </font>
    <font>
      <sz val="10"/>
      <name val="Palatino"/>
    </font>
    <font>
      <sz val="12"/>
      <name val="Baskerville MT"/>
    </font>
    <font>
      <u/>
      <sz val="10"/>
      <name val="GillSans"/>
      <family val="2"/>
    </font>
    <font>
      <sz val="10"/>
      <name val="GillSans Light"/>
    </font>
    <font>
      <b/>
      <sz val="12"/>
      <name val="Arial"/>
      <family val="2"/>
    </font>
    <font>
      <b/>
      <sz val="16"/>
      <name val="Arial"/>
      <family val="2"/>
    </font>
    <font>
      <sz val="8"/>
      <name val="MS Sans Serif"/>
      <family val="2"/>
    </font>
    <font>
      <sz val="8.25"/>
      <color indexed="8"/>
      <name val="Arial"/>
      <family val="2"/>
    </font>
    <font>
      <b/>
      <u val="singleAccounting"/>
      <sz val="8"/>
      <color indexed="8"/>
      <name val="Arial"/>
      <family val="2"/>
    </font>
    <font>
      <sz val="8"/>
      <color indexed="8"/>
      <name val="Arial"/>
      <family val="2"/>
    </font>
    <font>
      <sz val="8"/>
      <color indexed="39"/>
      <name val="Arial"/>
      <family val="2"/>
    </font>
    <font>
      <sz val="7"/>
      <name val="Times New Roman"/>
      <family val="1"/>
    </font>
    <font>
      <sz val="7"/>
      <color indexed="17"/>
      <name val="Times New Roman"/>
      <family val="1"/>
    </font>
    <font>
      <sz val="7"/>
      <color indexed="18"/>
      <name val="Times New Roman"/>
      <family val="1"/>
    </font>
    <font>
      <b/>
      <sz val="12"/>
      <name val="GillSans"/>
      <family val="2"/>
    </font>
    <font>
      <b/>
      <sz val="18"/>
      <color indexed="56"/>
      <name val="Cambria"/>
      <family val="2"/>
    </font>
    <font>
      <b/>
      <sz val="11"/>
      <name val="GillSans"/>
    </font>
    <font>
      <b/>
      <sz val="8"/>
      <color indexed="18"/>
      <name val="Times New Roman"/>
      <family val="1"/>
    </font>
    <font>
      <i/>
      <sz val="8"/>
      <name val="Times New Roman"/>
      <family val="1"/>
    </font>
    <font>
      <u/>
      <sz val="11"/>
      <name val="GillSans"/>
      <family val="2"/>
    </font>
    <font>
      <b/>
      <sz val="11"/>
      <color indexed="8"/>
      <name val="Calibri"/>
      <family val="2"/>
    </font>
    <font>
      <sz val="11"/>
      <color indexed="10"/>
      <name val="Calibri"/>
      <family val="2"/>
    </font>
    <font>
      <sz val="9"/>
      <color indexed="81"/>
      <name val="Tahoma"/>
      <family val="2"/>
    </font>
    <font>
      <sz val="10"/>
      <color indexed="8"/>
      <name val="Arial"/>
      <family val="2"/>
    </font>
    <font>
      <b/>
      <sz val="8"/>
      <color indexed="8"/>
      <name val="Verdana"/>
      <family val="2"/>
    </font>
    <font>
      <sz val="8"/>
      <color indexed="12"/>
      <name val="Arial"/>
      <family val="2"/>
    </font>
    <font>
      <sz val="1"/>
      <color indexed="9"/>
      <name val="Symbol"/>
      <family val="1"/>
      <charset val="2"/>
    </font>
    <font>
      <sz val="11"/>
      <color indexed="8"/>
      <name val="Calibri"/>
      <family val="2"/>
      <scheme val="minor"/>
    </font>
    <font>
      <b/>
      <u val="singleAccounting"/>
      <sz val="8"/>
      <color indexed="8"/>
      <name val="Verdana"/>
      <family val="2"/>
    </font>
    <font>
      <b/>
      <sz val="10"/>
      <color indexed="9"/>
      <name val="Arial"/>
      <family val="2"/>
    </font>
    <font>
      <b/>
      <sz val="12"/>
      <color indexed="8"/>
      <name val="Verdana"/>
      <family val="2"/>
    </font>
    <font>
      <sz val="8"/>
      <color indexed="10"/>
      <name val="Arial"/>
      <family val="2"/>
    </font>
    <font>
      <b/>
      <sz val="8"/>
      <color indexed="9"/>
      <name val="Verdana"/>
      <family val="2"/>
    </font>
    <font>
      <vertAlign val="subscript"/>
      <sz val="8"/>
      <color indexed="8"/>
      <name val="Arial"/>
      <family val="2"/>
    </font>
    <font>
      <vertAlign val="superscript"/>
      <sz val="8"/>
      <color indexed="8"/>
      <name val="Arial"/>
      <family val="2"/>
    </font>
    <font>
      <b/>
      <sz val="8"/>
      <color indexed="8"/>
      <name val="Arial"/>
      <family val="2"/>
    </font>
    <font>
      <i/>
      <sz val="8"/>
      <color indexed="8"/>
      <name val="Arial"/>
      <family val="2"/>
    </font>
    <font>
      <b/>
      <sz val="13"/>
      <color indexed="8"/>
      <name val="Verdana"/>
      <family val="2"/>
    </font>
    <font>
      <b/>
      <sz val="9"/>
      <color indexed="81"/>
      <name val="Tahoma"/>
      <family val="2"/>
    </font>
    <font>
      <u val="singleAccounting"/>
      <sz val="11"/>
      <color theme="1"/>
      <name val="Calibri"/>
      <family val="2"/>
      <scheme val="minor"/>
    </font>
    <font>
      <sz val="11"/>
      <name val="Calibri"/>
      <family val="2"/>
      <scheme val="minor"/>
    </font>
    <font>
      <b/>
      <u/>
      <sz val="11"/>
      <color theme="1"/>
      <name val="Calibri"/>
      <family val="2"/>
      <scheme val="minor"/>
    </font>
    <font>
      <sz val="9"/>
      <color indexed="81"/>
      <name val="Tahoma"/>
      <charset val="1"/>
    </font>
    <font>
      <b/>
      <sz val="9"/>
      <color indexed="81"/>
      <name val="Tahoma"/>
      <charset val="1"/>
    </font>
  </fonts>
  <fills count="37">
    <fill>
      <patternFill patternType="none"/>
    </fill>
    <fill>
      <patternFill patternType="gray125"/>
    </fill>
    <fill>
      <patternFill patternType="solid">
        <fgColor theme="8" tint="-0.249977111117893"/>
        <bgColor indexed="64"/>
      </patternFill>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8"/>
        <bgColor indexed="64"/>
      </patternFill>
    </fill>
    <fill>
      <patternFill patternType="solid">
        <fgColor indexed="13"/>
        <bgColor indexed="64"/>
      </patternFill>
    </fill>
    <fill>
      <patternFill patternType="solid">
        <fgColor indexed="26"/>
      </patternFill>
    </fill>
    <fill>
      <patternFill patternType="solid">
        <fgColor indexed="61"/>
        <bgColor indexed="64"/>
      </patternFill>
    </fill>
    <fill>
      <patternFill patternType="solid">
        <fgColor indexed="60"/>
        <bgColor indexed="64"/>
      </patternFill>
    </fill>
    <fill>
      <patternFill patternType="solid">
        <fgColor rgb="FF808080"/>
        <bgColor indexed="64"/>
      </patternFill>
    </fill>
    <fill>
      <patternFill patternType="solid">
        <fgColor indexed="62"/>
        <bgColor indexed="64"/>
      </patternFill>
    </fill>
    <fill>
      <patternFill patternType="solid">
        <fgColor indexed="63"/>
        <bgColor indexed="64"/>
      </patternFill>
    </fill>
    <fill>
      <patternFill patternType="solid">
        <fgColor indexed="56"/>
        <bgColor indexed="64"/>
      </patternFill>
    </fill>
  </fills>
  <borders count="24">
    <border>
      <left/>
      <right/>
      <top/>
      <bottom/>
      <diagonal/>
    </border>
    <border>
      <left/>
      <right/>
      <top/>
      <bottom style="medium">
        <color indexed="64"/>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right/>
      <top/>
      <bottom style="double">
        <color auto="1"/>
      </bottom>
      <diagonal/>
    </border>
    <border>
      <left style="double">
        <color indexed="63"/>
      </left>
      <right style="double">
        <color indexed="63"/>
      </right>
      <top style="double">
        <color indexed="63"/>
      </top>
      <bottom style="double">
        <color indexed="63"/>
      </bottom>
      <diagonal/>
    </border>
    <border>
      <left/>
      <right style="thin">
        <color auto="1"/>
      </right>
      <top/>
      <bottom/>
      <diagonal/>
    </border>
    <border>
      <left style="thin">
        <color indexed="9"/>
      </left>
      <right style="thin">
        <color indexed="9"/>
      </right>
      <top/>
      <bottom/>
      <diagonal/>
    </border>
    <border>
      <left style="thin">
        <color auto="1"/>
      </left>
      <right style="thin">
        <color auto="1"/>
      </right>
      <top style="thin">
        <color auto="1"/>
      </top>
      <bottom style="thin">
        <color auto="1"/>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auto="1"/>
      </right>
      <top style="thin">
        <color auto="1"/>
      </top>
      <bottom/>
      <diagonal/>
    </border>
    <border>
      <left/>
      <right/>
      <top/>
      <bottom style="thick">
        <color auto="1"/>
      </bottom>
      <diagonal/>
    </border>
    <border>
      <left/>
      <right/>
      <top style="thin">
        <color indexed="62"/>
      </top>
      <bottom style="double">
        <color indexed="62"/>
      </bottom>
      <diagonal/>
    </border>
    <border>
      <left style="thin">
        <color indexed="23"/>
      </left>
      <right style="thin">
        <color indexed="23"/>
      </right>
      <top/>
      <bottom/>
      <diagonal/>
    </border>
    <border>
      <left style="thin">
        <color auto="1"/>
      </left>
      <right style="thin">
        <color auto="1"/>
      </right>
      <top/>
      <bottom style="thin">
        <color auto="1"/>
      </bottom>
      <diagonal/>
    </border>
    <border>
      <left/>
      <right style="hair">
        <color rgb="FF000000"/>
      </right>
      <top/>
      <bottom/>
      <diagonal/>
    </border>
    <border>
      <left/>
      <right/>
      <top style="thin">
        <color indexed="64"/>
      </top>
      <bottom/>
      <diagonal/>
    </border>
    <border>
      <left/>
      <right/>
      <top style="thin">
        <color indexed="64"/>
      </top>
      <bottom/>
      <diagonal/>
    </border>
  </borders>
  <cellStyleXfs count="209">
    <xf numFmtId="0" fontId="0" fillId="0" borderId="0"/>
    <xf numFmtId="0" fontId="8" fillId="0" borderId="0"/>
    <xf numFmtId="166" fontId="8" fillId="0" borderId="0">
      <alignment horizontal="right"/>
    </xf>
    <xf numFmtId="167" fontId="8" fillId="3" borderId="0"/>
    <xf numFmtId="168" fontId="8" fillId="3" borderId="0"/>
    <xf numFmtId="169" fontId="8" fillId="3" borderId="0"/>
    <xf numFmtId="170" fontId="8" fillId="3" borderId="0">
      <alignment horizontal="right"/>
    </xf>
    <xf numFmtId="171" fontId="9" fillId="0" borderId="0" applyFont="0" applyFill="0" applyBorder="0" applyAlignment="0" applyProtection="0"/>
    <xf numFmtId="0" fontId="10" fillId="0" borderId="0" applyNumberFormat="0" applyFont="0" applyFill="0" applyBorder="0" applyAlignment="0" applyProtection="0"/>
    <xf numFmtId="172" fontId="11" fillId="0" borderId="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7"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21" borderId="0" applyNumberFormat="0" applyBorder="0" applyAlignment="0" applyProtection="0"/>
    <xf numFmtId="0" fontId="11" fillId="0" borderId="0"/>
    <xf numFmtId="0" fontId="14" fillId="5" borderId="0" applyNumberFormat="0" applyBorder="0" applyAlignment="0" applyProtection="0"/>
    <xf numFmtId="173" fontId="15" fillId="0" borderId="0" applyFont="0" applyFill="0" applyBorder="0" applyAlignment="0" applyProtection="0"/>
    <xf numFmtId="38" fontId="15" fillId="0" borderId="0" applyFill="0" applyBorder="0" applyAlignment="0" applyProtection="0">
      <protection locked="0"/>
    </xf>
    <xf numFmtId="0" fontId="16" fillId="0" borderId="0"/>
    <xf numFmtId="37" fontId="17" fillId="0" borderId="0">
      <alignment horizontal="centerContinuous"/>
    </xf>
    <xf numFmtId="0" fontId="18" fillId="22" borderId="3" applyNumberFormat="0" applyAlignment="0" applyProtection="0"/>
    <xf numFmtId="173" fontId="15" fillId="0" borderId="0" applyFont="0" applyFill="0" applyBorder="0" applyAlignment="0" applyProtection="0">
      <protection locked="0"/>
    </xf>
    <xf numFmtId="173" fontId="15" fillId="0" borderId="4" applyFont="0" applyFill="0" applyAlignment="0" applyProtection="0"/>
    <xf numFmtId="0" fontId="19" fillId="23" borderId="5" applyNumberFormat="0" applyAlignment="0" applyProtection="0"/>
    <xf numFmtId="0" fontId="10" fillId="0" borderId="0">
      <alignment horizontal="center" wrapText="1"/>
      <protection hidden="1"/>
    </xf>
    <xf numFmtId="0" fontId="20" fillId="0" borderId="2" applyNumberFormat="0" applyFill="0" applyBorder="0" applyProtection="0">
      <alignment horizontal="left" vertical="center"/>
    </xf>
    <xf numFmtId="0" fontId="20" fillId="0" borderId="2" applyNumberFormat="0" applyFill="0" applyBorder="0" applyProtection="0">
      <alignment horizontal="right" vertical="center"/>
    </xf>
    <xf numFmtId="43" fontId="10" fillId="0" borderId="0" applyFont="0" applyFill="0" applyBorder="0" applyAlignment="0" applyProtection="0"/>
    <xf numFmtId="37" fontId="21" fillId="0" borderId="0" applyFont="0" applyFill="0" applyBorder="0" applyAlignment="0" applyProtection="0"/>
    <xf numFmtId="39" fontId="21" fillId="0" borderId="0" applyFont="0" applyFill="0" applyBorder="0" applyAlignment="0" applyProtection="0"/>
    <xf numFmtId="0" fontId="22" fillId="24" borderId="0">
      <alignment horizontal="center" vertical="center" wrapText="1"/>
    </xf>
    <xf numFmtId="174" fontId="10" fillId="0" borderId="0" applyFill="0" applyBorder="0">
      <alignment horizontal="right"/>
      <protection locked="0"/>
    </xf>
    <xf numFmtId="0" fontId="23" fillId="0" borderId="0" applyFont="0" applyFill="0" applyBorder="0" applyAlignment="0"/>
    <xf numFmtId="7" fontId="24" fillId="0" borderId="0" applyFont="0" applyFill="0" applyBorder="0" applyAlignment="0" applyProtection="0"/>
    <xf numFmtId="5" fontId="21" fillId="0" borderId="0" applyFont="0" applyFill="0" applyBorder="0" applyAlignment="0" applyProtection="0"/>
    <xf numFmtId="175" fontId="11" fillId="0" borderId="0" applyFill="0" applyBorder="0" applyProtection="0">
      <alignment horizontal="right"/>
    </xf>
    <xf numFmtId="176" fontId="8" fillId="3" borderId="6">
      <alignment horizontal="right"/>
    </xf>
    <xf numFmtId="177" fontId="8" fillId="3" borderId="6">
      <alignment horizontal="right"/>
    </xf>
    <xf numFmtId="176" fontId="8" fillId="3" borderId="6">
      <alignment horizontal="right"/>
    </xf>
    <xf numFmtId="15" fontId="25" fillId="0" borderId="0" applyFill="0" applyBorder="0" applyAlignment="0"/>
    <xf numFmtId="178" fontId="23" fillId="25" borderId="0" applyFont="0" applyFill="0" applyBorder="0" applyAlignment="0" applyProtection="0"/>
    <xf numFmtId="179" fontId="25" fillId="0" borderId="2"/>
    <xf numFmtId="14" fontId="26" fillId="0" borderId="0" applyFont="0" applyFill="0" applyBorder="0" applyAlignment="0" applyProtection="0">
      <alignment horizontal="center"/>
    </xf>
    <xf numFmtId="180" fontId="26" fillId="0" borderId="0" applyFont="0" applyFill="0" applyBorder="0" applyAlignment="0" applyProtection="0">
      <alignment horizontal="center"/>
    </xf>
    <xf numFmtId="181" fontId="11" fillId="0" borderId="0" applyFont="0" applyFill="0" applyBorder="0" applyAlignment="0" applyProtection="0"/>
    <xf numFmtId="8" fontId="15" fillId="0" borderId="0" applyFont="0" applyFill="0" applyBorder="0" applyAlignment="0" applyProtection="0"/>
    <xf numFmtId="6" fontId="15" fillId="0" borderId="0" applyFont="0" applyFill="0" applyBorder="0" applyAlignment="0" applyProtection="0">
      <alignment horizontal="right"/>
    </xf>
    <xf numFmtId="6" fontId="15" fillId="0" borderId="0" applyFont="0" applyFill="0" applyBorder="0" applyAlignment="0" applyProtection="0"/>
    <xf numFmtId="39" fontId="8" fillId="26" borderId="0"/>
    <xf numFmtId="7" fontId="8" fillId="26" borderId="0" applyBorder="0"/>
    <xf numFmtId="182" fontId="8" fillId="26" borderId="0"/>
    <xf numFmtId="183" fontId="8" fillId="0" borderId="0"/>
    <xf numFmtId="184" fontId="8" fillId="26" borderId="0"/>
    <xf numFmtId="185" fontId="16" fillId="0" borderId="0" applyFont="0" applyFill="0" applyBorder="0" applyProtection="0">
      <alignment horizontal="left"/>
      <protection locked="0"/>
    </xf>
    <xf numFmtId="186" fontId="8" fillId="0" borderId="0"/>
    <xf numFmtId="187" fontId="16" fillId="0" borderId="0" applyFont="0" applyFill="0" applyBorder="0" applyProtection="0">
      <alignment horizontal="left"/>
      <protection locked="0"/>
    </xf>
    <xf numFmtId="188" fontId="10" fillId="0" borderId="0" applyFont="0" applyFill="0" applyBorder="0" applyAlignment="0" applyProtection="0"/>
    <xf numFmtId="0" fontId="27" fillId="0" borderId="0" applyNumberFormat="0" applyFill="0" applyBorder="0" applyAlignment="0" applyProtection="0"/>
    <xf numFmtId="171" fontId="8" fillId="0" borderId="7"/>
    <xf numFmtId="189" fontId="8" fillId="3" borderId="6">
      <alignment horizontal="right"/>
    </xf>
    <xf numFmtId="190" fontId="8" fillId="3" borderId="6">
      <alignment horizontal="right"/>
    </xf>
    <xf numFmtId="189" fontId="8" fillId="3" borderId="6">
      <alignment horizontal="right"/>
    </xf>
    <xf numFmtId="191" fontId="15" fillId="0" borderId="0" applyFill="0" applyBorder="0" applyAlignment="0" applyProtection="0">
      <protection locked="0"/>
    </xf>
    <xf numFmtId="0" fontId="28" fillId="6" borderId="0" applyNumberFormat="0" applyBorder="0" applyAlignment="0" applyProtection="0"/>
    <xf numFmtId="192" fontId="29" fillId="0" borderId="0" applyFill="0" applyBorder="0" applyAlignment="0" applyProtection="0"/>
    <xf numFmtId="171" fontId="30" fillId="0" borderId="0" applyAlignment="0">
      <alignment horizontal="left"/>
      <protection locked="0"/>
    </xf>
    <xf numFmtId="191" fontId="11" fillId="27" borderId="8" applyNumberFormat="0" applyFont="0" applyAlignment="0" applyProtection="0"/>
    <xf numFmtId="0" fontId="31" fillId="0" borderId="9" applyNumberFormat="0" applyFill="0" applyAlignment="0" applyProtection="0"/>
    <xf numFmtId="0" fontId="32" fillId="0" borderId="10" applyNumberFormat="0" applyFill="0" applyAlignment="0" applyProtection="0"/>
    <xf numFmtId="0" fontId="33" fillId="0" borderId="11" applyNumberFormat="0" applyFill="0" applyAlignment="0" applyProtection="0"/>
    <xf numFmtId="0" fontId="33" fillId="0" borderId="0" applyNumberFormat="0" applyFill="0" applyBorder="0" applyAlignment="0" applyProtection="0"/>
    <xf numFmtId="191" fontId="34" fillId="0" borderId="0" applyNumberFormat="0" applyFill="0" applyBorder="0" applyAlignment="0" applyProtection="0"/>
    <xf numFmtId="0" fontId="35" fillId="0" borderId="0"/>
    <xf numFmtId="173" fontId="15" fillId="0" borderId="0" applyFont="0" applyFill="0" applyBorder="0" applyAlignment="0" applyProtection="0"/>
    <xf numFmtId="38" fontId="15" fillId="0" borderId="0" applyFill="0" applyBorder="0" applyAlignment="0" applyProtection="0">
      <alignment horizontal="right"/>
      <protection locked="0"/>
    </xf>
    <xf numFmtId="0" fontId="36" fillId="9" borderId="3" applyNumberFormat="0" applyAlignment="0" applyProtection="0"/>
    <xf numFmtId="0" fontId="23" fillId="25" borderId="0" applyFont="0" applyBorder="0" applyAlignment="0">
      <protection locked="0"/>
    </xf>
    <xf numFmtId="0" fontId="10" fillId="0" borderId="0" applyFill="0" applyBorder="0">
      <alignment horizontal="right"/>
      <protection locked="0"/>
    </xf>
    <xf numFmtId="17" fontId="37" fillId="28" borderId="0"/>
    <xf numFmtId="193" fontId="10" fillId="0" borderId="0" applyFill="0" applyBorder="0">
      <alignment horizontal="right"/>
      <protection locked="0"/>
    </xf>
    <xf numFmtId="0" fontId="38" fillId="29" borderId="12">
      <alignment horizontal="left" vertical="center" wrapText="1"/>
    </xf>
    <xf numFmtId="0" fontId="39" fillId="0" borderId="13" applyNumberFormat="0" applyFill="0" applyAlignment="0" applyProtection="0"/>
    <xf numFmtId="164" fontId="15" fillId="0" borderId="0" applyFont="0" applyFill="0" applyBorder="0" applyAlignment="0" applyProtection="0">
      <alignment horizontal="right"/>
    </xf>
    <xf numFmtId="194" fontId="8" fillId="0" borderId="0">
      <alignment horizontal="right"/>
    </xf>
    <xf numFmtId="195" fontId="8" fillId="26" borderId="0">
      <alignment horizontal="right"/>
    </xf>
    <xf numFmtId="196" fontId="8" fillId="0" borderId="0">
      <alignment horizontal="right"/>
    </xf>
    <xf numFmtId="194" fontId="8" fillId="0" borderId="0">
      <alignment horizontal="right"/>
    </xf>
    <xf numFmtId="171" fontId="40" fillId="0" borderId="0" applyFill="0" applyBorder="0" applyAlignment="0" applyProtection="0">
      <alignment horizontal="right"/>
    </xf>
    <xf numFmtId="171" fontId="40" fillId="0" borderId="0" applyFill="0" applyBorder="0" applyAlignment="0" applyProtection="0"/>
    <xf numFmtId="197" fontId="8" fillId="3" borderId="6">
      <alignment horizontal="right"/>
    </xf>
    <xf numFmtId="198" fontId="15" fillId="0" borderId="0" applyFont="0" applyFill="0" applyBorder="0" applyAlignment="0" applyProtection="0"/>
    <xf numFmtId="0" fontId="21" fillId="3" borderId="0" applyFont="0" applyBorder="0" applyAlignment="0" applyProtection="0">
      <alignment horizontal="right"/>
      <protection hidden="1"/>
    </xf>
    <xf numFmtId="0" fontId="41" fillId="27" borderId="0" applyNumberFormat="0" applyBorder="0" applyAlignment="0" applyProtection="0"/>
    <xf numFmtId="37" fontId="24" fillId="0" borderId="0" applyFont="0" applyFill="0" applyBorder="0" applyAlignment="0" applyProtection="0"/>
    <xf numFmtId="165" fontId="10" fillId="0" borderId="0" applyFont="0" applyFill="0" applyBorder="0" applyAlignment="0" applyProtection="0"/>
    <xf numFmtId="39" fontId="10" fillId="0" borderId="0" applyFont="0" applyFill="0" applyBorder="0" applyAlignment="0" applyProtection="0"/>
    <xf numFmtId="199" fontId="10" fillId="0" borderId="0" applyFont="0" applyFill="0" applyBorder="0" applyAlignment="0" applyProtection="0"/>
    <xf numFmtId="0" fontId="10" fillId="0" borderId="0"/>
    <xf numFmtId="0" fontId="25" fillId="0" borderId="0" applyNumberFormat="0" applyFill="0" applyBorder="0" applyAlignment="0" applyProtection="0"/>
    <xf numFmtId="0" fontId="23" fillId="0" borderId="0" applyFont="0" applyFill="0" applyBorder="0" applyAlignment="0" applyProtection="0"/>
    <xf numFmtId="200" fontId="23" fillId="0" borderId="0" applyFont="0" applyFill="0" applyBorder="0" applyAlignment="0" applyProtection="0"/>
    <xf numFmtId="0" fontId="12" fillId="30" borderId="14" applyNumberFormat="0" applyFont="0" applyAlignment="0" applyProtection="0"/>
    <xf numFmtId="0" fontId="21" fillId="0" borderId="0" applyFont="0" applyFill="0" applyBorder="0" applyAlignment="0" applyProtection="0"/>
    <xf numFmtId="201" fontId="10" fillId="0" borderId="0" applyFont="0" applyFill="0" applyBorder="0" applyAlignment="0" applyProtection="0"/>
    <xf numFmtId="0" fontId="21" fillId="0" borderId="0" applyFont="0" applyFill="0" applyBorder="0" applyAlignment="0" applyProtection="0"/>
    <xf numFmtId="0" fontId="42" fillId="22" borderId="15" applyNumberFormat="0" applyAlignment="0" applyProtection="0"/>
    <xf numFmtId="202" fontId="15" fillId="0" borderId="0" applyFont="0" applyFill="0" applyBorder="0" applyAlignment="0" applyProtection="0">
      <alignment horizontal="right"/>
    </xf>
    <xf numFmtId="0" fontId="43" fillId="0" borderId="0" applyNumberFormat="0" applyFill="0" applyBorder="0" applyAlignment="0" applyProtection="0"/>
    <xf numFmtId="0" fontId="23" fillId="0" borderId="0"/>
    <xf numFmtId="203" fontId="8" fillId="26" borderId="0"/>
    <xf numFmtId="9" fontId="15" fillId="0" borderId="0" applyFont="0" applyFill="0" applyBorder="0" applyAlignment="0" applyProtection="0">
      <alignment horizontal="right"/>
    </xf>
    <xf numFmtId="204" fontId="8" fillId="0" borderId="0"/>
    <xf numFmtId="0" fontId="10" fillId="0" borderId="0" applyFont="0" applyFill="0" applyBorder="0" applyAlignment="0"/>
    <xf numFmtId="167" fontId="10" fillId="0" borderId="0" applyFont="0" applyFill="0" applyBorder="0" applyAlignment="0" applyProtection="0"/>
    <xf numFmtId="205" fontId="10" fillId="0" borderId="0" applyFont="0" applyFill="0" applyBorder="0" applyAlignment="0" applyProtection="0"/>
    <xf numFmtId="206" fontId="10" fillId="0" borderId="0" applyFill="0" applyBorder="0">
      <alignment horizontal="right"/>
      <protection locked="0"/>
    </xf>
    <xf numFmtId="192" fontId="15" fillId="0" borderId="0" applyFont="0" applyFill="0" applyBorder="0" applyAlignment="0" applyProtection="0"/>
    <xf numFmtId="8" fontId="15" fillId="0" borderId="0" applyFont="0" applyFill="0" applyBorder="0" applyAlignment="0" applyProtection="0"/>
    <xf numFmtId="173" fontId="15" fillId="0" borderId="0" applyFont="0" applyFill="0" applyBorder="0" applyAlignment="0" applyProtection="0">
      <protection locked="0"/>
    </xf>
    <xf numFmtId="191" fontId="15" fillId="0" borderId="0" applyFill="0" applyBorder="0" applyAlignment="0" applyProtection="0"/>
    <xf numFmtId="38" fontId="15" fillId="0" borderId="0" applyFont="0" applyFill="0" applyBorder="0" applyAlignment="0" applyProtection="0"/>
    <xf numFmtId="169" fontId="8" fillId="3" borderId="16">
      <alignment horizontal="right"/>
    </xf>
    <xf numFmtId="207" fontId="44" fillId="3" borderId="0"/>
    <xf numFmtId="208" fontId="8" fillId="3" borderId="0"/>
    <xf numFmtId="0" fontId="45" fillId="0" borderId="0">
      <alignment horizontal="center"/>
    </xf>
    <xf numFmtId="0" fontId="8" fillId="0" borderId="2">
      <alignment horizontal="centerContinuous"/>
    </xf>
    <xf numFmtId="209" fontId="8" fillId="3" borderId="0">
      <alignment horizontal="right"/>
    </xf>
    <xf numFmtId="210" fontId="8" fillId="3" borderId="6">
      <alignment horizontal="right"/>
    </xf>
    <xf numFmtId="211" fontId="10" fillId="0" borderId="0">
      <alignment horizontal="right"/>
      <protection locked="0"/>
    </xf>
    <xf numFmtId="191" fontId="26" fillId="0" borderId="0" applyFont="0" applyFill="0" applyBorder="0" applyAlignment="0" applyProtection="0"/>
    <xf numFmtId="0" fontId="46" fillId="0" borderId="0" applyNumberFormat="0" applyFill="0" applyBorder="0" applyProtection="0">
      <alignment horizontal="right" vertical="center"/>
    </xf>
    <xf numFmtId="0" fontId="47" fillId="24" borderId="8">
      <alignment horizontal="center" vertical="center" wrapText="1"/>
      <protection hidden="1"/>
    </xf>
    <xf numFmtId="173" fontId="15" fillId="0" borderId="0" applyFill="0" applyBorder="0" applyAlignment="0" applyProtection="0">
      <protection locked="0"/>
    </xf>
    <xf numFmtId="212" fontId="26" fillId="0" borderId="0" applyFont="0" applyFill="0" applyBorder="0" applyAlignment="0" applyProtection="0">
      <alignment horizontal="right"/>
    </xf>
    <xf numFmtId="38" fontId="10" fillId="0" borderId="0" applyFont="0" applyFill="0" applyBorder="0" applyAlignment="0" applyProtection="0"/>
    <xf numFmtId="0" fontId="48" fillId="0" borderId="17" applyNumberFormat="0" applyFill="0" applyProtection="0">
      <alignment horizontal="left" vertical="top" wrapText="1"/>
    </xf>
    <xf numFmtId="0" fontId="35" fillId="0" borderId="0" applyNumberFormat="0" applyFill="0" applyBorder="0" applyProtection="0">
      <alignment horizontal="left" vertical="top" wrapText="1"/>
    </xf>
    <xf numFmtId="0" fontId="49" fillId="0" borderId="0" applyNumberFormat="0" applyFill="0" applyProtection="0">
      <alignment horizontal="left" vertical="top" wrapText="1"/>
    </xf>
    <xf numFmtId="0" fontId="50" fillId="0" borderId="0" applyNumberFormat="0" applyFill="0" applyBorder="0" applyProtection="0"/>
    <xf numFmtId="0" fontId="51" fillId="31" borderId="0" applyNumberFormat="0" applyBorder="0" applyProtection="0"/>
    <xf numFmtId="0" fontId="52" fillId="0" borderId="0" applyNumberFormat="0" applyFill="0" applyBorder="0" applyProtection="0">
      <alignment vertical="top"/>
    </xf>
    <xf numFmtId="213" fontId="53" fillId="0" borderId="0" applyFill="0" applyBorder="0" applyProtection="0">
      <alignment horizontal="right" wrapText="1"/>
    </xf>
    <xf numFmtId="214" fontId="53" fillId="0" borderId="0" applyFill="0" applyBorder="0" applyProtection="0">
      <alignment horizontal="right"/>
    </xf>
    <xf numFmtId="4" fontId="23" fillId="0" borderId="0" applyFill="0" applyBorder="0" applyProtection="0">
      <alignment horizontal="right"/>
    </xf>
    <xf numFmtId="184" fontId="54" fillId="0" borderId="0" applyFill="0" applyBorder="0" applyAlignment="0" applyProtection="0"/>
    <xf numFmtId="215" fontId="55" fillId="0" borderId="0" applyFill="0" applyBorder="0" applyAlignment="0" applyProtection="0">
      <alignment horizontal="left"/>
      <protection locked="0"/>
    </xf>
    <xf numFmtId="215" fontId="55" fillId="0" borderId="0" applyFill="0" applyBorder="0" applyAlignment="0" applyProtection="0"/>
    <xf numFmtId="215" fontId="56" fillId="0" borderId="0" applyFill="0" applyBorder="0" applyAlignment="0" applyProtection="0">
      <alignment horizontal="left"/>
      <protection locked="0"/>
    </xf>
    <xf numFmtId="215" fontId="56" fillId="0" borderId="0" applyFill="0" applyBorder="0" applyAlignment="0" applyProtection="0">
      <protection locked="0"/>
    </xf>
    <xf numFmtId="191" fontId="15" fillId="0" borderId="0" applyFill="0" applyBorder="0" applyAlignment="0" applyProtection="0">
      <protection locked="0"/>
    </xf>
    <xf numFmtId="191" fontId="54" fillId="0" borderId="0" applyFill="0" applyBorder="0" applyAlignment="0" applyProtection="0"/>
    <xf numFmtId="49" fontId="57" fillId="0" borderId="0"/>
    <xf numFmtId="216" fontId="10" fillId="0" borderId="0" applyFont="0" applyFill="0" applyBorder="0" applyAlignment="0" applyProtection="0"/>
    <xf numFmtId="217" fontId="10" fillId="0" borderId="0" applyFont="0" applyFill="0" applyBorder="0" applyAlignment="0" applyProtection="0"/>
    <xf numFmtId="0" fontId="58" fillId="0" borderId="0" applyNumberFormat="0" applyFill="0" applyBorder="0" applyAlignment="0" applyProtection="0"/>
    <xf numFmtId="0" fontId="59" fillId="1" borderId="0" applyNumberFormat="0" applyBorder="0" applyProtection="0">
      <alignment horizontal="left" vertical="center"/>
    </xf>
    <xf numFmtId="191" fontId="60" fillId="0" borderId="0" applyNumberFormat="0" applyFill="0" applyBorder="0" applyAlignment="0" applyProtection="0"/>
    <xf numFmtId="0" fontId="10" fillId="0" borderId="0" applyBorder="0"/>
    <xf numFmtId="38" fontId="61" fillId="0" borderId="0" applyFill="0" applyBorder="0" applyAlignment="0" applyProtection="0">
      <alignment horizontal="left"/>
    </xf>
    <xf numFmtId="0" fontId="62" fillId="0" borderId="0"/>
    <xf numFmtId="0" fontId="63" fillId="0" borderId="18" applyNumberFormat="0" applyFill="0" applyAlignment="0" applyProtection="0"/>
    <xf numFmtId="0" fontId="64" fillId="0" borderId="0" applyNumberFormat="0" applyFill="0" applyBorder="0" applyAlignment="0" applyProtection="0"/>
    <xf numFmtId="1" fontId="15" fillId="0" borderId="0" applyFont="0" applyFill="0" applyBorder="0" applyAlignment="0" applyProtection="0"/>
    <xf numFmtId="218" fontId="24" fillId="0" borderId="0" applyFont="0" applyFill="0" applyBorder="0" applyAlignment="0" applyProtection="0"/>
    <xf numFmtId="219" fontId="25" fillId="0" borderId="0" applyFill="0" applyBorder="0" applyAlignment="0" applyProtection="0">
      <alignment horizontal="right"/>
    </xf>
    <xf numFmtId="0" fontId="66" fillId="0" borderId="0" applyAlignment="0"/>
    <xf numFmtId="0" fontId="67" fillId="0" borderId="0" applyAlignment="0"/>
    <xf numFmtId="0" fontId="51" fillId="32" borderId="0" applyAlignment="0"/>
    <xf numFmtId="220" fontId="23" fillId="0" borderId="19" applyFont="0" applyFill="0" applyBorder="0" applyAlignment="0" applyProtection="0"/>
    <xf numFmtId="221" fontId="25" fillId="0" borderId="0" applyFont="0" applyFill="0" applyBorder="0" applyAlignment="0" applyProtection="0"/>
    <xf numFmtId="222" fontId="23" fillId="0" borderId="0" applyFont="0" applyFill="0" applyBorder="0" applyAlignment="0" applyProtection="0"/>
    <xf numFmtId="178" fontId="68" fillId="25" borderId="20" applyFont="0" applyFill="0" applyBorder="0" applyAlignment="0" applyProtection="0"/>
    <xf numFmtId="0" fontId="69" fillId="0" borderId="0" applyAlignment="0"/>
    <xf numFmtId="14" fontId="25" fillId="0" borderId="2" applyFont="0" applyFill="0" applyBorder="0" applyAlignment="0" applyProtection="0"/>
    <xf numFmtId="0" fontId="70" fillId="33" borderId="21"/>
    <xf numFmtId="0" fontId="71" fillId="34" borderId="0" applyAlignment="0"/>
    <xf numFmtId="0" fontId="72" fillId="35" borderId="0" applyAlignment="0"/>
    <xf numFmtId="0" fontId="73" fillId="0" borderId="0" applyAlignment="0"/>
    <xf numFmtId="223" fontId="23" fillId="0" borderId="0" applyFont="0" applyFill="0" applyBorder="0" applyAlignment="0" applyProtection="0">
      <alignment horizontal="right"/>
    </xf>
    <xf numFmtId="191" fontId="74" fillId="0" borderId="0" applyNumberFormat="0" applyFill="0" applyBorder="0" applyAlignment="0" applyProtection="0">
      <alignment horizontal="left"/>
    </xf>
    <xf numFmtId="0" fontId="75" fillId="36" borderId="0" applyAlignment="0"/>
    <xf numFmtId="0" fontId="76" fillId="0" borderId="0" applyAlignment="0"/>
    <xf numFmtId="0" fontId="77" fillId="0" borderId="0" applyAlignment="0"/>
    <xf numFmtId="0" fontId="78" fillId="0" borderId="0" applyAlignment="0"/>
    <xf numFmtId="0" fontId="79" fillId="0" borderId="0" applyAlignment="0"/>
    <xf numFmtId="0" fontId="52" fillId="0" borderId="0" applyAlignment="0"/>
    <xf numFmtId="224" fontId="23" fillId="0" borderId="0" applyFont="0" applyFill="0" applyBorder="0" applyAlignment="0" applyProtection="0">
      <alignment horizontal="right"/>
    </xf>
    <xf numFmtId="0" fontId="80" fillId="0" borderId="0" applyAlignment="0"/>
    <xf numFmtId="225" fontId="23" fillId="0" borderId="0" applyFont="0" applyFill="0" applyBorder="0" applyAlignment="0"/>
  </cellStyleXfs>
  <cellXfs count="110">
    <xf numFmtId="0" fontId="0" fillId="0" borderId="0" xfId="0"/>
    <xf numFmtId="37" fontId="0" fillId="0" borderId="0" xfId="0" applyNumberFormat="1"/>
    <xf numFmtId="37" fontId="3" fillId="2" borderId="0" xfId="0" applyNumberFormat="1" applyFont="1" applyFill="1"/>
    <xf numFmtId="37" fontId="0" fillId="2" borderId="0" xfId="0" applyNumberFormat="1" applyFill="1"/>
    <xf numFmtId="37" fontId="2" fillId="0" borderId="0" xfId="0" applyNumberFormat="1" applyFont="1"/>
    <xf numFmtId="37" fontId="0" fillId="0" borderId="0" xfId="0" applyNumberFormat="1" applyAlignment="1">
      <alignment horizontal="right"/>
    </xf>
    <xf numFmtId="37" fontId="0" fillId="0" borderId="0" xfId="0" applyNumberFormat="1" applyAlignment="1">
      <alignment horizontal="center"/>
    </xf>
    <xf numFmtId="37" fontId="1" fillId="2" borderId="0" xfId="0" applyNumberFormat="1" applyFont="1" applyFill="1"/>
    <xf numFmtId="37" fontId="3" fillId="2" borderId="0" xfId="0" applyNumberFormat="1" applyFont="1" applyFill="1" applyAlignment="1">
      <alignment horizontal="center"/>
    </xf>
    <xf numFmtId="37" fontId="2" fillId="0" borderId="0" xfId="0" applyNumberFormat="1" applyFont="1" applyAlignment="1">
      <alignment horizontal="left" indent="1"/>
    </xf>
    <xf numFmtId="39" fontId="0" fillId="0" borderId="0" xfId="0" applyNumberFormat="1"/>
    <xf numFmtId="37" fontId="5" fillId="2" borderId="0" xfId="0" applyNumberFormat="1" applyFont="1" applyFill="1" applyAlignment="1">
      <alignment horizontal="center"/>
    </xf>
    <xf numFmtId="165" fontId="0" fillId="0" borderId="0" xfId="0" applyNumberFormat="1"/>
    <xf numFmtId="0" fontId="3" fillId="2" borderId="0" xfId="0" applyFont="1" applyFill="1"/>
    <xf numFmtId="0" fontId="1" fillId="2" borderId="0" xfId="0" applyFont="1" applyFill="1"/>
    <xf numFmtId="0" fontId="6" fillId="0" borderId="0" xfId="0" applyFont="1"/>
    <xf numFmtId="0" fontId="2" fillId="0" borderId="1" xfId="0" applyFont="1" applyBorder="1"/>
    <xf numFmtId="0" fontId="0" fillId="0" borderId="1" xfId="0" applyBorder="1"/>
    <xf numFmtId="0" fontId="0" fillId="0" borderId="0" xfId="0" applyAlignment="1">
      <alignment horizontal="left"/>
    </xf>
    <xf numFmtId="0" fontId="2" fillId="0" borderId="0" xfId="0" applyFont="1" applyAlignment="1">
      <alignment horizontal="left"/>
    </xf>
    <xf numFmtId="0" fontId="7" fillId="0" borderId="0" xfId="0" applyFont="1"/>
    <xf numFmtId="0" fontId="0" fillId="0" borderId="2" xfId="0" applyBorder="1"/>
    <xf numFmtId="8" fontId="2" fillId="0" borderId="0" xfId="0" applyNumberFormat="1" applyFont="1"/>
    <xf numFmtId="0" fontId="7" fillId="0" borderId="0" xfId="0" applyFont="1" applyAlignment="1">
      <alignment horizontal="center"/>
    </xf>
    <xf numFmtId="8" fontId="0" fillId="0" borderId="2" xfId="0" applyNumberFormat="1" applyBorder="1"/>
    <xf numFmtId="8" fontId="0" fillId="0" borderId="0" xfId="0" applyNumberFormat="1"/>
    <xf numFmtId="0" fontId="4" fillId="0" borderId="0" xfId="0" applyFont="1" applyAlignment="1">
      <alignment horizontal="left" indent="1"/>
    </xf>
    <xf numFmtId="0" fontId="0" fillId="0" borderId="0" xfId="0" applyAlignment="1">
      <alignment horizontal="right"/>
    </xf>
    <xf numFmtId="227" fontId="0" fillId="0" borderId="0" xfId="0" applyNumberFormat="1"/>
    <xf numFmtId="0" fontId="2" fillId="0" borderId="0" xfId="0" applyFont="1"/>
    <xf numFmtId="3" fontId="0" fillId="0" borderId="0" xfId="0" applyNumberFormat="1"/>
    <xf numFmtId="0" fontId="7" fillId="0" borderId="0" xfId="0" applyFont="1" applyAlignment="1">
      <alignment horizontal="right"/>
    </xf>
    <xf numFmtId="9" fontId="0" fillId="0" borderId="0" xfId="0" applyNumberFormat="1"/>
    <xf numFmtId="226" fontId="2" fillId="0" borderId="0" xfId="0" applyNumberFormat="1" applyFont="1"/>
    <xf numFmtId="0" fontId="82" fillId="0" borderId="0" xfId="0" applyFont="1" applyAlignment="1">
      <alignment horizontal="center"/>
    </xf>
    <xf numFmtId="10" fontId="0" fillId="0" borderId="0" xfId="0" applyNumberFormat="1" applyAlignment="1">
      <alignment horizontal="right"/>
    </xf>
    <xf numFmtId="0" fontId="0" fillId="0" borderId="0" xfId="0" applyAlignment="1">
      <alignment horizontal="left" indent="1"/>
    </xf>
    <xf numFmtId="2" fontId="0" fillId="0" borderId="0" xfId="0" applyNumberFormat="1"/>
    <xf numFmtId="10" fontId="0" fillId="0" borderId="0" xfId="0" applyNumberFormat="1"/>
    <xf numFmtId="39" fontId="0" fillId="0" borderId="0" xfId="0" applyNumberFormat="1" applyAlignment="1">
      <alignment horizontal="center"/>
    </xf>
    <xf numFmtId="10" fontId="0" fillId="0" borderId="0" xfId="0" applyNumberFormat="1" applyAlignment="1">
      <alignment horizontal="center"/>
    </xf>
    <xf numFmtId="10" fontId="2" fillId="0" borderId="0" xfId="0" applyNumberFormat="1" applyFont="1" applyAlignment="1">
      <alignment horizontal="right"/>
    </xf>
    <xf numFmtId="10" fontId="2" fillId="0" borderId="22" xfId="0" applyNumberFormat="1" applyFont="1" applyBorder="1"/>
    <xf numFmtId="0" fontId="7" fillId="0" borderId="0" xfId="0" applyFont="1" applyAlignment="1">
      <alignment horizontal="left"/>
    </xf>
    <xf numFmtId="2" fontId="2" fillId="0" borderId="0" xfId="0" applyNumberFormat="1" applyFont="1"/>
    <xf numFmtId="2" fontId="0" fillId="0" borderId="2" xfId="0" applyNumberFormat="1" applyBorder="1"/>
    <xf numFmtId="164" fontId="0" fillId="0" borderId="0" xfId="0" applyNumberFormat="1" applyAlignment="1">
      <alignment horizontal="right"/>
    </xf>
    <xf numFmtId="228" fontId="0" fillId="0" borderId="0" xfId="0" applyNumberFormat="1" applyAlignment="1">
      <alignment horizontal="left" indent="1"/>
    </xf>
    <xf numFmtId="37" fontId="2" fillId="0" borderId="22" xfId="0" applyNumberFormat="1" applyFont="1" applyBorder="1"/>
    <xf numFmtId="1" fontId="0" fillId="0" borderId="0" xfId="0" applyNumberFormat="1"/>
    <xf numFmtId="165" fontId="2" fillId="0" borderId="22" xfId="0" applyNumberFormat="1" applyFont="1" applyBorder="1"/>
    <xf numFmtId="165" fontId="2" fillId="0" borderId="0" xfId="0" applyNumberFormat="1" applyFont="1"/>
    <xf numFmtId="165" fontId="0" fillId="0" borderId="0" xfId="0" applyNumberFormat="1" applyAlignment="1">
      <alignment horizontal="right"/>
    </xf>
    <xf numFmtId="0" fontId="84" fillId="0" borderId="0" xfId="0" applyFont="1" applyAlignment="1">
      <alignment horizontal="center"/>
    </xf>
    <xf numFmtId="229" fontId="0" fillId="0" borderId="0" xfId="0" applyNumberFormat="1"/>
    <xf numFmtId="229" fontId="2" fillId="0" borderId="22" xfId="0" applyNumberFormat="1" applyFont="1" applyBorder="1"/>
    <xf numFmtId="37" fontId="0" fillId="0" borderId="0" xfId="0" applyNumberFormat="1" applyAlignment="1">
      <alignment horizontal="left" indent="1"/>
    </xf>
    <xf numFmtId="8" fontId="3" fillId="2" borderId="0" xfId="0" applyNumberFormat="1" applyFont="1" applyFill="1"/>
    <xf numFmtId="8" fontId="2" fillId="0" borderId="22" xfId="0" applyNumberFormat="1" applyFont="1" applyBorder="1"/>
    <xf numFmtId="9" fontId="0" fillId="0" borderId="0" xfId="0" applyNumberFormat="1" applyAlignment="1">
      <alignment horizontal="center"/>
    </xf>
    <xf numFmtId="0" fontId="0" fillId="0" borderId="0" xfId="0" applyAlignment="1">
      <alignment horizontal="center"/>
    </xf>
    <xf numFmtId="37" fontId="2" fillId="0" borderId="23" xfId="0" applyNumberFormat="1" applyFont="1" applyBorder="1"/>
    <xf numFmtId="164" fontId="0" fillId="0" borderId="0" xfId="0" applyNumberFormat="1"/>
    <xf numFmtId="229" fontId="0" fillId="0" borderId="0" xfId="0" applyNumberFormat="1" applyAlignment="1">
      <alignment horizontal="center"/>
    </xf>
    <xf numFmtId="164" fontId="0" fillId="0" borderId="0" xfId="0" applyNumberFormat="1" applyAlignment="1">
      <alignment horizontal="center"/>
    </xf>
    <xf numFmtId="9" fontId="2" fillId="0" borderId="0" xfId="0" applyNumberFormat="1" applyFont="1" applyAlignment="1">
      <alignment horizontal="center"/>
    </xf>
    <xf numFmtId="164" fontId="2" fillId="0" borderId="0" xfId="0" applyNumberFormat="1" applyFont="1" applyAlignment="1">
      <alignment horizontal="center"/>
    </xf>
    <xf numFmtId="0" fontId="2" fillId="0" borderId="0" xfId="0" applyFont="1" applyAlignment="1">
      <alignment horizontal="center"/>
    </xf>
    <xf numFmtId="0" fontId="2" fillId="0" borderId="2" xfId="0" applyFont="1" applyBorder="1" applyAlignment="1">
      <alignment horizontal="center"/>
    </xf>
    <xf numFmtId="0" fontId="2" fillId="0" borderId="2" xfId="0" applyFont="1" applyBorder="1" applyAlignment="1">
      <alignment horizontal="center" wrapText="1"/>
    </xf>
    <xf numFmtId="0" fontId="0" fillId="0" borderId="0" xfId="0" quotePrefix="1" applyAlignment="1">
      <alignment horizontal="center"/>
    </xf>
    <xf numFmtId="37" fontId="2" fillId="0" borderId="2" xfId="0" applyNumberFormat="1" applyFont="1" applyBorder="1" applyAlignment="1">
      <alignment horizontal="center"/>
    </xf>
    <xf numFmtId="37" fontId="2" fillId="0" borderId="2" xfId="0" applyNumberFormat="1" applyFont="1" applyBorder="1" applyAlignment="1">
      <alignment horizontal="center" wrapText="1"/>
    </xf>
    <xf numFmtId="0" fontId="0" fillId="0" borderId="23" xfId="0" applyBorder="1" applyAlignment="1">
      <alignment horizontal="center"/>
    </xf>
    <xf numFmtId="227" fontId="0" fillId="0" borderId="0" xfId="0" applyNumberFormat="1" applyAlignment="1">
      <alignment horizontal="left"/>
    </xf>
    <xf numFmtId="5" fontId="0" fillId="0" borderId="0" xfId="0" applyNumberFormat="1" applyAlignment="1">
      <alignment horizontal="center"/>
    </xf>
    <xf numFmtId="230" fontId="0" fillId="0" borderId="0" xfId="0" applyNumberFormat="1" applyAlignment="1">
      <alignment horizontal="center"/>
    </xf>
    <xf numFmtId="231" fontId="0" fillId="0" borderId="0" xfId="0" applyNumberFormat="1" applyAlignment="1">
      <alignment horizontal="center"/>
    </xf>
    <xf numFmtId="224" fontId="0" fillId="0" borderId="0" xfId="0" applyNumberFormat="1" applyAlignment="1">
      <alignment horizontal="center"/>
    </xf>
    <xf numFmtId="231" fontId="0" fillId="0" borderId="0" xfId="0" applyNumberFormat="1" applyAlignment="1">
      <alignment horizontal="right"/>
    </xf>
    <xf numFmtId="0" fontId="2" fillId="0" borderId="1" xfId="0" applyFont="1" applyBorder="1" applyAlignment="1">
      <alignment horizontal="center"/>
    </xf>
    <xf numFmtId="224" fontId="2" fillId="0" borderId="0" xfId="0" applyNumberFormat="1" applyFont="1" applyAlignment="1">
      <alignment horizontal="center"/>
    </xf>
    <xf numFmtId="0" fontId="0" fillId="0" borderId="0" xfId="0" applyAlignment="1">
      <alignment horizontal="center" vertical="center"/>
    </xf>
    <xf numFmtId="37" fontId="7" fillId="0" borderId="0" xfId="0" applyNumberFormat="1" applyFont="1"/>
    <xf numFmtId="39" fontId="5" fillId="0" borderId="0" xfId="0" applyNumberFormat="1" applyFont="1" applyAlignment="1">
      <alignment horizontal="left"/>
    </xf>
    <xf numFmtId="10" fontId="5" fillId="0" borderId="0" xfId="0" applyNumberFormat="1" applyFont="1" applyAlignment="1">
      <alignment horizontal="left"/>
    </xf>
    <xf numFmtId="164" fontId="5" fillId="0" borderId="0" xfId="0" applyNumberFormat="1" applyFont="1" applyAlignment="1">
      <alignment horizontal="left"/>
    </xf>
    <xf numFmtId="224" fontId="5" fillId="0" borderId="0" xfId="0" applyNumberFormat="1" applyFont="1" applyAlignment="1">
      <alignment horizontal="left"/>
    </xf>
    <xf numFmtId="37" fontId="5" fillId="0" borderId="0" xfId="0" applyNumberFormat="1" applyFont="1" applyAlignment="1">
      <alignment horizontal="left"/>
    </xf>
    <xf numFmtId="10" fontId="5" fillId="0" borderId="0" xfId="0" applyNumberFormat="1" applyFont="1"/>
    <xf numFmtId="10" fontId="5" fillId="0" borderId="0" xfId="0" applyNumberFormat="1" applyFont="1" applyAlignment="1">
      <alignment horizontal="right"/>
    </xf>
    <xf numFmtId="37" fontId="5" fillId="0" borderId="0" xfId="0" applyNumberFormat="1" applyFont="1" applyAlignment="1">
      <alignment horizontal="right"/>
    </xf>
    <xf numFmtId="37" fontId="5" fillId="0" borderId="2" xfId="0" applyNumberFormat="1" applyFont="1" applyBorder="1" applyAlignment="1">
      <alignment horizontal="right"/>
    </xf>
    <xf numFmtId="0" fontId="5" fillId="0" borderId="0" xfId="0" applyFont="1"/>
    <xf numFmtId="3" fontId="5" fillId="0" borderId="0" xfId="0" applyNumberFormat="1" applyFont="1"/>
    <xf numFmtId="37" fontId="5" fillId="0" borderId="2" xfId="0" applyNumberFormat="1" applyFont="1" applyBorder="1"/>
    <xf numFmtId="8" fontId="5" fillId="0" borderId="0" xfId="0" applyNumberFormat="1" applyFont="1"/>
    <xf numFmtId="8" fontId="5" fillId="0" borderId="2" xfId="0" applyNumberFormat="1" applyFont="1" applyBorder="1"/>
    <xf numFmtId="226" fontId="5" fillId="0" borderId="0" xfId="0" applyNumberFormat="1" applyFont="1"/>
    <xf numFmtId="0" fontId="5" fillId="0" borderId="2" xfId="0" applyFont="1" applyBorder="1"/>
    <xf numFmtId="0" fontId="5" fillId="0" borderId="0" xfId="0" applyFont="1" applyAlignment="1">
      <alignment horizontal="right"/>
    </xf>
    <xf numFmtId="10" fontId="83" fillId="0" borderId="0" xfId="0" applyNumberFormat="1" applyFont="1" applyAlignment="1">
      <alignment horizontal="right"/>
    </xf>
    <xf numFmtId="0" fontId="0" fillId="2" borderId="0" xfId="0" applyFill="1"/>
    <xf numFmtId="0" fontId="0" fillId="2" borderId="0" xfId="0" applyFill="1" applyAlignment="1">
      <alignment horizontal="center"/>
    </xf>
    <xf numFmtId="231" fontId="2" fillId="0" borderId="2" xfId="0" applyNumberFormat="1" applyFont="1" applyBorder="1" applyAlignment="1">
      <alignment horizontal="center"/>
    </xf>
    <xf numFmtId="231" fontId="2" fillId="0" borderId="0" xfId="0" applyNumberFormat="1" applyFont="1"/>
    <xf numFmtId="9" fontId="5" fillId="0" borderId="0" xfId="0" applyNumberFormat="1" applyFont="1" applyAlignment="1">
      <alignment horizontal="left"/>
    </xf>
    <xf numFmtId="10" fontId="0" fillId="0" borderId="2" xfId="0" applyNumberFormat="1" applyBorder="1" applyAlignment="1">
      <alignment horizontal="right"/>
    </xf>
    <xf numFmtId="232" fontId="0" fillId="0" borderId="0" xfId="0" applyNumberFormat="1" applyAlignment="1">
      <alignment horizontal="left"/>
    </xf>
    <xf numFmtId="37" fontId="83" fillId="0" borderId="0" xfId="0" applyNumberFormat="1" applyFont="1" applyAlignment="1">
      <alignment horizontal="left"/>
    </xf>
  </cellXfs>
  <cellStyles count="209">
    <cellStyle name="$" xfId="1" xr:uid="{816233C1-7245-49CF-887E-7D3653683BB4}"/>
    <cellStyle name="$m" xfId="2" xr:uid="{81EE7929-BE94-4A9A-92FC-8ABD9CB5789A}"/>
    <cellStyle name="$q" xfId="3" xr:uid="{B4257C11-6943-4196-96B1-B9FBC872EBA5}"/>
    <cellStyle name="$q*" xfId="4" xr:uid="{6BC2FCDA-9E04-461A-91B7-68C9832B8D2C}"/>
    <cellStyle name="$qA" xfId="5" xr:uid="{FB024765-4808-4CCE-A82B-ACADF4DB743D}"/>
    <cellStyle name="$qRange" xfId="6" xr:uid="{1E70E166-A3EB-4A97-B59E-1427B62E40F9}"/>
    <cellStyle name="%" xfId="7" xr:uid="{3BD5717D-99CC-4CCF-B129-C27522A13B75}"/>
    <cellStyle name="******************************************" xfId="8" xr:uid="{8FA1233D-FFD3-4336-8AE3-0AB4393C41B5}"/>
    <cellStyle name="10Q" xfId="184" xr:uid="{4EF62BA3-8437-4E56-B3DE-B3F93C83FAF4}"/>
    <cellStyle name="2 Decimal Places_MA Software Comps - List_AccretionDilution OTGS v16.xls Chart 1" xfId="9" xr:uid="{36B4535E-FCD7-441E-851A-9C42CFED5927}"/>
    <cellStyle name="20% - Accent1 2" xfId="10" xr:uid="{3362881B-B9CE-4E9B-A000-89662EB8074A}"/>
    <cellStyle name="20% - Accent2 2" xfId="11" xr:uid="{9231F717-C42E-4997-91E8-B2AA78C5B4FF}"/>
    <cellStyle name="20% - Accent3 2" xfId="12" xr:uid="{73D9F169-81ED-448C-991C-CFC84BD15264}"/>
    <cellStyle name="20% - Accent4 2" xfId="13" xr:uid="{546162F4-E84E-471C-863E-90CF51D625F0}"/>
    <cellStyle name="20% - Accent5 2" xfId="14" xr:uid="{5333E0F6-795A-4E04-BCEC-4F36D82D5B40}"/>
    <cellStyle name="20% - Accent6 2" xfId="15" xr:uid="{58CF19CE-0872-4717-B021-A108C8F942BA}"/>
    <cellStyle name="40% - Accent1 2" xfId="16" xr:uid="{0A36D209-F6D5-4D15-8BF2-8FE636068415}"/>
    <cellStyle name="40% - Accent2 2" xfId="17" xr:uid="{5D6D20A6-B222-4702-A553-A73B8ABD82CD}"/>
    <cellStyle name="40% - Accent3 2" xfId="18" xr:uid="{A42E5FE8-1DA4-4D03-84A0-65B98C012379}"/>
    <cellStyle name="40% - Accent4 2" xfId="19" xr:uid="{A2FEB1F8-EFCD-45E4-828A-A7C284DC4F7A}"/>
    <cellStyle name="40% - Accent5 2" xfId="20" xr:uid="{48F738CE-456A-45D3-B3AC-087A39D9CC2E}"/>
    <cellStyle name="40% - Accent6 2" xfId="21" xr:uid="{FBBF042B-4C75-4D95-B701-3DA04588155A}"/>
    <cellStyle name="60% - Accent1 2" xfId="22" xr:uid="{AE31FEEF-79BE-44C8-9A63-EC924CA2D771}"/>
    <cellStyle name="60% - Accent2 2" xfId="23" xr:uid="{72EC61B2-4092-4464-911C-5FF1C1C9C2F2}"/>
    <cellStyle name="60% - Accent3 2" xfId="24" xr:uid="{A4EF4E60-3DB7-43C5-A916-FC09B8EA0E53}"/>
    <cellStyle name="60% - Accent4 2" xfId="25" xr:uid="{D020A120-FF3D-4B13-8FBE-6B60A09A2293}"/>
    <cellStyle name="60% - Accent5 2" xfId="26" xr:uid="{CF62857E-FDF9-405C-87E2-16986B5ECEEB}"/>
    <cellStyle name="60% - Accent6 2" xfId="27" xr:uid="{1A4F3EAC-CAD8-4E42-8896-8FCB1DEE3499}"/>
    <cellStyle name="Accent1 2" xfId="28" xr:uid="{50FF5C97-F01D-4332-B752-CA8C6B30FDAB}"/>
    <cellStyle name="Accent2 2" xfId="29" xr:uid="{F7AFEF3F-5631-4A65-9129-F8BE19B1FE7C}"/>
    <cellStyle name="Accent3 2" xfId="30" xr:uid="{1A211789-D911-4352-B097-C4DE9B8432C4}"/>
    <cellStyle name="Accent4 2" xfId="31" xr:uid="{4EC39FD5-6246-4D48-AC7F-0E5A3D678DA4}"/>
    <cellStyle name="Accent5 2" xfId="32" xr:uid="{FFC4519A-7D1E-452F-8B2D-3EEFE6AA8474}"/>
    <cellStyle name="Accent6 2" xfId="33" xr:uid="{6CF26A0F-5A50-453F-9070-5A840969B652}"/>
    <cellStyle name="AFE" xfId="34" xr:uid="{C995B342-6057-4C0D-BB32-DA152ED5C6CE}"/>
    <cellStyle name="Bad 2" xfId="35" xr:uid="{2FBDB7A1-51D2-48A0-96A7-936F5992FA81}"/>
    <cellStyle name="Balance" xfId="36" xr:uid="{6B2B3A42-326A-45A5-9DC4-B282FC8863DF}"/>
    <cellStyle name="BalanceSheet" xfId="37" xr:uid="{33BED25B-BD15-48E2-B0FF-7408A2E17947}"/>
    <cellStyle name="Body_$Numeric" xfId="38" xr:uid="{4829DF4A-9FCA-467B-B65F-E82403A6BD77}"/>
    <cellStyle name="Bold Header" xfId="39" xr:uid="{E4DD5387-7839-4B66-ADE8-7F3A5D3D2F21}"/>
    <cellStyle name="Calculation 2" xfId="40" xr:uid="{DE41031F-FCA8-4C05-9042-8FA3C496B099}"/>
    <cellStyle name="CashFlow" xfId="41" xr:uid="{5E1D1A89-61BB-4777-AB7E-4282EB1726C6}"/>
    <cellStyle name="ChartingText" xfId="185" xr:uid="{32C36A0F-8F05-4F46-8A1A-281C029AC8D9}"/>
    <cellStyle name="Check" xfId="42" xr:uid="{46DC38A9-6EF7-4EC2-B622-FBFD0872785D}"/>
    <cellStyle name="Check Cell 2" xfId="43" xr:uid="{C8222BDB-821D-4A16-955F-7484DABAF2AA}"/>
    <cellStyle name="CHPTop" xfId="186" xr:uid="{A6D3F267-C239-4448-858F-D036DFEDD01C}"/>
    <cellStyle name="ColHeading" xfId="44" xr:uid="{308238D0-4DD5-4554-8379-B673A9CAEAC3}"/>
    <cellStyle name="colheadleft" xfId="45" xr:uid="{5A02FCD7-3DB6-4A60-B03E-C75C6F3C70E0}"/>
    <cellStyle name="colheadright" xfId="46" xr:uid="{076AB09D-5DFA-410F-914B-E3A04EA11883}"/>
    <cellStyle name="ColumnHeaderNormal" xfId="187" xr:uid="{395A386B-CB75-465A-B71D-8CD3CBC9D6DB}"/>
    <cellStyle name="Comma 2" xfId="47" xr:uid="{D0538C8B-EF36-45A6-B52F-133013B0409F}"/>
    <cellStyle name="Comma0" xfId="48" xr:uid="{77E8AF38-5032-4E33-AA69-7AF299AF9269}"/>
    <cellStyle name="Comma2" xfId="49" xr:uid="{2DFD28D0-98F8-48A5-918D-780D5EF2BC60}"/>
    <cellStyle name="Company" xfId="50" xr:uid="{069C6FEF-A82F-4E47-B005-D105BA882F1D}"/>
    <cellStyle name="CurRatio" xfId="51" xr:uid="{DCA08C19-6635-4E45-A57D-C3E7C69EF969}"/>
    <cellStyle name="Currency--" xfId="188" xr:uid="{24F8034F-F1D2-4C72-A9F4-7FD55FCA5B8A}"/>
    <cellStyle name="Currency [1]" xfId="52" xr:uid="{5245C6F0-ADC1-4966-B6C2-3B45369C4CA2}"/>
    <cellStyle name="Currency [2]" xfId="53" xr:uid="{8201C87A-75A6-45AE-BF17-E94E609BABAC}"/>
    <cellStyle name="Currency0" xfId="54" xr:uid="{503C37C8-11AD-4361-B5BE-DC26E29B3713}"/>
    <cellStyle name="Currency2" xfId="55" xr:uid="{66297B31-6DBD-4BE2-A36E-E675D2A13307}"/>
    <cellStyle name="d_yield" xfId="56" xr:uid="{CD6BB5FD-9F65-4903-8B9B-44527E574475}"/>
    <cellStyle name="d_yield_CW's MAKER MODEL" xfId="57" xr:uid="{CA892AA8-8583-4A9A-A975-59AC06DCA16A}"/>
    <cellStyle name="d_yield_valuation" xfId="58" xr:uid="{E37CC722-1EB6-489E-9657-7B0CA2FB1861}"/>
    <cellStyle name="Date [d-mmm-yy]" xfId="59" xr:uid="{F5EDEA8E-ABC1-46DC-9CFE-C03FCDD23E56}"/>
    <cellStyle name="Date [mm-dd-yy]" xfId="189" xr:uid="{5D74119D-EF0D-4924-A8FE-9554E27F304D}"/>
    <cellStyle name="Date [mm-dd-yyyy]" xfId="190" xr:uid="{58126AE1-3A17-4D5E-837B-A9DE383B4C9C}"/>
    <cellStyle name="Date [mm-d-yyyy]" xfId="191" xr:uid="{C748F794-A19B-450F-B366-DE18296B9851}"/>
    <cellStyle name="Date [mmm-d-yyyy]" xfId="60" xr:uid="{F8AD76DB-6F6F-4831-A0AA-A41DF4157F2C}"/>
    <cellStyle name="Date [mmm-yyyy]" xfId="61" xr:uid="{AA3D444E-201A-4FAF-81A0-960188E00378}"/>
    <cellStyle name="Dates" xfId="62" xr:uid="{21B56CE6-058F-4C2F-856E-5CBE3F27A9E6}"/>
    <cellStyle name="DateYear" xfId="63" xr:uid="{F630D5ED-14DD-4C15-B93F-9AE17D232BB8}"/>
    <cellStyle name="Dezimal_Capital expenditure planning FY 2000" xfId="64" xr:uid="{36E51080-B752-4D85-A69A-A9AE3C3B8A2E}"/>
    <cellStyle name="Dollar" xfId="65" xr:uid="{DE89B442-78C0-49E2-9A79-68529C2187A7}"/>
    <cellStyle name="Dollars" xfId="66" xr:uid="{932E59B7-74EB-4FF8-A186-B839270315E3}"/>
    <cellStyle name="DollarWhole" xfId="67" xr:uid="{65684450-60EE-4178-9A08-BD9D6001CB8B}"/>
    <cellStyle name="eps" xfId="68" xr:uid="{4168C68B-39A3-4685-8185-AC67E3FE8DC4}"/>
    <cellStyle name="eps$" xfId="69" xr:uid="{5A2F8379-B09B-4AC7-BEBC-942EFD2A131A}"/>
    <cellStyle name="eps$A" xfId="70" xr:uid="{7674D958-B000-4C7A-AD2C-CC406467CD52}"/>
    <cellStyle name="eps$E" xfId="71" xr:uid="{DF32ED4C-7285-42C2-9F07-58162E0775F2}"/>
    <cellStyle name="epsA" xfId="72" xr:uid="{75CE51D3-6BEB-428E-A803-1977F2325F82}"/>
    <cellStyle name="EPSActual" xfId="73" xr:uid="{9471DE7A-59A8-445A-B5DB-A82C9558A87E}"/>
    <cellStyle name="epsE" xfId="74" xr:uid="{F2C275BC-03AB-43EB-B727-6B6DD4BF796E}"/>
    <cellStyle name="EPSEstimate" xfId="75" xr:uid="{589D83BD-D2AE-498C-9337-60A5F95FDC45}"/>
    <cellStyle name="Euro" xfId="76" xr:uid="{5C612D2C-BD56-4C2F-A34D-90F7CA219B50}"/>
    <cellStyle name="Explanatory Text 2" xfId="77" xr:uid="{977EEA08-9213-4186-B5AC-ED3EDA94079C}"/>
    <cellStyle name="fy_eps$" xfId="78" xr:uid="{01ADCF23-5AEE-4477-BC7C-A5281AE2BD23}"/>
    <cellStyle name="g_rate" xfId="79" xr:uid="{9BA5F9CB-26FF-4AB9-A248-2CE01D1EB154}"/>
    <cellStyle name="g_rate_CW's MAKER MODEL" xfId="80" xr:uid="{19F2C90E-B972-4AD1-A0F6-306F86890FC0}"/>
    <cellStyle name="g_rate_valuation" xfId="81" xr:uid="{0D0B0C97-8856-4B49-9973-26866C652C79}"/>
    <cellStyle name="General" xfId="82" xr:uid="{D90E45D0-7907-4D9B-94B8-F24409466A60}"/>
    <cellStyle name="Good 2" xfId="83" xr:uid="{5BB19A7D-2A28-487A-9221-A2A913DB7515}"/>
    <cellStyle name="GrowthRate" xfId="84" xr:uid="{081B579C-29E0-4017-B024-6B71F5B9FB03}"/>
    <cellStyle name="GrowthSeq" xfId="85" xr:uid="{6DCEC6C7-8E9F-49F9-9EB8-420B8B424D64}"/>
    <cellStyle name="Hard Number Input" xfId="86" xr:uid="{8C6179A6-0532-48DA-899B-1EE2A295A8DC}"/>
    <cellStyle name="Heading 1 2" xfId="87" xr:uid="{CB8F2594-D0EA-4544-9EE3-8FF989F218D5}"/>
    <cellStyle name="Heading 2 2" xfId="88" xr:uid="{6330D405-4124-4282-BE35-3B41848D5BC5}"/>
    <cellStyle name="Heading 3 2" xfId="89" xr:uid="{0FB73C3B-7957-4EB9-A523-0703D0A2E6FB}"/>
    <cellStyle name="Heading 4 2" xfId="90" xr:uid="{2A56F662-D439-41D3-B983-58635A7360E9}"/>
    <cellStyle name="Historical Number" xfId="91" xr:uid="{087099D5-D7A4-44AC-BE6A-710B8BAD63A0}"/>
    <cellStyle name="iemens" xfId="92" xr:uid="{CDDC8555-FDE3-4E99-B8BD-CC7CFDD2848D}"/>
    <cellStyle name="Income" xfId="93" xr:uid="{CB26C83C-8F41-4791-B844-8D0761FD8E59}"/>
    <cellStyle name="IncomeStatement" xfId="94" xr:uid="{265E17AC-E774-43A4-82B1-46C0962F19A2}"/>
    <cellStyle name="Input 2" xfId="95" xr:uid="{E4618C48-4637-4E41-85BF-1FD7EA49D782}"/>
    <cellStyle name="Input Fixed [0]" xfId="96" xr:uid="{C1687C3E-6D34-40CD-8681-8AB0598C3CB4}"/>
    <cellStyle name="Integer" xfId="97" xr:uid="{0AAD4C7C-BDFE-4940-B6F1-86DEA6F13193}"/>
    <cellStyle name="Inverse Header" xfId="98" xr:uid="{742117B9-5D32-4EFC-A2D6-22B725F28BC8}"/>
    <cellStyle name="Invisible" xfId="192" xr:uid="{4EA82407-B1F0-4586-9708-F07C21E50761}"/>
    <cellStyle name="Item" xfId="99" xr:uid="{C7B01710-99CA-4D02-8FC5-451C7DAB758F}"/>
    <cellStyle name="ItemTypeClass" xfId="100" xr:uid="{7A45FE25-EF3F-4B2D-A9C6-4A7328D7B001}"/>
    <cellStyle name="Linked Cell 2" xfId="101" xr:uid="{BC202607-966D-43DD-A8FC-5C742E3277D3}"/>
    <cellStyle name="LTGR" xfId="102" xr:uid="{8FB7207E-5CBF-4780-B5D5-5D44CF5F78E8}"/>
    <cellStyle name="m" xfId="103" xr:uid="{2D04A927-3E85-4439-B2EB-D530695001A3}"/>
    <cellStyle name="m$" xfId="104" xr:uid="{9EBF0128-CAF2-4863-9086-FC1600D52078}"/>
    <cellStyle name="m/d/yy" xfId="193" xr:uid="{594E32E6-F5D6-43CB-AB2E-ACD3F0BD8966}"/>
    <cellStyle name="m_CW's MAKER MODEL" xfId="105" xr:uid="{B7C591C7-5FCA-492A-8D12-609E06DC30B9}"/>
    <cellStyle name="m_valuation" xfId="106" xr:uid="{84551FDF-AFE8-467C-B411-01CFC32C573A}"/>
    <cellStyle name="Margin" xfId="107" xr:uid="{A205B8CD-8F76-4A79-AAFE-CD36B96D5937}"/>
    <cellStyle name="Margins" xfId="108" xr:uid="{4F8E3A3B-F63B-45CE-98B3-EB10AD023BC9}"/>
    <cellStyle name="mm" xfId="109" xr:uid="{DEA7539D-3996-4AB8-88D5-6893775B7AEB}"/>
    <cellStyle name="Multiple" xfId="110" xr:uid="{65CCE786-82CE-4A9F-A268-EE7154680665}"/>
    <cellStyle name="MyStyle" xfId="194" xr:uid="{6A3100B1-7C1B-4EDE-B988-EDB0EED01E33}"/>
    <cellStyle name="NA is zero" xfId="111" xr:uid="{15BE70F0-6E0C-44FF-B623-1BF9D9DFE30E}"/>
    <cellStyle name="Neutral 2" xfId="112" xr:uid="{080D9DA6-8CD5-42A3-8D45-0BE85573AD94}"/>
    <cellStyle name="NewColumnHeaderNormal" xfId="195" xr:uid="{08922580-8F7F-493D-A0B2-7B87F0FE56A8}"/>
    <cellStyle name="NewSectionHeaderNormal" xfId="196" xr:uid="{8CDBD92F-B088-4E33-9D0A-EE979D99A643}"/>
    <cellStyle name="NewTitleNormal" xfId="197" xr:uid="{A95A16A5-C8BF-4848-BB89-CFAF9AFA151E}"/>
    <cellStyle name="Normal" xfId="0" builtinId="0"/>
    <cellStyle name="Normal--" xfId="198" xr:uid="{9EDDD45E-E9E8-4C10-AD25-ED82A5463744}"/>
    <cellStyle name="Normal [0]" xfId="113" xr:uid="{03260E51-C314-43C6-8DDE-52F65B27BA2F}"/>
    <cellStyle name="Normal [1]" xfId="114" xr:uid="{F77CF842-CC1C-44E5-ADE7-55B3D4387EF1}"/>
    <cellStyle name="Normal [2]" xfId="115" xr:uid="{C6131FD4-8ED4-4CAC-A6EF-EC8E37E330F2}"/>
    <cellStyle name="Normal [3]" xfId="116" xr:uid="{11A2212D-1CDB-439E-B1A6-3BD5DE4928EB}"/>
    <cellStyle name="Normal 2" xfId="117" xr:uid="{F7501AB7-4C99-4AA3-A1FA-9B69127BBCD6}"/>
    <cellStyle name="Normal Bold" xfId="118" xr:uid="{B5CFEFD0-99EF-4B66-90F5-B74683A53CD4}"/>
    <cellStyle name="Normal Pct" xfId="119" xr:uid="{B07E6D94-9801-467F-BDA9-388BAD6EE375}"/>
    <cellStyle name="NormalX" xfId="120" xr:uid="{8A2C71A3-14D1-47EB-A45F-7D693BE28EC8}"/>
    <cellStyle name="Note 2" xfId="121" xr:uid="{9EDE87EF-0457-412C-AC7E-7E21BEA8423C}"/>
    <cellStyle name="NPPESalesPct" xfId="122" xr:uid="{9A3FF0AB-1AC1-454A-82A1-B8C510E379AE}"/>
    <cellStyle name="Number" xfId="123" xr:uid="{4E1529DA-820A-45BB-8134-C109CAC09E6C}"/>
    <cellStyle name="NWI%S" xfId="124" xr:uid="{267FA2F3-2BF1-4C24-B972-A93529068166}"/>
    <cellStyle name="Output 2" xfId="125" xr:uid="{E31F04A7-931E-4D4E-B0C6-89A08BBE71A0}"/>
    <cellStyle name="P/E" xfId="126" xr:uid="{09307A53-3C10-4DA0-B529-B188C73F60B6}"/>
    <cellStyle name="Palatino" xfId="127" xr:uid="{0198BEB5-C1DB-4701-BA7C-E55EAB91A4EE}"/>
    <cellStyle name="pc1" xfId="128" xr:uid="{FCB0CD6B-974A-42C2-B2C4-FC4D797090E3}"/>
    <cellStyle name="pe" xfId="129" xr:uid="{7EF0B571-E0F1-4C0A-89FD-2F6145E9692B}"/>
    <cellStyle name="PE/LTGR" xfId="130" xr:uid="{ED39E4E2-7F4F-4DB5-BE21-12E1C6512A96}"/>
    <cellStyle name="PEG" xfId="131" xr:uid="{7C1E5F2E-D057-496E-ADA2-4AE8110F5F7F}"/>
    <cellStyle name="Percent [0]" xfId="132" xr:uid="{335E1320-5522-4E3C-B249-F52C4416CBFF}"/>
    <cellStyle name="Percent [1]" xfId="133" xr:uid="{2BD5168E-B433-42BD-AFC9-15714F2BD4BC}"/>
    <cellStyle name="Percent [2]" xfId="134" xr:uid="{DA3FB808-2CC8-4C8C-B2FA-5DD93F9C0EBC}"/>
    <cellStyle name="PercentChange" xfId="135" xr:uid="{B8FFC74B-68A5-410A-BD66-C3D9B1CBA9AB}"/>
    <cellStyle name="PercentPresentation" xfId="136" xr:uid="{28A8DAF0-17C8-4C22-85C7-D448FEA3D529}"/>
    <cellStyle name="PerShare" xfId="137" xr:uid="{31A8EDD9-7623-4F29-8D54-5E14DC7FD614}"/>
    <cellStyle name="POPS" xfId="138" xr:uid="{38080244-96E2-453E-BC76-6340744AB8B2}"/>
    <cellStyle name="Presentation" xfId="139" xr:uid="{6472642D-ED84-450A-AE9E-94B599F3CB8F}"/>
    <cellStyle name="PresentationZero" xfId="140" xr:uid="{4A4DEDE7-067F-4049-9E5E-30DFB2EED525}"/>
    <cellStyle name="price" xfId="141" xr:uid="{86BFF432-6CD0-4C6B-B333-03F7A8D65891}"/>
    <cellStyle name="q" xfId="142" xr:uid="{F427ECEB-BE9E-46EF-94A7-7BD8C6611AD4}"/>
    <cellStyle name="q_CW's MAKER MODEL" xfId="143" xr:uid="{69318230-DFEB-452D-8A41-8AE4974E6DEC}"/>
    <cellStyle name="QEPS-h" xfId="144" xr:uid="{EB6CB8F5-FAAD-4F0A-9E87-63D9905F7714}"/>
    <cellStyle name="QEPS-H1" xfId="145" xr:uid="{4E9F1D1B-7595-48BF-88FE-AD9897A31D68}"/>
    <cellStyle name="qRange" xfId="146" xr:uid="{68163E9A-3627-4949-9F4A-8A832ADA9051}"/>
    <cellStyle name="range" xfId="147" xr:uid="{4C7A6408-2A53-47A9-A68C-022C71CAFD1E}"/>
    <cellStyle name="RatioX" xfId="148" xr:uid="{FCB86C89-5DEB-44C2-BEE5-DFC01E2E1E8E}"/>
    <cellStyle name="Red font" xfId="199" xr:uid="{A7439F8E-DD96-49A3-8EBB-0B1246120D8E}"/>
    <cellStyle name="Report" xfId="149" xr:uid="{E8E7CEB8-E88A-4AD2-9405-CCE8FC710AFF}"/>
    <cellStyle name="Right" xfId="150" xr:uid="{3A7FEAD1-3E56-4CB8-88B1-81CDDDBBFAA7}"/>
    <cellStyle name="SectionHeaderNormal" xfId="200" xr:uid="{92F81692-8880-4BE5-A9B3-793A42232CF4}"/>
    <cellStyle name="SectionHeading" xfId="151" xr:uid="{B6304CBE-1E62-443C-8F42-322063AC6E4C}"/>
    <cellStyle name="Shares" xfId="152" xr:uid="{46D26239-B160-4FF5-A37C-1E035B35C4CA}"/>
    <cellStyle name="StockPrice" xfId="153" xr:uid="{A3DEEF5E-ADE2-4934-A93C-259CB3929350}"/>
    <cellStyle name="Style 1" xfId="154" xr:uid="{ED13A5D5-939B-44F3-BD19-D109A1A9DD3F}"/>
    <cellStyle name="Style 21" xfId="155" xr:uid="{D127C41A-DBDB-444A-BE30-613DCBAFA220}"/>
    <cellStyle name="Style 22" xfId="156" xr:uid="{D469F26D-F717-4F7B-B9FD-FD060C70B103}"/>
    <cellStyle name="Style 23" xfId="157" xr:uid="{C9706BCD-2BE9-46CE-8E51-20A580B81072}"/>
    <cellStyle name="Style 24" xfId="158" xr:uid="{554FD430-13D1-47DC-9742-34A1F09985EA}"/>
    <cellStyle name="Style 26" xfId="159" xr:uid="{62C43341-B31F-4E49-94F6-E24B00C79A38}"/>
    <cellStyle name="Style 27" xfId="160" xr:uid="{33105361-B2DC-4776-9A96-A58546FA513C}"/>
    <cellStyle name="Style 34" xfId="161" xr:uid="{A582161B-CA0C-44C7-9C48-0A00395A51C9}"/>
    <cellStyle name="Style 37" xfId="162" xr:uid="{743E5BC9-B501-4D9A-A11C-E8E09E3FD928}"/>
    <cellStyle name="Style 63" xfId="163" xr:uid="{37DC9D4E-767E-4577-BDB2-19C38336152B}"/>
    <cellStyle name="SubDollar" xfId="164" xr:uid="{3B7CC607-1D81-48F5-A4B2-E0D951F2AA54}"/>
    <cellStyle name="SubGrowth" xfId="165" xr:uid="{51AF9217-AE26-455E-8A7C-89EC7D3DB02F}"/>
    <cellStyle name="SubGrowthRate" xfId="166" xr:uid="{0F23C2EC-94E1-4EFC-81A0-35D627626626}"/>
    <cellStyle name="SubMargins" xfId="167" xr:uid="{9D1283B6-6D7A-49CC-9B18-16335A460E09}"/>
    <cellStyle name="SubPenetration" xfId="168" xr:uid="{FD206077-FFC5-495A-B4ED-453E287D8A61}"/>
    <cellStyle name="Subscribers" xfId="169" xr:uid="{5400E44B-057D-45F4-A1F2-3E18733535E6}"/>
    <cellStyle name="SubScript" xfId="201" xr:uid="{96F017C4-D6A3-47AB-A913-3B7820A739CA}"/>
    <cellStyle name="SubVariable" xfId="170" xr:uid="{B6B95039-4D2C-4B09-A652-01A22D5151F1}"/>
    <cellStyle name="SuperScript" xfId="202" xr:uid="{47481193-8D0A-47B0-AAFD-DFD9B1444F60}"/>
    <cellStyle name="tcn" xfId="171" xr:uid="{11AB8919-A15F-4DB8-8451-D42979FD0812}"/>
    <cellStyle name="TextBold" xfId="203" xr:uid="{57377BBC-8684-441F-8D35-4D75CCCDD1D2}"/>
    <cellStyle name="TextItalic" xfId="204" xr:uid="{2088728E-F5E1-4425-A039-1BDD17A49814}"/>
    <cellStyle name="TextNormal" xfId="205" xr:uid="{BFF3B731-2AD9-44C0-89A0-3F0716BE7F2B}"/>
    <cellStyle name="Times" xfId="206" xr:uid="{9BB8C677-7746-4EAB-97E0-AA97528CCF9D}"/>
    <cellStyle name="Times [1]" xfId="172" xr:uid="{6572EFBF-E63F-402B-93E4-C7833E942812}"/>
    <cellStyle name="Times [2]" xfId="173" xr:uid="{14A42896-6739-4DD4-A3E3-EDD200EFC47A}"/>
    <cellStyle name="Title 2" xfId="174" xr:uid="{4AE43F09-C7ED-4C70-B519-5618AD97B2FB}"/>
    <cellStyle name="title2" xfId="175" xr:uid="{BAB8B787-BDF5-453D-8D88-1B64D271D985}"/>
    <cellStyle name="TitleII" xfId="176" xr:uid="{DC5296F3-90B8-449E-854C-CAC72D134CF4}"/>
    <cellStyle name="TitleNormal" xfId="207" xr:uid="{AA5BCDA1-B6AB-4F1D-AD70-DA15B0430195}"/>
    <cellStyle name="Titles" xfId="177" xr:uid="{F75524F3-0E87-4233-842E-714ADA05EDB9}"/>
    <cellStyle name="TitleSub" xfId="178" xr:uid="{196F34D2-37C2-4AA9-98B7-BBFDA765E81D}"/>
    <cellStyle name="tn" xfId="179" xr:uid="{C902B0A5-4604-4626-9ACD-E7356A0351E2}"/>
    <cellStyle name="Total 2" xfId="180" xr:uid="{0CF6C9ED-1315-48AA-A4E0-88F5F248BF3D}"/>
    <cellStyle name="Warning Text 2" xfId="181" xr:uid="{9CFCC0C8-EA28-449C-B4A6-A2C4F8E2F519}"/>
    <cellStyle name="WholeNumber" xfId="182" xr:uid="{1E0A37FA-B410-45DC-A456-E13B78BB8574}"/>
    <cellStyle name="Year&quot;E&quot;" xfId="183" xr:uid="{26648957-89FC-4AEA-859A-BE46AB50177D}"/>
    <cellStyle name="Years" xfId="208" xr:uid="{B6DECA52-E5FD-4373-8FB7-85BD955007F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79721</xdr:colOff>
      <xdr:row>14</xdr:row>
      <xdr:rowOff>24063</xdr:rowOff>
    </xdr:from>
    <xdr:to>
      <xdr:col>16</xdr:col>
      <xdr:colOff>602236</xdr:colOff>
      <xdr:row>36</xdr:row>
      <xdr:rowOff>99084</xdr:rowOff>
    </xdr:to>
    <xdr:pic>
      <xdr:nvPicPr>
        <xdr:cNvPr id="2" name="Picture 1">
          <a:extLst>
            <a:ext uri="{FF2B5EF4-FFF2-40B4-BE49-F238E27FC236}">
              <a16:creationId xmlns:a16="http://schemas.microsoft.com/office/drawing/2014/main" id="{51C1809D-E9B6-4EF2-9F3A-CD95DC6A55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51921" y="2592003"/>
          <a:ext cx="5528855" cy="4098381"/>
        </a:xfrm>
        <a:prstGeom prst="rect">
          <a:avLst/>
        </a:prstGeom>
      </xdr:spPr>
    </xdr:pic>
    <xdr:clientData/>
  </xdr:twoCellAnchor>
  <xdr:twoCellAnchor editAs="oneCell">
    <xdr:from>
      <xdr:col>15</xdr:col>
      <xdr:colOff>253554</xdr:colOff>
      <xdr:row>14</xdr:row>
      <xdr:rowOff>144413</xdr:rowOff>
    </xdr:from>
    <xdr:to>
      <xdr:col>26</xdr:col>
      <xdr:colOff>484733</xdr:colOff>
      <xdr:row>45</xdr:row>
      <xdr:rowOff>128052</xdr:rowOff>
    </xdr:to>
    <xdr:pic>
      <xdr:nvPicPr>
        <xdr:cNvPr id="3" name="Picture 2">
          <a:extLst>
            <a:ext uri="{FF2B5EF4-FFF2-40B4-BE49-F238E27FC236}">
              <a16:creationId xmlns:a16="http://schemas.microsoft.com/office/drawing/2014/main" id="{9047EFE8-D773-4D57-A749-D85C1EA04499}"/>
            </a:ext>
          </a:extLst>
        </xdr:cNvPr>
        <xdr:cNvPicPr>
          <a:picLocks noChangeAspect="1"/>
        </xdr:cNvPicPr>
      </xdr:nvPicPr>
      <xdr:blipFill>
        <a:blip xmlns:r="http://schemas.openxmlformats.org/officeDocument/2006/relationships" r:embed="rId2"/>
        <a:stretch>
          <a:fillRect/>
        </a:stretch>
      </xdr:blipFill>
      <xdr:spPr>
        <a:xfrm>
          <a:off x="10822494" y="2712353"/>
          <a:ext cx="6936779" cy="56529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42"/>
  <sheetViews>
    <sheetView tabSelected="1" zoomScale="88" zoomScaleNormal="100" workbookViewId="0">
      <selection activeCell="E16" sqref="E16"/>
    </sheetView>
  </sheetViews>
  <sheetFormatPr defaultColWidth="8.77734375" defaultRowHeight="14.4"/>
  <cols>
    <col min="1" max="2" width="2.21875" style="1" customWidth="1"/>
    <col min="3" max="3" width="28.77734375" customWidth="1"/>
    <col min="4" max="4" width="9.77734375" customWidth="1"/>
    <col min="5" max="6" width="19.6640625" customWidth="1"/>
    <col min="7" max="7" width="15.6640625" customWidth="1"/>
    <col min="8" max="8" width="2.33203125" customWidth="1"/>
    <col min="12" max="12" width="8.77734375" customWidth="1"/>
    <col min="13" max="19" width="12.6640625" customWidth="1"/>
  </cols>
  <sheetData>
    <row r="1" spans="1:7" s="1" customFormat="1"/>
    <row r="2" spans="1:7">
      <c r="A2" s="6"/>
      <c r="B2" s="6"/>
      <c r="C2" s="7" t="s">
        <v>3</v>
      </c>
      <c r="D2" s="8"/>
      <c r="E2" s="2"/>
      <c r="F2" s="8"/>
      <c r="G2" s="2"/>
    </row>
    <row r="3" spans="1:7">
      <c r="C3" s="1" t="s">
        <v>4</v>
      </c>
      <c r="D3" s="1"/>
      <c r="E3" s="1" t="s">
        <v>16</v>
      </c>
      <c r="F3" s="1"/>
      <c r="G3" s="1"/>
    </row>
    <row r="4" spans="1:7">
      <c r="C4" s="1" t="s">
        <v>5</v>
      </c>
      <c r="D4" s="1"/>
      <c r="E4" s="1" t="s">
        <v>20</v>
      </c>
      <c r="F4" s="1"/>
      <c r="G4" s="1"/>
    </row>
    <row r="5" spans="1:7">
      <c r="C5" s="1" t="s">
        <v>6</v>
      </c>
      <c r="D5" s="1"/>
      <c r="E5" s="1" t="s">
        <v>17</v>
      </c>
      <c r="F5" s="1"/>
      <c r="G5" s="1"/>
    </row>
    <row r="6" spans="1:7">
      <c r="C6" s="1" t="s">
        <v>7</v>
      </c>
      <c r="D6" s="1"/>
      <c r="E6" s="1" t="s">
        <v>19</v>
      </c>
      <c r="F6" s="1"/>
      <c r="G6" s="1"/>
    </row>
    <row r="7" spans="1:7">
      <c r="C7" t="s">
        <v>25</v>
      </c>
      <c r="E7" s="74">
        <v>45330</v>
      </c>
      <c r="F7" s="1"/>
      <c r="G7" s="1"/>
    </row>
    <row r="8" spans="1:7">
      <c r="C8" s="1" t="s">
        <v>8</v>
      </c>
      <c r="D8" s="1"/>
      <c r="E8" s="1" t="s">
        <v>18</v>
      </c>
      <c r="F8" s="1"/>
      <c r="G8" s="1"/>
    </row>
    <row r="9" spans="1:7">
      <c r="C9" s="1" t="s">
        <v>128</v>
      </c>
      <c r="D9" s="1"/>
      <c r="E9" s="84">
        <v>0.56000000000000005</v>
      </c>
      <c r="F9" s="1"/>
      <c r="G9" s="1"/>
    </row>
    <row r="10" spans="1:7">
      <c r="C10" s="1" t="s">
        <v>9</v>
      </c>
      <c r="D10" s="1"/>
      <c r="E10" s="106">
        <v>0.21</v>
      </c>
      <c r="F10" s="1"/>
      <c r="G10" s="1"/>
    </row>
    <row r="11" spans="1:7">
      <c r="C11" s="1"/>
      <c r="D11" s="1"/>
      <c r="E11" s="86"/>
      <c r="F11" s="1"/>
      <c r="G11" s="1"/>
    </row>
    <row r="12" spans="1:7">
      <c r="C12" s="83" t="s">
        <v>153</v>
      </c>
      <c r="D12" s="1"/>
      <c r="E12" s="86"/>
      <c r="F12" s="1"/>
      <c r="G12" s="1"/>
    </row>
    <row r="13" spans="1:7">
      <c r="C13" s="1" t="s">
        <v>152</v>
      </c>
      <c r="D13" s="1"/>
      <c r="E13" s="85">
        <v>4.1700000000000001E-2</v>
      </c>
    </row>
    <row r="14" spans="1:7">
      <c r="C14" s="1" t="s">
        <v>154</v>
      </c>
      <c r="D14" s="1"/>
      <c r="E14" s="85">
        <v>5.5E-2</v>
      </c>
      <c r="F14" s="1"/>
      <c r="G14" s="1"/>
    </row>
    <row r="15" spans="1:7">
      <c r="C15" s="1" t="s">
        <v>158</v>
      </c>
      <c r="E15" s="87">
        <v>0.38</v>
      </c>
      <c r="F15" s="1"/>
      <c r="G15" s="1"/>
    </row>
    <row r="16" spans="1:7">
      <c r="C16" s="1" t="s">
        <v>156</v>
      </c>
      <c r="D16" s="1"/>
      <c r="E16" s="88">
        <v>785</v>
      </c>
      <c r="F16" s="1"/>
      <c r="G16" s="1"/>
    </row>
    <row r="17" spans="2:7">
      <c r="C17" s="1" t="s">
        <v>155</v>
      </c>
      <c r="D17" s="1"/>
      <c r="E17" s="109">
        <f>E16*E15</f>
        <v>298.3</v>
      </c>
      <c r="F17" s="1"/>
      <c r="G17" s="1"/>
    </row>
    <row r="18" spans="2:7">
      <c r="C18" s="1"/>
      <c r="D18" s="1"/>
      <c r="E18" s="1"/>
      <c r="F18" s="1"/>
      <c r="G18" s="1"/>
    </row>
    <row r="19" spans="2:7">
      <c r="C19" s="7" t="s">
        <v>125</v>
      </c>
      <c r="D19" s="3"/>
      <c r="E19" s="11"/>
      <c r="F19" s="3"/>
      <c r="G19" s="3"/>
    </row>
    <row r="20" spans="2:7" ht="14.4" customHeight="1">
      <c r="C20" s="71" t="s">
        <v>2</v>
      </c>
      <c r="D20" s="71" t="s">
        <v>126</v>
      </c>
      <c r="E20" s="71" t="s">
        <v>70</v>
      </c>
      <c r="F20" s="72" t="s">
        <v>127</v>
      </c>
      <c r="G20" s="71" t="s">
        <v>74</v>
      </c>
    </row>
    <row r="21" spans="2:7">
      <c r="C21" s="59">
        <v>0</v>
      </c>
      <c r="D21" s="39">
        <f>'Cost of equity'!E4</f>
        <v>0.56000000000000005</v>
      </c>
      <c r="E21" s="40">
        <f>'Cost of equity'!F4</f>
        <v>7.2500000000000009E-2</v>
      </c>
      <c r="F21" s="40">
        <f>'Cost of debt'!J4</f>
        <v>3.7604000000000005E-2</v>
      </c>
      <c r="G21" s="40">
        <f>F21*C21+E21*(1-C21)</f>
        <v>7.2500000000000009E-2</v>
      </c>
    </row>
    <row r="22" spans="2:7">
      <c r="B22"/>
      <c r="C22" s="59">
        <f>C21+0.1</f>
        <v>0.1</v>
      </c>
      <c r="D22" s="39">
        <f>'Cost of equity'!E5</f>
        <v>0.60915555555555556</v>
      </c>
      <c r="E22" s="40">
        <f>'Cost of equity'!F5</f>
        <v>7.5203555555555551E-2</v>
      </c>
      <c r="F22" s="40">
        <f>'Cost of debt'!J5</f>
        <v>3.7784411870854046E-2</v>
      </c>
      <c r="G22" s="40">
        <f t="shared" ref="G22:G30" si="0">F22*C22+E22*(1-C22)</f>
        <v>7.1461641187085409E-2</v>
      </c>
    </row>
    <row r="23" spans="2:7">
      <c r="C23" s="59">
        <f t="shared" ref="C23:C30" si="1">C22+0.1</f>
        <v>0.2</v>
      </c>
      <c r="D23" s="39">
        <f>'Cost of equity'!E6</f>
        <v>0.67060000000000008</v>
      </c>
      <c r="E23" s="40">
        <f>'Cost of equity'!F6</f>
        <v>7.8583000000000014E-2</v>
      </c>
      <c r="F23" s="40">
        <f>'Cost of debt'!J6</f>
        <v>3.865341187085404E-2</v>
      </c>
      <c r="G23" s="40">
        <f t="shared" si="0"/>
        <v>7.0597082374170825E-2</v>
      </c>
    </row>
    <row r="24" spans="2:7">
      <c r="C24" s="59">
        <f t="shared" si="1"/>
        <v>0.30000000000000004</v>
      </c>
      <c r="D24" s="39">
        <f>'Cost of equity'!E7</f>
        <v>0.74960000000000004</v>
      </c>
      <c r="E24" s="40">
        <f>'Cost of equity'!F7</f>
        <v>8.2928000000000002E-2</v>
      </c>
      <c r="F24" s="40">
        <f>'Cost of debt'!J7</f>
        <v>4.1576411870854042E-2</v>
      </c>
      <c r="G24" s="40">
        <f t="shared" si="0"/>
        <v>7.0522523561256212E-2</v>
      </c>
    </row>
    <row r="25" spans="2:7">
      <c r="C25" s="59">
        <f t="shared" si="1"/>
        <v>0.4</v>
      </c>
      <c r="D25" s="39">
        <f>'Cost of equity'!E8</f>
        <v>0.85493333333333354</v>
      </c>
      <c r="E25" s="40">
        <f>'Cost of equity'!F8</f>
        <v>8.8721333333333346E-2</v>
      </c>
      <c r="F25" s="40">
        <f>'Cost of debt'!J8</f>
        <v>4.4736411870854045E-2</v>
      </c>
      <c r="G25" s="40">
        <f t="shared" si="0"/>
        <v>7.1127364748341623E-2</v>
      </c>
    </row>
    <row r="26" spans="2:7">
      <c r="C26" s="59">
        <f t="shared" si="1"/>
        <v>0.5</v>
      </c>
      <c r="D26" s="39">
        <f>'Cost of equity'!E9</f>
        <v>1.0024000000000002</v>
      </c>
      <c r="E26" s="40">
        <f>'Cost of equity'!F9</f>
        <v>9.6832000000000001E-2</v>
      </c>
      <c r="F26" s="40">
        <f>'Cost of debt'!J9</f>
        <v>4.77537606202574E-2</v>
      </c>
      <c r="G26" s="40">
        <f t="shared" si="0"/>
        <v>7.2292880310128704E-2</v>
      </c>
    </row>
    <row r="27" spans="2:7">
      <c r="C27" s="59">
        <f t="shared" si="1"/>
        <v>0.6</v>
      </c>
      <c r="D27" s="39">
        <f>'Cost of equity'!E10</f>
        <v>1.2235999999999998</v>
      </c>
      <c r="E27" s="40">
        <f>'Cost of equity'!F10</f>
        <v>0.10899799999999998</v>
      </c>
      <c r="F27" s="40">
        <f>'Cost of debt'!J10</f>
        <v>5.0807862093010712E-2</v>
      </c>
      <c r="G27" s="40">
        <f t="shared" si="0"/>
        <v>7.4083917255806431E-2</v>
      </c>
    </row>
    <row r="28" spans="2:7">
      <c r="C28" s="59">
        <f t="shared" si="1"/>
        <v>0.7</v>
      </c>
      <c r="D28" s="39">
        <f>'Cost of equity'!E11</f>
        <v>1.5922666666666667</v>
      </c>
      <c r="E28" s="40">
        <f>'Cost of equity'!F11</f>
        <v>0.12927466666666668</v>
      </c>
      <c r="F28" s="40">
        <f>'Cost of debt'!J11</f>
        <v>5.6725077430691648E-2</v>
      </c>
      <c r="G28" s="40">
        <f t="shared" si="0"/>
        <v>7.8489954201484163E-2</v>
      </c>
    </row>
    <row r="29" spans="2:7">
      <c r="C29" s="59">
        <f t="shared" si="1"/>
        <v>0.79999999999999993</v>
      </c>
      <c r="D29" s="39">
        <f>'Cost of equity'!E12</f>
        <v>2.3295999999999992</v>
      </c>
      <c r="E29" s="40">
        <f>'Cost of equity'!F12</f>
        <v>0.16982799999999998</v>
      </c>
      <c r="F29" s="40">
        <f>'Cost of debt'!J12</f>
        <v>6.2287988933952355E-2</v>
      </c>
      <c r="G29" s="40">
        <f t="shared" si="0"/>
        <v>8.379599114716188E-2</v>
      </c>
    </row>
    <row r="30" spans="2:7">
      <c r="C30" s="59">
        <f t="shared" si="1"/>
        <v>0.89999999999999991</v>
      </c>
      <c r="D30" s="39">
        <f>'Cost of equity'!E13</f>
        <v>4.5415999999999963</v>
      </c>
      <c r="E30" s="40">
        <f>'Cost of equity'!F13</f>
        <v>0.2914879999999998</v>
      </c>
      <c r="F30" s="40">
        <f>'Cost of debt'!J13</f>
        <v>6.299803121426624E-2</v>
      </c>
      <c r="G30" s="40">
        <f t="shared" si="0"/>
        <v>8.5847028092839617E-2</v>
      </c>
    </row>
    <row r="31" spans="2:7">
      <c r="C31" s="1"/>
      <c r="D31" s="1"/>
      <c r="E31" s="1"/>
      <c r="F31" s="1"/>
      <c r="G31" s="1"/>
    </row>
    <row r="32" spans="2:7">
      <c r="C32" s="1"/>
      <c r="D32" s="1"/>
      <c r="E32" s="1"/>
      <c r="F32" s="1"/>
      <c r="G32" s="1"/>
    </row>
    <row r="33" spans="3:7">
      <c r="C33" s="9"/>
      <c r="D33" s="1"/>
      <c r="E33" s="4"/>
      <c r="F33" s="1"/>
      <c r="G33" s="1"/>
    </row>
    <row r="34" spans="3:7">
      <c r="C34" s="1"/>
      <c r="D34" s="1"/>
      <c r="E34" s="1"/>
      <c r="F34" s="1"/>
      <c r="G34" s="1"/>
    </row>
    <row r="42" spans="3:7" ht="14.4" customHeight="1"/>
  </sheetData>
  <pageMargins left="0.7" right="0.7" top="0.75" bottom="0.75" header="0.3" footer="0.3"/>
  <pageSetup paperSize="9" orientation="landscape"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7462F-F171-4E96-B795-0F35887D21B5}">
  <dimension ref="A2:O48"/>
  <sheetViews>
    <sheetView topLeftCell="A9" zoomScale="85" zoomScaleNormal="85" workbookViewId="0">
      <selection activeCell="F17" sqref="F17"/>
    </sheetView>
  </sheetViews>
  <sheetFormatPr defaultRowHeight="14.4"/>
  <cols>
    <col min="1" max="2" width="2.33203125" customWidth="1"/>
    <col min="3" max="3" width="17.77734375" customWidth="1"/>
    <col min="4" max="4" width="20.77734375" customWidth="1"/>
    <col min="5" max="6" width="17.77734375" customWidth="1"/>
    <col min="7" max="7" width="2.33203125" customWidth="1"/>
    <col min="8" max="8" width="8.88671875" customWidth="1"/>
    <col min="13" max="13" width="10.77734375" customWidth="1"/>
  </cols>
  <sheetData>
    <row r="2" spans="1:7">
      <c r="C2" s="14" t="s">
        <v>151</v>
      </c>
      <c r="D2" s="13"/>
      <c r="E2" s="13"/>
      <c r="F2" s="13"/>
    </row>
    <row r="3" spans="1:7" ht="15" thickBot="1">
      <c r="C3" s="80" t="s">
        <v>59</v>
      </c>
      <c r="D3" s="80" t="s">
        <v>150</v>
      </c>
      <c r="E3" s="80" t="s">
        <v>145</v>
      </c>
      <c r="F3" s="80" t="s">
        <v>146</v>
      </c>
    </row>
    <row r="4" spans="1:7" s="60" customFormat="1">
      <c r="A4"/>
      <c r="B4"/>
      <c r="C4" s="60">
        <v>2013</v>
      </c>
      <c r="D4" s="60">
        <f>168+15+E4</f>
        <v>255</v>
      </c>
      <c r="E4" s="60">
        <v>72</v>
      </c>
      <c r="F4" s="77">
        <f>(D4+E4)/E4</f>
        <v>4.541666666666667</v>
      </c>
      <c r="G4"/>
    </row>
    <row r="5" spans="1:7" s="60" customFormat="1">
      <c r="A5"/>
      <c r="B5"/>
      <c r="C5" s="60">
        <f>C4+1</f>
        <v>2014</v>
      </c>
      <c r="D5" s="60">
        <f>313+E5</f>
        <v>535</v>
      </c>
      <c r="E5" s="60">
        <v>222</v>
      </c>
      <c r="F5" s="77">
        <f t="shared" ref="F5:F14" si="0">(D5+E5)/E5</f>
        <v>3.4099099099099099</v>
      </c>
      <c r="G5"/>
    </row>
    <row r="6" spans="1:7" s="60" customFormat="1">
      <c r="A6"/>
      <c r="B6"/>
      <c r="C6" s="60">
        <f t="shared" ref="C6:C13" si="1">C5+1</f>
        <v>2015</v>
      </c>
      <c r="D6" s="60">
        <f>326+E6</f>
        <v>593</v>
      </c>
      <c r="E6" s="60">
        <v>267</v>
      </c>
      <c r="F6" s="77">
        <f t="shared" si="0"/>
        <v>3.2209737827715355</v>
      </c>
      <c r="G6"/>
    </row>
    <row r="7" spans="1:7" s="60" customFormat="1">
      <c r="A7"/>
      <c r="B7"/>
      <c r="C7" s="60">
        <f t="shared" si="1"/>
        <v>2016</v>
      </c>
      <c r="D7" s="60">
        <f>577+E7-11</f>
        <v>850</v>
      </c>
      <c r="E7" s="60">
        <v>284</v>
      </c>
      <c r="F7" s="77">
        <f t="shared" si="0"/>
        <v>3.992957746478873</v>
      </c>
      <c r="G7"/>
    </row>
    <row r="8" spans="1:7" s="60" customFormat="1">
      <c r="A8"/>
      <c r="B8"/>
      <c r="C8" s="60">
        <f t="shared" si="1"/>
        <v>2017</v>
      </c>
      <c r="D8" s="60">
        <f>517+E8+5</f>
        <v>832</v>
      </c>
      <c r="E8" s="60">
        <v>310</v>
      </c>
      <c r="F8" s="77">
        <f t="shared" si="0"/>
        <v>3.6838709677419357</v>
      </c>
      <c r="G8"/>
    </row>
    <row r="9" spans="1:7" s="60" customFormat="1">
      <c r="A9"/>
      <c r="B9"/>
      <c r="C9" s="60">
        <f t="shared" si="1"/>
        <v>2018</v>
      </c>
      <c r="D9" s="60">
        <f>498+E9+30</f>
        <v>843</v>
      </c>
      <c r="E9" s="60">
        <v>315</v>
      </c>
      <c r="F9" s="77">
        <f t="shared" si="0"/>
        <v>3.676190476190476</v>
      </c>
      <c r="G9"/>
    </row>
    <row r="10" spans="1:7" s="60" customFormat="1">
      <c r="A10"/>
      <c r="B10"/>
      <c r="C10" s="60">
        <f t="shared" si="1"/>
        <v>2019</v>
      </c>
      <c r="D10" s="60">
        <v>489</v>
      </c>
      <c r="E10" s="60">
        <v>414</v>
      </c>
      <c r="F10" s="77">
        <f t="shared" si="0"/>
        <v>2.181159420289855</v>
      </c>
      <c r="G10"/>
    </row>
    <row r="11" spans="1:7" s="60" customFormat="1">
      <c r="A11"/>
      <c r="B11"/>
      <c r="C11" s="60">
        <f t="shared" si="1"/>
        <v>2020</v>
      </c>
      <c r="D11" s="60">
        <v>595</v>
      </c>
      <c r="E11" s="60">
        <v>430</v>
      </c>
      <c r="F11" s="77">
        <f t="shared" si="0"/>
        <v>2.3837209302325579</v>
      </c>
      <c r="G11"/>
    </row>
    <row r="12" spans="1:7" s="60" customFormat="1">
      <c r="A12"/>
      <c r="B12"/>
      <c r="C12" s="60">
        <f t="shared" si="1"/>
        <v>2021</v>
      </c>
      <c r="D12" s="60">
        <v>717</v>
      </c>
      <c r="E12" s="60">
        <v>332</v>
      </c>
      <c r="F12" s="77">
        <f t="shared" si="0"/>
        <v>3.1596385542168677</v>
      </c>
      <c r="G12"/>
    </row>
    <row r="13" spans="1:7" s="60" customFormat="1">
      <c r="A13"/>
      <c r="B13"/>
      <c r="C13" s="60">
        <f t="shared" si="1"/>
        <v>2022</v>
      </c>
      <c r="D13" s="60">
        <v>782</v>
      </c>
      <c r="E13" s="60">
        <v>255</v>
      </c>
      <c r="F13" s="77">
        <f t="shared" si="0"/>
        <v>4.0666666666666664</v>
      </c>
      <c r="G13"/>
    </row>
    <row r="14" spans="1:7" s="60" customFormat="1">
      <c r="A14"/>
      <c r="B14"/>
      <c r="C14" s="60" t="s">
        <v>149</v>
      </c>
      <c r="D14" s="60">
        <v>752</v>
      </c>
      <c r="E14" s="60">
        <v>314</v>
      </c>
      <c r="F14" s="77">
        <f t="shared" si="0"/>
        <v>3.394904458598726</v>
      </c>
      <c r="G14"/>
    </row>
    <row r="15" spans="1:7">
      <c r="C15" s="102"/>
      <c r="D15" s="103"/>
      <c r="E15" s="102"/>
      <c r="F15" s="102"/>
    </row>
    <row r="16" spans="1:7">
      <c r="C16" s="68" t="s">
        <v>159</v>
      </c>
      <c r="D16" s="104" t="s">
        <v>108</v>
      </c>
      <c r="E16" s="68" t="s">
        <v>156</v>
      </c>
      <c r="F16" s="104" t="s">
        <v>160</v>
      </c>
    </row>
    <row r="17" spans="3:8">
      <c r="C17" s="60" t="s">
        <v>161</v>
      </c>
      <c r="D17" s="60">
        <f>-D18-D19+285</f>
        <v>94</v>
      </c>
      <c r="E17" s="60">
        <f>-E18-E19+496+79</f>
        <v>254</v>
      </c>
      <c r="F17" s="77">
        <f>D17/E17</f>
        <v>0.37007874015748032</v>
      </c>
      <c r="H17">
        <v>702</v>
      </c>
    </row>
    <row r="18" spans="3:8">
      <c r="C18" s="60" t="s">
        <v>162</v>
      </c>
      <c r="D18" s="60">
        <f>-D19+191</f>
        <v>149</v>
      </c>
      <c r="E18" s="60">
        <f>-E19+209+112</f>
        <v>217</v>
      </c>
      <c r="F18" s="77">
        <f t="shared" ref="F18:F43" si="2">D18/E18</f>
        <v>0.68663594470046085</v>
      </c>
    </row>
    <row r="19" spans="3:8">
      <c r="C19" s="60" t="s">
        <v>163</v>
      </c>
      <c r="D19" s="60">
        <v>42</v>
      </c>
      <c r="E19" s="60">
        <f>75+29</f>
        <v>104</v>
      </c>
      <c r="F19" s="77">
        <f t="shared" si="2"/>
        <v>0.40384615384615385</v>
      </c>
    </row>
    <row r="20" spans="3:8">
      <c r="C20" s="60" t="s">
        <v>164</v>
      </c>
      <c r="D20" s="60">
        <f>-D21-D22-D23+1470-1292</f>
        <v>11</v>
      </c>
      <c r="E20" s="60">
        <f>-E21-E22-E23+787-8</f>
        <v>127</v>
      </c>
      <c r="F20" s="77">
        <f t="shared" si="2"/>
        <v>8.6614173228346455E-2</v>
      </c>
      <c r="H20">
        <f>SUM(E20:E23)</f>
        <v>779</v>
      </c>
    </row>
    <row r="21" spans="3:8">
      <c r="C21" s="60" t="s">
        <v>165</v>
      </c>
      <c r="D21" s="60">
        <f>-D22-D23+1458-1291</f>
        <v>105</v>
      </c>
      <c r="E21" s="60">
        <f>-E22-E23+607+45</f>
        <v>325</v>
      </c>
      <c r="F21" s="77">
        <f t="shared" si="2"/>
        <v>0.32307692307692309</v>
      </c>
    </row>
    <row r="22" spans="3:8">
      <c r="C22" s="60" t="s">
        <v>166</v>
      </c>
      <c r="D22" s="60">
        <f>-D23+1353-1291</f>
        <v>115</v>
      </c>
      <c r="E22" s="60">
        <f>-E23+279+48</f>
        <v>204</v>
      </c>
      <c r="F22" s="77">
        <f t="shared" si="2"/>
        <v>0.56372549019607843</v>
      </c>
    </row>
    <row r="23" spans="3:8">
      <c r="C23" s="60" t="s">
        <v>167</v>
      </c>
      <c r="D23" s="60">
        <v>-53</v>
      </c>
      <c r="E23" s="60">
        <f>93+30</f>
        <v>123</v>
      </c>
      <c r="F23" s="77">
        <f t="shared" si="2"/>
        <v>-0.43089430894308944</v>
      </c>
    </row>
    <row r="24" spans="3:8">
      <c r="C24" s="60" t="s">
        <v>168</v>
      </c>
      <c r="D24" s="60">
        <f>-D25-D26-D27+267</f>
        <v>59</v>
      </c>
      <c r="E24" s="60">
        <f>-E25-E26-E27+715</f>
        <v>129</v>
      </c>
      <c r="F24" s="77">
        <f t="shared" si="2"/>
        <v>0.4573643410852713</v>
      </c>
      <c r="H24">
        <f>SUM(E24:E27)</f>
        <v>715</v>
      </c>
    </row>
    <row r="25" spans="3:8">
      <c r="C25" s="60" t="s">
        <v>169</v>
      </c>
      <c r="D25" s="60">
        <f>-D26-D27+208</f>
        <v>89</v>
      </c>
      <c r="E25" s="60">
        <f>-E26-E27+529+57</f>
        <v>315</v>
      </c>
      <c r="F25" s="77">
        <f t="shared" si="2"/>
        <v>0.28253968253968254</v>
      </c>
    </row>
    <row r="26" spans="3:8">
      <c r="C26" s="60" t="s">
        <v>170</v>
      </c>
      <c r="D26" s="60">
        <f>-D27+119</f>
        <v>133</v>
      </c>
      <c r="E26" s="60">
        <f>-E27+271</f>
        <v>221</v>
      </c>
      <c r="F26" s="77">
        <f t="shared" si="2"/>
        <v>0.60180995475113119</v>
      </c>
    </row>
    <row r="27" spans="3:8">
      <c r="C27" s="60" t="s">
        <v>171</v>
      </c>
      <c r="D27" s="60">
        <v>-14</v>
      </c>
      <c r="E27" s="60">
        <v>50</v>
      </c>
      <c r="F27" s="77">
        <f t="shared" si="2"/>
        <v>-0.28000000000000003</v>
      </c>
    </row>
    <row r="28" spans="3:8">
      <c r="C28" s="60" t="s">
        <v>172</v>
      </c>
      <c r="D28" s="60">
        <f>-D29-D30-D31+333</f>
        <v>28</v>
      </c>
      <c r="E28" s="60">
        <f>-E29-E30-E31+545+45</f>
        <v>120</v>
      </c>
      <c r="F28" s="77">
        <f t="shared" si="2"/>
        <v>0.23333333333333334</v>
      </c>
      <c r="H28">
        <f>SUM(E28:E31)</f>
        <v>590</v>
      </c>
    </row>
    <row r="29" spans="3:8">
      <c r="C29" s="60" t="s">
        <v>173</v>
      </c>
      <c r="D29" s="60">
        <f>-D30-D31+305</f>
        <v>123</v>
      </c>
      <c r="E29" s="60">
        <f>-E30-E31+441+29</f>
        <v>260</v>
      </c>
      <c r="F29" s="77">
        <f t="shared" si="2"/>
        <v>0.47307692307692306</v>
      </c>
    </row>
    <row r="30" spans="3:8">
      <c r="C30" s="60" t="s">
        <v>174</v>
      </c>
      <c r="D30" s="60">
        <f>-D31+182</f>
        <v>130</v>
      </c>
      <c r="E30" s="60">
        <f>-E31+184+26</f>
        <v>148</v>
      </c>
      <c r="F30" s="77">
        <f t="shared" si="2"/>
        <v>0.8783783783783784</v>
      </c>
    </row>
    <row r="31" spans="3:8">
      <c r="C31" s="60" t="s">
        <v>175</v>
      </c>
      <c r="D31" s="60">
        <v>52</v>
      </c>
      <c r="E31" s="60">
        <f>84-22</f>
        <v>62</v>
      </c>
      <c r="F31" s="77">
        <f t="shared" si="2"/>
        <v>0.83870967741935487</v>
      </c>
    </row>
    <row r="32" spans="3:8">
      <c r="C32" s="60" t="s">
        <v>176</v>
      </c>
      <c r="D32" s="60">
        <f>-D33-D34-D35+224</f>
        <v>6</v>
      </c>
      <c r="E32" s="60">
        <f>-E33-E34-E35+477+5</f>
        <v>70</v>
      </c>
      <c r="F32" s="77">
        <f t="shared" si="2"/>
        <v>8.5714285714285715E-2</v>
      </c>
      <c r="H32">
        <f>SUM(E32:E35)</f>
        <v>482</v>
      </c>
    </row>
    <row r="33" spans="3:15">
      <c r="C33" s="60" t="s">
        <v>177</v>
      </c>
      <c r="D33" s="60">
        <f>-D34-D35+218</f>
        <v>90</v>
      </c>
      <c r="E33" s="60">
        <f>-E34-E35+374+38</f>
        <v>235</v>
      </c>
      <c r="F33" s="77">
        <f t="shared" si="2"/>
        <v>0.38297872340425532</v>
      </c>
    </row>
    <row r="34" spans="3:15">
      <c r="C34" s="60" t="s">
        <v>178</v>
      </c>
      <c r="D34" s="60">
        <f>-D35+128</f>
        <v>87</v>
      </c>
      <c r="E34" s="60">
        <f>-E35+150+27</f>
        <v>123</v>
      </c>
      <c r="F34" s="77">
        <f t="shared" si="2"/>
        <v>0.70731707317073167</v>
      </c>
    </row>
    <row r="35" spans="3:15">
      <c r="C35" s="60" t="s">
        <v>179</v>
      </c>
      <c r="D35" s="60">
        <v>41</v>
      </c>
      <c r="E35" s="60">
        <f>61-7</f>
        <v>54</v>
      </c>
      <c r="F35" s="77">
        <f t="shared" si="2"/>
        <v>0.7592592592592593</v>
      </c>
    </row>
    <row r="36" spans="3:15">
      <c r="C36" s="60" t="s">
        <v>180</v>
      </c>
      <c r="D36" s="60">
        <f>-D37-D38-D39+347</f>
        <v>54</v>
      </c>
      <c r="E36" s="60">
        <f>-E37-E38-E39+498+30</f>
        <v>88</v>
      </c>
      <c r="F36" s="77">
        <f t="shared" si="2"/>
        <v>0.61363636363636365</v>
      </c>
      <c r="H36">
        <f>SUM(E36:E39)</f>
        <v>528</v>
      </c>
    </row>
    <row r="37" spans="3:15">
      <c r="C37" s="60" t="s">
        <v>181</v>
      </c>
      <c r="D37" s="60">
        <f>-D38-D39+293</f>
        <v>100</v>
      </c>
      <c r="E37" s="60">
        <f>-E38-E39+396+44</f>
        <v>223</v>
      </c>
      <c r="F37" s="77">
        <f t="shared" si="2"/>
        <v>0.44843049327354262</v>
      </c>
    </row>
    <row r="38" spans="3:15">
      <c r="C38" s="60" t="s">
        <v>182</v>
      </c>
      <c r="D38" s="60">
        <f>-D39+193</f>
        <v>144</v>
      </c>
      <c r="E38" s="60">
        <f>-E39+181+36</f>
        <v>161</v>
      </c>
      <c r="F38" s="77">
        <f t="shared" si="2"/>
        <v>0.89440993788819878</v>
      </c>
      <c r="I38" s="29"/>
      <c r="J38" s="29"/>
      <c r="K38" s="29"/>
      <c r="L38" s="29"/>
      <c r="M38" s="29"/>
    </row>
    <row r="39" spans="3:15">
      <c r="C39" s="60" t="s">
        <v>183</v>
      </c>
      <c r="D39" s="60">
        <v>49</v>
      </c>
      <c r="E39" s="60">
        <f>65-9</f>
        <v>56</v>
      </c>
      <c r="F39" s="77">
        <f t="shared" si="2"/>
        <v>0.875</v>
      </c>
      <c r="I39" s="29"/>
      <c r="J39" s="29" t="s">
        <v>184</v>
      </c>
      <c r="K39" s="29"/>
      <c r="L39" s="67">
        <v>0.46779999999999999</v>
      </c>
      <c r="M39" s="67"/>
      <c r="O39" s="29"/>
    </row>
    <row r="40" spans="3:15">
      <c r="C40" s="60" t="s">
        <v>185</v>
      </c>
      <c r="D40" s="60">
        <f>-D41-D42-D43+283</f>
        <v>12</v>
      </c>
      <c r="E40" s="60">
        <f>-E41-E42-E43+526</f>
        <v>115</v>
      </c>
      <c r="F40" s="77">
        <f t="shared" si="2"/>
        <v>0.10434782608695652</v>
      </c>
      <c r="H40">
        <f>SUM(E40:E43)</f>
        <v>526</v>
      </c>
      <c r="I40" s="29"/>
      <c r="J40" s="29" t="s">
        <v>186</v>
      </c>
      <c r="K40" s="29"/>
      <c r="L40" s="67">
        <v>6.8659999999999999E-2</v>
      </c>
      <c r="M40" s="67"/>
      <c r="O40" s="29"/>
    </row>
    <row r="41" spans="3:15">
      <c r="C41" s="60" t="s">
        <v>187</v>
      </c>
      <c r="D41" s="60">
        <f>-D42-D43+271</f>
        <v>95</v>
      </c>
      <c r="E41" s="60">
        <f>-E42-E43+374+37</f>
        <v>224</v>
      </c>
      <c r="F41" s="77">
        <f t="shared" si="2"/>
        <v>0.42410714285714285</v>
      </c>
      <c r="I41" s="29"/>
      <c r="J41" s="29" t="s">
        <v>188</v>
      </c>
      <c r="K41" s="29"/>
      <c r="L41" s="67">
        <v>0.28598000000000001</v>
      </c>
      <c r="M41" s="67">
        <v>0.63950403</v>
      </c>
      <c r="O41" s="29"/>
    </row>
    <row r="42" spans="3:15">
      <c r="C42" s="60" t="s">
        <v>189</v>
      </c>
      <c r="D42" s="60">
        <f>-D43+176</f>
        <v>122</v>
      </c>
      <c r="E42" s="60">
        <f>-E43+171+16</f>
        <v>98</v>
      </c>
      <c r="F42" s="77">
        <f t="shared" si="2"/>
        <v>1.2448979591836735</v>
      </c>
      <c r="I42" s="29"/>
      <c r="J42" s="29"/>
      <c r="K42" s="29"/>
      <c r="L42" s="29"/>
      <c r="M42" s="29"/>
      <c r="O42" s="29"/>
    </row>
    <row r="43" spans="3:15">
      <c r="C43" s="60" t="s">
        <v>190</v>
      </c>
      <c r="D43" s="60">
        <v>54</v>
      </c>
      <c r="E43" s="60">
        <f>61-8+36</f>
        <v>89</v>
      </c>
      <c r="F43" s="77">
        <f t="shared" si="2"/>
        <v>0.6067415730337079</v>
      </c>
      <c r="J43" s="105" t="str">
        <f>F16</f>
        <v>EBIT/CFO Pre-WC</v>
      </c>
      <c r="O43" s="29"/>
    </row>
    <row r="44" spans="3:15">
      <c r="F44" s="77"/>
      <c r="J44" s="29"/>
      <c r="K44" s="29"/>
      <c r="L44" s="29"/>
      <c r="M44" s="29"/>
      <c r="N44" s="29"/>
      <c r="O44" s="29"/>
    </row>
    <row r="45" spans="3:15">
      <c r="D45" s="60"/>
      <c r="E45" s="60"/>
      <c r="F45" s="77"/>
    </row>
    <row r="46" spans="3:15">
      <c r="D46" s="60"/>
      <c r="E46" s="60"/>
      <c r="F46" s="77"/>
    </row>
    <row r="47" spans="3:15">
      <c r="F47" s="77"/>
    </row>
    <row r="48" spans="3:15">
      <c r="F48" s="77"/>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23033-E2FE-49EC-ABA4-F720B8A0A95E}">
  <sheetPr codeName="Sheet2"/>
  <dimension ref="C2:F14"/>
  <sheetViews>
    <sheetView workbookViewId="0">
      <selection activeCell="F4" sqref="F4"/>
    </sheetView>
  </sheetViews>
  <sheetFormatPr defaultRowHeight="14.4"/>
  <cols>
    <col min="1" max="2" width="2.33203125" customWidth="1"/>
    <col min="3" max="6" width="15.77734375" customWidth="1"/>
    <col min="7" max="7" width="2.33203125" customWidth="1"/>
  </cols>
  <sheetData>
    <row r="2" spans="3:6">
      <c r="C2" s="14" t="s">
        <v>132</v>
      </c>
      <c r="D2" s="13"/>
      <c r="E2" s="13"/>
      <c r="F2" s="13"/>
    </row>
    <row r="3" spans="3:6">
      <c r="C3" s="68" t="s">
        <v>96</v>
      </c>
      <c r="D3" s="68" t="s">
        <v>73</v>
      </c>
      <c r="E3" s="68" t="s">
        <v>97</v>
      </c>
      <c r="F3" s="68" t="s">
        <v>70</v>
      </c>
    </row>
    <row r="4" spans="3:6">
      <c r="C4" s="59">
        <f>'Cost of Capital Schedule'!C21</f>
        <v>0</v>
      </c>
      <c r="D4" s="40">
        <f>C4/(1-C4)</f>
        <v>0</v>
      </c>
      <c r="E4" s="39">
        <f>'Cost of Capital Schedule'!E9</f>
        <v>0.56000000000000005</v>
      </c>
      <c r="F4" s="40">
        <f>'Cost of Capital Schedule'!$E$13+'Cost of equity'!E4*'Cost of Capital Schedule'!$E$14</f>
        <v>7.2500000000000009E-2</v>
      </c>
    </row>
    <row r="5" spans="3:6">
      <c r="C5" s="59">
        <f>'Cost of Capital Schedule'!C22</f>
        <v>0.1</v>
      </c>
      <c r="D5" s="40">
        <f>C5/(1-C5)</f>
        <v>0.11111111111111112</v>
      </c>
      <c r="E5" s="39">
        <f>$E$4*(1+(1-'Cost of Capital Schedule'!$E$10)*'Cost of equity'!D5)</f>
        <v>0.60915555555555556</v>
      </c>
      <c r="F5" s="40">
        <f>'Cost of Capital Schedule'!$E$13+'Cost of equity'!E5*'Cost of Capital Schedule'!$E$14</f>
        <v>7.5203555555555551E-2</v>
      </c>
    </row>
    <row r="6" spans="3:6">
      <c r="C6" s="59">
        <f>'Cost of Capital Schedule'!C23</f>
        <v>0.2</v>
      </c>
      <c r="D6" s="40">
        <f t="shared" ref="D6:D13" si="0">C6/(1-C6)</f>
        <v>0.25</v>
      </c>
      <c r="E6" s="39">
        <f>$E$4*(1+(1-'Cost of Capital Schedule'!$E$10)*'Cost of equity'!D6)</f>
        <v>0.67060000000000008</v>
      </c>
      <c r="F6" s="40">
        <f>'Cost of Capital Schedule'!$E$13+'Cost of equity'!E6*'Cost of Capital Schedule'!$E$14</f>
        <v>7.8583000000000014E-2</v>
      </c>
    </row>
    <row r="7" spans="3:6">
      <c r="C7" s="59">
        <f>'Cost of Capital Schedule'!C24</f>
        <v>0.30000000000000004</v>
      </c>
      <c r="D7" s="40">
        <f>C7/(1-C7)</f>
        <v>0.42857142857142866</v>
      </c>
      <c r="E7" s="39">
        <f>$E$4*(1+(1-'Cost of Capital Schedule'!$E$10)*'Cost of equity'!D7)</f>
        <v>0.74960000000000004</v>
      </c>
      <c r="F7" s="40">
        <f>'Cost of Capital Schedule'!$E$13+'Cost of equity'!E7*'Cost of Capital Schedule'!$E$14</f>
        <v>8.2928000000000002E-2</v>
      </c>
    </row>
    <row r="8" spans="3:6">
      <c r="C8" s="59">
        <f>'Cost of Capital Schedule'!C25</f>
        <v>0.4</v>
      </c>
      <c r="D8" s="40">
        <f t="shared" si="0"/>
        <v>0.66666666666666674</v>
      </c>
      <c r="E8" s="39">
        <f>$E$4*(1+(1-'Cost of Capital Schedule'!$E$10)*'Cost of equity'!D8)</f>
        <v>0.85493333333333354</v>
      </c>
      <c r="F8" s="40">
        <f>'Cost of Capital Schedule'!$E$13+'Cost of equity'!E8*'Cost of Capital Schedule'!$E$14</f>
        <v>8.8721333333333346E-2</v>
      </c>
    </row>
    <row r="9" spans="3:6">
      <c r="C9" s="59">
        <f>'Cost of Capital Schedule'!C26</f>
        <v>0.5</v>
      </c>
      <c r="D9" s="40">
        <f t="shared" si="0"/>
        <v>1</v>
      </c>
      <c r="E9" s="39">
        <f>$E$4*(1+(1-'Cost of Capital Schedule'!$E$10)*'Cost of equity'!D9)</f>
        <v>1.0024000000000002</v>
      </c>
      <c r="F9" s="40">
        <f>'Cost of Capital Schedule'!$E$13+'Cost of equity'!E9*'Cost of Capital Schedule'!$E$14</f>
        <v>9.6832000000000001E-2</v>
      </c>
    </row>
    <row r="10" spans="3:6">
      <c r="C10" s="59">
        <f>'Cost of Capital Schedule'!C27</f>
        <v>0.6</v>
      </c>
      <c r="D10" s="40">
        <f t="shared" si="0"/>
        <v>1.4999999999999998</v>
      </c>
      <c r="E10" s="39">
        <f>$E$4*(1+(1-'Cost of Capital Schedule'!$E$10)*'Cost of equity'!D10)</f>
        <v>1.2235999999999998</v>
      </c>
      <c r="F10" s="40">
        <f>'Cost of Capital Schedule'!$E$13+'Cost of equity'!E10*'Cost of Capital Schedule'!$E$14</f>
        <v>0.10899799999999998</v>
      </c>
    </row>
    <row r="11" spans="3:6">
      <c r="C11" s="59">
        <f>'Cost of Capital Schedule'!C28</f>
        <v>0.7</v>
      </c>
      <c r="D11" s="40">
        <f t="shared" si="0"/>
        <v>2.333333333333333</v>
      </c>
      <c r="E11" s="39">
        <f>$E$4*(1+(1-'Cost of Capital Schedule'!$E$10)*'Cost of equity'!D11)</f>
        <v>1.5922666666666667</v>
      </c>
      <c r="F11" s="40">
        <f>'Cost of Capital Schedule'!$E$13+'Cost of equity'!E11*'Cost of Capital Schedule'!$E$14</f>
        <v>0.12927466666666668</v>
      </c>
    </row>
    <row r="12" spans="3:6">
      <c r="C12" s="59">
        <f>'Cost of Capital Schedule'!C29</f>
        <v>0.79999999999999993</v>
      </c>
      <c r="D12" s="40">
        <f t="shared" si="0"/>
        <v>3.9999999999999982</v>
      </c>
      <c r="E12" s="39">
        <f>$E$4*(1+(1-'Cost of Capital Schedule'!$E$10)*'Cost of equity'!D12)</f>
        <v>2.3295999999999992</v>
      </c>
      <c r="F12" s="40">
        <f>'Cost of Capital Schedule'!$E$13+'Cost of equity'!E12*'Cost of Capital Schedule'!$E$14</f>
        <v>0.16982799999999998</v>
      </c>
    </row>
    <row r="13" spans="3:6">
      <c r="C13" s="59">
        <f>'Cost of Capital Schedule'!C30</f>
        <v>0.89999999999999991</v>
      </c>
      <c r="D13" s="40">
        <f t="shared" si="0"/>
        <v>8.9999999999999911</v>
      </c>
      <c r="E13" s="39">
        <f>$E$4*(1+(1-'Cost of Capital Schedule'!$E$10)*'Cost of equity'!D13)</f>
        <v>4.5415999999999963</v>
      </c>
      <c r="F13" s="40">
        <f>'Cost of Capital Schedule'!$E$13+'Cost of equity'!E13*'Cost of Capital Schedule'!$E$14</f>
        <v>0.2914879999999998</v>
      </c>
    </row>
    <row r="14" spans="3:6">
      <c r="C14" s="59"/>
      <c r="D14" s="38"/>
    </row>
  </sheetData>
  <pageMargins left="0.7" right="0.7" top="0.75" bottom="0.75" header="0.3" footer="0.3"/>
  <pageSetup paperSize="7"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8E84C-6C0E-4889-8432-30F07273C716}">
  <sheetPr codeName="Sheet3"/>
  <dimension ref="A1:R28"/>
  <sheetViews>
    <sheetView zoomScaleNormal="100" workbookViewId="0">
      <selection activeCell="I10" sqref="I10"/>
    </sheetView>
  </sheetViews>
  <sheetFormatPr defaultRowHeight="14.4"/>
  <cols>
    <col min="1" max="2" width="2.33203125" customWidth="1"/>
    <col min="3" max="3" width="15.77734375" customWidth="1"/>
    <col min="4" max="10" width="12.77734375" style="1" customWidth="1"/>
    <col min="11" max="11" width="2.33203125" style="1" customWidth="1"/>
    <col min="12" max="16384" width="8.88671875" style="1"/>
  </cols>
  <sheetData>
    <row r="1" spans="3:18" customFormat="1"/>
    <row r="2" spans="3:18" customFormat="1">
      <c r="C2" s="14" t="s">
        <v>133</v>
      </c>
      <c r="D2" s="13"/>
      <c r="E2" s="13"/>
      <c r="F2" s="13"/>
      <c r="G2" s="13"/>
      <c r="H2" s="13"/>
      <c r="I2" s="13"/>
      <c r="J2" s="13"/>
    </row>
    <row r="3" spans="3:18" customFormat="1" ht="34.950000000000003" customHeight="1">
      <c r="C3" s="68" t="s">
        <v>2</v>
      </c>
      <c r="D3" s="68" t="s">
        <v>1</v>
      </c>
      <c r="E3" s="69" t="s">
        <v>105</v>
      </c>
      <c r="F3" s="69" t="s">
        <v>143</v>
      </c>
      <c r="G3" s="68" t="s">
        <v>102</v>
      </c>
      <c r="H3" s="69" t="s">
        <v>104</v>
      </c>
      <c r="I3" s="69" t="s">
        <v>120</v>
      </c>
      <c r="J3" s="69" t="s">
        <v>103</v>
      </c>
      <c r="K3" s="60"/>
    </row>
    <row r="4" spans="3:18" customFormat="1">
      <c r="C4" s="59">
        <f>'Cost of Capital Schedule'!C21</f>
        <v>0</v>
      </c>
      <c r="D4" s="75">
        <f>C4*'EV calculation'!$E$60</f>
        <v>0</v>
      </c>
      <c r="E4" s="76">
        <f>D4*H4</f>
        <v>0</v>
      </c>
      <c r="F4" s="39" t="s">
        <v>15</v>
      </c>
      <c r="G4" s="6" t="s">
        <v>109</v>
      </c>
      <c r="H4" s="40">
        <f>Sheet4!D10</f>
        <v>4.7600000000000003E-2</v>
      </c>
      <c r="I4" s="64">
        <f>IF('Cost of Capital Schedule'!$E$17&gt;'Cost of debt'!E4,'Cost of Capital Schedule'!$E$10,('Cost of Capital Schedule'!$E$17*'Cost of Capital Schedule'!$E$10)/E4)</f>
        <v>0.21</v>
      </c>
      <c r="J4" s="40">
        <f>H4*(1-I4)</f>
        <v>3.7604000000000005E-2</v>
      </c>
      <c r="K4" s="62"/>
      <c r="L4" s="62"/>
      <c r="M4" s="62"/>
      <c r="N4" s="62"/>
      <c r="O4" s="62"/>
      <c r="P4" s="62"/>
      <c r="Q4" s="62"/>
      <c r="R4" s="62"/>
    </row>
    <row r="5" spans="3:18" customFormat="1">
      <c r="C5" s="59">
        <f>'Cost of Capital Schedule'!C22</f>
        <v>0.1</v>
      </c>
      <c r="D5" s="75">
        <f>C5*'EV calculation'!$E$60</f>
        <v>1225.3378295755263</v>
      </c>
      <c r="E5" s="76">
        <f t="shared" ref="E5:E13" si="0">D5*H5</f>
        <v>58.60591042230385</v>
      </c>
      <c r="F5" s="77">
        <f>Sheet4!E8</f>
        <v>14.394553456186049</v>
      </c>
      <c r="G5" s="63" t="str">
        <f>Sheet4!E9</f>
        <v>Aaa</v>
      </c>
      <c r="H5" s="40">
        <f>Sheet4!E10</f>
        <v>4.7828369456777271E-2</v>
      </c>
      <c r="I5" s="64">
        <f>IF('Cost of Capital Schedule'!$E$17&gt;'Cost of debt'!E5,'Cost of Capital Schedule'!$E$10,('Cost of Capital Schedule'!$E$17*'Cost of Capital Schedule'!$E$10)/E5)</f>
        <v>0.21</v>
      </c>
      <c r="J5" s="40">
        <f t="shared" ref="J5:J13" si="1">H5*(1-I5)</f>
        <v>3.7784411870854046E-2</v>
      </c>
    </row>
    <row r="6" spans="3:18" customFormat="1">
      <c r="C6" s="59">
        <f>'Cost of Capital Schedule'!C23</f>
        <v>0.2</v>
      </c>
      <c r="D6" s="75">
        <f>C6*'EV calculation'!$E$60</f>
        <v>2450.6756591510525</v>
      </c>
      <c r="E6" s="76">
        <f t="shared" si="0"/>
        <v>119.90756406967385</v>
      </c>
      <c r="F6" s="77">
        <f>Sheet4!F8</f>
        <v>7.5467095932652386</v>
      </c>
      <c r="G6" s="63" t="str">
        <f>Sheet4!F9</f>
        <v>Aa2</v>
      </c>
      <c r="H6" s="40">
        <f>Sheet4!F10</f>
        <v>4.8928369456777268E-2</v>
      </c>
      <c r="I6" s="64">
        <f>IF('Cost of Capital Schedule'!$E$17&gt;'Cost of debt'!E6,'Cost of Capital Schedule'!$E$10,('Cost of Capital Schedule'!$E$17*'Cost of Capital Schedule'!$E$10)/E6)</f>
        <v>0.21</v>
      </c>
      <c r="J6" s="40">
        <f t="shared" si="1"/>
        <v>3.865341187085404E-2</v>
      </c>
    </row>
    <row r="7" spans="3:18" customFormat="1">
      <c r="C7" s="59">
        <f>'Cost of Capital Schedule'!C24</f>
        <v>0.30000000000000004</v>
      </c>
      <c r="D7" s="75">
        <f>C7*'EV calculation'!$E$60</f>
        <v>3676.013488726579</v>
      </c>
      <c r="E7" s="76">
        <f t="shared" si="0"/>
        <v>193.46259601279914</v>
      </c>
      <c r="F7" s="77">
        <f>Sheet4!G8</f>
        <v>5.0576318946328307</v>
      </c>
      <c r="G7" s="63" t="str">
        <f>Sheet4!G9</f>
        <v>A2</v>
      </c>
      <c r="H7" s="40">
        <f>Sheet4!G10</f>
        <v>5.262836945677727E-2</v>
      </c>
      <c r="I7" s="64">
        <f>IF('Cost of Capital Schedule'!$E$17&gt;'Cost of debt'!E7,'Cost of Capital Schedule'!$E$10,('Cost of Capital Schedule'!$E$17*'Cost of Capital Schedule'!$E$10)/E7)</f>
        <v>0.21</v>
      </c>
      <c r="J7" s="40">
        <f t="shared" si="1"/>
        <v>4.1576411870854042E-2</v>
      </c>
    </row>
    <row r="8" spans="3:18" customFormat="1">
      <c r="C8" s="59">
        <f>'Cost of Capital Schedule'!C25</f>
        <v>0.4</v>
      </c>
      <c r="D8" s="75">
        <f>C8*'EV calculation'!$E$60</f>
        <v>4901.351318302105</v>
      </c>
      <c r="E8" s="76">
        <f t="shared" si="0"/>
        <v>277.5555332902739</v>
      </c>
      <c r="F8" s="77">
        <f>Sheet4!H8</f>
        <v>3.8282628369690221</v>
      </c>
      <c r="G8" s="63" t="str">
        <f>Sheet4!H9</f>
        <v>Baa2</v>
      </c>
      <c r="H8" s="40">
        <f>Sheet4!H10</f>
        <v>5.6628369456777267E-2</v>
      </c>
      <c r="I8" s="64">
        <f>IF('Cost of Capital Schedule'!$E$17&gt;'Cost of debt'!E8,'Cost of Capital Schedule'!$E$10,('Cost of Capital Schedule'!$E$17*'Cost of Capital Schedule'!$E$10)/E8)</f>
        <v>0.21</v>
      </c>
      <c r="J8" s="40">
        <f t="shared" si="1"/>
        <v>4.4736411870854045E-2</v>
      </c>
    </row>
    <row r="9" spans="3:18" customFormat="1">
      <c r="C9" s="59">
        <f>'Cost of Capital Schedule'!C26</f>
        <v>0.5</v>
      </c>
      <c r="D9" s="75">
        <f>C9*'EV calculation'!$E$60</f>
        <v>6126.6891478776306</v>
      </c>
      <c r="E9" s="76">
        <f t="shared" si="0"/>
        <v>355.21544696247719</v>
      </c>
      <c r="F9" s="77">
        <f>Sheet4!I8</f>
        <v>3.2099264170877193</v>
      </c>
      <c r="G9" s="63" t="str">
        <f>Sheet4!I9</f>
        <v>Baa3</v>
      </c>
      <c r="H9" s="40">
        <f>Sheet4!I10</f>
        <v>5.7978369456777271E-2</v>
      </c>
      <c r="I9" s="64">
        <f>IF('Cost of Capital Schedule'!$E$17&gt;'Cost of debt'!E9,'Cost of Capital Schedule'!$E$10,('Cost of Capital Schedule'!$E$17*'Cost of Capital Schedule'!$E$10)/E9)</f>
        <v>0.17635212808360001</v>
      </c>
      <c r="J9" s="40">
        <f t="shared" si="1"/>
        <v>4.77537606202574E-2</v>
      </c>
    </row>
    <row r="10" spans="3:18" customFormat="1">
      <c r="C10" s="59">
        <f>'Cost of Capital Schedule'!C27</f>
        <v>0.6</v>
      </c>
      <c r="D10" s="75">
        <f>C10*'EV calculation'!$E$60</f>
        <v>7352.0269774531562</v>
      </c>
      <c r="E10" s="76">
        <f t="shared" si="0"/>
        <v>436.1837727745343</v>
      </c>
      <c r="F10" s="77">
        <f>Sheet4!J8</f>
        <v>2.7997001470427709</v>
      </c>
      <c r="G10" s="63" t="str">
        <f>Sheet4!J9</f>
        <v>Ba1</v>
      </c>
      <c r="H10" s="40">
        <f>Sheet4!J10</f>
        <v>5.9328369456777268E-2</v>
      </c>
      <c r="I10" s="64">
        <f>IF('Cost of Capital Schedule'!$E$17&gt;'Cost of debt'!E10,'Cost of Capital Schedule'!$E$10,('Cost of Capital Schedule'!$E$17*'Cost of Capital Schedule'!$E$10)/E10)</f>
        <v>0.14361607173401314</v>
      </c>
      <c r="J10" s="40">
        <f t="shared" si="1"/>
        <v>5.0807862093010712E-2</v>
      </c>
    </row>
    <row r="11" spans="3:18" customFormat="1">
      <c r="C11" s="59">
        <f>'Cost of Capital Schedule'!C28</f>
        <v>0.7</v>
      </c>
      <c r="D11" s="75">
        <f>C11*'EV calculation'!$E$60</f>
        <v>8577.3648070286818</v>
      </c>
      <c r="E11" s="76">
        <f t="shared" si="0"/>
        <v>549.19468282999151</v>
      </c>
      <c r="F11" s="77">
        <f>Sheet4!K8</f>
        <v>2.4293656230517517</v>
      </c>
      <c r="G11" s="63" t="str">
        <f>Sheet4!K9</f>
        <v>Ba2</v>
      </c>
      <c r="H11" s="40">
        <f>Sheet4!K10</f>
        <v>6.402836945677727E-2</v>
      </c>
      <c r="I11" s="64">
        <f>IF('Cost of Capital Schedule'!$E$17&gt;'Cost of debt'!E11,'Cost of Capital Schedule'!$E$10,('Cost of Capital Schedule'!$E$17*'Cost of Capital Schedule'!$E$10)/E11)</f>
        <v>0.11406337671952979</v>
      </c>
      <c r="J11" s="40">
        <f t="shared" si="1"/>
        <v>5.6725077430691648E-2</v>
      </c>
    </row>
    <row r="12" spans="3:18" customFormat="1">
      <c r="C12" s="59">
        <f>'Cost of Capital Schedule'!C29</f>
        <v>0.79999999999999993</v>
      </c>
      <c r="D12" s="75">
        <f>C12*'EV calculation'!$E$60</f>
        <v>9802.7026366042082</v>
      </c>
      <c r="E12" s="76">
        <f t="shared" si="0"/>
        <v>673.23363335162844</v>
      </c>
      <c r="F12" s="77">
        <f>Sheet4!L8</f>
        <v>2.1660142350463887</v>
      </c>
      <c r="G12" s="63" t="str">
        <f>Sheet4!L9</f>
        <v>Ba3</v>
      </c>
      <c r="H12" s="40">
        <f>Sheet4!L10</f>
        <v>6.8678369456777272E-2</v>
      </c>
      <c r="I12" s="64">
        <f>IF('Cost of Capital Schedule'!$E$17&gt;'Cost of debt'!E12,'Cost of Capital Schedule'!$E$10,('Cost of Capital Schedule'!$E$17*'Cost of Capital Schedule'!$E$10)/E12)</f>
        <v>9.3047935956701827E-2</v>
      </c>
      <c r="J12" s="40">
        <f t="shared" si="1"/>
        <v>6.2287988933952355E-2</v>
      </c>
    </row>
    <row r="13" spans="3:18" customFormat="1">
      <c r="C13" s="59">
        <f>'Cost of Capital Schedule'!C30</f>
        <v>0.89999999999999991</v>
      </c>
      <c r="D13" s="75">
        <f>C13*'EV calculation'!$E$60</f>
        <v>11028.040466179735</v>
      </c>
      <c r="E13" s="76">
        <f t="shared" si="0"/>
        <v>757.38783752058202</v>
      </c>
      <c r="F13" s="77">
        <f>Sheet4!M8</f>
        <v>2.0364570978190124</v>
      </c>
      <c r="G13" s="63" t="str">
        <f>Sheet4!M9</f>
        <v>Ba3</v>
      </c>
      <c r="H13" s="40">
        <f>Sheet4!M10</f>
        <v>6.8678369456777272E-2</v>
      </c>
      <c r="I13" s="64">
        <f>IF('Cost of Capital Schedule'!$E$17&gt;'Cost of debt'!E13,'Cost of Capital Schedule'!$E$10,('Cost of Capital Schedule'!$E$17*'Cost of Capital Schedule'!$E$10)/E13)</f>
        <v>8.2709276405957169E-2</v>
      </c>
      <c r="J13" s="40">
        <f t="shared" si="1"/>
        <v>6.299803121426624E-2</v>
      </c>
    </row>
    <row r="14" spans="3:18" customFormat="1">
      <c r="D14" s="1"/>
      <c r="E14" s="1"/>
      <c r="G14" s="63"/>
    </row>
    <row r="15" spans="3:18" customFormat="1">
      <c r="D15" s="1"/>
      <c r="E15" s="1"/>
      <c r="F15" s="1"/>
      <c r="G15" s="1"/>
      <c r="H15" s="1"/>
      <c r="I15" s="1"/>
      <c r="J15" s="1"/>
      <c r="K15" s="1"/>
      <c r="L15" s="1"/>
      <c r="M15" s="1"/>
      <c r="N15" s="1"/>
    </row>
    <row r="16" spans="3:18" customFormat="1">
      <c r="D16" s="1"/>
      <c r="E16" s="1"/>
      <c r="F16" s="6"/>
      <c r="G16" s="40"/>
      <c r="H16" s="6"/>
      <c r="I16" s="6"/>
      <c r="J16" s="6"/>
      <c r="K16" s="6"/>
      <c r="L16" s="6"/>
      <c r="M16" s="6"/>
      <c r="N16" s="6"/>
      <c r="O16" s="6"/>
      <c r="P16" s="6"/>
      <c r="Q16" s="6"/>
    </row>
    <row r="17" spans="1:14" customFormat="1">
      <c r="D17" s="1"/>
      <c r="E17" s="1"/>
      <c r="F17" s="1"/>
      <c r="G17" s="1"/>
      <c r="H17" s="1"/>
      <c r="I17" s="1"/>
      <c r="J17" s="1"/>
      <c r="K17" s="1"/>
      <c r="L17" s="1"/>
      <c r="M17" s="1"/>
      <c r="N17" s="1"/>
    </row>
    <row r="18" spans="1:14" s="54" customFormat="1">
      <c r="A18"/>
      <c r="B18"/>
    </row>
    <row r="27" spans="1:14">
      <c r="D27"/>
      <c r="F27" s="39"/>
    </row>
    <row r="28" spans="1:14">
      <c r="F28" s="39"/>
    </row>
  </sheetData>
  <pageMargins left="0.7" right="0.7" top="0.75" bottom="0.75" header="0.3" footer="0.3"/>
  <pageSetup paperSize="7"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E3100-C207-4AD7-8F12-7511C3357C63}">
  <sheetPr codeName="Sheet4"/>
  <dimension ref="C2:H1048576"/>
  <sheetViews>
    <sheetView zoomScale="99" workbookViewId="0">
      <selection activeCell="F6" sqref="F6"/>
    </sheetView>
  </sheetViews>
  <sheetFormatPr defaultRowHeight="14.4"/>
  <cols>
    <col min="1" max="2" width="2.33203125" customWidth="1"/>
    <col min="3" max="5" width="14.77734375" customWidth="1"/>
    <col min="6" max="6" width="25.77734375" customWidth="1"/>
    <col min="7" max="7" width="2.33203125" customWidth="1"/>
    <col min="8" max="8" width="14.77734375" customWidth="1"/>
  </cols>
  <sheetData>
    <row r="2" spans="3:8">
      <c r="C2" s="14" t="s">
        <v>121</v>
      </c>
      <c r="D2" s="14"/>
      <c r="E2" s="14"/>
      <c r="F2" s="13"/>
    </row>
    <row r="3" spans="3:8">
      <c r="C3" s="19" t="s">
        <v>136</v>
      </c>
      <c r="D3" s="60"/>
    </row>
    <row r="4" spans="3:8">
      <c r="C4" s="68" t="s">
        <v>122</v>
      </c>
      <c r="D4" s="68" t="s">
        <v>123</v>
      </c>
      <c r="E4" s="68" t="s">
        <v>102</v>
      </c>
      <c r="F4" s="68" t="s">
        <v>114</v>
      </c>
    </row>
    <row r="5" spans="3:8">
      <c r="C5" s="77">
        <v>8</v>
      </c>
      <c r="D5" s="70" t="s">
        <v>124</v>
      </c>
      <c r="E5" s="60" t="s">
        <v>109</v>
      </c>
      <c r="F5" s="40">
        <v>5.8999999999999999E-3</v>
      </c>
      <c r="H5" s="108"/>
    </row>
    <row r="6" spans="3:8">
      <c r="C6" s="77">
        <f>C5-2</f>
        <v>6</v>
      </c>
      <c r="D6" s="77">
        <f>C5</f>
        <v>8</v>
      </c>
      <c r="E6" s="60" t="s">
        <v>110</v>
      </c>
      <c r="F6" s="40">
        <v>7.0000000000000001E-3</v>
      </c>
      <c r="H6" s="108"/>
    </row>
    <row r="7" spans="3:8">
      <c r="C7" s="77">
        <f>C6-0.5</f>
        <v>5.5</v>
      </c>
      <c r="D7" s="77">
        <f t="shared" ref="D7:D18" si="0">C6</f>
        <v>6</v>
      </c>
      <c r="E7" s="60" t="s">
        <v>115</v>
      </c>
      <c r="F7" s="40">
        <v>9.1999999999999998E-3</v>
      </c>
      <c r="H7" s="108"/>
    </row>
    <row r="8" spans="3:8">
      <c r="C8" s="77">
        <f>C7-0.5</f>
        <v>5</v>
      </c>
      <c r="D8" s="77">
        <f t="shared" si="0"/>
        <v>5.5</v>
      </c>
      <c r="E8" s="60" t="s">
        <v>116</v>
      </c>
      <c r="F8" s="40">
        <v>1.0699999999999999E-2</v>
      </c>
      <c r="H8" s="108"/>
    </row>
    <row r="9" spans="3:8">
      <c r="C9" s="77">
        <f t="shared" ref="C9" si="1">C8-0.5</f>
        <v>4.5</v>
      </c>
      <c r="D9" s="77">
        <f t="shared" si="0"/>
        <v>5</v>
      </c>
      <c r="E9" s="60" t="s">
        <v>111</v>
      </c>
      <c r="F9" s="40">
        <v>1.21E-2</v>
      </c>
      <c r="H9" s="108"/>
    </row>
    <row r="10" spans="3:8">
      <c r="C10" s="77">
        <f>D10-0.5</f>
        <v>4</v>
      </c>
      <c r="D10" s="77">
        <f t="shared" si="0"/>
        <v>4.5</v>
      </c>
      <c r="E10" s="60" t="s">
        <v>138</v>
      </c>
      <c r="F10" s="40">
        <f>AVERAGE(F9,F11)</f>
        <v>1.3399999999999999E-2</v>
      </c>
      <c r="H10" s="108"/>
    </row>
    <row r="11" spans="3:8">
      <c r="C11" s="77">
        <f t="shared" ref="C11" si="2">D11-0.5</f>
        <v>3.5</v>
      </c>
      <c r="D11" s="77">
        <f t="shared" si="0"/>
        <v>4</v>
      </c>
      <c r="E11" s="60" t="s">
        <v>117</v>
      </c>
      <c r="F11" s="40">
        <v>1.47E-2</v>
      </c>
      <c r="H11" s="108"/>
    </row>
    <row r="12" spans="3:8">
      <c r="C12" s="77">
        <f>C11+0.01-0.5</f>
        <v>3.01</v>
      </c>
      <c r="D12" s="77">
        <f t="shared" si="0"/>
        <v>3.5</v>
      </c>
      <c r="E12" s="60" t="s">
        <v>139</v>
      </c>
      <c r="F12" s="40">
        <f>AVERAGE(F11,F13)</f>
        <v>1.6049999999999998E-2</v>
      </c>
      <c r="H12" s="108"/>
    </row>
    <row r="13" spans="3:8">
      <c r="C13" s="77">
        <f>C12-0.333</f>
        <v>2.6769999999999996</v>
      </c>
      <c r="D13" s="77">
        <f t="shared" si="0"/>
        <v>3.01</v>
      </c>
      <c r="E13" s="60" t="s">
        <v>118</v>
      </c>
      <c r="F13" s="40">
        <v>1.7399999999999999E-2</v>
      </c>
      <c r="H13" s="108"/>
    </row>
    <row r="14" spans="3:8">
      <c r="C14" s="77">
        <f>2.7-0.333</f>
        <v>2.367</v>
      </c>
      <c r="D14" s="77">
        <f t="shared" si="0"/>
        <v>2.6769999999999996</v>
      </c>
      <c r="E14" s="60" t="s">
        <v>18</v>
      </c>
      <c r="F14" s="40">
        <v>2.2100000000000002E-2</v>
      </c>
      <c r="H14" s="108"/>
    </row>
    <row r="15" spans="3:8">
      <c r="C15" s="77">
        <v>2</v>
      </c>
      <c r="D15" s="77">
        <f t="shared" si="0"/>
        <v>2.367</v>
      </c>
      <c r="E15" s="60" t="s">
        <v>140</v>
      </c>
      <c r="F15" s="40">
        <f>AVERAGE(F14,F16)</f>
        <v>2.6749999999999999E-2</v>
      </c>
      <c r="H15" s="108"/>
    </row>
    <row r="16" spans="3:8">
      <c r="C16" s="77" t="s">
        <v>144</v>
      </c>
      <c r="D16" s="77">
        <f t="shared" si="0"/>
        <v>2</v>
      </c>
      <c r="E16" s="60" t="s">
        <v>69</v>
      </c>
      <c r="F16" s="40">
        <v>3.1399999999999997E-2</v>
      </c>
      <c r="H16" s="108"/>
    </row>
    <row r="17" spans="3:8">
      <c r="C17" s="77">
        <f>C14-1</f>
        <v>1.367</v>
      </c>
      <c r="D17" s="77" t="str">
        <f t="shared" si="0"/>
        <v>1.7x</v>
      </c>
      <c r="E17" s="60" t="s">
        <v>112</v>
      </c>
      <c r="F17" s="40">
        <v>3.61E-2</v>
      </c>
      <c r="H17" s="108"/>
    </row>
    <row r="18" spans="3:8">
      <c r="C18" s="77">
        <f>C15-1</f>
        <v>1</v>
      </c>
      <c r="D18" s="77">
        <f t="shared" si="0"/>
        <v>1.367</v>
      </c>
      <c r="E18" s="60" t="s">
        <v>113</v>
      </c>
      <c r="F18" s="40">
        <v>5.2400000000000002E-2</v>
      </c>
      <c r="H18" s="108"/>
    </row>
    <row r="19" spans="3:8">
      <c r="C19" s="77" t="s">
        <v>15</v>
      </c>
      <c r="D19" s="77">
        <v>1</v>
      </c>
      <c r="E19" s="60" t="s">
        <v>119</v>
      </c>
      <c r="F19" s="40">
        <f>AVERAGE(11.78,8.51)/100</f>
        <v>0.10145</v>
      </c>
      <c r="H19" s="108"/>
    </row>
    <row r="20" spans="3:8">
      <c r="E20" s="60"/>
    </row>
    <row r="21" spans="3:8">
      <c r="E21" s="60"/>
    </row>
    <row r="22" spans="3:8">
      <c r="E22" s="60"/>
    </row>
    <row r="1048576" spans="3:4">
      <c r="C1048576" s="77"/>
      <c r="D1048576" s="77"/>
    </row>
  </sheetData>
  <sortState xmlns:xlrd2="http://schemas.microsoft.com/office/spreadsheetml/2017/richdata2" ref="K4:L18">
    <sortCondition descending="1" ref="K4:K18"/>
  </sortState>
  <pageMargins left="0.7" right="0.7" top="0.75" bottom="0.75" header="0.3" footer="0.3"/>
  <pageSetup paperSize="7" orientation="landscape"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F3593-BCBC-476F-B6D6-0A63F88ADA54}">
  <sheetPr codeName="Sheet5"/>
  <dimension ref="C2:N20"/>
  <sheetViews>
    <sheetView zoomScale="83" zoomScaleNormal="100" workbookViewId="0">
      <selection activeCell="I11" sqref="I11"/>
    </sheetView>
  </sheetViews>
  <sheetFormatPr defaultRowHeight="14.4"/>
  <cols>
    <col min="1" max="2" width="2.33203125" customWidth="1"/>
    <col min="3" max="3" width="25.77734375" customWidth="1"/>
    <col min="14" max="14" width="2.33203125" customWidth="1"/>
    <col min="17" max="20" width="10.77734375" customWidth="1"/>
  </cols>
  <sheetData>
    <row r="2" spans="3:14">
      <c r="C2" s="14" t="s">
        <v>131</v>
      </c>
      <c r="D2" s="13"/>
      <c r="E2" s="13"/>
      <c r="F2" s="13"/>
      <c r="G2" s="13"/>
      <c r="H2" s="13"/>
      <c r="I2" s="13"/>
      <c r="J2" s="13"/>
      <c r="K2" s="13"/>
      <c r="L2" s="13"/>
      <c r="M2" s="13"/>
    </row>
    <row r="3" spans="3:14">
      <c r="C3" s="67" t="s">
        <v>107</v>
      </c>
      <c r="D3" s="65">
        <f>'Cost of debt'!C4</f>
        <v>0</v>
      </c>
      <c r="E3" s="66">
        <f t="shared" ref="E3:M3" si="0">D3+0.1</f>
        <v>0.1</v>
      </c>
      <c r="F3" s="66">
        <f t="shared" si="0"/>
        <v>0.2</v>
      </c>
      <c r="G3" s="66">
        <f t="shared" si="0"/>
        <v>0.30000000000000004</v>
      </c>
      <c r="H3" s="66">
        <f t="shared" si="0"/>
        <v>0.4</v>
      </c>
      <c r="I3" s="66">
        <f t="shared" si="0"/>
        <v>0.5</v>
      </c>
      <c r="J3" s="66">
        <f t="shared" si="0"/>
        <v>0.6</v>
      </c>
      <c r="K3" s="66">
        <f t="shared" si="0"/>
        <v>0.7</v>
      </c>
      <c r="L3" s="66">
        <f t="shared" si="0"/>
        <v>0.79999999999999993</v>
      </c>
      <c r="M3" s="66">
        <f t="shared" si="0"/>
        <v>0.89999999999999991</v>
      </c>
    </row>
    <row r="4" spans="3:14">
      <c r="C4" s="67" t="s">
        <v>73</v>
      </c>
      <c r="D4" s="59">
        <f t="shared" ref="D4:M4" si="1">D3/(1-D3)</f>
        <v>0</v>
      </c>
      <c r="E4" s="59">
        <f t="shared" si="1"/>
        <v>0.11111111111111112</v>
      </c>
      <c r="F4" s="59">
        <f t="shared" si="1"/>
        <v>0.25</v>
      </c>
      <c r="G4" s="59">
        <f t="shared" si="1"/>
        <v>0.42857142857142866</v>
      </c>
      <c r="H4" s="59">
        <f t="shared" si="1"/>
        <v>0.66666666666666674</v>
      </c>
      <c r="I4" s="59">
        <f t="shared" si="1"/>
        <v>1</v>
      </c>
      <c r="J4" s="59">
        <f t="shared" si="1"/>
        <v>1.4999999999999998</v>
      </c>
      <c r="K4" s="59">
        <f t="shared" si="1"/>
        <v>2.333333333333333</v>
      </c>
      <c r="L4" s="59">
        <f t="shared" si="1"/>
        <v>3.9999999999999982</v>
      </c>
      <c r="M4" s="59">
        <f t="shared" si="1"/>
        <v>8.9999999999999911</v>
      </c>
    </row>
    <row r="5" spans="3:14">
      <c r="C5" s="67" t="s">
        <v>1</v>
      </c>
      <c r="D5" s="63">
        <f>D3*'EV calculation'!$E$60</f>
        <v>0</v>
      </c>
      <c r="E5" s="63">
        <f>E3*'EV calculation'!$E$60</f>
        <v>1225.3378295755263</v>
      </c>
      <c r="F5" s="63">
        <f>F3*'EV calculation'!$E$60</f>
        <v>2450.6756591510525</v>
      </c>
      <c r="G5" s="63">
        <f>G3*'EV calculation'!$E$60</f>
        <v>3676.013488726579</v>
      </c>
      <c r="H5" s="63">
        <f>H3*'EV calculation'!$E$60</f>
        <v>4901.351318302105</v>
      </c>
      <c r="I5" s="63">
        <f>I3*'EV calculation'!$E$60</f>
        <v>6126.6891478776306</v>
      </c>
      <c r="J5" s="63">
        <f>J3*'EV calculation'!$E$60</f>
        <v>7352.0269774531562</v>
      </c>
      <c r="K5" s="63">
        <f>K3*'EV calculation'!$E$60</f>
        <v>8577.3648070286818</v>
      </c>
      <c r="L5" s="63">
        <f>L3*'EV calculation'!$E$60</f>
        <v>9802.7026366042082</v>
      </c>
      <c r="M5" s="63">
        <f>M3*'EV calculation'!$E$60</f>
        <v>11028.040466179735</v>
      </c>
    </row>
    <row r="6" spans="3:14">
      <c r="C6" s="67" t="s">
        <v>141</v>
      </c>
      <c r="D6" s="6">
        <f>'Cost of Capital Schedule'!$E$16-WACC!$E$5+Sheet4!D7</f>
        <v>453</v>
      </c>
      <c r="E6" s="6">
        <f>'Cost of Capital Schedule'!$E$16+Sheet4!E7</f>
        <v>843.60591042230385</v>
      </c>
      <c r="F6" s="6">
        <f>'Cost of Capital Schedule'!$E$16+Sheet4!F7</f>
        <v>904.90756406967387</v>
      </c>
      <c r="G6" s="6">
        <f>'Cost of Capital Schedule'!$E$16+Sheet4!G7</f>
        <v>978.46259601279917</v>
      </c>
      <c r="H6" s="6">
        <f>'Cost of Capital Schedule'!$E$16+Sheet4!H7</f>
        <v>1062.5555332902738</v>
      </c>
      <c r="I6" s="6">
        <f>'Cost of Capital Schedule'!$E$16+Sheet4!I7</f>
        <v>1140.2154469624772</v>
      </c>
      <c r="J6" s="6">
        <f>'Cost of Capital Schedule'!$E$16+Sheet4!J7</f>
        <v>1221.1837727745342</v>
      </c>
      <c r="K6" s="6">
        <f>'Cost of Capital Schedule'!$E$16+Sheet4!K7</f>
        <v>1334.1946828299915</v>
      </c>
      <c r="L6" s="6">
        <f>'Cost of Capital Schedule'!$E$16+Sheet4!L7</f>
        <v>1458.2336333516284</v>
      </c>
      <c r="M6" s="6">
        <f>'Cost of Capital Schedule'!$E$16+Sheet4!M7</f>
        <v>1542.387837520582</v>
      </c>
    </row>
    <row r="7" spans="3:14">
      <c r="C7" s="67" t="s">
        <v>0</v>
      </c>
      <c r="D7" s="6">
        <f t="shared" ref="D7:M7" si="2">D5*D10</f>
        <v>0</v>
      </c>
      <c r="E7" s="6">
        <f t="shared" si="2"/>
        <v>58.60591042230385</v>
      </c>
      <c r="F7" s="6">
        <f t="shared" si="2"/>
        <v>119.90756406967385</v>
      </c>
      <c r="G7" s="6">
        <f t="shared" si="2"/>
        <v>193.46259601279914</v>
      </c>
      <c r="H7" s="6">
        <f t="shared" si="2"/>
        <v>277.5555332902739</v>
      </c>
      <c r="I7" s="6">
        <f t="shared" si="2"/>
        <v>355.21544696247719</v>
      </c>
      <c r="J7" s="6">
        <f t="shared" si="2"/>
        <v>436.1837727745343</v>
      </c>
      <c r="K7" s="6">
        <f>K5*K10</f>
        <v>549.19468282999151</v>
      </c>
      <c r="L7" s="6">
        <f t="shared" si="2"/>
        <v>673.23363335162844</v>
      </c>
      <c r="M7" s="6">
        <f t="shared" si="2"/>
        <v>757.38783752058202</v>
      </c>
    </row>
    <row r="8" spans="3:14">
      <c r="C8" s="81" t="s">
        <v>147</v>
      </c>
      <c r="D8" s="78" t="s">
        <v>15</v>
      </c>
      <c r="E8" s="78">
        <f t="shared" ref="E8:M8" si="3">E6/E7</f>
        <v>14.394553456186049</v>
      </c>
      <c r="F8" s="78">
        <f t="shared" si="3"/>
        <v>7.5467095932652386</v>
      </c>
      <c r="G8" s="78">
        <f t="shared" si="3"/>
        <v>5.0576318946328307</v>
      </c>
      <c r="H8" s="78">
        <f t="shared" si="3"/>
        <v>3.8282628369690221</v>
      </c>
      <c r="I8" s="78">
        <f t="shared" si="3"/>
        <v>3.2099264170877193</v>
      </c>
      <c r="J8" s="78">
        <f t="shared" si="3"/>
        <v>2.7997001470427709</v>
      </c>
      <c r="K8" s="78">
        <f t="shared" si="3"/>
        <v>2.4293656230517517</v>
      </c>
      <c r="L8" s="78">
        <f t="shared" si="3"/>
        <v>2.1660142350463887</v>
      </c>
      <c r="M8" s="78">
        <f t="shared" si="3"/>
        <v>2.0364570978190124</v>
      </c>
    </row>
    <row r="9" spans="3:14">
      <c r="C9" s="67" t="s">
        <v>130</v>
      </c>
      <c r="D9" s="82" t="str">
        <f>IF(D8&gt;8,'Default spread'!$E$5,IF(D8&gt;6,'Default spread'!$E$6,IF(Sheet4!D8&gt;5.5,'Default spread'!$E$7,IF(Sheet4!D8&gt;5,'Default spread'!$E$8,IF(Sheet4!D8&gt;4.5,'Default spread'!$E$9,IF(Sheet4!D8&gt;4,'Default spread'!$E$10,IF(Sheet4!D8&gt;3.5,'Default spread'!$E$11,IF(Sheet4!D8&gt;3,'Default spread'!$E$12,IF(Sheet4!D8&gt;2.7,'Default spread'!$E$13,IF(Sheet4!D8&gt;2.4,'Default spread'!$E$14,IF(Sheet4!D8&gt;2,'Default spread'!$E$15,IF(Sheet4!D8&gt;1.7,'Default spread'!$E$16,IF(Sheet4!D8&gt;1.4,'Default spread'!$E$17,IF(Sheet4!D8&gt;1,'Default spread'!$E$18))))))))))))))</f>
        <v>Aaa</v>
      </c>
      <c r="E9" s="82" t="str">
        <f>IF(E8&gt;8,'Default spread'!$E$5,IF(E8&gt;6,'Default spread'!$E$6,IF(Sheet4!E8&gt;5.5,'Default spread'!$E$7,IF(Sheet4!E8&gt;5,'Default spread'!$E$8,IF(Sheet4!E8&gt;4.5,'Default spread'!$E$9,IF(Sheet4!E8&gt;4,'Default spread'!$E$10,IF(Sheet4!E8&gt;3.5,'Default spread'!$E$11,IF(Sheet4!E8&gt;3,'Default spread'!$E$12,IF(Sheet4!E8&gt;2.7,'Default spread'!$E$13,IF(Sheet4!E8&gt;2.4,'Default spread'!$E$14,IF(Sheet4!E8&gt;2,'Default spread'!$E$15,IF(Sheet4!E8&gt;1.7,'Default spread'!$E$16,IF(Sheet4!E8&gt;1.4,'Default spread'!$E$17,IF(Sheet4!E8&gt;1,'Default spread'!$E$18))))))))))))))</f>
        <v>Aaa</v>
      </c>
      <c r="F9" s="82" t="str">
        <f>IF(F8&gt;8,'Default spread'!$E$5,IF(F8&gt;6,'Default spread'!$E$6,IF(Sheet4!F8&gt;5.5,'Default spread'!$E$7,IF(Sheet4!F8&gt;5,'Default spread'!$E$8,IF(Sheet4!F8&gt;4.5,'Default spread'!$E$9,IF(Sheet4!F8&gt;4,'Default spread'!$E$10,IF(Sheet4!F8&gt;3.5,'Default spread'!$E$11,IF(Sheet4!F8&gt;3,'Default spread'!$E$12,IF(Sheet4!F8&gt;2.7,'Default spread'!$E$13,IF(Sheet4!F8&gt;2.4,'Default spread'!$E$14,IF(Sheet4!F8&gt;2,'Default spread'!$E$15,IF(Sheet4!F8&gt;1.7,'Default spread'!$E$16,IF(Sheet4!F8&gt;1.4,'Default spread'!$E$17,IF(Sheet4!F8&gt;1,'Default spread'!$E$18))))))))))))))</f>
        <v>Aa2</v>
      </c>
      <c r="G9" s="82" t="str">
        <f>IF(G8&gt;8,'Default spread'!$E$5,IF(G8&gt;6,'Default spread'!$E$6,IF(Sheet4!G8&gt;5.5,'Default spread'!$E$7,IF(Sheet4!G8&gt;5,'Default spread'!$E$8,IF(Sheet4!G8&gt;4.5,'Default spread'!$E$9,IF(Sheet4!G8&gt;4,'Default spread'!$E$10,IF(Sheet4!G8&gt;3.5,'Default spread'!$E$11,IF(Sheet4!G8&gt;3,'Default spread'!$E$12,IF(Sheet4!G8&gt;2.7,'Default spread'!$E$13,IF(Sheet4!G8&gt;2.4,'Default spread'!$E$14,IF(Sheet4!G8&gt;2,'Default spread'!$E$15,IF(Sheet4!G8&gt;1.7,'Default spread'!$E$16,IF(Sheet4!G8&gt;1.4,'Default spread'!$E$17,IF(Sheet4!G8&gt;1,'Default spread'!$E$18))))))))))))))</f>
        <v>A2</v>
      </c>
      <c r="H9" s="82" t="str">
        <f>IF(H8&gt;8,'Default spread'!$E$5,IF(H8&gt;6,'Default spread'!$E$6,IF(Sheet4!H8&gt;5.5,'Default spread'!$E$7,IF(Sheet4!H8&gt;5,'Default spread'!$E$8,IF(Sheet4!H8&gt;4.5,'Default spread'!$E$9,IF(Sheet4!H8&gt;4,'Default spread'!$E$10,IF(Sheet4!H8&gt;3.5,'Default spread'!$E$11,IF(Sheet4!H8&gt;3,'Default spread'!$E$12,IF(Sheet4!H8&gt;2.7,'Default spread'!$E$13,IF(Sheet4!H8&gt;2.4,'Default spread'!$E$14,IF(Sheet4!H8&gt;2,'Default spread'!$E$15,IF(Sheet4!H8&gt;1.7,'Default spread'!$E$16,IF(Sheet4!H8&gt;1.4,'Default spread'!$E$17,IF(Sheet4!H8&gt;1,'Default spread'!$E$18))))))))))))))</f>
        <v>Baa2</v>
      </c>
      <c r="I9" s="82" t="str">
        <f>IF(I8&gt;8,'Default spread'!$E$5,IF(I8&gt;6,'Default spread'!$E$6,IF(Sheet4!I8&gt;5.5,'Default spread'!$E$7,IF(Sheet4!I8&gt;5,'Default spread'!$E$8,IF(Sheet4!I8&gt;4.5,'Default spread'!$E$9,IF(Sheet4!I8&gt;4,'Default spread'!$E$10,IF(Sheet4!I8&gt;3.5,'Default spread'!$E$11,IF(Sheet4!I8&gt;3,'Default spread'!$E$12,IF(Sheet4!I8&gt;2.7,'Default spread'!$E$13,IF(Sheet4!I8&gt;2.4,'Default spread'!$E$14,IF(Sheet4!I8&gt;2,'Default spread'!$E$15,IF(Sheet4!I8&gt;1.7,'Default spread'!$E$16,IF(Sheet4!I8&gt;1.4,'Default spread'!$E$17,IF(Sheet4!I8&gt;1,'Default spread'!$E$18))))))))))))))</f>
        <v>Baa3</v>
      </c>
      <c r="J9" s="82" t="str">
        <f>IF(J8&gt;8,'Default spread'!$E$5,IF(J8&gt;6,'Default spread'!$E$6,IF(Sheet4!J8&gt;5.5,'Default spread'!$E$7,IF(Sheet4!J8&gt;5,'Default spread'!$E$8,IF(Sheet4!J8&gt;4.5,'Default spread'!$E$9,IF(Sheet4!J8&gt;4,'Default spread'!$E$10,IF(Sheet4!J8&gt;3.5,'Default spread'!$E$11,IF(Sheet4!J8&gt;3,'Default spread'!$E$12,IF(Sheet4!J8&gt;2.7,'Default spread'!$E$13,IF(Sheet4!J8&gt;2.4,'Default spread'!$E$14,IF(Sheet4!J8&gt;2,'Default spread'!$E$15,IF(Sheet4!J8&gt;1.7,'Default spread'!$E$16,IF(Sheet4!J8&gt;1.4,'Default spread'!$E$17,IF(Sheet4!J8&gt;1,'Default spread'!$E$18))))))))))))))</f>
        <v>Ba1</v>
      </c>
      <c r="K9" s="82" t="str">
        <f>IF(K8&gt;8,'Default spread'!$E$5,IF(K8&gt;6,'Default spread'!$E$6,IF(Sheet4!K8&gt;5.5,'Default spread'!$E$7,IF(Sheet4!K8&gt;5,'Default spread'!$E$8,IF(Sheet4!K8&gt;4.5,'Default spread'!$E$9,IF(Sheet4!K8&gt;4,'Default spread'!$E$10,IF(Sheet4!K8&gt;3.5,'Default spread'!$E$11,IF(Sheet4!K8&gt;3,'Default spread'!$E$12,IF(Sheet4!K8&gt;2.7,'Default spread'!$E$13,IF(Sheet4!K8&gt;2.4,'Default spread'!$E$14,IF(Sheet4!K8&gt;2,'Default spread'!$E$15,IF(Sheet4!K8&gt;1.7,'Default spread'!$E$16,IF(Sheet4!K8&gt;1.4,'Default spread'!$E$17,IF(Sheet4!K8&gt;1,'Default spread'!$E$18))))))))))))))</f>
        <v>Ba2</v>
      </c>
      <c r="L9" s="82" t="str">
        <f>IF(L8&gt;8,'Default spread'!$E$5,IF(L8&gt;6,'Default spread'!$E$6,IF(Sheet4!L8&gt;5.5,'Default spread'!$E$7,IF(Sheet4!L8&gt;5,'Default spread'!$E$8,IF(Sheet4!L8&gt;4.5,'Default spread'!$E$9,IF(Sheet4!L8&gt;4,'Default spread'!$E$10,IF(Sheet4!L8&gt;3.5,'Default spread'!$E$11,IF(Sheet4!L8&gt;3,'Default spread'!$E$12,IF(Sheet4!L8&gt;2.7,'Default spread'!$E$13,IF(Sheet4!L8&gt;2.4,'Default spread'!$E$14,IF(Sheet4!L8&gt;2,'Default spread'!$E$15,IF(Sheet4!L8&gt;1.7,'Default spread'!$E$16,IF(Sheet4!L8&gt;1.4,'Default spread'!$E$17,IF(Sheet4!L8&gt;1,'Default spread'!$E$18))))))))))))))</f>
        <v>Ba3</v>
      </c>
      <c r="M9" s="82" t="str">
        <f>IF(M8&gt;8,'Default spread'!$E$5,IF(M8&gt;6,'Default spread'!$E$6,IF(Sheet4!M8&gt;5.5,'Default spread'!$E$7,IF(Sheet4!M8&gt;5,'Default spread'!$E$8,IF(Sheet4!M8&gt;4.5,'Default spread'!$E$9,IF(Sheet4!M8&gt;4,'Default spread'!$E$10,IF(Sheet4!M8&gt;3.5,'Default spread'!$E$11,IF(Sheet4!M8&gt;3,'Default spread'!$E$12,IF(Sheet4!M8&gt;2.7,'Default spread'!$E$13,IF(Sheet4!M8&gt;2.4,'Default spread'!$E$14,IF(Sheet4!M8&gt;2,'Default spread'!$E$15,IF(Sheet4!M8&gt;1.7,'Default spread'!$E$16,IF(Sheet4!M8&gt;1.4,'Default spread'!$E$17,IF(Sheet4!M8&gt;1,'Default spread'!$E$18))))))))))))))</f>
        <v>Ba3</v>
      </c>
    </row>
    <row r="10" spans="3:14">
      <c r="C10" s="67" t="s">
        <v>67</v>
      </c>
      <c r="D10" s="40">
        <f>'Cost of Capital Schedule'!$E$13+'Default spread'!$F$5</f>
        <v>4.7600000000000003E-2</v>
      </c>
      <c r="E10" s="40">
        <v>4.7828369456777271E-2</v>
      </c>
      <c r="F10" s="40">
        <v>4.8928369456777268E-2</v>
      </c>
      <c r="G10" s="40">
        <v>5.262836945677727E-2</v>
      </c>
      <c r="H10" s="40">
        <v>5.6628369456777267E-2</v>
      </c>
      <c r="I10" s="40">
        <v>5.7978369456777271E-2</v>
      </c>
      <c r="J10" s="40">
        <v>5.9328369456777268E-2</v>
      </c>
      <c r="K10" s="40">
        <v>6.402836945677727E-2</v>
      </c>
      <c r="L10" s="40">
        <v>6.8678369456777272E-2</v>
      </c>
      <c r="M10" s="40">
        <v>6.8678369456777272E-2</v>
      </c>
      <c r="N10" s="40"/>
    </row>
    <row r="11" spans="3:14">
      <c r="E11" s="38"/>
      <c r="F11" s="38"/>
      <c r="G11" s="38"/>
      <c r="H11" s="38"/>
      <c r="I11" s="38"/>
      <c r="J11" s="38"/>
      <c r="K11" s="38"/>
      <c r="L11" s="38"/>
      <c r="M11" s="38"/>
    </row>
    <row r="12" spans="3:14">
      <c r="C12" s="67"/>
      <c r="D12" s="40"/>
      <c r="E12" s="40"/>
      <c r="F12" s="40"/>
      <c r="G12" s="40"/>
      <c r="H12" s="40"/>
      <c r="I12" s="40"/>
      <c r="J12" s="40"/>
      <c r="K12" s="40"/>
      <c r="L12" s="40"/>
      <c r="M12" s="40"/>
    </row>
    <row r="13" spans="3:14">
      <c r="C13" s="60"/>
      <c r="D13" s="29"/>
      <c r="E13" s="40"/>
      <c r="F13" s="40"/>
      <c r="G13" s="40"/>
      <c r="H13" s="40"/>
      <c r="I13" s="40"/>
      <c r="J13" s="40"/>
      <c r="K13" s="40"/>
      <c r="L13" s="40"/>
      <c r="M13" s="40"/>
    </row>
    <row r="14" spans="3:14">
      <c r="C14" s="67"/>
      <c r="D14" s="29"/>
      <c r="F14" s="29"/>
      <c r="G14" s="29"/>
      <c r="H14" s="29"/>
      <c r="I14" s="29"/>
      <c r="J14" s="29"/>
      <c r="K14" s="29"/>
      <c r="L14" s="29"/>
      <c r="M14" s="29"/>
    </row>
    <row r="20" spans="8:10">
      <c r="H20" s="29"/>
      <c r="I20" s="29"/>
      <c r="J20" s="29"/>
    </row>
  </sheetData>
  <pageMargins left="0.7" right="0.7" top="0.75" bottom="0.75" header="0.3" footer="0.3"/>
  <pageSetup paperSize="7" orientation="landscape"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0F89F-C469-4B55-ADCE-1FCCC6FD17E8}">
  <sheetPr codeName="Sheet6"/>
  <dimension ref="C2:M25"/>
  <sheetViews>
    <sheetView zoomScale="98" workbookViewId="0">
      <selection activeCell="E4" sqref="E4"/>
    </sheetView>
  </sheetViews>
  <sheetFormatPr defaultRowHeight="14.4"/>
  <cols>
    <col min="1" max="2" width="2.33203125" customWidth="1"/>
    <col min="3" max="3" width="30.77734375" customWidth="1"/>
    <col min="5" max="5" width="12.77734375" customWidth="1"/>
    <col min="6" max="6" width="2.33203125" customWidth="1"/>
    <col min="10" max="10" width="2.33203125" customWidth="1"/>
  </cols>
  <sheetData>
    <row r="2" spans="3:13">
      <c r="C2" s="14" t="s">
        <v>157</v>
      </c>
      <c r="D2" s="13"/>
      <c r="E2" s="13"/>
    </row>
    <row r="3" spans="3:13">
      <c r="C3" s="20" t="s">
        <v>63</v>
      </c>
    </row>
    <row r="4" spans="3:13">
      <c r="C4" s="36" t="s">
        <v>148</v>
      </c>
      <c r="E4" s="49">
        <f>'Cost of Capital Schedule'!E17</f>
        <v>298.3</v>
      </c>
      <c r="M4" s="60"/>
    </row>
    <row r="5" spans="3:13">
      <c r="C5" s="36" t="s">
        <v>0</v>
      </c>
      <c r="E5" s="100">
        <v>332</v>
      </c>
      <c r="G5" s="1"/>
      <c r="M5" s="60"/>
    </row>
    <row r="6" spans="3:13">
      <c r="C6" s="36" t="s">
        <v>142</v>
      </c>
      <c r="E6" s="5">
        <f>'Cost of Capital Schedule'!E16+E5</f>
        <v>1117</v>
      </c>
      <c r="H6" s="38"/>
      <c r="M6" s="60"/>
    </row>
    <row r="7" spans="3:13">
      <c r="C7" s="36" t="s">
        <v>137</v>
      </c>
      <c r="E7" s="79">
        <f>E6/E5</f>
        <v>3.3644578313253013</v>
      </c>
    </row>
    <row r="8" spans="3:13">
      <c r="C8" s="36" t="s">
        <v>64</v>
      </c>
      <c r="E8" s="27" t="s">
        <v>18</v>
      </c>
    </row>
    <row r="9" spans="3:13">
      <c r="C9" s="36" t="s">
        <v>101</v>
      </c>
      <c r="E9" s="27" t="s">
        <v>139</v>
      </c>
    </row>
    <row r="10" spans="3:13">
      <c r="C10" s="36" t="s">
        <v>65</v>
      </c>
      <c r="E10" s="101">
        <f>'Default spread'!F14</f>
        <v>2.2100000000000002E-2</v>
      </c>
    </row>
    <row r="11" spans="3:13">
      <c r="C11" s="36" t="s">
        <v>66</v>
      </c>
      <c r="E11" s="35">
        <f>'Cost of Capital Schedule'!E13</f>
        <v>4.1700000000000001E-2</v>
      </c>
      <c r="G11" s="38"/>
    </row>
    <row r="12" spans="3:13">
      <c r="C12" s="36" t="s">
        <v>129</v>
      </c>
      <c r="E12" s="100">
        <v>0</v>
      </c>
    </row>
    <row r="13" spans="3:13">
      <c r="C13" s="18" t="s">
        <v>67</v>
      </c>
      <c r="E13" s="107">
        <f>SUM(E10:E12)</f>
        <v>6.3799999999999996E-2</v>
      </c>
    </row>
    <row r="14" spans="3:13">
      <c r="C14" s="19" t="s">
        <v>68</v>
      </c>
      <c r="E14" s="41">
        <f>E13*(1-'Cost of Capital Schedule'!E10)</f>
        <v>5.0401999999999995E-2</v>
      </c>
    </row>
    <row r="16" spans="3:13">
      <c r="C16" s="20" t="s">
        <v>70</v>
      </c>
    </row>
    <row r="17" spans="3:5">
      <c r="C17" s="36" t="s">
        <v>66</v>
      </c>
      <c r="E17" s="38">
        <f>'Cost of Capital Schedule'!E13</f>
        <v>4.1700000000000001E-2</v>
      </c>
    </row>
    <row r="18" spans="3:5">
      <c r="C18" s="36" t="s">
        <v>98</v>
      </c>
      <c r="E18" s="10">
        <f>'EV calculation'!E54</f>
        <v>1.2759861241659263</v>
      </c>
    </row>
    <row r="19" spans="3:5">
      <c r="C19" s="36" t="s">
        <v>71</v>
      </c>
      <c r="E19" s="38">
        <f>'Cost of Capital Schedule'!E14</f>
        <v>5.5E-2</v>
      </c>
    </row>
    <row r="20" spans="3:5">
      <c r="C20" s="19" t="s">
        <v>72</v>
      </c>
      <c r="E20" s="42">
        <f>E17+E18*E19</f>
        <v>0.11187923682912594</v>
      </c>
    </row>
    <row r="22" spans="3:5">
      <c r="C22" s="43" t="s">
        <v>62</v>
      </c>
    </row>
    <row r="23" spans="3:5">
      <c r="C23" s="36" t="s">
        <v>75</v>
      </c>
      <c r="E23" s="25">
        <f>'EV calculation'!E50</f>
        <v>7573.6826010702625</v>
      </c>
    </row>
    <row r="24" spans="3:5">
      <c r="C24" s="36" t="s">
        <v>76</v>
      </c>
      <c r="E24" s="25">
        <f>'EV calculation'!G9</f>
        <v>4679.6956946849996</v>
      </c>
    </row>
    <row r="25" spans="3:5">
      <c r="C25" s="29" t="s">
        <v>74</v>
      </c>
      <c r="E25" s="42">
        <f>(E14*E23/(E23+E24))+(E20*E24/(E23+E24))</f>
        <v>7.3880811603331639E-2</v>
      </c>
    </row>
  </sheetData>
  <pageMargins left="0.7" right="0.7" top="0.75" bottom="0.75" header="0.3" footer="0.3"/>
  <pageSetup paperSize="7"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182DE-4136-4EA6-BFE2-65B702D064E2}">
  <sheetPr codeName="Sheet9"/>
  <dimension ref="C2:L62"/>
  <sheetViews>
    <sheetView zoomScale="82" workbookViewId="0">
      <selection activeCell="G35" sqref="G35"/>
    </sheetView>
  </sheetViews>
  <sheetFormatPr defaultRowHeight="14.4"/>
  <cols>
    <col min="1" max="2" width="2.33203125" customWidth="1"/>
    <col min="3" max="3" width="54.44140625" customWidth="1"/>
    <col min="5" max="5" width="14.77734375" customWidth="1"/>
    <col min="6" max="8" width="12.6640625" customWidth="1"/>
    <col min="9" max="9" width="12.21875" customWidth="1"/>
    <col min="10" max="10" width="15.77734375" customWidth="1"/>
    <col min="11" max="11" width="2.33203125" customWidth="1"/>
    <col min="12" max="12" width="10.109375" bestFit="1" customWidth="1"/>
  </cols>
  <sheetData>
    <row r="2" spans="3:12">
      <c r="C2" s="14" t="s">
        <v>49</v>
      </c>
      <c r="D2" s="13"/>
      <c r="E2" s="13"/>
      <c r="F2" s="13"/>
      <c r="G2" s="13"/>
      <c r="H2" s="13"/>
      <c r="I2" s="13"/>
      <c r="J2" s="13"/>
    </row>
    <row r="3" spans="3:12">
      <c r="C3" s="15" t="s">
        <v>22</v>
      </c>
    </row>
    <row r="4" spans="3:12">
      <c r="E4" s="23" t="s">
        <v>94</v>
      </c>
      <c r="F4" s="23" t="s">
        <v>33</v>
      </c>
      <c r="G4" s="23" t="s">
        <v>50</v>
      </c>
      <c r="H4" s="23"/>
    </row>
    <row r="5" spans="3:12">
      <c r="C5" s="26" t="s">
        <v>10</v>
      </c>
      <c r="E5" s="10">
        <f>'Final share count'!E12</f>
        <v>34.613852999999999</v>
      </c>
      <c r="F5" s="25">
        <f>'Final share count'!E7</f>
        <v>21.48</v>
      </c>
      <c r="G5" s="25">
        <f>F5*E5</f>
        <v>743.50556243999995</v>
      </c>
      <c r="H5" s="25"/>
    </row>
    <row r="6" spans="3:12">
      <c r="C6" s="26" t="s">
        <v>12</v>
      </c>
      <c r="E6" s="10">
        <f>'Final share count'!E13</f>
        <v>42.738750000000003</v>
      </c>
      <c r="F6" s="25">
        <f>(AVERAGE($F$5,$F$7))*1.05</f>
        <v>23.577749999999998</v>
      </c>
      <c r="G6" s="25">
        <f t="shared" ref="G6:G8" si="0">F6*E6</f>
        <v>1007.6835628125</v>
      </c>
      <c r="H6" s="25"/>
      <c r="J6" s="25"/>
      <c r="L6" s="25"/>
    </row>
    <row r="7" spans="3:12">
      <c r="C7" s="26" t="s">
        <v>13</v>
      </c>
      <c r="E7" s="10">
        <f>'Final share count'!E14</f>
        <v>82.385884000000004</v>
      </c>
      <c r="F7" s="25">
        <f>Options!F4</f>
        <v>23.43</v>
      </c>
      <c r="G7" s="25">
        <f t="shared" si="0"/>
        <v>1930.30126212</v>
      </c>
      <c r="H7" s="25"/>
      <c r="L7" s="32"/>
    </row>
    <row r="8" spans="3:12">
      <c r="C8" s="26" t="s">
        <v>14</v>
      </c>
      <c r="E8" s="10">
        <f>'Final share count'!E15</f>
        <v>42.336750000000002</v>
      </c>
      <c r="F8" s="25">
        <f>(AVERAGE($F$5,$F$7))*1.05</f>
        <v>23.577749999999998</v>
      </c>
      <c r="G8" s="24">
        <f t="shared" si="0"/>
        <v>998.20530731249994</v>
      </c>
      <c r="H8" s="25"/>
      <c r="L8" s="25"/>
    </row>
    <row r="9" spans="3:12">
      <c r="C9" s="19" t="s">
        <v>51</v>
      </c>
      <c r="D9" s="10"/>
      <c r="E9" s="10"/>
      <c r="G9" s="22">
        <f>SUM(G5:G8)</f>
        <v>4679.6956946849996</v>
      </c>
      <c r="H9" s="22"/>
    </row>
    <row r="11" spans="3:12">
      <c r="C11" s="14" t="s">
        <v>52</v>
      </c>
      <c r="D11" s="13"/>
      <c r="E11" s="13"/>
      <c r="F11" s="13"/>
      <c r="G11" s="13"/>
      <c r="H11" s="13"/>
      <c r="I11" s="13"/>
      <c r="J11" s="13"/>
    </row>
    <row r="12" spans="3:12">
      <c r="C12" s="20" t="s">
        <v>86</v>
      </c>
      <c r="E12" s="23" t="s">
        <v>59</v>
      </c>
      <c r="F12" s="53" t="s">
        <v>56</v>
      </c>
      <c r="G12" s="23" t="s">
        <v>57</v>
      </c>
      <c r="H12" s="53" t="s">
        <v>60</v>
      </c>
      <c r="I12" s="23" t="s">
        <v>58</v>
      </c>
      <c r="J12" s="53" t="s">
        <v>77</v>
      </c>
    </row>
    <row r="13" spans="3:12">
      <c r="C13" s="36" t="s">
        <v>53</v>
      </c>
      <c r="E13">
        <v>4</v>
      </c>
      <c r="F13" s="91">
        <v>850</v>
      </c>
      <c r="G13" s="90">
        <v>4.7500000000000001E-2</v>
      </c>
      <c r="H13" s="52">
        <f>G13*F13</f>
        <v>40.375</v>
      </c>
      <c r="I13" s="46">
        <f>F13/$F$16</f>
        <v>0.4</v>
      </c>
      <c r="J13" s="37">
        <f>I13*E13</f>
        <v>1.6</v>
      </c>
    </row>
    <row r="14" spans="3:12">
      <c r="C14" s="36" t="s">
        <v>54</v>
      </c>
      <c r="E14">
        <v>7</v>
      </c>
      <c r="F14" s="91">
        <v>925</v>
      </c>
      <c r="G14" s="90">
        <v>3.7499999999999999E-2</v>
      </c>
      <c r="H14" s="52">
        <f t="shared" ref="H14:H15" si="1">G14*F14</f>
        <v>34.6875</v>
      </c>
      <c r="I14" s="46">
        <f>F14/$F$16</f>
        <v>0.43529411764705883</v>
      </c>
      <c r="J14" s="37">
        <f t="shared" ref="J14:J15" si="2">I14*E14</f>
        <v>3.0470588235294116</v>
      </c>
    </row>
    <row r="15" spans="3:12">
      <c r="C15" s="36" t="s">
        <v>55</v>
      </c>
      <c r="E15">
        <v>8</v>
      </c>
      <c r="F15" s="92">
        <v>350</v>
      </c>
      <c r="G15" s="90">
        <v>3.7499999999999999E-2</v>
      </c>
      <c r="H15" s="52">
        <f t="shared" si="1"/>
        <v>13.125</v>
      </c>
      <c r="I15" s="46">
        <f>F15/$F$16</f>
        <v>0.16470588235294117</v>
      </c>
      <c r="J15" s="45">
        <f t="shared" si="2"/>
        <v>1.3176470588235294</v>
      </c>
    </row>
    <row r="16" spans="3:12">
      <c r="C16" s="19" t="s">
        <v>61</v>
      </c>
      <c r="F16" s="4">
        <f>SUM(F13:F15)</f>
        <v>2125</v>
      </c>
      <c r="H16" s="50">
        <f>SUM(H13:H15)</f>
        <v>88.1875</v>
      </c>
      <c r="J16" s="44">
        <f>SUM(J13:J15)</f>
        <v>5.9647058823529404</v>
      </c>
    </row>
    <row r="17" spans="3:12">
      <c r="C17" s="19"/>
      <c r="F17" s="4"/>
      <c r="J17" s="44"/>
    </row>
    <row r="18" spans="3:12">
      <c r="C18" s="43" t="s">
        <v>92</v>
      </c>
      <c r="E18" s="23" t="s">
        <v>59</v>
      </c>
      <c r="F18" s="23" t="s">
        <v>56</v>
      </c>
      <c r="G18" s="23" t="s">
        <v>85</v>
      </c>
      <c r="H18" s="23"/>
      <c r="J18" s="44"/>
    </row>
    <row r="19" spans="3:12">
      <c r="C19" s="47">
        <f>2024</f>
        <v>2024</v>
      </c>
      <c r="E19">
        <v>1</v>
      </c>
      <c r="F19" s="93">
        <v>410</v>
      </c>
      <c r="G19" s="54">
        <f>F19/(1+$E$39)^E19</f>
        <v>376.14678899082566</v>
      </c>
      <c r="H19" s="12"/>
      <c r="J19" s="44"/>
    </row>
    <row r="20" spans="3:12">
      <c r="C20" s="47">
        <f>C19+1</f>
        <v>2025</v>
      </c>
      <c r="E20">
        <v>2</v>
      </c>
      <c r="F20" s="93">
        <v>382</v>
      </c>
      <c r="G20" s="54">
        <f t="shared" ref="G20:G23" si="3">F20/(1+$E$39)^E20</f>
        <v>321.52175742782589</v>
      </c>
      <c r="H20" s="12"/>
      <c r="J20" s="44"/>
    </row>
    <row r="21" spans="3:12">
      <c r="C21" s="47">
        <f t="shared" ref="C21:C22" si="4">C20+1</f>
        <v>2026</v>
      </c>
      <c r="E21">
        <v>3</v>
      </c>
      <c r="F21" s="93">
        <v>361</v>
      </c>
      <c r="G21" s="54">
        <f t="shared" si="3"/>
        <v>278.75823630204417</v>
      </c>
      <c r="H21" s="12"/>
      <c r="J21" s="44"/>
    </row>
    <row r="22" spans="3:12">
      <c r="C22" s="47">
        <f t="shared" si="4"/>
        <v>2027</v>
      </c>
      <c r="E22">
        <v>4</v>
      </c>
      <c r="F22" s="93">
        <v>399</v>
      </c>
      <c r="G22" s="54">
        <f t="shared" si="3"/>
        <v>282.6616592150134</v>
      </c>
      <c r="H22" s="12"/>
      <c r="I22" s="23"/>
      <c r="J22" s="23"/>
    </row>
    <row r="23" spans="3:12">
      <c r="C23" s="47">
        <v>2028</v>
      </c>
      <c r="E23">
        <v>5</v>
      </c>
      <c r="F23" s="93">
        <f>AVERAGE(F19:F22)</f>
        <v>388</v>
      </c>
      <c r="G23" s="54">
        <f t="shared" si="3"/>
        <v>252.17337788375798</v>
      </c>
      <c r="H23" s="12"/>
    </row>
    <row r="24" spans="3:12">
      <c r="C24" s="36" t="s">
        <v>80</v>
      </c>
      <c r="F24" s="94">
        <f>2774-F23</f>
        <v>2386</v>
      </c>
      <c r="G24" s="54">
        <f>(PV(E39,F24/AVERAGE(F19:F23),F23))*-1</f>
        <v>1773.4387721250887</v>
      </c>
      <c r="H24" s="12"/>
      <c r="J24" s="49"/>
      <c r="L24" s="25"/>
    </row>
    <row r="25" spans="3:12">
      <c r="C25" s="29" t="s">
        <v>61</v>
      </c>
      <c r="F25" s="48">
        <f>SUM(F19:F24)</f>
        <v>4326</v>
      </c>
      <c r="G25" s="55">
        <f>SUM(G19:G24)</f>
        <v>3284.7005919445555</v>
      </c>
      <c r="H25" s="51"/>
    </row>
    <row r="27" spans="3:12">
      <c r="C27" s="20" t="s">
        <v>87</v>
      </c>
      <c r="E27" s="23" t="s">
        <v>59</v>
      </c>
      <c r="F27" s="23" t="s">
        <v>85</v>
      </c>
    </row>
    <row r="28" spans="3:12">
      <c r="C28" s="36">
        <v>2024</v>
      </c>
      <c r="E28">
        <v>1</v>
      </c>
      <c r="F28" s="93">
        <v>30</v>
      </c>
    </row>
    <row r="29" spans="3:12">
      <c r="C29" s="36">
        <v>2025</v>
      </c>
      <c r="E29">
        <v>2</v>
      </c>
      <c r="F29" s="93">
        <v>30</v>
      </c>
    </row>
    <row r="30" spans="3:12">
      <c r="C30" s="36">
        <v>2026</v>
      </c>
      <c r="E30">
        <v>3</v>
      </c>
      <c r="F30" s="93">
        <v>31</v>
      </c>
    </row>
    <row r="31" spans="3:12">
      <c r="C31" s="36">
        <v>2027</v>
      </c>
      <c r="E31">
        <v>4</v>
      </c>
      <c r="F31" s="93">
        <v>32</v>
      </c>
    </row>
    <row r="32" spans="3:12">
      <c r="C32" s="36">
        <v>2028</v>
      </c>
      <c r="E32">
        <v>5</v>
      </c>
      <c r="F32" s="93">
        <v>31</v>
      </c>
    </row>
    <row r="33" spans="3:6">
      <c r="C33" s="36" t="s">
        <v>88</v>
      </c>
      <c r="F33" s="93">
        <v>831</v>
      </c>
    </row>
    <row r="34" spans="3:6">
      <c r="C34" t="s">
        <v>89</v>
      </c>
      <c r="F34" s="95">
        <v>-428</v>
      </c>
    </row>
    <row r="35" spans="3:6">
      <c r="C35" s="29" t="s">
        <v>61</v>
      </c>
      <c r="F35" s="29">
        <f>SUM(F28:F34)</f>
        <v>557</v>
      </c>
    </row>
    <row r="37" spans="3:6">
      <c r="C37" s="18" t="s">
        <v>79</v>
      </c>
      <c r="E37" s="1">
        <f>F16</f>
        <v>2125</v>
      </c>
    </row>
    <row r="38" spans="3:6">
      <c r="C38" s="18" t="s">
        <v>67</v>
      </c>
      <c r="E38" s="38">
        <f>WACC!E13</f>
        <v>6.3799999999999996E-2</v>
      </c>
    </row>
    <row r="39" spans="3:6">
      <c r="C39" s="18" t="s">
        <v>135</v>
      </c>
      <c r="E39" s="89">
        <v>0.09</v>
      </c>
    </row>
    <row r="40" spans="3:6">
      <c r="C40" s="18" t="s">
        <v>81</v>
      </c>
      <c r="E40" s="37">
        <f>J16</f>
        <v>5.9647058823529404</v>
      </c>
    </row>
    <row r="41" spans="3:6">
      <c r="C41" s="18" t="s">
        <v>82</v>
      </c>
      <c r="E41" s="37">
        <f>H16</f>
        <v>88.1875</v>
      </c>
    </row>
    <row r="42" spans="3:6">
      <c r="C42" s="19" t="s">
        <v>78</v>
      </c>
      <c r="E42" s="51">
        <f>E41*(1-(1+E38)^-E40)/E38+E37/(1+E38)^E40</f>
        <v>1895.8565334431698</v>
      </c>
    </row>
    <row r="44" spans="3:6">
      <c r="C44" s="18" t="s">
        <v>83</v>
      </c>
      <c r="E44" s="1">
        <f>F25</f>
        <v>4326</v>
      </c>
    </row>
    <row r="45" spans="3:6">
      <c r="C45" s="18" t="s">
        <v>84</v>
      </c>
      <c r="E45" s="12">
        <f>AVERAGE(332,365,377)-H16</f>
        <v>269.8125</v>
      </c>
    </row>
    <row r="46" spans="3:6">
      <c r="C46" s="19" t="s">
        <v>93</v>
      </c>
      <c r="E46" s="51">
        <f>E45*(1-(1+E39)^-11)/E39+G25</f>
        <v>5120.8260676270929</v>
      </c>
    </row>
    <row r="48" spans="3:6">
      <c r="C48" s="29" t="s">
        <v>90</v>
      </c>
      <c r="E48" s="29">
        <f>F35</f>
        <v>557</v>
      </c>
    </row>
    <row r="50" spans="3:10">
      <c r="C50" s="29" t="s">
        <v>91</v>
      </c>
      <c r="E50" s="58">
        <f>E42+E46+E48</f>
        <v>7573.6826010702625</v>
      </c>
    </row>
    <row r="52" spans="3:10">
      <c r="C52" s="14" t="s">
        <v>134</v>
      </c>
      <c r="D52" s="13"/>
      <c r="E52" s="57"/>
      <c r="F52" s="13"/>
      <c r="G52" s="13"/>
      <c r="H52" s="13"/>
      <c r="I52" s="13"/>
      <c r="J52" s="13"/>
    </row>
    <row r="53" spans="3:10">
      <c r="C53" s="56" t="s">
        <v>99</v>
      </c>
      <c r="E53" s="37">
        <f>'Cost of Capital Schedule'!E9</f>
        <v>0.56000000000000005</v>
      </c>
    </row>
    <row r="54" spans="3:10">
      <c r="C54" s="56" t="s">
        <v>100</v>
      </c>
      <c r="E54" s="10">
        <f>E53*(1+(1-'Cost of Capital Schedule'!E10)*E55)</f>
        <v>1.2759861241659263</v>
      </c>
    </row>
    <row r="55" spans="3:10">
      <c r="C55" s="56" t="s">
        <v>73</v>
      </c>
      <c r="E55" s="37">
        <f>E59/E58</f>
        <v>1.6184134813877173</v>
      </c>
    </row>
    <row r="56" spans="3:10">
      <c r="C56" s="56" t="s">
        <v>107</v>
      </c>
      <c r="E56" s="38">
        <f>E59/(E59+E58)</f>
        <v>0.61808934795507708</v>
      </c>
    </row>
    <row r="58" spans="3:10">
      <c r="C58" s="56" t="s">
        <v>51</v>
      </c>
      <c r="D58" s="1"/>
      <c r="E58" s="1">
        <f>'EV calculation'!G9</f>
        <v>4679.6956946849996</v>
      </c>
      <c r="G58" s="32"/>
      <c r="H58" s="62"/>
      <c r="I58" s="62"/>
      <c r="J58" s="62"/>
    </row>
    <row r="59" spans="3:10">
      <c r="C59" s="56" t="s">
        <v>95</v>
      </c>
      <c r="D59" s="1"/>
      <c r="E59" s="1">
        <f>'EV calculation'!E50</f>
        <v>7573.6826010702625</v>
      </c>
      <c r="G59" s="54"/>
    </row>
    <row r="60" spans="3:10">
      <c r="C60" s="29" t="s">
        <v>106</v>
      </c>
      <c r="E60" s="61">
        <f>SUM(E58:E59)</f>
        <v>12253.378295755261</v>
      </c>
      <c r="G60" s="54"/>
    </row>
    <row r="61" spans="3:10">
      <c r="G61" s="54"/>
    </row>
    <row r="62" spans="3:10">
      <c r="G62" s="54"/>
    </row>
  </sheetData>
  <pageMargins left="0.7" right="0.7" top="0.75" bottom="0.75" header="0.3" footer="0.3"/>
  <pageSetup paperSize="8"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607B4-029C-404C-9B94-B310EF497A6E}">
  <sheetPr codeName="Sheet10"/>
  <dimension ref="C2:F10"/>
  <sheetViews>
    <sheetView zoomScale="82" zoomScaleNormal="175" workbookViewId="0">
      <selection activeCell="F4" sqref="F4"/>
    </sheetView>
  </sheetViews>
  <sheetFormatPr defaultRowHeight="14.4"/>
  <cols>
    <col min="1" max="2" width="2.33203125" customWidth="1"/>
    <col min="3" max="3" width="54.44140625" customWidth="1"/>
    <col min="4" max="6" width="11.77734375" customWidth="1"/>
    <col min="7" max="7" width="2.33203125" customWidth="1"/>
    <col min="10" max="10" width="8.77734375" customWidth="1"/>
  </cols>
  <sheetData>
    <row r="2" spans="3:6">
      <c r="C2" s="14" t="s">
        <v>11</v>
      </c>
      <c r="D2" s="13"/>
      <c r="E2" s="13"/>
      <c r="F2" s="13"/>
    </row>
    <row r="3" spans="3:6">
      <c r="C3" s="15" t="s">
        <v>22</v>
      </c>
      <c r="D3" t="s">
        <v>10</v>
      </c>
      <c r="E3" s="20" t="s">
        <v>33</v>
      </c>
      <c r="F3" s="25">
        <f>'Final share count'!E7</f>
        <v>21.48</v>
      </c>
    </row>
    <row r="4" spans="3:6">
      <c r="D4" t="s">
        <v>13</v>
      </c>
      <c r="E4" s="20" t="s">
        <v>33</v>
      </c>
      <c r="F4" s="25">
        <f>'Final share count'!E8</f>
        <v>23.43</v>
      </c>
    </row>
    <row r="5" spans="3:6">
      <c r="C5" s="21" t="s">
        <v>34</v>
      </c>
      <c r="D5" s="21"/>
      <c r="E5" s="21"/>
      <c r="F5" s="21"/>
    </row>
    <row r="6" spans="3:6">
      <c r="D6" s="73" t="s">
        <v>35</v>
      </c>
      <c r="E6" s="73" t="s">
        <v>36</v>
      </c>
      <c r="F6" s="73" t="s">
        <v>37</v>
      </c>
    </row>
    <row r="7" spans="3:6" ht="16.2">
      <c r="C7" t="s">
        <v>48</v>
      </c>
      <c r="D7" s="34" t="s">
        <v>38</v>
      </c>
      <c r="E7" s="34" t="s">
        <v>39</v>
      </c>
      <c r="F7" s="34" t="s">
        <v>38</v>
      </c>
    </row>
    <row r="8" spans="3:6">
      <c r="C8" s="26" t="s">
        <v>43</v>
      </c>
      <c r="D8" t="s">
        <v>15</v>
      </c>
      <c r="E8" t="s">
        <v>15</v>
      </c>
      <c r="F8" t="s">
        <v>15</v>
      </c>
    </row>
    <row r="9" spans="3:6">
      <c r="C9" s="26" t="s">
        <v>13</v>
      </c>
      <c r="D9" t="s">
        <v>15</v>
      </c>
      <c r="E9" t="s">
        <v>15</v>
      </c>
      <c r="F9" s="21" t="s">
        <v>15</v>
      </c>
    </row>
    <row r="10" spans="3:6">
      <c r="C10" s="29" t="s">
        <v>44</v>
      </c>
      <c r="F10" s="29">
        <f>SUM(F8:F9)</f>
        <v>0</v>
      </c>
    </row>
  </sheetData>
  <pageMargins left="0.7" right="0.7" top="0.75" bottom="0.75" header="0.3" footer="0.3"/>
  <pageSetup paperSize="7" orientation="landscape"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C7235-C097-4048-AF42-23A1D4EE350B}">
  <sheetPr codeName="Sheet11"/>
  <dimension ref="C2:L20"/>
  <sheetViews>
    <sheetView workbookViewId="0">
      <selection activeCell="H14" sqref="H14"/>
    </sheetView>
  </sheetViews>
  <sheetFormatPr defaultRowHeight="14.4"/>
  <cols>
    <col min="1" max="2" width="2.33203125" customWidth="1"/>
    <col min="3" max="3" width="54.44140625" customWidth="1"/>
    <col min="4" max="4" width="8.88671875" customWidth="1"/>
    <col min="5" max="7" width="13.33203125" customWidth="1"/>
    <col min="10" max="10" width="2.33203125" customWidth="1"/>
    <col min="12" max="12" width="15.77734375" customWidth="1"/>
  </cols>
  <sheetData>
    <row r="2" spans="3:12">
      <c r="C2" s="14" t="s">
        <v>21</v>
      </c>
      <c r="D2" s="13"/>
      <c r="E2" s="13"/>
      <c r="F2" s="13"/>
      <c r="G2" s="13"/>
      <c r="H2" s="13"/>
      <c r="I2" s="13"/>
    </row>
    <row r="3" spans="3:12">
      <c r="C3" s="15" t="s">
        <v>22</v>
      </c>
    </row>
    <row r="4" spans="3:12">
      <c r="C4" t="s">
        <v>23</v>
      </c>
      <c r="E4" s="28">
        <v>45291</v>
      </c>
    </row>
    <row r="5" spans="3:12">
      <c r="C5" t="s">
        <v>24</v>
      </c>
      <c r="E5" s="28">
        <v>45232</v>
      </c>
    </row>
    <row r="6" spans="3:12">
      <c r="C6" t="s">
        <v>25</v>
      </c>
      <c r="E6" s="28">
        <v>45330</v>
      </c>
    </row>
    <row r="7" spans="3:12">
      <c r="C7" t="s">
        <v>41</v>
      </c>
      <c r="E7" s="96">
        <v>21.48</v>
      </c>
    </row>
    <row r="8" spans="3:12">
      <c r="C8" s="21" t="s">
        <v>40</v>
      </c>
      <c r="D8" s="21"/>
      <c r="E8" s="97">
        <v>23.43</v>
      </c>
      <c r="F8" s="21"/>
      <c r="G8" s="21"/>
      <c r="H8" s="21"/>
      <c r="I8" s="21"/>
    </row>
    <row r="10" spans="3:12" ht="15" thickBot="1">
      <c r="C10" s="16" t="s">
        <v>26</v>
      </c>
      <c r="D10" s="17"/>
      <c r="E10" s="17"/>
      <c r="F10" s="17"/>
      <c r="G10" s="17"/>
      <c r="H10" s="17"/>
      <c r="I10" s="17"/>
    </row>
    <row r="11" spans="3:12">
      <c r="C11" t="s">
        <v>27</v>
      </c>
      <c r="E11" s="31" t="s">
        <v>31</v>
      </c>
      <c r="F11" s="31" t="s">
        <v>32</v>
      </c>
      <c r="G11" s="31" t="s">
        <v>47</v>
      </c>
    </row>
    <row r="12" spans="3:12">
      <c r="C12" s="26" t="s">
        <v>10</v>
      </c>
      <c r="E12" s="98">
        <v>34.613852999999999</v>
      </c>
      <c r="F12" s="27" t="s">
        <v>42</v>
      </c>
      <c r="G12" s="28">
        <v>45232</v>
      </c>
      <c r="L12" s="30"/>
    </row>
    <row r="13" spans="3:12">
      <c r="C13" s="26" t="s">
        <v>12</v>
      </c>
      <c r="E13" s="98">
        <v>42.738750000000003</v>
      </c>
      <c r="F13" s="27" t="s">
        <v>42</v>
      </c>
      <c r="G13" s="28">
        <v>45232</v>
      </c>
    </row>
    <row r="14" spans="3:12">
      <c r="C14" s="26" t="s">
        <v>13</v>
      </c>
      <c r="E14" s="98">
        <v>82.385884000000004</v>
      </c>
      <c r="F14" s="27" t="s">
        <v>42</v>
      </c>
      <c r="G14" s="28">
        <v>45232</v>
      </c>
    </row>
    <row r="15" spans="3:12">
      <c r="C15" s="26" t="s">
        <v>14</v>
      </c>
      <c r="E15" s="98">
        <v>42.336750000000002</v>
      </c>
      <c r="F15" s="27" t="s">
        <v>42</v>
      </c>
      <c r="G15" s="28">
        <v>45232</v>
      </c>
    </row>
    <row r="16" spans="3:12">
      <c r="C16" s="18" t="s">
        <v>28</v>
      </c>
      <c r="E16" s="27" t="s">
        <v>15</v>
      </c>
      <c r="F16" s="27" t="s">
        <v>45</v>
      </c>
      <c r="G16" s="28">
        <v>45002</v>
      </c>
    </row>
    <row r="17" spans="3:7">
      <c r="C17" s="18" t="s">
        <v>11</v>
      </c>
      <c r="E17">
        <f>Options!F10</f>
        <v>0</v>
      </c>
      <c r="F17" s="27" t="s">
        <v>46</v>
      </c>
      <c r="G17" s="28">
        <v>44968</v>
      </c>
    </row>
    <row r="18" spans="3:7">
      <c r="C18" s="18" t="s">
        <v>29</v>
      </c>
      <c r="E18" s="93">
        <v>0</v>
      </c>
      <c r="F18" s="27" t="s">
        <v>46</v>
      </c>
      <c r="G18" s="28">
        <v>44968</v>
      </c>
    </row>
    <row r="19" spans="3:7">
      <c r="C19" s="18" t="s">
        <v>30</v>
      </c>
      <c r="E19" s="99">
        <v>0</v>
      </c>
      <c r="F19" s="27" t="s">
        <v>46</v>
      </c>
      <c r="G19" s="28">
        <v>44968</v>
      </c>
    </row>
    <row r="20" spans="3:7">
      <c r="C20" s="19" t="s">
        <v>26</v>
      </c>
      <c r="E20" s="33">
        <f>SUM(E12:E19)</f>
        <v>202.07523700000002</v>
      </c>
    </row>
  </sheetData>
  <pageMargins left="0.7" right="0.7" top="0.75" bottom="0.75" header="0.3" footer="0.3"/>
  <pageSetup paperSize="7"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Cost of Capital Schedule</vt:lpstr>
      <vt:lpstr>Cost of equity</vt:lpstr>
      <vt:lpstr>Cost of debt</vt:lpstr>
      <vt:lpstr>Default spread</vt:lpstr>
      <vt:lpstr>Sheet4</vt:lpstr>
      <vt:lpstr>WACC</vt:lpstr>
      <vt:lpstr>EV calculation</vt:lpstr>
      <vt:lpstr>Options</vt:lpstr>
      <vt:lpstr>Final share count</vt:lpstr>
      <vt:lpstr>Historical DAta</vt:lpstr>
      <vt:lpstr>Sheet4!_Hlk159097386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Parth Ponkshe</dc:creator>
  <cp:lastModifiedBy>Parth Ponkshe</cp:lastModifiedBy>
  <cp:lastPrinted>2024-02-15T12:54:11Z</cp:lastPrinted>
  <dcterms:created xsi:type="dcterms:W3CDTF">2015-06-05T18:17:20Z</dcterms:created>
  <dcterms:modified xsi:type="dcterms:W3CDTF">2024-03-15T08:24:00Z</dcterms:modified>
</cp:coreProperties>
</file>