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rth\Downloads\"/>
    </mc:Choice>
  </mc:AlternateContent>
  <xr:revisionPtr revIDLastSave="0" documentId="13_ncr:1_{17F2B8A8-2C3E-4E46-BA2A-F4109604A8E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 Description" sheetId="15" r:id="rId1"/>
    <sheet name="EVSurvey " sheetId="9" r:id="rId2"/>
    <sheet name="Attitude" sheetId="2" r:id="rId3"/>
    <sheet name="Experiment" sheetId="11" r:id="rId4"/>
    <sheet name="Q1" sheetId="16" r:id="rId5"/>
    <sheet name="Q2" sheetId="19" r:id="rId6"/>
    <sheet name="Q3" sheetId="20" r:id="rId7"/>
    <sheet name="Q4" sheetId="21" r:id="rId8"/>
    <sheet name="Q5" sheetId="22" r:id="rId9"/>
    <sheet name="Q6" sheetId="23" r:id="rId10"/>
  </sheets>
  <externalReferences>
    <externalReference r:id="rId11"/>
    <externalReference r:id="rId12"/>
  </externalReferences>
  <definedNames>
    <definedName name="_xlnm._FilterDatabase" localSheetId="1" hidden="1">'EVSurvey '!$A$1:$N$103</definedName>
    <definedName name="_xlnm._FilterDatabase" localSheetId="3" hidden="1">Experiment!$A$1:$N$31</definedName>
    <definedName name="Age_Car">[1]CustomerDataSet!#REF!</definedName>
    <definedName name="Alarm">[1]CustomerDataSet!#REF!</definedName>
    <definedName name="Car_Val">[1]CustomerDataSet!#REF!</definedName>
    <definedName name="Eng_Type">[1]CustomerDataSet!#REF!</definedName>
    <definedName name="EstKmsYear">[1]CustomerDataSet!#REF!</definedName>
    <definedName name="Excess">[1]CustomerDataSet!#REF!</definedName>
    <definedName name="Exclusions">[1]CustomerDataSet!#REF!</definedName>
    <definedName name="Exist_Dam">[1]CustomerDataSet!#REF!</definedName>
    <definedName name="Ins_Type">[1]CustomerDataSet!#REF!</definedName>
    <definedName name="Lic_Held">[1]CustomerDataSet!#REF!</definedName>
    <definedName name="Lic_Type">[1]CustomerDataSet!#REF!</definedName>
    <definedName name="Park_Onight">[1]CustomerDataSet!#REF!</definedName>
    <definedName name="Prev_Ins_Cost">[1]CustomerDataSet!#REF!</definedName>
    <definedName name="Quote_Val">[1]CustomerDataSet!#REF!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3" l="1"/>
  <c r="K22" i="23"/>
  <c r="K21" i="23"/>
  <c r="K19" i="23"/>
  <c r="K18" i="23"/>
  <c r="K17" i="23"/>
  <c r="K8" i="23"/>
  <c r="K6" i="23"/>
  <c r="F17" i="21"/>
  <c r="C16" i="21"/>
  <c r="B16" i="21"/>
  <c r="E17" i="21"/>
  <c r="D17" i="21"/>
  <c r="E16" i="21"/>
  <c r="C17" i="21"/>
  <c r="D16" i="21"/>
  <c r="B17" i="21"/>
  <c r="F16" i="21"/>
  <c r="K26" i="23" l="1"/>
  <c r="K27" i="23" s="1"/>
  <c r="K28" i="23" s="1"/>
  <c r="K12" i="23"/>
  <c r="K13" i="23" s="1"/>
  <c r="K14" i="23" s="1"/>
  <c r="H13" i="23"/>
  <c r="H14" i="23"/>
  <c r="H31" i="23" l="1"/>
  <c r="B31" i="21" l="1"/>
  <c r="B34" i="21" s="1"/>
  <c r="B45" i="21" s="1"/>
  <c r="A52" i="21"/>
  <c r="A51" i="21"/>
  <c r="A50" i="21"/>
  <c r="A49" i="21"/>
  <c r="A48" i="21"/>
  <c r="D16" i="19"/>
  <c r="A24" i="21"/>
  <c r="A23" i="21"/>
  <c r="F22" i="21"/>
  <c r="E22" i="21"/>
  <c r="D22" i="21"/>
  <c r="C22" i="21"/>
  <c r="B22" i="21"/>
  <c r="A22" i="21"/>
  <c r="B21" i="21"/>
  <c r="E21" i="16"/>
  <c r="S9" i="20"/>
  <c r="T9" i="20"/>
  <c r="U9" i="20" s="1"/>
  <c r="T10" i="20"/>
  <c r="U10" i="20" s="1"/>
  <c r="T8" i="20"/>
  <c r="U8" i="20" s="1"/>
  <c r="V8" i="20" s="1"/>
  <c r="T7" i="20"/>
  <c r="U7" i="20" s="1"/>
  <c r="T6" i="20"/>
  <c r="U6" i="20" s="1"/>
  <c r="T5" i="20"/>
  <c r="U5" i="20" s="1"/>
  <c r="V5" i="20" s="1"/>
  <c r="S10" i="20"/>
  <c r="V10" i="20" s="1"/>
  <c r="S8" i="20"/>
  <c r="S7" i="20"/>
  <c r="V7" i="20" s="1"/>
  <c r="S5" i="20"/>
  <c r="S6" i="20"/>
  <c r="V6" i="20" s="1"/>
  <c r="V4" i="20"/>
  <c r="V9" i="20" l="1"/>
  <c r="C58" i="21"/>
  <c r="E18" i="21"/>
  <c r="B51" i="21" s="1"/>
  <c r="C68" i="21" s="1"/>
  <c r="C18" i="21"/>
  <c r="B49" i="21" s="1"/>
  <c r="C63" i="21" s="1"/>
  <c r="F18" i="21"/>
  <c r="B52" i="21" s="1"/>
  <c r="D18" i="21"/>
  <c r="B50" i="21" s="1"/>
  <c r="C66" i="21" s="1"/>
  <c r="G17" i="21"/>
  <c r="B18" i="21"/>
  <c r="B48" i="21" s="1"/>
  <c r="C57" i="21" s="1"/>
  <c r="G16" i="21"/>
  <c r="C61" i="21" l="1"/>
  <c r="C65" i="21"/>
  <c r="C56" i="21"/>
  <c r="D56" i="21" s="1"/>
  <c r="C62" i="21"/>
  <c r="C59" i="21"/>
  <c r="B59" i="21"/>
  <c r="B68" i="21"/>
  <c r="B63" i="21"/>
  <c r="B65" i="21"/>
  <c r="B66" i="21"/>
  <c r="B62" i="21"/>
  <c r="D63" i="21"/>
  <c r="B61" i="21"/>
  <c r="B58" i="21"/>
  <c r="B56" i="21"/>
  <c r="B57" i="21"/>
  <c r="G18" i="21"/>
  <c r="F24" i="21" s="1"/>
  <c r="M17" i="21" s="1"/>
  <c r="M24" i="21" s="1"/>
  <c r="F23" i="21" l="1"/>
  <c r="B24" i="21"/>
  <c r="I17" i="21" s="1"/>
  <c r="I24" i="21" s="1"/>
  <c r="B23" i="21"/>
  <c r="I16" i="21" s="1"/>
  <c r="I23" i="21" s="1"/>
  <c r="E24" i="21"/>
  <c r="L17" i="21" s="1"/>
  <c r="L24" i="21" s="1"/>
  <c r="E23" i="21"/>
  <c r="D23" i="21"/>
  <c r="K16" i="21" s="1"/>
  <c r="K23" i="21" s="1"/>
  <c r="D24" i="21"/>
  <c r="K17" i="21" s="1"/>
  <c r="K24" i="21" s="1"/>
  <c r="C23" i="21"/>
  <c r="J16" i="21" s="1"/>
  <c r="J23" i="21" s="1"/>
  <c r="C24" i="21"/>
  <c r="D68" i="21"/>
  <c r="D59" i="21"/>
  <c r="D58" i="21"/>
  <c r="D65" i="21"/>
  <c r="D62" i="21"/>
  <c r="D61" i="21"/>
  <c r="D66" i="21"/>
  <c r="D57" i="21"/>
  <c r="M16" i="21"/>
  <c r="M23" i="21" s="1"/>
  <c r="F25" i="21"/>
  <c r="E25" i="21"/>
  <c r="L16" i="21"/>
  <c r="L23" i="21" s="1"/>
  <c r="B25" i="21"/>
  <c r="J17" i="21"/>
  <c r="J24" i="21" s="1"/>
  <c r="D25" i="21"/>
  <c r="D20" i="19"/>
  <c r="E19" i="16"/>
  <c r="D21" i="19"/>
  <c r="D17" i="19"/>
  <c r="D8" i="19"/>
  <c r="D12" i="19" s="1"/>
  <c r="D6" i="19"/>
  <c r="C6" i="19"/>
  <c r="D6" i="16"/>
  <c r="E18" i="16"/>
  <c r="E22" i="16"/>
  <c r="E23" i="16"/>
  <c r="E8" i="16"/>
  <c r="E6" i="16"/>
  <c r="G23" i="21" l="1"/>
  <c r="G24" i="21"/>
  <c r="C25" i="21"/>
  <c r="G25" i="21" s="1"/>
  <c r="A40" i="21"/>
  <c r="B35" i="21"/>
  <c r="B36" i="21" s="1"/>
  <c r="A37" i="21" s="1"/>
  <c r="D22" i="19"/>
  <c r="D18" i="19"/>
  <c r="D25" i="19"/>
  <c r="D26" i="19" s="1"/>
  <c r="D13" i="19"/>
  <c r="A12" i="19"/>
  <c r="A13" i="19"/>
  <c r="E12" i="16"/>
  <c r="E13" i="16" s="1"/>
  <c r="E14" i="16" s="1"/>
  <c r="E26" i="16"/>
  <c r="E27" i="16" s="1"/>
  <c r="B13" i="16"/>
  <c r="B14" i="16"/>
  <c r="D27" i="19" l="1"/>
  <c r="D28" i="19" s="1"/>
  <c r="A31" i="19" s="1"/>
  <c r="E28" i="16"/>
  <c r="B31" i="16" s="1"/>
  <c r="E9" i="2" l="1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11" i="2"/>
  <c r="J10" i="2"/>
  <c r="E10" i="2"/>
  <c r="J9" i="2"/>
</calcChain>
</file>

<file path=xl/sharedStrings.xml><?xml version="1.0" encoding="utf-8"?>
<sst xmlns="http://schemas.openxmlformats.org/spreadsheetml/2006/main" count="1321" uniqueCount="245">
  <si>
    <t>Index</t>
  </si>
  <si>
    <t>State</t>
  </si>
  <si>
    <t>Locality</t>
  </si>
  <si>
    <t>Age</t>
  </si>
  <si>
    <t>Household_Type</t>
  </si>
  <si>
    <t>Annual_KM</t>
  </si>
  <si>
    <t>Trip_Type</t>
  </si>
  <si>
    <t>Calculate_Savings</t>
  </si>
  <si>
    <t>New South Wales</t>
  </si>
  <si>
    <t>Metro</t>
  </si>
  <si>
    <t>Couple with no Children</t>
  </si>
  <si>
    <t>Holiday</t>
  </si>
  <si>
    <t>Economic</t>
  </si>
  <si>
    <t>Yes</t>
  </si>
  <si>
    <t>Victoria</t>
  </si>
  <si>
    <t>Regional</t>
  </si>
  <si>
    <t>Single Person</t>
  </si>
  <si>
    <t>Technology</t>
  </si>
  <si>
    <t>Queensland</t>
  </si>
  <si>
    <t>Single Parent</t>
  </si>
  <si>
    <t>No</t>
  </si>
  <si>
    <t>Environment</t>
  </si>
  <si>
    <t>Couple with Children</t>
  </si>
  <si>
    <t>Australian Capital Territory</t>
  </si>
  <si>
    <t>Health</t>
  </si>
  <si>
    <t>Western Australia</t>
  </si>
  <si>
    <t>South Australia</t>
  </si>
  <si>
    <t>Tasmania</t>
  </si>
  <si>
    <t>Private</t>
  </si>
  <si>
    <t>Fuel Security</t>
  </si>
  <si>
    <t>Work</t>
  </si>
  <si>
    <t>Charge_at_Work</t>
  </si>
  <si>
    <t>Charge_at_Home</t>
  </si>
  <si>
    <t>Fuel_Savings</t>
  </si>
  <si>
    <t>Maintenance_Savings</t>
  </si>
  <si>
    <t>Attitude Statements</t>
  </si>
  <si>
    <t>Q1</t>
  </si>
  <si>
    <t>Q2</t>
  </si>
  <si>
    <t>Q3</t>
  </si>
  <si>
    <t>Scale</t>
  </si>
  <si>
    <t>Strongly Disagree (1) to Strongly Agree (10)</t>
  </si>
  <si>
    <t>Respondent-1</t>
  </si>
  <si>
    <t>Respondent-2</t>
  </si>
  <si>
    <t>Respondent-3</t>
  </si>
  <si>
    <t>Respondent-4</t>
  </si>
  <si>
    <t>Respondent-5</t>
  </si>
  <si>
    <t>Respondent-6</t>
  </si>
  <si>
    <t>Respondent-7</t>
  </si>
  <si>
    <t>Respondent-8</t>
  </si>
  <si>
    <t>Respondent-9</t>
  </si>
  <si>
    <t>Respondent-10</t>
  </si>
  <si>
    <t>Respondent-11</t>
  </si>
  <si>
    <t>Respondent-12</t>
  </si>
  <si>
    <t>The government should prioritise the expansion of public charging infrastructure for electric vehicles.</t>
  </si>
  <si>
    <t>I support government incentives to bolster the development of charging infrastructure for electric vehicles.</t>
  </si>
  <si>
    <t>Government regulations targeting the expansion and accessibility of public charging infrastructure are necessary.</t>
  </si>
  <si>
    <t>Year 2022</t>
  </si>
  <si>
    <t>Year 2023</t>
  </si>
  <si>
    <t>AttitudeScore</t>
  </si>
  <si>
    <t>EV_Towing</t>
  </si>
  <si>
    <t>Reason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</si>
  <si>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</si>
  <si>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</si>
  <si>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</si>
  <si>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</si>
  <si>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</si>
  <si>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</si>
  <si>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</si>
  <si>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</si>
  <si>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</si>
  <si>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</si>
  <si>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</si>
  <si>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</si>
  <si>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</si>
  <si>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</si>
  <si>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</si>
  <si>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</si>
  <si>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</si>
  <si>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</si>
  <si>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</si>
  <si>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</si>
  <si>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</si>
  <si>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</si>
  <si>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</si>
  <si>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</si>
  <si>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</si>
  <si>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</si>
  <si>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</si>
  <si>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</si>
  <si>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</si>
  <si>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</si>
  <si>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Variable Name</t>
  </si>
  <si>
    <t>Description</t>
  </si>
  <si>
    <t>The state in which the EV owner normally resides</t>
  </si>
  <si>
    <t xml:space="preserve">EV owners live in the city (Metro) or in the country (Regional) </t>
  </si>
  <si>
    <t xml:space="preserve">Age </t>
  </si>
  <si>
    <t>EV owner’s Age (in years)</t>
  </si>
  <si>
    <t>Household Type (Single Person, Single Parent, Couple with Children, Couple with no Children)</t>
  </si>
  <si>
    <t>Estimate of EV Km travelled per year (Km).</t>
  </si>
  <si>
    <t>What type of trips is EV used for? (Work, Private, Holiday)</t>
  </si>
  <si>
    <t>Reason to buy the EV (Technology, Environment, Economic, Fuel Security, Health)</t>
  </si>
  <si>
    <t>EV is/can be used for Towing (Yes or No)</t>
  </si>
  <si>
    <t xml:space="preserve">Charge_at_work </t>
  </si>
  <si>
    <t>Number of times charging at work per week</t>
  </si>
  <si>
    <t>Number of times charging at home per week</t>
  </si>
  <si>
    <t>EV owner actively calculates fuel/Maintenance savings (Yes or No)</t>
  </si>
  <si>
    <t>Estimate of Annual Fuel Saving ($)</t>
  </si>
  <si>
    <t>Estimate of Annual Maintenance Savings ($)</t>
  </si>
  <si>
    <r>
      <t xml:space="preserve">Hypothesis Test for </t>
    </r>
    <r>
      <rPr>
        <b/>
        <sz val="10"/>
        <rFont val="Calibri"/>
        <family val="2"/>
      </rPr>
      <t>µ1 - µ2 (independent, unequal variances)</t>
    </r>
  </si>
  <si>
    <r>
      <t xml:space="preserve">Hypothesis Test for </t>
    </r>
    <r>
      <rPr>
        <b/>
        <sz val="10"/>
        <rFont val="Calibri"/>
        <family val="2"/>
      </rPr>
      <t>π1 - π2</t>
    </r>
  </si>
  <si>
    <t>&gt;</t>
  </si>
  <si>
    <t>≤</t>
  </si>
  <si>
    <t>Hypotheses</t>
  </si>
  <si>
    <t>&lt;</t>
  </si>
  <si>
    <t>≥</t>
  </si>
  <si>
    <t>Null Hypothesis</t>
  </si>
  <si>
    <r>
      <t>µ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- µ</t>
    </r>
    <r>
      <rPr>
        <vertAlign val="subscript"/>
        <sz val="10"/>
        <rFont val="Arial"/>
        <family val="2"/>
      </rPr>
      <t>2</t>
    </r>
  </si>
  <si>
    <r>
      <t>π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- π</t>
    </r>
    <r>
      <rPr>
        <vertAlign val="subscript"/>
        <sz val="10"/>
        <rFont val="Arial"/>
        <family val="2"/>
      </rPr>
      <t>2</t>
    </r>
  </si>
  <si>
    <t>≠</t>
  </si>
  <si>
    <t>=</t>
  </si>
  <si>
    <t>Alternative Hypothesis</t>
  </si>
  <si>
    <t>Test Type</t>
  </si>
  <si>
    <t>Level of significance</t>
  </si>
  <si>
    <t>α</t>
  </si>
  <si>
    <t>Critical Region</t>
  </si>
  <si>
    <t>Degrees of Freedom</t>
  </si>
  <si>
    <t>Sample Data</t>
  </si>
  <si>
    <t>Sample Results</t>
  </si>
  <si>
    <t>Sample 1 Data</t>
  </si>
  <si>
    <t>Sample Size</t>
  </si>
  <si>
    <t>Sample Standard Deviation</t>
  </si>
  <si>
    <t>Count of 'Successes'</t>
  </si>
  <si>
    <t>Sample Mean</t>
  </si>
  <si>
    <r>
      <t>Sample proportion, p</t>
    </r>
    <r>
      <rPr>
        <vertAlign val="subscript"/>
        <sz val="10"/>
        <rFont val="Arial"/>
        <family val="2"/>
      </rPr>
      <t>1</t>
    </r>
  </si>
  <si>
    <t>Sample 2 Data</t>
  </si>
  <si>
    <t>Standard Error of the Mean</t>
  </si>
  <si>
    <r>
      <t>t</t>
    </r>
    <r>
      <rPr>
        <sz val="10"/>
        <rFont val="Arial"/>
        <family val="2"/>
      </rPr>
      <t xml:space="preserve"> Sample Statistic</t>
    </r>
  </si>
  <si>
    <t>p-value</t>
  </si>
  <si>
    <r>
      <t>Sample proportion, p</t>
    </r>
    <r>
      <rPr>
        <vertAlign val="subscript"/>
        <sz val="10"/>
        <rFont val="Arial"/>
        <family val="2"/>
      </rPr>
      <t>2</t>
    </r>
  </si>
  <si>
    <t>Decision</t>
  </si>
  <si>
    <t>Pooled estimate of proportion</t>
  </si>
  <si>
    <t>Standard Error</t>
  </si>
  <si>
    <r>
      <t>z</t>
    </r>
    <r>
      <rPr>
        <sz val="10"/>
        <rFont val="Arial"/>
        <family val="2"/>
      </rPr>
      <t xml:space="preserve"> Sample Statistic</t>
    </r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</si>
  <si>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</si>
  <si>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</si>
  <si>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</si>
  <si>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</si>
  <si>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</si>
  <si>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</si>
  <si>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</si>
  <si>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</si>
  <si>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</si>
  <si>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</si>
  <si>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</si>
  <si>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</si>
  <si>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</si>
  <si>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</si>
  <si>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</si>
  <si>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</si>
  <si>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</si>
  <si>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</si>
  <si>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</si>
  <si>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</si>
  <si>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</si>
  <si>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</si>
  <si>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</si>
  <si>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</si>
  <si>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</si>
  <si>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</si>
  <si>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</si>
  <si>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</si>
  <si>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Tukey Kramer Multiple Comparisons</t>
  </si>
  <si>
    <t>Sample</t>
  </si>
  <si>
    <t>Absolute</t>
  </si>
  <si>
    <t>Std. Error</t>
  </si>
  <si>
    <t>Critical</t>
  </si>
  <si>
    <t>Group</t>
  </si>
  <si>
    <t>Size</t>
  </si>
  <si>
    <t>Comparison</t>
  </si>
  <si>
    <t>Difference</t>
  </si>
  <si>
    <t>of Difference</t>
  </si>
  <si>
    <t>Group 1 to Group 2</t>
  </si>
  <si>
    <t>Group 1 to Group 3</t>
  </si>
  <si>
    <t>Group 1 to Group 4</t>
  </si>
  <si>
    <t>Group 2 to Group 3</t>
  </si>
  <si>
    <t>Group 2 to Group 4</t>
  </si>
  <si>
    <t>Other Data</t>
  </si>
  <si>
    <t>Group 3 to Group 4</t>
  </si>
  <si>
    <t>Numerator d.f.</t>
  </si>
  <si>
    <t>Denominator d.f.</t>
  </si>
  <si>
    <t>MSW</t>
  </si>
  <si>
    <t>Q Statistic</t>
  </si>
  <si>
    <t>Row Labels</t>
  </si>
  <si>
    <t>Grand Total</t>
  </si>
  <si>
    <t>Column Labels</t>
  </si>
  <si>
    <t>Chi-Square Test</t>
  </si>
  <si>
    <t>Observed Frequencies</t>
  </si>
  <si>
    <t>Column variable</t>
  </si>
  <si>
    <t>Calculations</t>
  </si>
  <si>
    <t>Row variable</t>
  </si>
  <si>
    <t>fo - fe</t>
  </si>
  <si>
    <t>Expected Frequencies</t>
  </si>
  <si>
    <t>(fo - fe)^2/fe</t>
  </si>
  <si>
    <t>Data</t>
  </si>
  <si>
    <t>Level of Significance</t>
  </si>
  <si>
    <t>Number of Rows</t>
  </si>
  <si>
    <t>Number of Columns</t>
  </si>
  <si>
    <t>Results</t>
  </si>
  <si>
    <t>Critical Value</t>
  </si>
  <si>
    <t>Chi-Square Test Statistic</t>
  </si>
  <si>
    <r>
      <t>p</t>
    </r>
    <r>
      <rPr>
        <sz val="11"/>
        <rFont val="Calibri"/>
        <family val="2"/>
      </rPr>
      <t>-Value</t>
    </r>
  </si>
  <si>
    <t>Expected frequency assumption</t>
  </si>
  <si>
    <t>Marascuilo Procedure</t>
  </si>
  <si>
    <t>Square Root of Critical Value</t>
  </si>
  <si>
    <t>Group Sample Proportions</t>
  </si>
  <si>
    <t>MARASCUILO TABLE</t>
  </si>
  <si>
    <t>Proportions</t>
  </si>
  <si>
    <t>Absolute Differences</t>
  </si>
  <si>
    <t>Critical Range</t>
  </si>
  <si>
    <t>| Group 1 - Group 2 |</t>
  </si>
  <si>
    <t>| Group 1 - Group 3 |</t>
  </si>
  <si>
    <t>| Group 1 - Group 4 |</t>
  </si>
  <si>
    <t>| Group 1 - Group 5 |</t>
  </si>
  <si>
    <t>| Group 2 - Group 3 |</t>
  </si>
  <si>
    <t>| Group 2 - Group 4 |</t>
  </si>
  <si>
    <t>| Group 2 - Group 5 |</t>
  </si>
  <si>
    <t>| Group 3 - Group 4 |</t>
  </si>
  <si>
    <t>| Group 3 - Group 5 |</t>
  </si>
  <si>
    <t>| Group 4 - Group 5 |</t>
  </si>
  <si>
    <t>Anova: Two-Factor With Replication</t>
  </si>
  <si>
    <t>Columns</t>
  </si>
  <si>
    <t>Interaction</t>
  </si>
  <si>
    <t>Within</t>
  </si>
  <si>
    <t>Charging 6 times</t>
  </si>
  <si>
    <t>Charging 7 times</t>
  </si>
  <si>
    <t>Count of Charge_at_Home</t>
  </si>
  <si>
    <t xml:space="preserve">Null Hypothesis </t>
  </si>
  <si>
    <t>Alternative Hypothesis (H1)</t>
  </si>
  <si>
    <t>Metro EV owners travel further on average compared to regional EV owners.</t>
  </si>
  <si>
    <t>Metro EV owners do not travel further on average compared to regional EV owners.</t>
  </si>
  <si>
    <t>Fewer EV owners in metro areas use their vehicles for towing compared to those in regional areas.</t>
  </si>
  <si>
    <t xml:space="preserve">Alternative Hypothesis </t>
  </si>
  <si>
    <t>More EV owners in metro areas use their vehicles for towing compared to those in regional areas.</t>
  </si>
  <si>
    <t>There is no difference in EV owners' attitudes between 2022 and 2023</t>
  </si>
  <si>
    <t>There is a difference in EV owners' attitudes between 2022 and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</si>
</sst>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##"/>
    <numFmt numFmtId="167" formatCode="0.00#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theme="1"/>
      <name val="Aptos"/>
      <family val="2"/>
    </font>
    <font>
      <sz val="11"/>
      <name val="Aptos"/>
      <family val="2"/>
    </font>
    <font>
      <b/>
      <sz val="11"/>
      <color theme="1"/>
      <name val="Aptos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D0D0D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9" fontId="6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/>
    <xf numFmtId="164" fontId="3" fillId="2" borderId="0" xfId="0" applyNumberFormat="1" applyFont="1" applyFill="1"/>
    <xf numFmtId="0" fontId="7" fillId="0" borderId="0" xfId="0" applyFont="1"/>
    <xf numFmtId="0" fontId="6" fillId="0" borderId="0" xfId="1"/>
    <xf numFmtId="0" fontId="11" fillId="0" borderId="0" xfId="1" applyFont="1"/>
    <xf numFmtId="0" fontId="6" fillId="0" borderId="7" xfId="1" applyBorder="1"/>
    <xf numFmtId="0" fontId="6" fillId="0" borderId="8" xfId="1" applyBorder="1" applyAlignment="1">
      <alignment horizontal="center"/>
    </xf>
    <xf numFmtId="0" fontId="9" fillId="0" borderId="9" xfId="1" applyFont="1" applyBorder="1" applyProtection="1">
      <protection locked="0"/>
    </xf>
    <xf numFmtId="9" fontId="9" fillId="0" borderId="9" xfId="2" applyFont="1" applyFill="1" applyBorder="1"/>
    <xf numFmtId="0" fontId="6" fillId="0" borderId="0" xfId="1" quotePrefix="1"/>
    <xf numFmtId="0" fontId="6" fillId="4" borderId="9" xfId="1" applyFill="1" applyBorder="1" applyAlignment="1" applyProtection="1">
      <alignment horizontal="center"/>
      <protection locked="0"/>
    </xf>
    <xf numFmtId="0" fontId="9" fillId="4" borderId="9" xfId="1" applyFont="1" applyFill="1" applyBorder="1" applyProtection="1">
      <protection locked="0"/>
    </xf>
    <xf numFmtId="9" fontId="9" fillId="4" borderId="9" xfId="2" applyFont="1" applyFill="1" applyBorder="1"/>
    <xf numFmtId="0" fontId="6" fillId="0" borderId="4" xfId="1" applyBorder="1"/>
    <xf numFmtId="0" fontId="6" fillId="0" borderId="5" xfId="1" applyBorder="1"/>
    <xf numFmtId="0" fontId="6" fillId="5" borderId="9" xfId="1" applyFill="1" applyBorder="1" applyAlignment="1">
      <alignment horizontal="right"/>
    </xf>
    <xf numFmtId="0" fontId="6" fillId="5" borderId="8" xfId="1" applyFill="1" applyBorder="1" applyAlignment="1">
      <alignment horizontal="right"/>
    </xf>
    <xf numFmtId="0" fontId="6" fillId="0" borderId="10" xfId="1" applyBorder="1"/>
    <xf numFmtId="0" fontId="11" fillId="0" borderId="8" xfId="1" applyFont="1" applyBorder="1" applyAlignment="1">
      <alignment horizontal="center"/>
    </xf>
    <xf numFmtId="2" fontId="9" fillId="4" borderId="9" xfId="1" applyNumberFormat="1" applyFont="1" applyFill="1" applyBorder="1" applyProtection="1">
      <protection locked="0"/>
    </xf>
    <xf numFmtId="0" fontId="6" fillId="0" borderId="6" xfId="1" applyBorder="1"/>
    <xf numFmtId="165" fontId="6" fillId="5" borderId="11" xfId="1" applyNumberFormat="1" applyFill="1" applyBorder="1"/>
    <xf numFmtId="165" fontId="6" fillId="0" borderId="6" xfId="1" applyNumberFormat="1" applyBorder="1"/>
    <xf numFmtId="10" fontId="9" fillId="0" borderId="9" xfId="2" applyNumberFormat="1" applyFont="1" applyFill="1" applyBorder="1"/>
    <xf numFmtId="165" fontId="6" fillId="5" borderId="6" xfId="1" applyNumberFormat="1" applyFill="1" applyBorder="1"/>
    <xf numFmtId="0" fontId="14" fillId="0" borderId="0" xfId="1" applyFont="1" applyAlignment="1">
      <alignment horizontal="left"/>
    </xf>
    <xf numFmtId="0" fontId="15" fillId="0" borderId="0" xfId="1" applyFont="1"/>
    <xf numFmtId="0" fontId="15" fillId="0" borderId="0" xfId="1" applyFont="1" applyAlignment="1">
      <alignment horizontal="right"/>
    </xf>
    <xf numFmtId="166" fontId="15" fillId="0" borderId="0" xfId="1" applyNumberFormat="1" applyFont="1" applyAlignment="1">
      <alignment horizontal="right"/>
    </xf>
    <xf numFmtId="167" fontId="15" fillId="0" borderId="0" xfId="1" applyNumberFormat="1" applyFont="1" applyAlignment="1">
      <alignment horizontal="right"/>
    </xf>
    <xf numFmtId="1" fontId="15" fillId="0" borderId="0" xfId="1" applyNumberFormat="1" applyFont="1" applyAlignment="1">
      <alignment horizontal="right"/>
    </xf>
    <xf numFmtId="0" fontId="14" fillId="0" borderId="0" xfId="1" applyFont="1" applyAlignment="1">
      <alignment horizontal="center"/>
    </xf>
    <xf numFmtId="165" fontId="15" fillId="0" borderId="0" xfId="1" applyNumberFormat="1" applyFont="1" applyAlignment="1">
      <alignment horizontal="right"/>
    </xf>
    <xf numFmtId="0" fontId="16" fillId="0" borderId="2" xfId="0" applyFont="1" applyBorder="1" applyAlignment="1">
      <alignment horizontal="center"/>
    </xf>
    <xf numFmtId="2" fontId="0" fillId="0" borderId="0" xfId="0" applyNumberFormat="1"/>
    <xf numFmtId="2" fontId="0" fillId="0" borderId="17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22" fillId="0" borderId="30" xfId="0" applyNumberFormat="1" applyFont="1" applyBorder="1" applyAlignment="1">
      <alignment horizontal="right"/>
    </xf>
    <xf numFmtId="2" fontId="16" fillId="0" borderId="2" xfId="0" applyNumberFormat="1" applyFont="1" applyBorder="1" applyAlignment="1">
      <alignment horizontal="center"/>
    </xf>
    <xf numFmtId="2" fontId="0" fillId="0" borderId="22" xfId="0" applyNumberFormat="1" applyBorder="1"/>
    <xf numFmtId="2" fontId="0" fillId="10" borderId="0" xfId="0" applyNumberFormat="1" applyFill="1"/>
    <xf numFmtId="2" fontId="0" fillId="11" borderId="0" xfId="0" applyNumberFormat="1" applyFill="1"/>
    <xf numFmtId="2" fontId="0" fillId="9" borderId="0" xfId="0" applyNumberFormat="1" applyFill="1"/>
    <xf numFmtId="2" fontId="1" fillId="0" borderId="0" xfId="0" applyNumberFormat="1" applyFont="1"/>
    <xf numFmtId="2" fontId="16" fillId="0" borderId="17" xfId="0" applyNumberFormat="1" applyFont="1" applyBorder="1" applyAlignment="1">
      <alignment horizontal="center"/>
    </xf>
    <xf numFmtId="2" fontId="9" fillId="0" borderId="0" xfId="0" applyNumberFormat="1" applyFont="1"/>
    <xf numFmtId="2" fontId="7" fillId="0" borderId="0" xfId="0" applyNumberFormat="1" applyFont="1"/>
    <xf numFmtId="2" fontId="0" fillId="0" borderId="24" xfId="0" applyNumberFormat="1" applyBorder="1"/>
    <xf numFmtId="2" fontId="9" fillId="6" borderId="29" xfId="0" applyNumberFormat="1" applyFont="1" applyFill="1" applyBorder="1" applyAlignment="1">
      <alignment horizontal="center"/>
    </xf>
    <xf numFmtId="2" fontId="9" fillId="6" borderId="28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9" fillId="6" borderId="23" xfId="0" applyNumberFormat="1" applyFont="1" applyFill="1" applyBorder="1" applyAlignment="1">
      <alignment horizontal="center"/>
    </xf>
    <xf numFmtId="2" fontId="9" fillId="6" borderId="25" xfId="0" applyNumberFormat="1" applyFont="1" applyFill="1" applyBorder="1" applyAlignment="1">
      <alignment horizontal="center"/>
    </xf>
    <xf numFmtId="2" fontId="9" fillId="6" borderId="8" xfId="0" applyNumberFormat="1" applyFont="1" applyFill="1" applyBorder="1" applyAlignment="1">
      <alignment horizontal="right"/>
    </xf>
    <xf numFmtId="2" fontId="6" fillId="6" borderId="8" xfId="1" applyNumberFormat="1" applyFill="1" applyBorder="1"/>
    <xf numFmtId="2" fontId="0" fillId="0" borderId="8" xfId="0" applyNumberFormat="1" applyBorder="1"/>
    <xf numFmtId="2" fontId="0" fillId="6" borderId="8" xfId="0" applyNumberFormat="1" applyFill="1" applyBorder="1"/>
    <xf numFmtId="2" fontId="0" fillId="0" borderId="23" xfId="0" applyNumberFormat="1" applyBorder="1"/>
    <xf numFmtId="2" fontId="0" fillId="6" borderId="8" xfId="0" applyNumberFormat="1" applyFill="1" applyBorder="1" applyProtection="1">
      <protection locked="0"/>
    </xf>
    <xf numFmtId="2" fontId="6" fillId="6" borderId="8" xfId="1" applyNumberFormat="1" applyFill="1" applyBorder="1" applyProtection="1">
      <protection locked="0"/>
    </xf>
    <xf numFmtId="2" fontId="16" fillId="0" borderId="0" xfId="0" applyNumberFormat="1" applyFont="1" applyAlignment="1">
      <alignment horizontal="center"/>
    </xf>
    <xf numFmtId="0" fontId="17" fillId="8" borderId="8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7" fillId="0" borderId="0" xfId="0" applyFont="1"/>
    <xf numFmtId="0" fontId="17" fillId="7" borderId="8" xfId="0" applyFont="1" applyFill="1" applyBorder="1" applyProtection="1">
      <protection locked="0"/>
    </xf>
    <xf numFmtId="0" fontId="18" fillId="7" borderId="8" xfId="0" applyFont="1" applyFill="1" applyBorder="1" applyProtection="1">
      <protection locked="0"/>
    </xf>
    <xf numFmtId="0" fontId="17" fillId="6" borderId="8" xfId="0" applyFont="1" applyFill="1" applyBorder="1" applyAlignment="1" applyProtection="1">
      <alignment horizontal="center"/>
      <protection locked="0"/>
    </xf>
    <xf numFmtId="0" fontId="17" fillId="7" borderId="8" xfId="0" applyFont="1" applyFill="1" applyBorder="1" applyAlignment="1" applyProtection="1">
      <alignment horizontal="center"/>
      <protection locked="0"/>
    </xf>
    <xf numFmtId="0" fontId="17" fillId="6" borderId="8" xfId="0" applyFont="1" applyFill="1" applyBorder="1" applyAlignment="1" applyProtection="1">
      <alignment horizontal="right"/>
      <protection locked="0"/>
    </xf>
    <xf numFmtId="0" fontId="17" fillId="6" borderId="8" xfId="0" applyFont="1" applyFill="1" applyBorder="1" applyProtection="1">
      <protection locked="0"/>
    </xf>
    <xf numFmtId="0" fontId="17" fillId="7" borderId="8" xfId="0" applyFont="1" applyFill="1" applyBorder="1" applyAlignment="1" applyProtection="1">
      <alignment horizontal="right"/>
      <protection locked="0"/>
    </xf>
    <xf numFmtId="0" fontId="17" fillId="6" borderId="8" xfId="0" applyFont="1" applyFill="1" applyBorder="1"/>
    <xf numFmtId="0" fontId="17" fillId="0" borderId="8" xfId="0" applyFont="1" applyBorder="1"/>
    <xf numFmtId="0" fontId="19" fillId="8" borderId="8" xfId="0" applyFont="1" applyFill="1" applyBorder="1"/>
    <xf numFmtId="0" fontId="17" fillId="12" borderId="0" xfId="0" applyFont="1" applyFill="1"/>
    <xf numFmtId="0" fontId="21" fillId="0" borderId="0" xfId="0" applyFont="1"/>
    <xf numFmtId="0" fontId="23" fillId="13" borderId="29" xfId="0" applyFont="1" applyFill="1" applyBorder="1" applyAlignment="1">
      <alignment horizontal="left" vertical="center" wrapText="1"/>
    </xf>
    <xf numFmtId="0" fontId="0" fillId="13" borderId="31" xfId="0" applyFill="1" applyBorder="1" applyAlignment="1">
      <alignment wrapText="1"/>
    </xf>
    <xf numFmtId="0" fontId="23" fillId="13" borderId="23" xfId="0" applyFont="1" applyFill="1" applyBorder="1" applyAlignment="1">
      <alignment horizontal="left" vertical="center" wrapText="1"/>
    </xf>
    <xf numFmtId="0" fontId="0" fillId="13" borderId="27" xfId="0" applyFill="1" applyBorder="1" applyAlignment="1">
      <alignment wrapText="1"/>
    </xf>
    <xf numFmtId="0" fontId="23" fillId="13" borderId="29" xfId="0" applyFont="1" applyFill="1" applyBorder="1" applyAlignment="1">
      <alignment horizontal="left" vertical="top"/>
    </xf>
    <xf numFmtId="0" fontId="6" fillId="13" borderId="31" xfId="1" applyFill="1" applyBorder="1" applyAlignment="1">
      <alignment vertical="top"/>
    </xf>
    <xf numFmtId="0" fontId="23" fillId="13" borderId="23" xfId="0" applyFont="1" applyFill="1" applyBorder="1" applyAlignment="1">
      <alignment horizontal="left" vertical="top"/>
    </xf>
    <xf numFmtId="0" fontId="6" fillId="13" borderId="27" xfId="1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27" xfId="0" applyFill="1" applyBorder="1" applyAlignment="1">
      <alignment vertical="top"/>
    </xf>
    <xf numFmtId="0" fontId="9" fillId="3" borderId="1" xfId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6" fillId="0" borderId="7" xfId="1" applyBorder="1" applyAlignment="1">
      <alignment horizontal="left"/>
    </xf>
    <xf numFmtId="0" fontId="6" fillId="0" borderId="8" xfId="1" applyBorder="1" applyAlignment="1">
      <alignment horizontal="left"/>
    </xf>
    <xf numFmtId="0" fontId="6" fillId="0" borderId="4" xfId="1" applyBorder="1" applyAlignment="1">
      <alignment horizontal="left"/>
    </xf>
    <xf numFmtId="0" fontId="6" fillId="0" borderId="5" xfId="1" applyBorder="1" applyAlignment="1">
      <alignment horizontal="left"/>
    </xf>
    <xf numFmtId="0" fontId="6" fillId="0" borderId="13" xfId="1" applyBorder="1" applyAlignment="1">
      <alignment horizontal="left"/>
    </xf>
    <xf numFmtId="0" fontId="9" fillId="3" borderId="4" xfId="1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0" borderId="4" xfId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9" fillId="0" borderId="6" xfId="1" applyFont="1" applyBorder="1" applyAlignment="1">
      <alignment horizontal="left"/>
    </xf>
    <xf numFmtId="0" fontId="13" fillId="0" borderId="7" xfId="1" applyFont="1" applyBorder="1" applyAlignment="1">
      <alignment horizontal="left"/>
    </xf>
    <xf numFmtId="0" fontId="13" fillId="0" borderId="8" xfId="1" applyFont="1" applyBorder="1" applyAlignment="1">
      <alignment horizontal="left"/>
    </xf>
    <xf numFmtId="0" fontId="6" fillId="0" borderId="14" xfId="1" applyBorder="1" applyAlignment="1">
      <alignment horizontal="center"/>
    </xf>
    <xf numFmtId="0" fontId="6" fillId="0" borderId="15" xfId="1" applyBorder="1" applyAlignment="1">
      <alignment horizontal="center"/>
    </xf>
    <xf numFmtId="0" fontId="6" fillId="0" borderId="11" xfId="1" applyBorder="1" applyAlignment="1">
      <alignment horizontal="center"/>
    </xf>
    <xf numFmtId="0" fontId="6" fillId="0" borderId="16" xfId="1" applyBorder="1" applyAlignment="1">
      <alignment horizontal="center"/>
    </xf>
    <xf numFmtId="0" fontId="6" fillId="0" borderId="17" xfId="1" applyBorder="1" applyAlignment="1">
      <alignment horizontal="center"/>
    </xf>
    <xf numFmtId="0" fontId="6" fillId="0" borderId="18" xfId="1" applyBorder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6" fillId="5" borderId="19" xfId="1" applyFill="1" applyBorder="1" applyAlignment="1">
      <alignment horizontal="left"/>
    </xf>
    <xf numFmtId="0" fontId="6" fillId="5" borderId="20" xfId="1" applyFill="1" applyBorder="1" applyAlignment="1">
      <alignment horizontal="left"/>
    </xf>
    <xf numFmtId="0" fontId="6" fillId="5" borderId="21" xfId="1" applyFill="1" applyBorder="1" applyAlignment="1">
      <alignment horizontal="left"/>
    </xf>
    <xf numFmtId="0" fontId="6" fillId="0" borderId="4" xfId="1" applyBorder="1" applyAlignment="1">
      <alignment horizontal="center"/>
    </xf>
    <xf numFmtId="0" fontId="6" fillId="0" borderId="5" xfId="1" applyBorder="1" applyAlignment="1">
      <alignment horizontal="center"/>
    </xf>
    <xf numFmtId="0" fontId="6" fillId="0" borderId="6" xfId="1" applyBorder="1" applyAlignment="1">
      <alignment horizontal="center"/>
    </xf>
    <xf numFmtId="0" fontId="6" fillId="0" borderId="12" xfId="1" applyBorder="1" applyAlignment="1">
      <alignment horizontal="left"/>
    </xf>
    <xf numFmtId="2" fontId="0" fillId="0" borderId="8" xfId="0" applyNumberForma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8" fillId="7" borderId="8" xfId="0" applyFont="1" applyFill="1" applyBorder="1" applyAlignment="1" applyProtection="1">
      <alignment horizontal="center"/>
      <protection locked="0"/>
    </xf>
    <xf numFmtId="0" fontId="17" fillId="6" borderId="12" xfId="0" applyFont="1" applyFill="1" applyBorder="1" applyAlignment="1" applyProtection="1">
      <alignment horizontal="center"/>
      <protection locked="0"/>
    </xf>
    <xf numFmtId="0" fontId="17" fillId="6" borderId="5" xfId="0" applyFont="1" applyFill="1" applyBorder="1" applyAlignment="1" applyProtection="1">
      <alignment horizontal="center"/>
      <protection locked="0"/>
    </xf>
    <xf numFmtId="0" fontId="18" fillId="6" borderId="13" xfId="0" applyFont="1" applyFill="1" applyBorder="1" applyAlignment="1" applyProtection="1">
      <alignment horizontal="center"/>
      <protection locked="0"/>
    </xf>
    <xf numFmtId="0" fontId="17" fillId="7" borderId="8" xfId="0" applyFont="1" applyFill="1" applyBorder="1" applyAlignment="1" applyProtection="1">
      <alignment horizontal="center"/>
      <protection locked="0"/>
    </xf>
    <xf numFmtId="0" fontId="17" fillId="7" borderId="12" xfId="0" applyFont="1" applyFill="1" applyBorder="1" applyAlignment="1" applyProtection="1">
      <alignment horizontal="center"/>
      <protection locked="0"/>
    </xf>
    <xf numFmtId="0" fontId="17" fillId="7" borderId="5" xfId="0" applyFont="1" applyFill="1" applyBorder="1" applyAlignment="1" applyProtection="1">
      <alignment horizontal="center"/>
      <protection locked="0"/>
    </xf>
    <xf numFmtId="0" fontId="17" fillId="7" borderId="13" xfId="0" applyFont="1" applyFill="1" applyBorder="1" applyAlignment="1" applyProtection="1">
      <alignment horizontal="center"/>
      <protection locked="0"/>
    </xf>
    <xf numFmtId="0" fontId="18" fillId="6" borderId="8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</cellXfs>
  <cellStyles count="3">
    <cellStyle name="Normal" xfId="0" builtinId="0"/>
    <cellStyle name="Normal 3 2" xfId="1" xr:uid="{B959C2C7-5BF1-4D71-A410-EA1E6CE75DE9}"/>
    <cellStyle name="Percent 2" xfId="2" xr:uid="{E5AA24A0-0594-4D9C-A2AC-B881A4636765}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Cell Means for Distance</a:t>
            </a:r>
            <a:r>
              <a:rPr lang="en-IN" baseline="0"/>
              <a:t> Travelled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'Q5'!$G$4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'Q5'!$H$3:$J$3</c:f>
              <c:strCache>
                <c:ptCount val="3"/>
                <c:pt idx="0">
                  <c:v>Holiday</c:v>
                </c:pt>
                <c:pt idx="1">
                  <c:v>Private</c:v>
                </c:pt>
                <c:pt idx="2">
                  <c:v>Work</c:v>
                </c:pt>
              </c:strCache>
            </c:strRef>
          </c:cat>
          <c:val>
            <c:numRef>
              <c:f>'Q5'!$H$7:$J$7</c:f>
              <c:numCache>
                <c:formatCode>0.00</c:formatCode>
                <c:ptCount val="3"/>
                <c:pt idx="0">
                  <c:v>11400</c:v>
                </c:pt>
                <c:pt idx="1">
                  <c:v>11000</c:v>
                </c:pt>
                <c:pt idx="2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1-44F3-8FCA-E4E195D82986}"/>
            </c:ext>
          </c:extLst>
        </c:ser>
        <c:ser>
          <c:idx val="1"/>
          <c:order val="1"/>
          <c:tx>
            <c:strRef>
              <c:f>'Q5'!$G$10</c:f>
              <c:strCache>
                <c:ptCount val="1"/>
                <c:pt idx="0">
                  <c:v>Regional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'Q5'!$H$3:$J$3</c:f>
              <c:strCache>
                <c:ptCount val="3"/>
                <c:pt idx="0">
                  <c:v>Holiday</c:v>
                </c:pt>
                <c:pt idx="1">
                  <c:v>Private</c:v>
                </c:pt>
                <c:pt idx="2">
                  <c:v>Work</c:v>
                </c:pt>
              </c:strCache>
            </c:strRef>
          </c:cat>
          <c:val>
            <c:numRef>
              <c:f>'Q5'!$H$13:$J$13</c:f>
              <c:numCache>
                <c:formatCode>0.00</c:formatCode>
                <c:ptCount val="3"/>
                <c:pt idx="0">
                  <c:v>11400</c:v>
                </c:pt>
                <c:pt idx="1">
                  <c:v>13400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1-44F3-8FCA-E4E195D8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526352"/>
        <c:axId val="1519820688"/>
      </c:lineChart>
      <c:catAx>
        <c:axId val="13675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Trip</a:t>
                </a:r>
                <a:r>
                  <a:rPr lang="en-IN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0688"/>
        <c:crosses val="autoZero"/>
        <c:auto val="1"/>
        <c:lblAlgn val="ctr"/>
        <c:lblOffset val="100"/>
        <c:noMultiLvlLbl val="0"/>
      </c:catAx>
      <c:valAx>
        <c:axId val="15198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travelled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4</xdr:row>
      <xdr:rowOff>22860</xdr:rowOff>
    </xdr:from>
    <xdr:to>
      <xdr:col>19</xdr:col>
      <xdr:colOff>358140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096B0-8AAA-CB02-2EBF-6BA70028F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eakin365-my.sharepoint.com/personal/dilal_saundage_deakin_edu_au/Documents/Teaching%20Portfolio/Teaching%20T2%202023/MIS771/A1/A1T22023.xlsx" TargetMode="External"/><Relationship Id="rId1" Type="http://schemas.openxmlformats.org/officeDocument/2006/relationships/externalLinkPath" Target="https://deakin365-my.sharepoint.com/personal/dilal_saundage_deakin_edu_au/Documents/Teaching%20Portfolio/Teaching%20T2%202023/MIS771/A1/A1T2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th\Downloads\Chi-Square%20Worksheets%20(2).xls" TargetMode="External"/><Relationship Id="rId1" Type="http://schemas.openxmlformats.org/officeDocument/2006/relationships/externalLinkPath" Target="Chi-Square%20Worksheets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pyright Statment "/>
      <sheetName val="Data Description"/>
      <sheetName val="CustomerDataSet"/>
      <sheetName val="Experiment"/>
      <sheetName val="Switching_Provider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Square2x3"/>
      <sheetName val="ChiSquare2x3_FORMULAS"/>
      <sheetName val="Marascuilo2x3"/>
      <sheetName val="Marascuilo2x3_FORMULAS"/>
      <sheetName val="ChiSquare2x4"/>
      <sheetName val="Marascuilo2x4"/>
      <sheetName val="ChiSquare2x5"/>
      <sheetName val="Marascuilo2x5"/>
      <sheetName val="ChiSquare3X4"/>
      <sheetName val="ChiSquare4X3"/>
      <sheetName val="ChiSquare7X3"/>
      <sheetName val="ChiSquare8X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 Sharma" refreshedDate="45389.880088310187" createdVersion="8" refreshedVersion="8" minRefreshableVersion="3" recordCount="102" xr:uid="{9E7485B9-7D38-44BD-8810-09927639182C}">
  <cacheSource type="worksheet">
    <worksheetSource ref="A1:N103" sheet="EVSurvey "/>
  </cacheSource>
  <cacheFields count="14">
    <cacheField name="Index" numFmtId="1">
      <sharedItems containsSemiMixedTypes="0" containsString="0" containsNumber="1" containsInteger="1" minValue="1" maxValue="102"/>
    </cacheField>
    <cacheField name="State" numFmtId="0">
      <sharedItems/>
    </cacheField>
    <cacheField name="Locality" numFmtId="0">
      <sharedItems/>
    </cacheField>
    <cacheField name="Age" numFmtId="1">
      <sharedItems containsSemiMixedTypes="0" containsString="0" containsNumber="1" containsInteger="1" minValue="27" maxValue="57"/>
    </cacheField>
    <cacheField name="Household_Type" numFmtId="0">
      <sharedItems/>
    </cacheField>
    <cacheField name="Annual_KM" numFmtId="1">
      <sharedItems containsSemiMixedTypes="0" containsString="0" containsNumber="1" containsInteger="1" minValue="8000" maxValue="18000"/>
    </cacheField>
    <cacheField name="Trip_Type" numFmtId="0">
      <sharedItems/>
    </cacheField>
    <cacheField name="Reason" numFmtId="0">
      <sharedItems count="5">
        <s v="Environment"/>
        <s v="Technology"/>
        <s v="Economic"/>
        <s v="Fuel Security"/>
        <s v="Health"/>
      </sharedItems>
    </cacheField>
    <cacheField name="EV_Towing" numFmtId="0">
      <sharedItems/>
    </cacheField>
    <cacheField name="Charge_at_Work" numFmtId="1">
      <sharedItems containsSemiMixedTypes="0" containsString="0" containsNumber="1" containsInteger="1" minValue="2" maxValue="5"/>
    </cacheField>
    <cacheField name="Charge_at_Home" numFmtId="1">
      <sharedItems containsSemiMixedTypes="0" containsString="0" containsNumber="1" containsInteger="1" minValue="3" maxValue="7" count="5">
        <n v="7"/>
        <n v="5"/>
        <n v="6"/>
        <n v="4"/>
        <n v="3"/>
      </sharedItems>
    </cacheField>
    <cacheField name="Calculate_Savings" numFmtId="0">
      <sharedItems/>
    </cacheField>
    <cacheField name="Fuel_Savings" numFmtId="1">
      <sharedItems containsSemiMixedTypes="0" containsString="0" containsNumber="1" containsInteger="1" minValue="2000" maxValue="4500"/>
    </cacheField>
    <cacheField name="Maintenance_Savings" numFmtId="1">
      <sharedItems containsSemiMixedTypes="0" containsString="0" containsNumber="1" containsInteger="1" minValue="600" maxValue="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"/>
    <s v="Queensland"/>
    <s v="Metro"/>
    <n v="45"/>
    <s v="Couple with Children"/>
    <n v="15000"/>
    <s v="Work"/>
    <x v="0"/>
    <s v="No"/>
    <n v="3"/>
    <x v="0"/>
    <s v="No"/>
    <n v="4000"/>
    <n v="600"/>
  </r>
  <r>
    <n v="2"/>
    <s v="Tasmania"/>
    <s v="Regional"/>
    <n v="32"/>
    <s v="Couple with Children"/>
    <n v="12000"/>
    <s v="Private"/>
    <x v="1"/>
    <s v="Yes"/>
    <n v="2"/>
    <x v="1"/>
    <s v="Yes"/>
    <n v="3000"/>
    <n v="750"/>
  </r>
  <r>
    <n v="3"/>
    <s v="New South Wales"/>
    <s v="Metro"/>
    <n v="50"/>
    <s v="Couple with no Children"/>
    <n v="10000"/>
    <s v="Holiday"/>
    <x v="2"/>
    <s v="Yes"/>
    <n v="4"/>
    <x v="2"/>
    <s v="Yes"/>
    <n v="3500"/>
    <n v="700"/>
  </r>
  <r>
    <n v="4"/>
    <s v="Victoria"/>
    <s v="Regional"/>
    <n v="28"/>
    <s v="Single Person"/>
    <n v="8000"/>
    <s v="Work"/>
    <x v="3"/>
    <s v="No"/>
    <n v="5"/>
    <x v="3"/>
    <s v="Yes"/>
    <n v="2500"/>
    <n v="850"/>
  </r>
  <r>
    <n v="5"/>
    <s v="New South Wales"/>
    <s v="Metro"/>
    <n v="55"/>
    <s v="Single Parent"/>
    <n v="9000"/>
    <s v="Private"/>
    <x v="0"/>
    <s v="Yes"/>
    <n v="3"/>
    <x v="0"/>
    <s v="No"/>
    <n v="2800"/>
    <n v="800"/>
  </r>
  <r>
    <n v="6"/>
    <s v="New South Wales"/>
    <s v="Regional"/>
    <n v="40"/>
    <s v="Couple with Children"/>
    <n v="11000"/>
    <s v="Work"/>
    <x v="4"/>
    <s v="Yes"/>
    <n v="2"/>
    <x v="1"/>
    <s v="No"/>
    <n v="3200"/>
    <n v="750"/>
  </r>
  <r>
    <n v="7"/>
    <s v="New South Wales"/>
    <s v="Metro"/>
    <n v="38"/>
    <s v="Couple with no Children"/>
    <n v="13000"/>
    <s v="Private"/>
    <x v="3"/>
    <s v="No"/>
    <n v="3"/>
    <x v="2"/>
    <s v="No"/>
    <n v="3800"/>
    <n v="700"/>
  </r>
  <r>
    <n v="8"/>
    <s v="Victoria"/>
    <s v="Regional"/>
    <n v="48"/>
    <s v="Single Person"/>
    <n v="14000"/>
    <s v="Holiday"/>
    <x v="1"/>
    <s v="Yes"/>
    <n v="4"/>
    <x v="3"/>
    <s v="Yes"/>
    <n v="4200"/>
    <n v="650"/>
  </r>
  <r>
    <n v="9"/>
    <s v="New South Wales"/>
    <s v="Metro"/>
    <n v="42"/>
    <s v="Couple with Children"/>
    <n v="16000"/>
    <s v="Work"/>
    <x v="2"/>
    <s v="Yes"/>
    <n v="5"/>
    <x v="4"/>
    <s v="Yes"/>
    <n v="3800"/>
    <n v="750"/>
  </r>
  <r>
    <n v="10"/>
    <s v="Victoria"/>
    <s v="Regional"/>
    <n v="30"/>
    <s v="Single Parent"/>
    <n v="10000"/>
    <s v="Private"/>
    <x v="0"/>
    <s v="Yes"/>
    <n v="3"/>
    <x v="2"/>
    <s v="No"/>
    <n v="2900"/>
    <n v="800"/>
  </r>
  <r>
    <n v="11"/>
    <s v="Queensland"/>
    <s v="Metro"/>
    <n v="52"/>
    <s v="Couple with no Children"/>
    <n v="12000"/>
    <s v="Holiday"/>
    <x v="1"/>
    <s v="Yes"/>
    <n v="2"/>
    <x v="0"/>
    <s v="Yes"/>
    <n v="3400"/>
    <n v="700"/>
  </r>
  <r>
    <n v="12"/>
    <s v="New South Wales"/>
    <s v="Regional"/>
    <n v="35"/>
    <s v="Couple with Children"/>
    <n v="11000"/>
    <s v="Work"/>
    <x v="3"/>
    <s v="No"/>
    <n v="3"/>
    <x v="1"/>
    <s v="Yes"/>
    <n v="3600"/>
    <n v="750"/>
  </r>
  <r>
    <n v="13"/>
    <s v="New South Wales"/>
    <s v="Metro"/>
    <n v="47"/>
    <s v="Single Person"/>
    <n v="9000"/>
    <s v="Private"/>
    <x v="4"/>
    <s v="Yes"/>
    <n v="4"/>
    <x v="3"/>
    <s v="No"/>
    <n v="4100"/>
    <n v="650"/>
  </r>
  <r>
    <n v="14"/>
    <s v="Queensland"/>
    <s v="Regional"/>
    <n v="33"/>
    <s v="Single Parent"/>
    <n v="8000"/>
    <s v="Holiday"/>
    <x v="3"/>
    <s v="No"/>
    <n v="5"/>
    <x v="2"/>
    <s v="No"/>
    <n v="2600"/>
    <n v="850"/>
  </r>
  <r>
    <n v="15"/>
    <s v="Victoria"/>
    <s v="Metro"/>
    <n v="57"/>
    <s v="Couple with Children"/>
    <n v="13000"/>
    <s v="Work"/>
    <x v="1"/>
    <s v="Yes"/>
    <n v="2"/>
    <x v="1"/>
    <s v="Yes"/>
    <n v="3900"/>
    <n v="700"/>
  </r>
  <r>
    <n v="16"/>
    <s v="Queensland"/>
    <s v="Regional"/>
    <n v="37"/>
    <s v="Couple with no Children"/>
    <n v="15000"/>
    <s v="Private"/>
    <x v="2"/>
    <s v="Yes"/>
    <n v="3"/>
    <x v="2"/>
    <s v="Yes"/>
    <n v="3300"/>
    <n v="750"/>
  </r>
  <r>
    <n v="17"/>
    <s v="New South Wales"/>
    <s v="Metro"/>
    <n v="45"/>
    <s v="Single Person"/>
    <n v="14000"/>
    <s v="Holiday"/>
    <x v="0"/>
    <s v="Yes"/>
    <n v="4"/>
    <x v="0"/>
    <s v="No"/>
    <n v="3700"/>
    <n v="700"/>
  </r>
  <r>
    <n v="18"/>
    <s v="New South Wales"/>
    <s v="Regional"/>
    <n v="31"/>
    <s v="Single Parent"/>
    <n v="11000"/>
    <s v="Work"/>
    <x v="4"/>
    <s v="Yes"/>
    <n v="5"/>
    <x v="3"/>
    <s v="No"/>
    <n v="4300"/>
    <n v="650"/>
  </r>
  <r>
    <n v="19"/>
    <s v="Western Australia"/>
    <s v="Metro"/>
    <n v="50"/>
    <s v="Couple with Children"/>
    <n v="12000"/>
    <s v="Private"/>
    <x v="3"/>
    <s v="No"/>
    <n v="3"/>
    <x v="2"/>
    <s v="No"/>
    <n v="3000"/>
    <n v="800"/>
  </r>
  <r>
    <n v="20"/>
    <s v="New South Wales"/>
    <s v="Regional"/>
    <n v="29"/>
    <s v="Couple with no Children"/>
    <n v="10000"/>
    <s v="Holiday"/>
    <x v="1"/>
    <s v="Yes"/>
    <n v="4"/>
    <x v="1"/>
    <s v="Yes"/>
    <n v="3500"/>
    <n v="750"/>
  </r>
  <r>
    <n v="21"/>
    <s v="Victoria"/>
    <s v="Metro"/>
    <n v="53"/>
    <s v="Single Person"/>
    <n v="8000"/>
    <s v="Work"/>
    <x v="2"/>
    <s v="Yes"/>
    <n v="2"/>
    <x v="0"/>
    <s v="Yes"/>
    <n v="2700"/>
    <n v="850"/>
  </r>
  <r>
    <n v="22"/>
    <s v="Tasmania"/>
    <s v="Regional"/>
    <n v="39"/>
    <s v="Single Parent"/>
    <n v="9000"/>
    <s v="Private"/>
    <x v="4"/>
    <s v="Yes"/>
    <n v="5"/>
    <x v="3"/>
    <s v="No"/>
    <n v="3200"/>
    <n v="800"/>
  </r>
  <r>
    <n v="23"/>
    <s v="New South Wales"/>
    <s v="Metro"/>
    <n v="46"/>
    <s v="Couple with Children"/>
    <n v="11000"/>
    <s v="Holiday"/>
    <x v="3"/>
    <s v="No"/>
    <n v="3"/>
    <x v="1"/>
    <s v="No"/>
    <n v="3400"/>
    <n v="750"/>
  </r>
  <r>
    <n v="24"/>
    <s v="New South Wales"/>
    <s v="Regional"/>
    <n v="34"/>
    <s v="Couple with no Children"/>
    <n v="13000"/>
    <s v="Work"/>
    <x v="0"/>
    <s v="Yes"/>
    <n v="4"/>
    <x v="2"/>
    <s v="No"/>
    <n v="3700"/>
    <n v="700"/>
  </r>
  <r>
    <n v="25"/>
    <s v="New South Wales"/>
    <s v="Metro"/>
    <n v="56"/>
    <s v="Single Person"/>
    <n v="15000"/>
    <s v="Private"/>
    <x v="3"/>
    <s v="No"/>
    <n v="2"/>
    <x v="3"/>
    <s v="Yes"/>
    <n v="2800"/>
    <n v="850"/>
  </r>
  <r>
    <n v="26"/>
    <s v="Australian Capital Territory"/>
    <s v="Regional"/>
    <n v="36"/>
    <s v="Single Parent"/>
    <n v="14000"/>
    <s v="Holiday"/>
    <x v="1"/>
    <s v="Yes"/>
    <n v="3"/>
    <x v="1"/>
    <s v="Yes"/>
    <n v="3300"/>
    <n v="800"/>
  </r>
  <r>
    <n v="27"/>
    <s v="Australian Capital Territory"/>
    <s v="Metro"/>
    <n v="32"/>
    <s v="Couple with Children"/>
    <n v="10000"/>
    <s v="Work"/>
    <x v="2"/>
    <s v="Yes"/>
    <n v="4"/>
    <x v="2"/>
    <s v="Yes"/>
    <n v="3800"/>
    <n v="750"/>
  </r>
  <r>
    <n v="28"/>
    <s v="Victoria"/>
    <s v="Regional"/>
    <n v="51"/>
    <s v="Couple with no Children"/>
    <n v="8000"/>
    <s v="Private"/>
    <x v="4"/>
    <s v="Yes"/>
    <n v="5"/>
    <x v="0"/>
    <s v="No"/>
    <n v="4200"/>
    <n v="700"/>
  </r>
  <r>
    <n v="29"/>
    <s v="Queensland"/>
    <s v="Metro"/>
    <n v="47"/>
    <s v="Single Person"/>
    <n v="9000"/>
    <s v="Holiday"/>
    <x v="3"/>
    <s v="No"/>
    <n v="2"/>
    <x v="1"/>
    <s v="No"/>
    <n v="3100"/>
    <n v="850"/>
  </r>
  <r>
    <n v="30"/>
    <s v="Victoria"/>
    <s v="Regional"/>
    <n v="31"/>
    <s v="Single Parent"/>
    <n v="11000"/>
    <s v="Work"/>
    <x v="0"/>
    <s v="Yes"/>
    <n v="3"/>
    <x v="3"/>
    <s v="No"/>
    <n v="3600"/>
    <n v="800"/>
  </r>
  <r>
    <n v="31"/>
    <s v="Victoria"/>
    <s v="Metro"/>
    <n v="54"/>
    <s v="Couple with Children"/>
    <n v="12000"/>
    <s v="Private"/>
    <x v="3"/>
    <s v="No"/>
    <n v="4"/>
    <x v="2"/>
    <s v="Yes"/>
    <n v="3100"/>
    <n v="750"/>
  </r>
  <r>
    <n v="32"/>
    <s v="Victoria"/>
    <s v="Regional"/>
    <n v="38"/>
    <s v="Couple with no Children"/>
    <n v="13000"/>
    <s v="Holiday"/>
    <x v="1"/>
    <s v="Yes"/>
    <n v="2"/>
    <x v="1"/>
    <s v="Yes"/>
    <n v="3500"/>
    <n v="700"/>
  </r>
  <r>
    <n v="33"/>
    <s v="Victoria"/>
    <s v="Metro"/>
    <n v="29"/>
    <s v="Single Person"/>
    <n v="14000"/>
    <s v="Work"/>
    <x v="2"/>
    <s v="Yes"/>
    <n v="3"/>
    <x v="0"/>
    <s v="Yes"/>
    <n v="3900"/>
    <n v="650"/>
  </r>
  <r>
    <n v="34"/>
    <s v="Queensland"/>
    <s v="Regional"/>
    <n v="56"/>
    <s v="Single Parent"/>
    <n v="15000"/>
    <s v="Private"/>
    <x v="4"/>
    <s v="Yes"/>
    <n v="5"/>
    <x v="4"/>
    <s v="No"/>
    <n v="2000"/>
    <n v="650"/>
  </r>
  <r>
    <n v="35"/>
    <s v="South Australia"/>
    <s v="Metro"/>
    <n v="42"/>
    <s v="Couple with Children"/>
    <n v="18000"/>
    <s v="Work"/>
    <x v="0"/>
    <s v="Yes"/>
    <n v="3"/>
    <x v="2"/>
    <s v="No"/>
    <n v="4500"/>
    <n v="850"/>
  </r>
  <r>
    <n v="36"/>
    <s v="New South Wales"/>
    <s v="Regional"/>
    <n v="35"/>
    <s v="Single Parent"/>
    <n v="10000"/>
    <s v="Private"/>
    <x v="1"/>
    <s v="No"/>
    <n v="4"/>
    <x v="0"/>
    <s v="Yes"/>
    <n v="3200"/>
    <n v="750"/>
  </r>
  <r>
    <n v="37"/>
    <s v="New South Wales"/>
    <s v="Metro"/>
    <n v="50"/>
    <s v="Couple with no Children"/>
    <n v="12000"/>
    <s v="Holiday"/>
    <x v="2"/>
    <s v="Yes"/>
    <n v="3"/>
    <x v="1"/>
    <s v="Yes"/>
    <n v="3800"/>
    <n v="800"/>
  </r>
  <r>
    <n v="38"/>
    <s v="Victoria"/>
    <s v="Regional"/>
    <n v="28"/>
    <s v="Single Person"/>
    <n v="8000"/>
    <s v="Work"/>
    <x v="3"/>
    <s v="Yes"/>
    <n v="5"/>
    <x v="3"/>
    <s v="Yes"/>
    <n v="2700"/>
    <n v="900"/>
  </r>
  <r>
    <n v="39"/>
    <s v="Victoria"/>
    <s v="Metro"/>
    <n v="55"/>
    <s v="Couple with Children"/>
    <n v="15000"/>
    <s v="Private"/>
    <x v="3"/>
    <s v="No"/>
    <n v="2"/>
    <x v="2"/>
    <s v="No"/>
    <n v="4100"/>
    <n v="850"/>
  </r>
  <r>
    <n v="40"/>
    <s v="Queensland"/>
    <s v="Regional"/>
    <n v="40"/>
    <s v="Couple with no Children"/>
    <n v="11000"/>
    <s v="Holiday"/>
    <x v="4"/>
    <s v="Yes"/>
    <n v="4"/>
    <x v="1"/>
    <s v="No"/>
    <n v="3500"/>
    <n v="800"/>
  </r>
  <r>
    <n v="41"/>
    <s v="Queensland"/>
    <s v="Metro"/>
    <n v="48"/>
    <s v="Single Parent"/>
    <n v="14000"/>
    <s v="Work"/>
    <x v="1"/>
    <s v="Yes"/>
    <n v="3"/>
    <x v="0"/>
    <s v="Yes"/>
    <n v="3900"/>
    <n v="900"/>
  </r>
  <r>
    <n v="42"/>
    <s v="Queensland"/>
    <s v="Regional"/>
    <n v="33"/>
    <s v="Couple with Children"/>
    <n v="13000"/>
    <s v="Private"/>
    <x v="0"/>
    <s v="Yes"/>
    <n v="4"/>
    <x v="1"/>
    <s v="No"/>
    <n v="3300"/>
    <n v="750"/>
  </r>
  <r>
    <n v="43"/>
    <s v="New South Wales"/>
    <s v="Metro"/>
    <n v="52"/>
    <s v="Single Person"/>
    <n v="12000"/>
    <s v="Holiday"/>
    <x v="1"/>
    <s v="Yes"/>
    <n v="3"/>
    <x v="2"/>
    <s v="Yes"/>
    <n v="3600"/>
    <n v="850"/>
  </r>
  <r>
    <n v="44"/>
    <s v="South Australia"/>
    <s v="Regional"/>
    <n v="30"/>
    <s v="Couple with no Children"/>
    <n v="9000"/>
    <s v="Work"/>
    <x v="2"/>
    <s v="Yes"/>
    <n v="5"/>
    <x v="3"/>
    <s v="Yes"/>
    <n v="2800"/>
    <n v="900"/>
  </r>
  <r>
    <n v="45"/>
    <s v="New South Wales"/>
    <s v="Metro"/>
    <n v="47"/>
    <s v="Couple with Children"/>
    <n v="16000"/>
    <s v="Private"/>
    <x v="3"/>
    <s v="No"/>
    <n v="2"/>
    <x v="0"/>
    <s v="No"/>
    <n v="4300"/>
    <n v="850"/>
  </r>
  <r>
    <n v="46"/>
    <s v="Western Australia"/>
    <s v="Regional"/>
    <n v="31"/>
    <s v="Single Parent"/>
    <n v="10000"/>
    <s v="Holiday"/>
    <x v="4"/>
    <s v="Yes"/>
    <n v="4"/>
    <x v="1"/>
    <s v="No"/>
    <n v="3400"/>
    <n v="800"/>
  </r>
  <r>
    <n v="47"/>
    <s v="Victoria"/>
    <s v="Metro"/>
    <n v="57"/>
    <s v="Couple with no Children"/>
    <n v="11000"/>
    <s v="Work"/>
    <x v="3"/>
    <s v="No"/>
    <n v="3"/>
    <x v="2"/>
    <s v="Yes"/>
    <n v="3800"/>
    <n v="750"/>
  </r>
  <r>
    <n v="48"/>
    <s v="New South Wales"/>
    <s v="Regional"/>
    <n v="37"/>
    <s v="Single Person"/>
    <n v="9000"/>
    <s v="Private"/>
    <x v="1"/>
    <s v="Yes"/>
    <n v="5"/>
    <x v="3"/>
    <s v="Yes"/>
    <n v="3100"/>
    <n v="900"/>
  </r>
  <r>
    <n v="49"/>
    <s v="South Australia"/>
    <s v="Metro"/>
    <n v="45"/>
    <s v="Couple with Children"/>
    <n v="13000"/>
    <s v="Holiday"/>
    <x v="0"/>
    <s v="Yes"/>
    <n v="3"/>
    <x v="0"/>
    <s v="No"/>
    <n v="4200"/>
    <n v="850"/>
  </r>
  <r>
    <n v="50"/>
    <s v="New South Wales"/>
    <s v="Regional"/>
    <n v="29"/>
    <s v="Single Parent"/>
    <n v="8000"/>
    <s v="Work"/>
    <x v="2"/>
    <s v="Yes"/>
    <n v="4"/>
    <x v="1"/>
    <s v="Yes"/>
    <n v="3300"/>
    <n v="800"/>
  </r>
  <r>
    <n v="51"/>
    <s v="New South Wales"/>
    <s v="Metro"/>
    <n v="50"/>
    <s v="Couple with no Children"/>
    <n v="14000"/>
    <s v="Private"/>
    <x v="4"/>
    <s v="Yes"/>
    <n v="2"/>
    <x v="2"/>
    <s v="No"/>
    <n v="3700"/>
    <n v="850"/>
  </r>
  <r>
    <n v="52"/>
    <s v="New South Wales"/>
    <s v="Regional"/>
    <n v="38"/>
    <s v="Couple with Children"/>
    <n v="12000"/>
    <s v="Holiday"/>
    <x v="3"/>
    <s v="No"/>
    <n v="4"/>
    <x v="0"/>
    <s v="No"/>
    <n v="4000"/>
    <n v="800"/>
  </r>
  <r>
    <n v="53"/>
    <s v="New South Wales"/>
    <s v="Metro"/>
    <n v="53"/>
    <s v="Single Person"/>
    <n v="10000"/>
    <s v="Work"/>
    <x v="1"/>
    <s v="Yes"/>
    <n v="3"/>
    <x v="1"/>
    <s v="Yes"/>
    <n v="3200"/>
    <n v="900"/>
  </r>
  <r>
    <n v="54"/>
    <s v="New South Wales"/>
    <s v="Regional"/>
    <n v="36"/>
    <s v="Couple with no Children"/>
    <n v="11000"/>
    <s v="Private"/>
    <x v="3"/>
    <s v="Yes"/>
    <n v="5"/>
    <x v="3"/>
    <s v="Yes"/>
    <n v="2800"/>
    <n v="950"/>
  </r>
  <r>
    <n v="55"/>
    <s v="New South Wales"/>
    <s v="Metro"/>
    <n v="46"/>
    <s v="Single Parent"/>
    <n v="9000"/>
    <s v="Holiday"/>
    <x v="0"/>
    <s v="Yes"/>
    <n v="2"/>
    <x v="2"/>
    <s v="No"/>
    <n v="3600"/>
    <n v="900"/>
  </r>
  <r>
    <n v="56"/>
    <s v="South Australia"/>
    <s v="Regional"/>
    <n v="32"/>
    <s v="Couple with Children"/>
    <n v="13000"/>
    <s v="Work"/>
    <x v="4"/>
    <s v="Yes"/>
    <n v="4"/>
    <x v="1"/>
    <s v="No"/>
    <n v="3900"/>
    <n v="850"/>
  </r>
  <r>
    <n v="57"/>
    <s v="Queensland"/>
    <s v="Metro"/>
    <n v="56"/>
    <s v="Single Person"/>
    <n v="15000"/>
    <s v="Private"/>
    <x v="3"/>
    <s v="No"/>
    <n v="3"/>
    <x v="0"/>
    <s v="No"/>
    <n v="4300"/>
    <n v="800"/>
  </r>
  <r>
    <n v="58"/>
    <s v="New South Wales"/>
    <s v="Regional"/>
    <n v="39"/>
    <s v="Couple with no Children"/>
    <n v="16000"/>
    <s v="Holiday"/>
    <x v="1"/>
    <s v="Yes"/>
    <n v="2"/>
    <x v="2"/>
    <s v="Yes"/>
    <n v="3500"/>
    <n v="850"/>
  </r>
  <r>
    <n v="59"/>
    <s v="Tasmania"/>
    <s v="Metro"/>
    <n v="33"/>
    <s v="Single Parent"/>
    <n v="8000"/>
    <s v="Work"/>
    <x v="2"/>
    <s v="Yes"/>
    <n v="5"/>
    <x v="3"/>
    <s v="Yes"/>
    <n v="3200"/>
    <n v="950"/>
  </r>
  <r>
    <n v="60"/>
    <s v="New South Wales"/>
    <s v="Regional"/>
    <n v="51"/>
    <s v="Couple with Children"/>
    <n v="10000"/>
    <s v="Private"/>
    <x v="3"/>
    <s v="Yes"/>
    <n v="4"/>
    <x v="0"/>
    <s v="Yes"/>
    <n v="4100"/>
    <n v="900"/>
  </r>
  <r>
    <n v="61"/>
    <s v="Victoria"/>
    <s v="Metro"/>
    <n v="47"/>
    <s v="Single Person"/>
    <n v="11000"/>
    <s v="Holiday"/>
    <x v="4"/>
    <s v="Yes"/>
    <n v="3"/>
    <x v="1"/>
    <s v="No"/>
    <n v="3400"/>
    <n v="950"/>
  </r>
  <r>
    <n v="62"/>
    <s v="Western Australia"/>
    <s v="Regional"/>
    <n v="31"/>
    <s v="Couple with no Children"/>
    <n v="12000"/>
    <s v="Work"/>
    <x v="3"/>
    <s v="No"/>
    <n v="5"/>
    <x v="2"/>
    <s v="No"/>
    <n v="3800"/>
    <n v="850"/>
  </r>
  <r>
    <n v="63"/>
    <s v="Queensland"/>
    <s v="Metro"/>
    <n v="54"/>
    <s v="Single Parent"/>
    <n v="14000"/>
    <s v="Private"/>
    <x v="0"/>
    <s v="Yes"/>
    <n v="2"/>
    <x v="1"/>
    <s v="No"/>
    <n v="3100"/>
    <n v="900"/>
  </r>
  <r>
    <n v="64"/>
    <s v="New South Wales"/>
    <s v="Regional"/>
    <n v="40"/>
    <s v="Couple with Children"/>
    <n v="15000"/>
    <s v="Holiday"/>
    <x v="1"/>
    <s v="Yes"/>
    <n v="3"/>
    <x v="0"/>
    <s v="Yes"/>
    <n v="4500"/>
    <n v="850"/>
  </r>
  <r>
    <n v="65"/>
    <s v="New South Wales"/>
    <s v="Metro"/>
    <n v="29"/>
    <s v="Couple with no Children"/>
    <n v="8000"/>
    <s v="Work"/>
    <x v="2"/>
    <s v="Yes"/>
    <n v="4"/>
    <x v="3"/>
    <s v="Yes"/>
    <n v="2800"/>
    <n v="950"/>
  </r>
  <r>
    <n v="66"/>
    <s v="Victoria"/>
    <s v="Regional"/>
    <n v="56"/>
    <s v="Single Person"/>
    <n v="9000"/>
    <s v="Private"/>
    <x v="4"/>
    <s v="Yes"/>
    <n v="5"/>
    <x v="2"/>
    <s v="No"/>
    <n v="4200"/>
    <n v="900"/>
  </r>
  <r>
    <n v="67"/>
    <s v="Western Australia"/>
    <s v="Metro"/>
    <n v="43"/>
    <s v="Couple with Children"/>
    <n v="10000"/>
    <s v="Holiday"/>
    <x v="3"/>
    <s v="No"/>
    <n v="3"/>
    <x v="1"/>
    <s v="No"/>
    <n v="3500"/>
    <n v="850"/>
  </r>
  <r>
    <n v="68"/>
    <s v="South Australia"/>
    <s v="Regional"/>
    <n v="30"/>
    <s v="Single Parent"/>
    <n v="11000"/>
    <s v="Work"/>
    <x v="0"/>
    <s v="Yes"/>
    <n v="5"/>
    <x v="0"/>
    <s v="No"/>
    <n v="2000"/>
    <n v="900"/>
  </r>
  <r>
    <n v="69"/>
    <s v="Victoria"/>
    <s v="Metro"/>
    <n v="42"/>
    <s v="Couple with Children"/>
    <n v="13000"/>
    <s v="Work"/>
    <x v="0"/>
    <s v="Yes"/>
    <n v="3"/>
    <x v="2"/>
    <s v="No"/>
    <n v="3200"/>
    <n v="750"/>
  </r>
  <r>
    <n v="70"/>
    <s v="Victoria"/>
    <s v="Regional"/>
    <n v="35"/>
    <s v="Couple with Children"/>
    <n v="11000"/>
    <s v="Private"/>
    <x v="1"/>
    <s v="Yes"/>
    <n v="4"/>
    <x v="1"/>
    <s v="Yes"/>
    <n v="3500"/>
    <n v="700"/>
  </r>
  <r>
    <n v="71"/>
    <s v="Queensland"/>
    <s v="Metro"/>
    <n v="49"/>
    <s v="Couple with no Children"/>
    <n v="12000"/>
    <s v="Holiday"/>
    <x v="2"/>
    <s v="Yes"/>
    <n v="2"/>
    <x v="0"/>
    <s v="Yes"/>
    <n v="3800"/>
    <n v="650"/>
  </r>
  <r>
    <n v="72"/>
    <s v="Victoria"/>
    <s v="Regional"/>
    <n v="27"/>
    <s v="Single Person"/>
    <n v="10000"/>
    <s v="Work"/>
    <x v="3"/>
    <s v="No"/>
    <n v="5"/>
    <x v="3"/>
    <s v="Yes"/>
    <n v="2800"/>
    <n v="800"/>
  </r>
  <r>
    <n v="73"/>
    <s v="South Australia"/>
    <s v="Metro"/>
    <n v="55"/>
    <s v="Single Parent"/>
    <n v="14000"/>
    <s v="Private"/>
    <x v="0"/>
    <s v="Yes"/>
    <n v="3"/>
    <x v="2"/>
    <s v="No"/>
    <n v="3300"/>
    <n v="750"/>
  </r>
  <r>
    <n v="74"/>
    <s v="New South Wales"/>
    <s v="Regional"/>
    <n v="41"/>
    <s v="Couple with Children"/>
    <n v="15000"/>
    <s v="Holiday"/>
    <x v="4"/>
    <s v="Yes"/>
    <n v="4"/>
    <x v="1"/>
    <s v="No"/>
    <n v="3700"/>
    <n v="700"/>
  </r>
  <r>
    <n v="75"/>
    <s v="South Australia"/>
    <s v="Metro"/>
    <n v="30"/>
    <s v="Couple with no Children"/>
    <n v="9000"/>
    <s v="Work"/>
    <x v="3"/>
    <s v="No"/>
    <n v="5"/>
    <x v="0"/>
    <s v="No"/>
    <n v="3000"/>
    <n v="850"/>
  </r>
  <r>
    <n v="76"/>
    <s v="New South Wales"/>
    <s v="Regional"/>
    <n v="47"/>
    <s v="Single Person"/>
    <n v="8000"/>
    <s v="Private"/>
    <x v="1"/>
    <s v="Yes"/>
    <n v="3"/>
    <x v="1"/>
    <s v="Yes"/>
    <n v="3500"/>
    <n v="750"/>
  </r>
  <r>
    <n v="77"/>
    <s v="South Australia"/>
    <s v="Metro"/>
    <n v="39"/>
    <s v="Single Parent"/>
    <n v="12000"/>
    <s v="Holiday"/>
    <x v="2"/>
    <s v="Yes"/>
    <n v="2"/>
    <x v="2"/>
    <s v="Yes"/>
    <n v="3100"/>
    <n v="800"/>
  </r>
  <r>
    <n v="78"/>
    <s v="Queensland"/>
    <s v="Regional"/>
    <n v="53"/>
    <s v="Couple with Children"/>
    <n v="13000"/>
    <s v="Work"/>
    <x v="3"/>
    <s v="No"/>
    <n v="4"/>
    <x v="1"/>
    <s v="Yes"/>
    <n v="3400"/>
    <n v="750"/>
  </r>
  <r>
    <n v="79"/>
    <s v="New South Wales"/>
    <s v="Metro"/>
    <n v="28"/>
    <s v="Couple with no Children"/>
    <n v="11000"/>
    <s v="Private"/>
    <x v="0"/>
    <s v="Yes"/>
    <n v="5"/>
    <x v="3"/>
    <s v="No"/>
    <n v="3800"/>
    <n v="700"/>
  </r>
  <r>
    <n v="80"/>
    <s v="Queensland"/>
    <s v="Regional"/>
    <n v="46"/>
    <s v="Single Person"/>
    <n v="10000"/>
    <s v="Holiday"/>
    <x v="4"/>
    <s v="Yes"/>
    <n v="3"/>
    <x v="0"/>
    <s v="No"/>
    <n v="3200"/>
    <n v="800"/>
  </r>
  <r>
    <n v="81"/>
    <s v="Western Australia"/>
    <s v="Metro"/>
    <n v="36"/>
    <s v="Couple with Children"/>
    <n v="14000"/>
    <s v="Work"/>
    <x v="3"/>
    <s v="No"/>
    <n v="2"/>
    <x v="2"/>
    <s v="No"/>
    <n v="3700"/>
    <n v="750"/>
  </r>
  <r>
    <n v="82"/>
    <s v="Queensland"/>
    <s v="Regional"/>
    <n v="50"/>
    <s v="Single Parent"/>
    <n v="15000"/>
    <s v="Private"/>
    <x v="1"/>
    <s v="Yes"/>
    <n v="4"/>
    <x v="1"/>
    <s v="Yes"/>
    <n v="3900"/>
    <n v="700"/>
  </r>
  <r>
    <n v="83"/>
    <s v="Queensland"/>
    <s v="Metro"/>
    <n v="32"/>
    <s v="Couple with no Children"/>
    <n v="9000"/>
    <s v="Holiday"/>
    <x v="2"/>
    <s v="Yes"/>
    <n v="3"/>
    <x v="0"/>
    <s v="Yes"/>
    <n v="3300"/>
    <n v="650"/>
  </r>
  <r>
    <n v="84"/>
    <s v="New South Wales"/>
    <s v="Regional"/>
    <n v="54"/>
    <s v="Single Person"/>
    <n v="12000"/>
    <s v="Work"/>
    <x v="3"/>
    <s v="No"/>
    <n v="5"/>
    <x v="3"/>
    <s v="Yes"/>
    <n v="2900"/>
    <n v="850"/>
  </r>
  <r>
    <n v="85"/>
    <s v="Victoria"/>
    <s v="Metro"/>
    <n v="40"/>
    <s v="Couple with Children"/>
    <n v="13000"/>
    <s v="Private"/>
    <x v="0"/>
    <s v="Yes"/>
    <n v="2"/>
    <x v="2"/>
    <s v="No"/>
    <n v="3500"/>
    <n v="750"/>
  </r>
  <r>
    <n v="86"/>
    <s v="New South Wales"/>
    <s v="Regional"/>
    <n v="29"/>
    <s v="Couple with no Children"/>
    <n v="11000"/>
    <s v="Holiday"/>
    <x v="4"/>
    <s v="Yes"/>
    <n v="4"/>
    <x v="1"/>
    <s v="No"/>
    <n v="3800"/>
    <n v="700"/>
  </r>
  <r>
    <n v="87"/>
    <s v="Queensland"/>
    <s v="Metro"/>
    <n v="45"/>
    <s v="Single Parent"/>
    <n v="10000"/>
    <s v="Work"/>
    <x v="3"/>
    <s v="No"/>
    <n v="3"/>
    <x v="0"/>
    <s v="No"/>
    <n v="3100"/>
    <n v="800"/>
  </r>
  <r>
    <n v="88"/>
    <s v="Victoria"/>
    <s v="Regional"/>
    <n v="37"/>
    <s v="Couple with Children"/>
    <n v="14000"/>
    <s v="Private"/>
    <x v="1"/>
    <s v="Yes"/>
    <n v="5"/>
    <x v="3"/>
    <s v="Yes"/>
    <n v="3300"/>
    <n v="750"/>
  </r>
  <r>
    <n v="89"/>
    <s v="Victoria"/>
    <s v="Metro"/>
    <n v="51"/>
    <s v="Single Person"/>
    <n v="15000"/>
    <s v="Holiday"/>
    <x v="2"/>
    <s v="Yes"/>
    <n v="2"/>
    <x v="2"/>
    <s v="Yes"/>
    <n v="3700"/>
    <n v="700"/>
  </r>
  <r>
    <n v="90"/>
    <s v="Victoria"/>
    <s v="Regional"/>
    <n v="33"/>
    <s v="Couple with no Children"/>
    <n v="9000"/>
    <s v="Work"/>
    <x v="3"/>
    <s v="No"/>
    <n v="4"/>
    <x v="1"/>
    <s v="Yes"/>
    <n v="3200"/>
    <n v="650"/>
  </r>
  <r>
    <n v="91"/>
    <s v="Queensland"/>
    <s v="Metro"/>
    <n v="48"/>
    <s v="Single Parent"/>
    <n v="12000"/>
    <s v="Private"/>
    <x v="0"/>
    <s v="Yes"/>
    <n v="3"/>
    <x v="0"/>
    <s v="No"/>
    <n v="3600"/>
    <n v="850"/>
  </r>
  <r>
    <n v="92"/>
    <s v="New South Wales"/>
    <s v="Regional"/>
    <n v="31"/>
    <s v="Couple with Children"/>
    <n v="13000"/>
    <s v="Holiday"/>
    <x v="4"/>
    <s v="Yes"/>
    <n v="4"/>
    <x v="1"/>
    <s v="No"/>
    <n v="3900"/>
    <n v="800"/>
  </r>
  <r>
    <n v="93"/>
    <s v="Queensland"/>
    <s v="Metro"/>
    <n v="56"/>
    <s v="Single Person"/>
    <n v="11000"/>
    <s v="Work"/>
    <x v="3"/>
    <s v="No"/>
    <n v="2"/>
    <x v="2"/>
    <s v="No"/>
    <n v="3300"/>
    <n v="750"/>
  </r>
  <r>
    <n v="94"/>
    <s v="Queensland"/>
    <s v="Regional"/>
    <n v="38"/>
    <s v="Couple with no Children"/>
    <n v="10000"/>
    <s v="Private"/>
    <x v="1"/>
    <s v="Yes"/>
    <n v="5"/>
    <x v="3"/>
    <s v="No"/>
    <n v="3100"/>
    <n v="700"/>
  </r>
  <r>
    <n v="95"/>
    <s v="New South Wales"/>
    <s v="Metro"/>
    <n v="44"/>
    <s v="Single Parent"/>
    <n v="14000"/>
    <s v="Holiday"/>
    <x v="2"/>
    <s v="Yes"/>
    <n v="3"/>
    <x v="0"/>
    <s v="Yes"/>
    <n v="3400"/>
    <n v="650"/>
  </r>
  <r>
    <n v="96"/>
    <s v="New South Wales"/>
    <s v="Metro"/>
    <n v="34"/>
    <s v="Couple with Children"/>
    <n v="15000"/>
    <s v="Work"/>
    <x v="3"/>
    <s v="No"/>
    <n v="4"/>
    <x v="1"/>
    <s v="Yes"/>
    <n v="2800"/>
    <n v="850"/>
  </r>
  <r>
    <n v="97"/>
    <s v="New South Wales"/>
    <s v="Metro"/>
    <n v="52"/>
    <s v="Single Person"/>
    <n v="9000"/>
    <s v="Private"/>
    <x v="0"/>
    <s v="Yes"/>
    <n v="3"/>
    <x v="2"/>
    <s v="No"/>
    <n v="3200"/>
    <n v="800"/>
  </r>
  <r>
    <n v="98"/>
    <s v="Queensland"/>
    <s v="Metro"/>
    <n v="30"/>
    <s v="Couple with no Children"/>
    <n v="12000"/>
    <s v="Holiday"/>
    <x v="4"/>
    <s v="Yes"/>
    <n v="2"/>
    <x v="1"/>
    <s v="No"/>
    <n v="3600"/>
    <n v="750"/>
  </r>
  <r>
    <n v="99"/>
    <s v="Australian Capital Territory"/>
    <s v="Metro"/>
    <n v="49"/>
    <s v="Single Parent"/>
    <n v="11000"/>
    <s v="Work"/>
    <x v="3"/>
    <s v="No"/>
    <n v="5"/>
    <x v="0"/>
    <s v="Yes"/>
    <n v="3000"/>
    <n v="700"/>
  </r>
  <r>
    <n v="100"/>
    <s v="South Australia"/>
    <s v="Metro"/>
    <n v="37"/>
    <s v="Couple with Children"/>
    <n v="10000"/>
    <s v="Private"/>
    <x v="1"/>
    <s v="Yes"/>
    <n v="4"/>
    <x v="2"/>
    <s v="Yes"/>
    <n v="3400"/>
    <n v="650"/>
  </r>
  <r>
    <n v="101"/>
    <s v="South Australia"/>
    <s v="Metro"/>
    <n v="45"/>
    <s v="Single Person"/>
    <n v="14000"/>
    <s v="Holiday"/>
    <x v="2"/>
    <s v="Yes"/>
    <n v="3"/>
    <x v="1"/>
    <s v="Yes"/>
    <n v="3700"/>
    <n v="850"/>
  </r>
  <r>
    <n v="102"/>
    <s v="Victoria"/>
    <s v="Metro"/>
    <n v="31"/>
    <s v="Couple with no Children"/>
    <n v="13000"/>
    <s v="Work"/>
    <x v="3"/>
    <s v="No"/>
    <n v="2"/>
    <x v="2"/>
    <s v="No"/>
    <n v="3100"/>
    <n v="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0DFA7-1C47-4550-8A72-37EB9534F6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8" firstHeaderRow="1" firstDataRow="2" firstDataCol="1"/>
  <pivotFields count="14">
    <pivotField numFmtId="1" showAll="0"/>
    <pivotField showAll="0"/>
    <pivotField showAll="0"/>
    <pivotField numFmtId="1" showAll="0"/>
    <pivotField showAll="0"/>
    <pivotField numFmtId="1" showAll="0"/>
    <pivotField showAll="0"/>
    <pivotField axis="axisCol" showAll="0">
      <items count="6">
        <item x="2"/>
        <item x="0"/>
        <item x="3"/>
        <item x="4"/>
        <item x="1"/>
        <item t="default"/>
      </items>
    </pivotField>
    <pivotField showAll="0"/>
    <pivotField numFmtId="1" showAll="0"/>
    <pivotField axis="axisRow" dataField="1" numFmtId="1" showAll="0">
      <items count="6">
        <item x="4"/>
        <item x="3"/>
        <item x="1"/>
        <item x="2"/>
        <item x="0"/>
        <item t="default"/>
      </items>
    </pivotField>
    <pivotField showAll="0"/>
    <pivotField numFmtId="1" showAll="0"/>
    <pivotField numFmtId="1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harge_at_Home" fld="10" subtotal="count" baseField="10" baseItem="0"/>
  </dataFields>
  <formats count="10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7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10" type="button" dataOnly="0" labelOnly="1" outline="0" axis="axisRow" fieldPosition="0"/>
    </format>
    <format dxfId="6">
      <pivotArea dataOnly="0" labelOnly="1" fieldPosition="0">
        <references count="1">
          <reference field="10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7" count="0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AF5A-3162-4E1F-8149-DDDDCA0506AE}">
  <sheetPr>
    <tabColor theme="4"/>
  </sheetPr>
  <dimension ref="A1:B14"/>
  <sheetViews>
    <sheetView workbookViewId="0">
      <selection activeCell="B2" sqref="B2"/>
    </sheetView>
  </sheetViews>
  <sheetFormatPr defaultRowHeight="14.4" x14ac:dyDescent="0.3"/>
  <cols>
    <col min="1" max="1" width="19" bestFit="1" customWidth="1"/>
    <col min="2" max="2" width="79.6640625" customWidth="1"/>
  </cols>
  <sheetData>
    <row r="1" spans="1:2" x14ac:dyDescent="0.3">
      <c r="A1" s="12" t="s">
        <v>91</v>
      </c>
      <c r="B1" s="12" t="s">
        <v>92</v>
      </c>
    </row>
    <row r="2" spans="1:2" x14ac:dyDescent="0.3">
      <c r="A2" t="s">
        <v>1</v>
      </c>
      <c r="B2" t="s">
        <v>93</v>
      </c>
    </row>
    <row r="3" spans="1:2" x14ac:dyDescent="0.3">
      <c r="A3" t="s">
        <v>2</v>
      </c>
      <c r="B3" t="s">
        <v>94</v>
      </c>
    </row>
    <row r="4" spans="1:2" x14ac:dyDescent="0.3">
      <c r="A4" t="s">
        <v>95</v>
      </c>
      <c r="B4" t="s">
        <v>96</v>
      </c>
    </row>
    <row r="5" spans="1:2" x14ac:dyDescent="0.3">
      <c r="A5" t="s">
        <v>4</v>
      </c>
      <c r="B5" t="s">
        <v>97</v>
      </c>
    </row>
    <row r="6" spans="1:2" x14ac:dyDescent="0.3">
      <c r="A6" t="s">
        <v>5</v>
      </c>
      <c r="B6" t="s">
        <v>98</v>
      </c>
    </row>
    <row r="7" spans="1:2" x14ac:dyDescent="0.3">
      <c r="A7" t="s">
        <v>6</v>
      </c>
      <c r="B7" t="s">
        <v>99</v>
      </c>
    </row>
    <row r="8" spans="1:2" x14ac:dyDescent="0.3">
      <c r="A8" t="s">
        <v>60</v>
      </c>
      <c r="B8" t="s">
        <v>100</v>
      </c>
    </row>
    <row r="9" spans="1:2" x14ac:dyDescent="0.3">
      <c r="A9" t="s">
        <v>59</v>
      </c>
      <c r="B9" t="s">
        <v>101</v>
      </c>
    </row>
    <row r="10" spans="1:2" x14ac:dyDescent="0.3">
      <c r="A10" t="s">
        <v>102</v>
      </c>
      <c r="B10" t="s">
        <v>103</v>
      </c>
    </row>
    <row r="11" spans="1:2" x14ac:dyDescent="0.3">
      <c r="A11" t="s">
        <v>32</v>
      </c>
      <c r="B11" t="s">
        <v>104</v>
      </c>
    </row>
    <row r="12" spans="1:2" x14ac:dyDescent="0.3">
      <c r="A12" t="s">
        <v>7</v>
      </c>
      <c r="B12" t="s">
        <v>105</v>
      </c>
    </row>
    <row r="13" spans="1:2" x14ac:dyDescent="0.3">
      <c r="A13" t="s">
        <v>33</v>
      </c>
      <c r="B13" t="s">
        <v>106</v>
      </c>
    </row>
    <row r="14" spans="1:2" x14ac:dyDescent="0.3">
      <c r="A14" t="s">
        <v>34</v>
      </c>
      <c r="B14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72DD-3273-4EDA-A0A2-E56B2A9CC693}">
  <dimension ref="A1:N48"/>
  <sheetViews>
    <sheetView topLeftCell="D13" workbookViewId="0">
      <selection activeCell="K39" sqref="K39"/>
    </sheetView>
  </sheetViews>
  <sheetFormatPr defaultRowHeight="14.4" x14ac:dyDescent="0.3"/>
  <cols>
    <col min="4" max="4" width="16.5546875" bestFit="1" customWidth="1"/>
    <col min="8" max="8" width="31.44140625" style="13" customWidth="1"/>
    <col min="9" max="9" width="7" style="13" customWidth="1"/>
    <col min="10" max="10" width="3.44140625" style="13" customWidth="1"/>
    <col min="11" max="11" width="9.109375" style="13" customWidth="1"/>
    <col min="13" max="13" width="20.6640625" bestFit="1" customWidth="1"/>
    <col min="14" max="14" width="81.77734375" bestFit="1" customWidth="1"/>
  </cols>
  <sheetData>
    <row r="1" spans="1:14" x14ac:dyDescent="0.3">
      <c r="A1" s="8" t="s">
        <v>56</v>
      </c>
      <c r="B1" s="9" t="s">
        <v>57</v>
      </c>
      <c r="D1" s="44"/>
      <c r="E1" s="49" t="s">
        <v>56</v>
      </c>
      <c r="F1" s="49" t="s">
        <v>57</v>
      </c>
      <c r="G1" s="43"/>
    </row>
    <row r="2" spans="1:14" ht="15" thickBot="1" x14ac:dyDescent="0.35">
      <c r="A2" s="10">
        <v>6.666666666666667</v>
      </c>
      <c r="B2" s="11">
        <v>7.666666666666667</v>
      </c>
      <c r="D2" s="44"/>
      <c r="E2" s="44"/>
      <c r="F2" s="44"/>
    </row>
    <row r="3" spans="1:14" x14ac:dyDescent="0.3">
      <c r="A3" s="10">
        <v>5.666666666666667</v>
      </c>
      <c r="B3" s="11">
        <v>8</v>
      </c>
      <c r="D3" s="44" t="s">
        <v>143</v>
      </c>
      <c r="E3" s="44">
        <v>5.5555555555555562</v>
      </c>
      <c r="F3" s="44">
        <v>6.8333333333333321</v>
      </c>
      <c r="H3" s="99" t="s">
        <v>108</v>
      </c>
      <c r="I3" s="100"/>
      <c r="J3" s="100"/>
      <c r="K3" s="101"/>
    </row>
    <row r="4" spans="1:14" x14ac:dyDescent="0.3">
      <c r="A4" s="10">
        <v>7</v>
      </c>
      <c r="B4" s="11">
        <v>6.666666666666667</v>
      </c>
      <c r="D4" s="44" t="s">
        <v>141</v>
      </c>
      <c r="E4" s="44">
        <v>0.31605025953862564</v>
      </c>
      <c r="F4" s="44">
        <v>0.34205754925650866</v>
      </c>
      <c r="H4" s="102"/>
      <c r="I4" s="103"/>
      <c r="J4" s="103"/>
      <c r="K4" s="104"/>
    </row>
    <row r="5" spans="1:14" x14ac:dyDescent="0.3">
      <c r="A5" s="10">
        <v>3.6666666666666665</v>
      </c>
      <c r="B5" s="11">
        <v>8</v>
      </c>
      <c r="D5" s="44" t="s">
        <v>144</v>
      </c>
      <c r="E5" s="44">
        <v>5.8333333333333339</v>
      </c>
      <c r="F5" s="44">
        <v>6.666666666666667</v>
      </c>
      <c r="H5" s="110" t="s">
        <v>112</v>
      </c>
      <c r="I5" s="111"/>
      <c r="J5" s="111"/>
      <c r="K5" s="112"/>
    </row>
    <row r="6" spans="1:14" ht="15.6" x14ac:dyDescent="0.35">
      <c r="A6" s="10">
        <v>6.666666666666667</v>
      </c>
      <c r="B6" s="11">
        <v>6.666666666666667</v>
      </c>
      <c r="D6" s="44" t="s">
        <v>145</v>
      </c>
      <c r="E6" s="44">
        <v>6.666666666666667</v>
      </c>
      <c r="F6" s="44">
        <v>6.666666666666667</v>
      </c>
      <c r="H6" s="15" t="s">
        <v>115</v>
      </c>
      <c r="I6" s="16" t="s">
        <v>116</v>
      </c>
      <c r="J6" s="16" t="s">
        <v>119</v>
      </c>
      <c r="K6" s="17">
        <f>K7</f>
        <v>0</v>
      </c>
      <c r="M6" s="93" t="s">
        <v>236</v>
      </c>
      <c r="N6" s="97" t="s">
        <v>243</v>
      </c>
    </row>
    <row r="7" spans="1:14" ht="15.6" x14ac:dyDescent="0.35">
      <c r="A7" s="10">
        <v>4.666666666666667</v>
      </c>
      <c r="B7" s="11">
        <v>6.666666666666667</v>
      </c>
      <c r="D7" s="44" t="s">
        <v>146</v>
      </c>
      <c r="E7" s="44">
        <v>1.0948302145324595</v>
      </c>
      <c r="F7" s="44">
        <v>1.1849221088495336</v>
      </c>
      <c r="H7" s="15" t="s">
        <v>120</v>
      </c>
      <c r="I7" s="16" t="s">
        <v>116</v>
      </c>
      <c r="J7" s="20" t="s">
        <v>118</v>
      </c>
      <c r="K7" s="21">
        <v>0</v>
      </c>
      <c r="M7" s="95" t="s">
        <v>241</v>
      </c>
      <c r="N7" s="98" t="s">
        <v>244</v>
      </c>
    </row>
    <row r="8" spans="1:14" x14ac:dyDescent="0.3">
      <c r="A8" s="10">
        <v>4.666666666666667</v>
      </c>
      <c r="B8" s="11">
        <v>5.666666666666667</v>
      </c>
      <c r="D8" s="44" t="s">
        <v>147</v>
      </c>
      <c r="E8" s="44">
        <v>1.1986531986531914</v>
      </c>
      <c r="F8" s="44">
        <v>1.404040404040426</v>
      </c>
      <c r="H8" s="23" t="s">
        <v>121</v>
      </c>
      <c r="I8" s="24"/>
      <c r="J8" s="24"/>
      <c r="K8" s="25" t="str">
        <f>IF(J7="&lt;","Lower",IF(J7="&gt;","Upper","Two"))</f>
        <v>Two</v>
      </c>
    </row>
    <row r="9" spans="1:14" x14ac:dyDescent="0.3">
      <c r="A9" s="10">
        <v>6.333333333333333</v>
      </c>
      <c r="B9" s="11">
        <v>8.6666666666666661</v>
      </c>
      <c r="D9" s="44" t="s">
        <v>148</v>
      </c>
      <c r="E9" s="44">
        <v>-0.99737406893068625</v>
      </c>
      <c r="F9" s="44">
        <v>-0.47603471179891033</v>
      </c>
      <c r="H9" s="110" t="s">
        <v>122</v>
      </c>
      <c r="I9" s="111"/>
      <c r="J9" s="111"/>
      <c r="K9" s="112"/>
    </row>
    <row r="10" spans="1:14" x14ac:dyDescent="0.3">
      <c r="A10" s="10">
        <v>5.333333333333333</v>
      </c>
      <c r="B10" s="11">
        <v>4.666666666666667</v>
      </c>
      <c r="D10" s="44" t="s">
        <v>149</v>
      </c>
      <c r="E10" s="44">
        <v>-0.45840227326056449</v>
      </c>
      <c r="F10" s="44">
        <v>-0.33514633509863956</v>
      </c>
      <c r="H10" s="27"/>
      <c r="J10" s="28" t="s">
        <v>123</v>
      </c>
      <c r="K10" s="29">
        <v>0.05</v>
      </c>
    </row>
    <row r="11" spans="1:14" x14ac:dyDescent="0.3">
      <c r="A11" s="10">
        <v>6</v>
      </c>
      <c r="B11" s="11">
        <v>6.666666666666667</v>
      </c>
      <c r="D11" s="44" t="s">
        <v>150</v>
      </c>
      <c r="E11" s="44">
        <v>3.3333333333333335</v>
      </c>
      <c r="F11" s="44">
        <v>3.9999999999999991</v>
      </c>
      <c r="H11" s="110" t="s">
        <v>124</v>
      </c>
      <c r="I11" s="111"/>
      <c r="J11" s="111"/>
      <c r="K11" s="112"/>
    </row>
    <row r="12" spans="1:14" x14ac:dyDescent="0.3">
      <c r="A12" s="10">
        <v>6</v>
      </c>
      <c r="B12" s="11">
        <v>7.333333333333333</v>
      </c>
      <c r="D12" s="44" t="s">
        <v>151</v>
      </c>
      <c r="E12" s="44">
        <v>3.6666666666666665</v>
      </c>
      <c r="F12" s="44">
        <v>4.666666666666667</v>
      </c>
      <c r="H12" s="105" t="s">
        <v>125</v>
      </c>
      <c r="I12" s="106"/>
      <c r="J12" s="106"/>
      <c r="K12" s="30">
        <f>INT((K17^2/K19+K21^2/K23)^2/((K17^2/K19)^2/(K19-1)+(K21^2/K23)^2/(K23-1)))</f>
        <v>21</v>
      </c>
    </row>
    <row r="13" spans="1:14" x14ac:dyDescent="0.3">
      <c r="A13" s="10">
        <v>4</v>
      </c>
      <c r="B13" s="11">
        <v>5.333333333333333</v>
      </c>
      <c r="D13" s="44" t="s">
        <v>152</v>
      </c>
      <c r="E13" s="44">
        <v>7</v>
      </c>
      <c r="F13" s="44">
        <v>8.6666666666666661</v>
      </c>
      <c r="H13" s="105" t="str">
        <f>IF(J6="=","Lower Critical Value","Critical Value")</f>
        <v>Lower Critical Value</v>
      </c>
      <c r="I13" s="106"/>
      <c r="J13" s="106"/>
      <c r="K13" s="31">
        <f>IF(K8="Two",-(TINV(K10,K12)),IF(K8="Lower",-(TINV(K10*2,K12)),TINV(K10*2,K12)))</f>
        <v>-2.07961384472768</v>
      </c>
    </row>
    <row r="14" spans="1:14" x14ac:dyDescent="0.3">
      <c r="D14" s="44" t="s">
        <v>153</v>
      </c>
      <c r="E14" s="44">
        <v>66.666666666666671</v>
      </c>
      <c r="F14" s="44">
        <v>81.999999999999986</v>
      </c>
      <c r="H14" s="107" t="str">
        <f>IF(J6="=","Upper Critical Value","")</f>
        <v>Upper Critical Value</v>
      </c>
      <c r="I14" s="108"/>
      <c r="J14" s="109"/>
      <c r="K14" s="32">
        <f>IF(J6="=",-K13,"")</f>
        <v>2.07961384472768</v>
      </c>
    </row>
    <row r="15" spans="1:14" ht="15" thickBot="1" x14ac:dyDescent="0.35">
      <c r="D15" s="50" t="s">
        <v>154</v>
      </c>
      <c r="E15" s="50">
        <v>12</v>
      </c>
      <c r="F15" s="50">
        <v>12</v>
      </c>
      <c r="H15" s="110" t="s">
        <v>127</v>
      </c>
      <c r="I15" s="111"/>
      <c r="J15" s="111"/>
      <c r="K15" s="112"/>
    </row>
    <row r="16" spans="1:14" x14ac:dyDescent="0.3">
      <c r="H16" s="113" t="s">
        <v>128</v>
      </c>
      <c r="I16" s="114"/>
      <c r="J16" s="114"/>
      <c r="K16" s="115"/>
    </row>
    <row r="17" spans="8:11" x14ac:dyDescent="0.3">
      <c r="H17" s="107" t="s">
        <v>130</v>
      </c>
      <c r="I17" s="108"/>
      <c r="J17" s="109"/>
      <c r="K17" s="29">
        <f>E7</f>
        <v>1.0948302145324595</v>
      </c>
    </row>
    <row r="18" spans="8:11" x14ac:dyDescent="0.3">
      <c r="H18" s="107" t="s">
        <v>132</v>
      </c>
      <c r="I18" s="108"/>
      <c r="J18" s="109"/>
      <c r="K18" s="29">
        <f>E3</f>
        <v>5.5555555555555562</v>
      </c>
    </row>
    <row r="19" spans="8:11" x14ac:dyDescent="0.3">
      <c r="H19" s="107" t="s">
        <v>129</v>
      </c>
      <c r="I19" s="108"/>
      <c r="J19" s="109"/>
      <c r="K19" s="29">
        <f>E15</f>
        <v>12</v>
      </c>
    </row>
    <row r="20" spans="8:11" x14ac:dyDescent="0.3">
      <c r="H20" s="113"/>
      <c r="I20" s="114"/>
      <c r="J20" s="114"/>
      <c r="K20" s="115"/>
    </row>
    <row r="21" spans="8:11" x14ac:dyDescent="0.3">
      <c r="H21" s="107" t="s">
        <v>130</v>
      </c>
      <c r="I21" s="108"/>
      <c r="J21" s="109"/>
      <c r="K21" s="29">
        <f>F7</f>
        <v>1.1849221088495336</v>
      </c>
    </row>
    <row r="22" spans="8:11" x14ac:dyDescent="0.3">
      <c r="H22" s="107" t="s">
        <v>132</v>
      </c>
      <c r="I22" s="108"/>
      <c r="J22" s="109"/>
      <c r="K22" s="29">
        <f>F3</f>
        <v>6.8333333333333321</v>
      </c>
    </row>
    <row r="23" spans="8:11" x14ac:dyDescent="0.3">
      <c r="H23" s="107" t="s">
        <v>129</v>
      </c>
      <c r="I23" s="108"/>
      <c r="J23" s="109"/>
      <c r="K23" s="29">
        <f>F15</f>
        <v>12</v>
      </c>
    </row>
    <row r="24" spans="8:11" x14ac:dyDescent="0.3">
      <c r="H24" s="118"/>
      <c r="I24" s="119"/>
      <c r="J24" s="119"/>
      <c r="K24" s="120"/>
    </row>
    <row r="25" spans="8:11" x14ac:dyDescent="0.3">
      <c r="H25" s="121"/>
      <c r="I25" s="122"/>
      <c r="J25" s="122"/>
      <c r="K25" s="123"/>
    </row>
    <row r="26" spans="8:11" x14ac:dyDescent="0.3">
      <c r="H26" s="105" t="s">
        <v>135</v>
      </c>
      <c r="I26" s="106"/>
      <c r="J26" s="106"/>
      <c r="K26" s="32">
        <f>SQRT(K17^2/K19+K21^2/K23)</f>
        <v>0.46571572182802828</v>
      </c>
    </row>
    <row r="27" spans="8:11" x14ac:dyDescent="0.3">
      <c r="H27" s="116" t="s">
        <v>136</v>
      </c>
      <c r="I27" s="117"/>
      <c r="J27" s="117"/>
      <c r="K27" s="34">
        <f>((K18-K22)-K6)/K26</f>
        <v>-2.7436861542106414</v>
      </c>
    </row>
    <row r="28" spans="8:11" x14ac:dyDescent="0.3">
      <c r="H28" s="105" t="s">
        <v>137</v>
      </c>
      <c r="I28" s="106"/>
      <c r="J28" s="106"/>
      <c r="K28" s="34">
        <f>IF(J6="=",TDIST(ABS(K27),K12,2),IF(K27*K13&gt;0,TDIST(ABS(K27),K12,1),1-TDIST(ABS(K27),K12,1)))</f>
        <v>1.2168948103630924E-2</v>
      </c>
    </row>
    <row r="29" spans="8:11" x14ac:dyDescent="0.3">
      <c r="H29" s="129"/>
      <c r="I29" s="130"/>
      <c r="J29" s="130"/>
      <c r="K29" s="131"/>
    </row>
    <row r="30" spans="8:11" x14ac:dyDescent="0.3">
      <c r="H30" s="110" t="s">
        <v>139</v>
      </c>
      <c r="I30" s="111"/>
      <c r="J30" s="111"/>
      <c r="K30" s="112"/>
    </row>
    <row r="31" spans="8:11" ht="15" thickBot="1" x14ac:dyDescent="0.35">
      <c r="H31" s="126" t="str">
        <f>IF(K28&lt;K10,"Reject Null Hypothesis", "Fail to reject Null Hypothesis")</f>
        <v>Reject Null Hypothesis</v>
      </c>
      <c r="I31" s="127"/>
      <c r="J31" s="127"/>
      <c r="K31" s="128"/>
    </row>
    <row r="36" spans="8:11" x14ac:dyDescent="0.3">
      <c r="H36" s="35"/>
      <c r="I36" s="36"/>
      <c r="J36" s="35"/>
      <c r="K36" s="37"/>
    </row>
    <row r="37" spans="8:11" x14ac:dyDescent="0.3">
      <c r="H37" s="35"/>
      <c r="I37" s="38"/>
      <c r="J37" s="35"/>
      <c r="K37" s="39"/>
    </row>
    <row r="38" spans="8:11" x14ac:dyDescent="0.3">
      <c r="H38" s="35"/>
      <c r="I38" s="38"/>
      <c r="J38" s="35"/>
      <c r="K38" s="40"/>
    </row>
    <row r="39" spans="8:11" x14ac:dyDescent="0.3">
      <c r="H39" s="35"/>
      <c r="I39" s="40"/>
      <c r="J39" s="35"/>
      <c r="K39" s="38"/>
    </row>
    <row r="40" spans="8:11" x14ac:dyDescent="0.3">
      <c r="H40" s="35"/>
      <c r="I40" s="38"/>
      <c r="J40" s="124"/>
      <c r="K40" s="125"/>
    </row>
    <row r="41" spans="8:11" x14ac:dyDescent="0.3">
      <c r="H41" s="35"/>
      <c r="I41" s="38"/>
      <c r="J41" s="35"/>
      <c r="K41" s="38"/>
    </row>
    <row r="42" spans="8:11" x14ac:dyDescent="0.3">
      <c r="H42" s="35"/>
      <c r="I42" s="36"/>
      <c r="J42" s="35"/>
      <c r="K42" s="38"/>
    </row>
    <row r="43" spans="8:11" x14ac:dyDescent="0.3">
      <c r="H43" s="35"/>
      <c r="I43" s="36"/>
      <c r="J43" s="35"/>
      <c r="K43" s="38"/>
    </row>
    <row r="44" spans="8:11" x14ac:dyDescent="0.3">
      <c r="H44" s="35"/>
      <c r="I44" s="36"/>
      <c r="J44" s="35"/>
      <c r="K44" s="38"/>
    </row>
    <row r="45" spans="8:11" x14ac:dyDescent="0.3">
      <c r="H45" s="36"/>
      <c r="I45" s="36"/>
      <c r="J45" s="35"/>
      <c r="K45" s="42"/>
    </row>
    <row r="46" spans="8:11" x14ac:dyDescent="0.3">
      <c r="H46" s="36"/>
      <c r="I46" s="36"/>
      <c r="J46" s="124"/>
      <c r="K46" s="125"/>
    </row>
    <row r="47" spans="8:11" x14ac:dyDescent="0.3">
      <c r="H47" s="36"/>
      <c r="I47" s="36"/>
      <c r="J47" s="41"/>
      <c r="K47" s="36"/>
    </row>
    <row r="48" spans="8:11" x14ac:dyDescent="0.3">
      <c r="H48" s="36"/>
      <c r="I48" s="36"/>
      <c r="J48" s="41"/>
      <c r="K48" s="36"/>
    </row>
  </sheetData>
  <mergeCells count="26">
    <mergeCell ref="J40:K40"/>
    <mergeCell ref="J46:K46"/>
    <mergeCell ref="H26:J26"/>
    <mergeCell ref="H27:J27"/>
    <mergeCell ref="H28:J28"/>
    <mergeCell ref="H29:K29"/>
    <mergeCell ref="H30:K30"/>
    <mergeCell ref="H31:K31"/>
    <mergeCell ref="H24:K25"/>
    <mergeCell ref="H13:J13"/>
    <mergeCell ref="H14:J14"/>
    <mergeCell ref="H15:K15"/>
    <mergeCell ref="H16:K16"/>
    <mergeCell ref="H17:J17"/>
    <mergeCell ref="H18:J18"/>
    <mergeCell ref="H19:J19"/>
    <mergeCell ref="H20:K20"/>
    <mergeCell ref="H21:J21"/>
    <mergeCell ref="H22:J22"/>
    <mergeCell ref="H23:J23"/>
    <mergeCell ref="H12:J12"/>
    <mergeCell ref="H3:K3"/>
    <mergeCell ref="H4:K4"/>
    <mergeCell ref="H5:K5"/>
    <mergeCell ref="H9:K9"/>
    <mergeCell ref="H11:K11"/>
  </mergeCells>
  <conditionalFormatting sqref="K14">
    <cfRule type="cellIs" dxfId="0" priority="1" stopIfTrue="1" operator="not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740E-23BA-4793-81C7-BC419287D6B3}">
  <sheetPr>
    <tabColor theme="6" tint="0.59999389629810485"/>
  </sheetPr>
  <dimension ref="A1:O103"/>
  <sheetViews>
    <sheetView zoomScale="98" zoomScaleNormal="98" workbookViewId="0">
      <selection activeCell="K1" sqref="K1"/>
    </sheetView>
  </sheetViews>
  <sheetFormatPr defaultColWidth="8.77734375" defaultRowHeight="14.4" x14ac:dyDescent="0.3"/>
  <cols>
    <col min="1" max="1" width="5.5546875" style="1" bestFit="1" customWidth="1"/>
    <col min="2" max="2" width="22.77734375" style="1" bestFit="1" customWidth="1"/>
    <col min="3" max="3" width="7.77734375" style="1" bestFit="1" customWidth="1"/>
    <col min="4" max="4" width="3.88671875" style="1" bestFit="1" customWidth="1"/>
    <col min="5" max="5" width="20.21875" style="1" bestFit="1" customWidth="1"/>
    <col min="6" max="6" width="10.44140625" style="1" bestFit="1" customWidth="1"/>
    <col min="7" max="7" width="9" style="1" bestFit="1" customWidth="1"/>
    <col min="8" max="8" width="11.77734375" style="1" bestFit="1" customWidth="1"/>
    <col min="9" max="9" width="10.44140625" style="1" bestFit="1" customWidth="1"/>
    <col min="10" max="10" width="15.109375" style="1" bestFit="1" customWidth="1"/>
    <col min="11" max="11" width="15.5546875" style="1" bestFit="1" customWidth="1"/>
    <col min="12" max="12" width="16.5546875" style="1" bestFit="1" customWidth="1"/>
    <col min="13" max="13" width="11.88671875" style="1" bestFit="1" customWidth="1"/>
    <col min="14" max="14" width="19.33203125" style="1" bestFit="1" customWidth="1"/>
    <col min="15" max="16384" width="8.77734375" style="1"/>
  </cols>
  <sheetData>
    <row r="1" spans="1:1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60</v>
      </c>
      <c r="I1" s="3" t="s">
        <v>59</v>
      </c>
      <c r="J1" s="3" t="s">
        <v>31</v>
      </c>
      <c r="K1" s="3" t="s">
        <v>32</v>
      </c>
      <c r="L1" s="3" t="s">
        <v>7</v>
      </c>
      <c r="M1" s="3" t="s">
        <v>33</v>
      </c>
      <c r="N1" s="3" t="s">
        <v>34</v>
      </c>
    </row>
    <row r="2" spans="1:15" x14ac:dyDescent="0.3">
      <c r="A2" s="2">
        <v>1</v>
      </c>
      <c r="B2" s="1" t="s">
        <v>18</v>
      </c>
      <c r="C2" s="1" t="s">
        <v>9</v>
      </c>
      <c r="D2" s="2">
        <v>45</v>
      </c>
      <c r="E2" s="1" t="s">
        <v>22</v>
      </c>
      <c r="F2" s="2">
        <v>15000</v>
      </c>
      <c r="G2" s="1" t="s">
        <v>30</v>
      </c>
      <c r="H2" s="1" t="s">
        <v>21</v>
      </c>
      <c r="I2" s="1" t="s">
        <v>20</v>
      </c>
      <c r="J2" s="2">
        <v>3</v>
      </c>
      <c r="K2" s="2">
        <v>7</v>
      </c>
      <c r="L2" s="1" t="s">
        <v>20</v>
      </c>
      <c r="M2" s="2">
        <v>4000</v>
      </c>
      <c r="N2" s="2">
        <v>600</v>
      </c>
      <c r="O2" s="2"/>
    </row>
    <row r="3" spans="1:15" x14ac:dyDescent="0.3">
      <c r="A3" s="2">
        <v>2</v>
      </c>
      <c r="B3" s="1" t="s">
        <v>27</v>
      </c>
      <c r="C3" s="1" t="s">
        <v>15</v>
      </c>
      <c r="D3" s="2">
        <v>32</v>
      </c>
      <c r="E3" s="1" t="s">
        <v>22</v>
      </c>
      <c r="F3" s="2">
        <v>12000</v>
      </c>
      <c r="G3" s="1" t="s">
        <v>28</v>
      </c>
      <c r="H3" s="1" t="s">
        <v>17</v>
      </c>
      <c r="I3" s="1" t="s">
        <v>13</v>
      </c>
      <c r="J3" s="2">
        <v>2</v>
      </c>
      <c r="K3" s="2">
        <v>5</v>
      </c>
      <c r="L3" s="1" t="s">
        <v>13</v>
      </c>
      <c r="M3" s="2">
        <v>3000</v>
      </c>
      <c r="N3" s="2">
        <v>750</v>
      </c>
      <c r="O3" s="2"/>
    </row>
    <row r="4" spans="1:15" x14ac:dyDescent="0.3">
      <c r="A4" s="2">
        <v>3</v>
      </c>
      <c r="B4" s="1" t="s">
        <v>8</v>
      </c>
      <c r="C4" s="1" t="s">
        <v>9</v>
      </c>
      <c r="D4" s="2">
        <v>50</v>
      </c>
      <c r="E4" s="1" t="s">
        <v>10</v>
      </c>
      <c r="F4" s="2">
        <v>10000</v>
      </c>
      <c r="G4" s="1" t="s">
        <v>11</v>
      </c>
      <c r="H4" s="1" t="s">
        <v>12</v>
      </c>
      <c r="I4" s="1" t="s">
        <v>13</v>
      </c>
      <c r="J4" s="2">
        <v>4</v>
      </c>
      <c r="K4" s="2">
        <v>6</v>
      </c>
      <c r="L4" s="1" t="s">
        <v>13</v>
      </c>
      <c r="M4" s="2">
        <v>3500</v>
      </c>
      <c r="N4" s="2">
        <v>700</v>
      </c>
      <c r="O4" s="2"/>
    </row>
    <row r="5" spans="1:15" x14ac:dyDescent="0.3">
      <c r="A5" s="2">
        <v>4</v>
      </c>
      <c r="B5" s="1" t="s">
        <v>14</v>
      </c>
      <c r="C5" s="1" t="s">
        <v>15</v>
      </c>
      <c r="D5" s="2">
        <v>28</v>
      </c>
      <c r="E5" s="1" t="s">
        <v>16</v>
      </c>
      <c r="F5" s="2">
        <v>8000</v>
      </c>
      <c r="G5" s="1" t="s">
        <v>30</v>
      </c>
      <c r="H5" s="1" t="s">
        <v>29</v>
      </c>
      <c r="I5" s="1" t="s">
        <v>20</v>
      </c>
      <c r="J5" s="2">
        <v>5</v>
      </c>
      <c r="K5" s="2">
        <v>4</v>
      </c>
      <c r="L5" s="1" t="s">
        <v>13</v>
      </c>
      <c r="M5" s="2">
        <v>2500</v>
      </c>
      <c r="N5" s="2">
        <v>850</v>
      </c>
      <c r="O5" s="2"/>
    </row>
    <row r="6" spans="1:15" x14ac:dyDescent="0.3">
      <c r="A6" s="2">
        <v>5</v>
      </c>
      <c r="B6" s="1" t="s">
        <v>8</v>
      </c>
      <c r="C6" s="1" t="s">
        <v>9</v>
      </c>
      <c r="D6" s="2">
        <v>55</v>
      </c>
      <c r="E6" s="1" t="s">
        <v>19</v>
      </c>
      <c r="F6" s="2">
        <v>9000</v>
      </c>
      <c r="G6" s="1" t="s">
        <v>28</v>
      </c>
      <c r="H6" s="1" t="s">
        <v>21</v>
      </c>
      <c r="I6" s="1" t="s">
        <v>13</v>
      </c>
      <c r="J6" s="2">
        <v>3</v>
      </c>
      <c r="K6" s="2">
        <v>7</v>
      </c>
      <c r="L6" s="1" t="s">
        <v>20</v>
      </c>
      <c r="M6" s="2">
        <v>2800</v>
      </c>
      <c r="N6" s="2">
        <v>800</v>
      </c>
      <c r="O6" s="2"/>
    </row>
    <row r="7" spans="1:15" x14ac:dyDescent="0.3">
      <c r="A7" s="2">
        <v>6</v>
      </c>
      <c r="B7" s="1" t="s">
        <v>8</v>
      </c>
      <c r="C7" s="1" t="s">
        <v>15</v>
      </c>
      <c r="D7" s="2">
        <v>40</v>
      </c>
      <c r="E7" s="1" t="s">
        <v>22</v>
      </c>
      <c r="F7" s="2">
        <v>11000</v>
      </c>
      <c r="G7" s="1" t="s">
        <v>30</v>
      </c>
      <c r="H7" s="1" t="s">
        <v>24</v>
      </c>
      <c r="I7" s="1" t="s">
        <v>13</v>
      </c>
      <c r="J7" s="2">
        <v>2</v>
      </c>
      <c r="K7" s="2">
        <v>5</v>
      </c>
      <c r="L7" s="1" t="s">
        <v>20</v>
      </c>
      <c r="M7" s="2">
        <v>3200</v>
      </c>
      <c r="N7" s="2">
        <v>750</v>
      </c>
      <c r="O7" s="2"/>
    </row>
    <row r="8" spans="1:15" x14ac:dyDescent="0.3">
      <c r="A8" s="2">
        <v>7</v>
      </c>
      <c r="B8" s="1" t="s">
        <v>8</v>
      </c>
      <c r="C8" s="1" t="s">
        <v>9</v>
      </c>
      <c r="D8" s="2">
        <v>38</v>
      </c>
      <c r="E8" s="1" t="s">
        <v>10</v>
      </c>
      <c r="F8" s="2">
        <v>13000</v>
      </c>
      <c r="G8" s="1" t="s">
        <v>28</v>
      </c>
      <c r="H8" s="1" t="s">
        <v>29</v>
      </c>
      <c r="I8" s="1" t="s">
        <v>20</v>
      </c>
      <c r="J8" s="2">
        <v>3</v>
      </c>
      <c r="K8" s="2">
        <v>6</v>
      </c>
      <c r="L8" s="1" t="s">
        <v>20</v>
      </c>
      <c r="M8" s="2">
        <v>3800</v>
      </c>
      <c r="N8" s="2">
        <v>700</v>
      </c>
      <c r="O8" s="2"/>
    </row>
    <row r="9" spans="1:15" x14ac:dyDescent="0.3">
      <c r="A9" s="2">
        <v>8</v>
      </c>
      <c r="B9" s="1" t="s">
        <v>14</v>
      </c>
      <c r="C9" s="1" t="s">
        <v>15</v>
      </c>
      <c r="D9" s="2">
        <v>48</v>
      </c>
      <c r="E9" s="1" t="s">
        <v>16</v>
      </c>
      <c r="F9" s="2">
        <v>14000</v>
      </c>
      <c r="G9" s="1" t="s">
        <v>11</v>
      </c>
      <c r="H9" s="1" t="s">
        <v>17</v>
      </c>
      <c r="I9" s="1" t="s">
        <v>13</v>
      </c>
      <c r="J9" s="2">
        <v>4</v>
      </c>
      <c r="K9" s="2">
        <v>4</v>
      </c>
      <c r="L9" s="1" t="s">
        <v>13</v>
      </c>
      <c r="M9" s="2">
        <v>4200</v>
      </c>
      <c r="N9" s="2">
        <v>650</v>
      </c>
      <c r="O9" s="2"/>
    </row>
    <row r="10" spans="1:15" x14ac:dyDescent="0.3">
      <c r="A10" s="2">
        <v>9</v>
      </c>
      <c r="B10" s="1" t="s">
        <v>8</v>
      </c>
      <c r="C10" s="1" t="s">
        <v>9</v>
      </c>
      <c r="D10" s="2">
        <v>42</v>
      </c>
      <c r="E10" s="1" t="s">
        <v>22</v>
      </c>
      <c r="F10" s="2">
        <v>16000</v>
      </c>
      <c r="G10" s="1" t="s">
        <v>30</v>
      </c>
      <c r="H10" s="1" t="s">
        <v>12</v>
      </c>
      <c r="I10" s="1" t="s">
        <v>13</v>
      </c>
      <c r="J10" s="2">
        <v>5</v>
      </c>
      <c r="K10" s="2">
        <v>3</v>
      </c>
      <c r="L10" s="1" t="s">
        <v>13</v>
      </c>
      <c r="M10" s="2">
        <v>3800</v>
      </c>
      <c r="N10" s="2">
        <v>750</v>
      </c>
      <c r="O10" s="2"/>
    </row>
    <row r="11" spans="1:15" x14ac:dyDescent="0.3">
      <c r="A11" s="2">
        <v>10</v>
      </c>
      <c r="B11" s="1" t="s">
        <v>14</v>
      </c>
      <c r="C11" s="1" t="s">
        <v>15</v>
      </c>
      <c r="D11" s="2">
        <v>30</v>
      </c>
      <c r="E11" s="1" t="s">
        <v>19</v>
      </c>
      <c r="F11" s="2">
        <v>10000</v>
      </c>
      <c r="G11" s="1" t="s">
        <v>28</v>
      </c>
      <c r="H11" s="1" t="s">
        <v>21</v>
      </c>
      <c r="I11" s="1" t="s">
        <v>13</v>
      </c>
      <c r="J11" s="2">
        <v>3</v>
      </c>
      <c r="K11" s="2">
        <v>6</v>
      </c>
      <c r="L11" s="1" t="s">
        <v>20</v>
      </c>
      <c r="M11" s="2">
        <v>2900</v>
      </c>
      <c r="N11" s="2">
        <v>800</v>
      </c>
      <c r="O11" s="2"/>
    </row>
    <row r="12" spans="1:15" x14ac:dyDescent="0.3">
      <c r="A12" s="2">
        <v>11</v>
      </c>
      <c r="B12" s="1" t="s">
        <v>18</v>
      </c>
      <c r="C12" s="1" t="s">
        <v>9</v>
      </c>
      <c r="D12" s="2">
        <v>52</v>
      </c>
      <c r="E12" s="1" t="s">
        <v>10</v>
      </c>
      <c r="F12" s="2">
        <v>12000</v>
      </c>
      <c r="G12" s="1" t="s">
        <v>11</v>
      </c>
      <c r="H12" s="1" t="s">
        <v>17</v>
      </c>
      <c r="I12" s="1" t="s">
        <v>13</v>
      </c>
      <c r="J12" s="2">
        <v>2</v>
      </c>
      <c r="K12" s="2">
        <v>7</v>
      </c>
      <c r="L12" s="1" t="s">
        <v>13</v>
      </c>
      <c r="M12" s="2">
        <v>3400</v>
      </c>
      <c r="N12" s="2">
        <v>700</v>
      </c>
      <c r="O12" s="2"/>
    </row>
    <row r="13" spans="1:15" x14ac:dyDescent="0.3">
      <c r="A13" s="2">
        <v>12</v>
      </c>
      <c r="B13" s="1" t="s">
        <v>8</v>
      </c>
      <c r="C13" s="1" t="s">
        <v>15</v>
      </c>
      <c r="D13" s="2">
        <v>35</v>
      </c>
      <c r="E13" s="1" t="s">
        <v>22</v>
      </c>
      <c r="F13" s="2">
        <v>11000</v>
      </c>
      <c r="G13" s="1" t="s">
        <v>30</v>
      </c>
      <c r="H13" s="1" t="s">
        <v>29</v>
      </c>
      <c r="I13" s="1" t="s">
        <v>20</v>
      </c>
      <c r="J13" s="2">
        <v>3</v>
      </c>
      <c r="K13" s="2">
        <v>5</v>
      </c>
      <c r="L13" s="1" t="s">
        <v>13</v>
      </c>
      <c r="M13" s="2">
        <v>3600</v>
      </c>
      <c r="N13" s="2">
        <v>750</v>
      </c>
      <c r="O13" s="2"/>
    </row>
    <row r="14" spans="1:15" x14ac:dyDescent="0.3">
      <c r="A14" s="2">
        <v>13</v>
      </c>
      <c r="B14" s="1" t="s">
        <v>8</v>
      </c>
      <c r="C14" s="1" t="s">
        <v>9</v>
      </c>
      <c r="D14" s="2">
        <v>47</v>
      </c>
      <c r="E14" s="1" t="s">
        <v>16</v>
      </c>
      <c r="F14" s="2">
        <v>9000</v>
      </c>
      <c r="G14" s="1" t="s">
        <v>28</v>
      </c>
      <c r="H14" s="1" t="s">
        <v>24</v>
      </c>
      <c r="I14" s="1" t="s">
        <v>13</v>
      </c>
      <c r="J14" s="2">
        <v>4</v>
      </c>
      <c r="K14" s="2">
        <v>4</v>
      </c>
      <c r="L14" s="1" t="s">
        <v>20</v>
      </c>
      <c r="M14" s="2">
        <v>4100</v>
      </c>
      <c r="N14" s="2">
        <v>650</v>
      </c>
      <c r="O14" s="2"/>
    </row>
    <row r="15" spans="1:15" x14ac:dyDescent="0.3">
      <c r="A15" s="2">
        <v>14</v>
      </c>
      <c r="B15" s="1" t="s">
        <v>18</v>
      </c>
      <c r="C15" s="1" t="s">
        <v>15</v>
      </c>
      <c r="D15" s="2">
        <v>33</v>
      </c>
      <c r="E15" s="1" t="s">
        <v>19</v>
      </c>
      <c r="F15" s="2">
        <v>8000</v>
      </c>
      <c r="G15" s="1" t="s">
        <v>11</v>
      </c>
      <c r="H15" s="1" t="s">
        <v>29</v>
      </c>
      <c r="I15" s="1" t="s">
        <v>20</v>
      </c>
      <c r="J15" s="2">
        <v>5</v>
      </c>
      <c r="K15" s="2">
        <v>6</v>
      </c>
      <c r="L15" s="1" t="s">
        <v>20</v>
      </c>
      <c r="M15" s="2">
        <v>2600</v>
      </c>
      <c r="N15" s="2">
        <v>850</v>
      </c>
      <c r="O15" s="2"/>
    </row>
    <row r="16" spans="1:15" x14ac:dyDescent="0.3">
      <c r="A16" s="2">
        <v>15</v>
      </c>
      <c r="B16" s="1" t="s">
        <v>14</v>
      </c>
      <c r="C16" s="1" t="s">
        <v>9</v>
      </c>
      <c r="D16" s="2">
        <v>57</v>
      </c>
      <c r="E16" s="1" t="s">
        <v>22</v>
      </c>
      <c r="F16" s="2">
        <v>13000</v>
      </c>
      <c r="G16" s="1" t="s">
        <v>30</v>
      </c>
      <c r="H16" s="1" t="s">
        <v>17</v>
      </c>
      <c r="I16" s="1" t="s">
        <v>13</v>
      </c>
      <c r="J16" s="2">
        <v>2</v>
      </c>
      <c r="K16" s="2">
        <v>5</v>
      </c>
      <c r="L16" s="1" t="s">
        <v>13</v>
      </c>
      <c r="M16" s="2">
        <v>3900</v>
      </c>
      <c r="N16" s="2">
        <v>700</v>
      </c>
      <c r="O16" s="2"/>
    </row>
    <row r="17" spans="1:15" x14ac:dyDescent="0.3">
      <c r="A17" s="2">
        <v>16</v>
      </c>
      <c r="B17" s="1" t="s">
        <v>18</v>
      </c>
      <c r="C17" s="1" t="s">
        <v>15</v>
      </c>
      <c r="D17" s="2">
        <v>37</v>
      </c>
      <c r="E17" s="1" t="s">
        <v>10</v>
      </c>
      <c r="F17" s="2">
        <v>15000</v>
      </c>
      <c r="G17" s="1" t="s">
        <v>28</v>
      </c>
      <c r="H17" s="1" t="s">
        <v>12</v>
      </c>
      <c r="I17" s="1" t="s">
        <v>13</v>
      </c>
      <c r="J17" s="2">
        <v>3</v>
      </c>
      <c r="K17" s="2">
        <v>6</v>
      </c>
      <c r="L17" s="1" t="s">
        <v>13</v>
      </c>
      <c r="M17" s="2">
        <v>3300</v>
      </c>
      <c r="N17" s="2">
        <v>750</v>
      </c>
      <c r="O17" s="2"/>
    </row>
    <row r="18" spans="1:15" x14ac:dyDescent="0.3">
      <c r="A18" s="2">
        <v>17</v>
      </c>
      <c r="B18" s="1" t="s">
        <v>8</v>
      </c>
      <c r="C18" s="1" t="s">
        <v>9</v>
      </c>
      <c r="D18" s="2">
        <v>45</v>
      </c>
      <c r="E18" s="1" t="s">
        <v>16</v>
      </c>
      <c r="F18" s="2">
        <v>14000</v>
      </c>
      <c r="G18" s="1" t="s">
        <v>11</v>
      </c>
      <c r="H18" s="1" t="s">
        <v>21</v>
      </c>
      <c r="I18" s="1" t="s">
        <v>13</v>
      </c>
      <c r="J18" s="2">
        <v>4</v>
      </c>
      <c r="K18" s="2">
        <v>7</v>
      </c>
      <c r="L18" s="1" t="s">
        <v>20</v>
      </c>
      <c r="M18" s="2">
        <v>3700</v>
      </c>
      <c r="N18" s="2">
        <v>700</v>
      </c>
      <c r="O18" s="2"/>
    </row>
    <row r="19" spans="1:15" x14ac:dyDescent="0.3">
      <c r="A19" s="2">
        <v>18</v>
      </c>
      <c r="B19" s="1" t="s">
        <v>8</v>
      </c>
      <c r="C19" s="1" t="s">
        <v>15</v>
      </c>
      <c r="D19" s="2">
        <v>31</v>
      </c>
      <c r="E19" s="1" t="s">
        <v>19</v>
      </c>
      <c r="F19" s="2">
        <v>11000</v>
      </c>
      <c r="G19" s="1" t="s">
        <v>30</v>
      </c>
      <c r="H19" s="1" t="s">
        <v>24</v>
      </c>
      <c r="I19" s="1" t="s">
        <v>13</v>
      </c>
      <c r="J19" s="2">
        <v>5</v>
      </c>
      <c r="K19" s="2">
        <v>4</v>
      </c>
      <c r="L19" s="1" t="s">
        <v>20</v>
      </c>
      <c r="M19" s="2">
        <v>4300</v>
      </c>
      <c r="N19" s="2">
        <v>650</v>
      </c>
      <c r="O19" s="2"/>
    </row>
    <row r="20" spans="1:15" x14ac:dyDescent="0.3">
      <c r="A20" s="2">
        <v>19</v>
      </c>
      <c r="B20" s="1" t="s">
        <v>25</v>
      </c>
      <c r="C20" s="1" t="s">
        <v>9</v>
      </c>
      <c r="D20" s="2">
        <v>50</v>
      </c>
      <c r="E20" s="1" t="s">
        <v>22</v>
      </c>
      <c r="F20" s="2">
        <v>12000</v>
      </c>
      <c r="G20" s="1" t="s">
        <v>28</v>
      </c>
      <c r="H20" s="1" t="s">
        <v>29</v>
      </c>
      <c r="I20" s="1" t="s">
        <v>20</v>
      </c>
      <c r="J20" s="2">
        <v>3</v>
      </c>
      <c r="K20" s="2">
        <v>6</v>
      </c>
      <c r="L20" s="1" t="s">
        <v>20</v>
      </c>
      <c r="M20" s="2">
        <v>3000</v>
      </c>
      <c r="N20" s="2">
        <v>800</v>
      </c>
      <c r="O20" s="2"/>
    </row>
    <row r="21" spans="1:15" x14ac:dyDescent="0.3">
      <c r="A21" s="2">
        <v>20</v>
      </c>
      <c r="B21" s="1" t="s">
        <v>8</v>
      </c>
      <c r="C21" s="1" t="s">
        <v>15</v>
      </c>
      <c r="D21" s="2">
        <v>29</v>
      </c>
      <c r="E21" s="1" t="s">
        <v>10</v>
      </c>
      <c r="F21" s="2">
        <v>10000</v>
      </c>
      <c r="G21" s="1" t="s">
        <v>11</v>
      </c>
      <c r="H21" s="1" t="s">
        <v>17</v>
      </c>
      <c r="I21" s="1" t="s">
        <v>13</v>
      </c>
      <c r="J21" s="2">
        <v>4</v>
      </c>
      <c r="K21" s="2">
        <v>5</v>
      </c>
      <c r="L21" s="1" t="s">
        <v>13</v>
      </c>
      <c r="M21" s="2">
        <v>3500</v>
      </c>
      <c r="N21" s="2">
        <v>750</v>
      </c>
      <c r="O21" s="2"/>
    </row>
    <row r="22" spans="1:15" x14ac:dyDescent="0.3">
      <c r="A22" s="2">
        <v>21</v>
      </c>
      <c r="B22" s="1" t="s">
        <v>14</v>
      </c>
      <c r="C22" s="1" t="s">
        <v>9</v>
      </c>
      <c r="D22" s="2">
        <v>53</v>
      </c>
      <c r="E22" s="1" t="s">
        <v>16</v>
      </c>
      <c r="F22" s="2">
        <v>8000</v>
      </c>
      <c r="G22" s="1" t="s">
        <v>30</v>
      </c>
      <c r="H22" s="1" t="s">
        <v>12</v>
      </c>
      <c r="I22" s="1" t="s">
        <v>13</v>
      </c>
      <c r="J22" s="2">
        <v>2</v>
      </c>
      <c r="K22" s="2">
        <v>7</v>
      </c>
      <c r="L22" s="1" t="s">
        <v>13</v>
      </c>
      <c r="M22" s="2">
        <v>2700</v>
      </c>
      <c r="N22" s="2">
        <v>850</v>
      </c>
      <c r="O22" s="2"/>
    </row>
    <row r="23" spans="1:15" x14ac:dyDescent="0.3">
      <c r="A23" s="2">
        <v>22</v>
      </c>
      <c r="B23" s="1" t="s">
        <v>27</v>
      </c>
      <c r="C23" s="1" t="s">
        <v>15</v>
      </c>
      <c r="D23" s="2">
        <v>39</v>
      </c>
      <c r="E23" s="1" t="s">
        <v>19</v>
      </c>
      <c r="F23" s="2">
        <v>9000</v>
      </c>
      <c r="G23" s="1" t="s">
        <v>28</v>
      </c>
      <c r="H23" s="1" t="s">
        <v>24</v>
      </c>
      <c r="I23" s="1" t="s">
        <v>13</v>
      </c>
      <c r="J23" s="2">
        <v>5</v>
      </c>
      <c r="K23" s="2">
        <v>4</v>
      </c>
      <c r="L23" s="1" t="s">
        <v>20</v>
      </c>
      <c r="M23" s="2">
        <v>3200</v>
      </c>
      <c r="N23" s="2">
        <v>800</v>
      </c>
      <c r="O23" s="2"/>
    </row>
    <row r="24" spans="1:15" x14ac:dyDescent="0.3">
      <c r="A24" s="2">
        <v>23</v>
      </c>
      <c r="B24" s="1" t="s">
        <v>8</v>
      </c>
      <c r="C24" s="1" t="s">
        <v>9</v>
      </c>
      <c r="D24" s="2">
        <v>46</v>
      </c>
      <c r="E24" s="1" t="s">
        <v>22</v>
      </c>
      <c r="F24" s="2">
        <v>11000</v>
      </c>
      <c r="G24" s="1" t="s">
        <v>11</v>
      </c>
      <c r="H24" s="1" t="s">
        <v>29</v>
      </c>
      <c r="I24" s="1" t="s">
        <v>20</v>
      </c>
      <c r="J24" s="2">
        <v>3</v>
      </c>
      <c r="K24" s="2">
        <v>5</v>
      </c>
      <c r="L24" s="1" t="s">
        <v>20</v>
      </c>
      <c r="M24" s="2">
        <v>3400</v>
      </c>
      <c r="N24" s="2">
        <v>750</v>
      </c>
      <c r="O24" s="2"/>
    </row>
    <row r="25" spans="1:15" x14ac:dyDescent="0.3">
      <c r="A25" s="2">
        <v>24</v>
      </c>
      <c r="B25" s="1" t="s">
        <v>8</v>
      </c>
      <c r="C25" s="1" t="s">
        <v>15</v>
      </c>
      <c r="D25" s="2">
        <v>34</v>
      </c>
      <c r="E25" s="1" t="s">
        <v>10</v>
      </c>
      <c r="F25" s="2">
        <v>13000</v>
      </c>
      <c r="G25" s="1" t="s">
        <v>30</v>
      </c>
      <c r="H25" s="1" t="s">
        <v>21</v>
      </c>
      <c r="I25" s="1" t="s">
        <v>13</v>
      </c>
      <c r="J25" s="2">
        <v>4</v>
      </c>
      <c r="K25" s="2">
        <v>6</v>
      </c>
      <c r="L25" s="1" t="s">
        <v>20</v>
      </c>
      <c r="M25" s="2">
        <v>3700</v>
      </c>
      <c r="N25" s="2">
        <v>700</v>
      </c>
      <c r="O25" s="2"/>
    </row>
    <row r="26" spans="1:15" x14ac:dyDescent="0.3">
      <c r="A26" s="2">
        <v>25</v>
      </c>
      <c r="B26" s="1" t="s">
        <v>8</v>
      </c>
      <c r="C26" s="1" t="s">
        <v>9</v>
      </c>
      <c r="D26" s="2">
        <v>56</v>
      </c>
      <c r="E26" s="1" t="s">
        <v>16</v>
      </c>
      <c r="F26" s="2">
        <v>15000</v>
      </c>
      <c r="G26" s="1" t="s">
        <v>28</v>
      </c>
      <c r="H26" s="1" t="s">
        <v>29</v>
      </c>
      <c r="I26" s="1" t="s">
        <v>20</v>
      </c>
      <c r="J26" s="2">
        <v>2</v>
      </c>
      <c r="K26" s="2">
        <v>4</v>
      </c>
      <c r="L26" s="1" t="s">
        <v>13</v>
      </c>
      <c r="M26" s="2">
        <v>2800</v>
      </c>
      <c r="N26" s="2">
        <v>850</v>
      </c>
      <c r="O26" s="2"/>
    </row>
    <row r="27" spans="1:15" x14ac:dyDescent="0.3">
      <c r="A27" s="2">
        <v>26</v>
      </c>
      <c r="B27" s="1" t="s">
        <v>23</v>
      </c>
      <c r="C27" s="1" t="s">
        <v>15</v>
      </c>
      <c r="D27" s="2">
        <v>36</v>
      </c>
      <c r="E27" s="1" t="s">
        <v>19</v>
      </c>
      <c r="F27" s="2">
        <v>14000</v>
      </c>
      <c r="G27" s="1" t="s">
        <v>11</v>
      </c>
      <c r="H27" s="1" t="s">
        <v>17</v>
      </c>
      <c r="I27" s="1" t="s">
        <v>13</v>
      </c>
      <c r="J27" s="2">
        <v>3</v>
      </c>
      <c r="K27" s="2">
        <v>5</v>
      </c>
      <c r="L27" s="1" t="s">
        <v>13</v>
      </c>
      <c r="M27" s="2">
        <v>3300</v>
      </c>
      <c r="N27" s="2">
        <v>800</v>
      </c>
      <c r="O27" s="2"/>
    </row>
    <row r="28" spans="1:15" x14ac:dyDescent="0.3">
      <c r="A28" s="2">
        <v>27</v>
      </c>
      <c r="B28" s="1" t="s">
        <v>23</v>
      </c>
      <c r="C28" s="1" t="s">
        <v>9</v>
      </c>
      <c r="D28" s="2">
        <v>32</v>
      </c>
      <c r="E28" s="1" t="s">
        <v>22</v>
      </c>
      <c r="F28" s="2">
        <v>10000</v>
      </c>
      <c r="G28" s="1" t="s">
        <v>30</v>
      </c>
      <c r="H28" s="1" t="s">
        <v>12</v>
      </c>
      <c r="I28" s="1" t="s">
        <v>13</v>
      </c>
      <c r="J28" s="2">
        <v>4</v>
      </c>
      <c r="K28" s="2">
        <v>6</v>
      </c>
      <c r="L28" s="1" t="s">
        <v>13</v>
      </c>
      <c r="M28" s="2">
        <v>3800</v>
      </c>
      <c r="N28" s="2">
        <v>750</v>
      </c>
      <c r="O28" s="2"/>
    </row>
    <row r="29" spans="1:15" x14ac:dyDescent="0.3">
      <c r="A29" s="2">
        <v>28</v>
      </c>
      <c r="B29" s="1" t="s">
        <v>14</v>
      </c>
      <c r="C29" s="1" t="s">
        <v>15</v>
      </c>
      <c r="D29" s="2">
        <v>51</v>
      </c>
      <c r="E29" s="1" t="s">
        <v>10</v>
      </c>
      <c r="F29" s="2">
        <v>8000</v>
      </c>
      <c r="G29" s="1" t="s">
        <v>28</v>
      </c>
      <c r="H29" s="1" t="s">
        <v>24</v>
      </c>
      <c r="I29" s="1" t="s">
        <v>13</v>
      </c>
      <c r="J29" s="2">
        <v>5</v>
      </c>
      <c r="K29" s="2">
        <v>7</v>
      </c>
      <c r="L29" s="1" t="s">
        <v>20</v>
      </c>
      <c r="M29" s="2">
        <v>4200</v>
      </c>
      <c r="N29" s="2">
        <v>700</v>
      </c>
      <c r="O29" s="2"/>
    </row>
    <row r="30" spans="1:15" x14ac:dyDescent="0.3">
      <c r="A30" s="2">
        <v>29</v>
      </c>
      <c r="B30" s="1" t="s">
        <v>18</v>
      </c>
      <c r="C30" s="1" t="s">
        <v>9</v>
      </c>
      <c r="D30" s="2">
        <v>47</v>
      </c>
      <c r="E30" s="1" t="s">
        <v>16</v>
      </c>
      <c r="F30" s="2">
        <v>9000</v>
      </c>
      <c r="G30" s="1" t="s">
        <v>11</v>
      </c>
      <c r="H30" s="1" t="s">
        <v>29</v>
      </c>
      <c r="I30" s="1" t="s">
        <v>20</v>
      </c>
      <c r="J30" s="2">
        <v>2</v>
      </c>
      <c r="K30" s="2">
        <v>5</v>
      </c>
      <c r="L30" s="1" t="s">
        <v>20</v>
      </c>
      <c r="M30" s="2">
        <v>3100</v>
      </c>
      <c r="N30" s="2">
        <v>850</v>
      </c>
      <c r="O30" s="2"/>
    </row>
    <row r="31" spans="1:15" x14ac:dyDescent="0.3">
      <c r="A31" s="2">
        <v>30</v>
      </c>
      <c r="B31" s="1" t="s">
        <v>14</v>
      </c>
      <c r="C31" s="1" t="s">
        <v>15</v>
      </c>
      <c r="D31" s="2">
        <v>31</v>
      </c>
      <c r="E31" s="1" t="s">
        <v>19</v>
      </c>
      <c r="F31" s="2">
        <v>11000</v>
      </c>
      <c r="G31" s="1" t="s">
        <v>30</v>
      </c>
      <c r="H31" s="1" t="s">
        <v>21</v>
      </c>
      <c r="I31" s="1" t="s">
        <v>13</v>
      </c>
      <c r="J31" s="2">
        <v>3</v>
      </c>
      <c r="K31" s="2">
        <v>4</v>
      </c>
      <c r="L31" s="1" t="s">
        <v>20</v>
      </c>
      <c r="M31" s="2">
        <v>3600</v>
      </c>
      <c r="N31" s="2">
        <v>800</v>
      </c>
      <c r="O31" s="2"/>
    </row>
    <row r="32" spans="1:15" x14ac:dyDescent="0.3">
      <c r="A32" s="2">
        <v>31</v>
      </c>
      <c r="B32" s="1" t="s">
        <v>14</v>
      </c>
      <c r="C32" s="1" t="s">
        <v>9</v>
      </c>
      <c r="D32" s="2">
        <v>54</v>
      </c>
      <c r="E32" s="1" t="s">
        <v>22</v>
      </c>
      <c r="F32" s="2">
        <v>12000</v>
      </c>
      <c r="G32" s="1" t="s">
        <v>28</v>
      </c>
      <c r="H32" s="1" t="s">
        <v>29</v>
      </c>
      <c r="I32" s="1" t="s">
        <v>20</v>
      </c>
      <c r="J32" s="2">
        <v>4</v>
      </c>
      <c r="K32" s="2">
        <v>6</v>
      </c>
      <c r="L32" s="1" t="s">
        <v>13</v>
      </c>
      <c r="M32" s="2">
        <v>3100</v>
      </c>
      <c r="N32" s="2">
        <v>750</v>
      </c>
      <c r="O32" s="2"/>
    </row>
    <row r="33" spans="1:15" x14ac:dyDescent="0.3">
      <c r="A33" s="2">
        <v>32</v>
      </c>
      <c r="B33" s="1" t="s">
        <v>14</v>
      </c>
      <c r="C33" s="1" t="s">
        <v>15</v>
      </c>
      <c r="D33" s="2">
        <v>38</v>
      </c>
      <c r="E33" s="1" t="s">
        <v>10</v>
      </c>
      <c r="F33" s="2">
        <v>13000</v>
      </c>
      <c r="G33" s="1" t="s">
        <v>11</v>
      </c>
      <c r="H33" s="1" t="s">
        <v>17</v>
      </c>
      <c r="I33" s="1" t="s">
        <v>13</v>
      </c>
      <c r="J33" s="2">
        <v>2</v>
      </c>
      <c r="K33" s="2">
        <v>5</v>
      </c>
      <c r="L33" s="1" t="s">
        <v>13</v>
      </c>
      <c r="M33" s="2">
        <v>3500</v>
      </c>
      <c r="N33" s="2">
        <v>700</v>
      </c>
      <c r="O33" s="2"/>
    </row>
    <row r="34" spans="1:15" x14ac:dyDescent="0.3">
      <c r="A34" s="2">
        <v>33</v>
      </c>
      <c r="B34" s="1" t="s">
        <v>14</v>
      </c>
      <c r="C34" s="1" t="s">
        <v>9</v>
      </c>
      <c r="D34" s="2">
        <v>29</v>
      </c>
      <c r="E34" s="1" t="s">
        <v>16</v>
      </c>
      <c r="F34" s="2">
        <v>14000</v>
      </c>
      <c r="G34" s="1" t="s">
        <v>30</v>
      </c>
      <c r="H34" s="1" t="s">
        <v>12</v>
      </c>
      <c r="I34" s="1" t="s">
        <v>13</v>
      </c>
      <c r="J34" s="2">
        <v>3</v>
      </c>
      <c r="K34" s="2">
        <v>7</v>
      </c>
      <c r="L34" s="1" t="s">
        <v>13</v>
      </c>
      <c r="M34" s="2">
        <v>3900</v>
      </c>
      <c r="N34" s="2">
        <v>650</v>
      </c>
      <c r="O34" s="2"/>
    </row>
    <row r="35" spans="1:15" x14ac:dyDescent="0.3">
      <c r="A35" s="2">
        <v>34</v>
      </c>
      <c r="B35" s="1" t="s">
        <v>18</v>
      </c>
      <c r="C35" s="1" t="s">
        <v>15</v>
      </c>
      <c r="D35" s="2">
        <v>56</v>
      </c>
      <c r="E35" s="1" t="s">
        <v>19</v>
      </c>
      <c r="F35" s="2">
        <v>15000</v>
      </c>
      <c r="G35" s="1" t="s">
        <v>28</v>
      </c>
      <c r="H35" s="1" t="s">
        <v>24</v>
      </c>
      <c r="I35" s="1" t="s">
        <v>13</v>
      </c>
      <c r="J35" s="2">
        <v>5</v>
      </c>
      <c r="K35" s="2">
        <v>3</v>
      </c>
      <c r="L35" s="1" t="s">
        <v>20</v>
      </c>
      <c r="M35" s="2">
        <v>2000</v>
      </c>
      <c r="N35" s="2">
        <v>650</v>
      </c>
      <c r="O35" s="2"/>
    </row>
    <row r="36" spans="1:15" x14ac:dyDescent="0.3">
      <c r="A36" s="2">
        <v>35</v>
      </c>
      <c r="B36" s="1" t="s">
        <v>26</v>
      </c>
      <c r="C36" s="1" t="s">
        <v>9</v>
      </c>
      <c r="D36" s="2">
        <v>42</v>
      </c>
      <c r="E36" s="1" t="s">
        <v>22</v>
      </c>
      <c r="F36" s="2">
        <v>18000</v>
      </c>
      <c r="G36" s="1" t="s">
        <v>30</v>
      </c>
      <c r="H36" s="1" t="s">
        <v>21</v>
      </c>
      <c r="I36" s="1" t="s">
        <v>13</v>
      </c>
      <c r="J36" s="2">
        <v>3</v>
      </c>
      <c r="K36" s="2">
        <v>6</v>
      </c>
      <c r="L36" s="1" t="s">
        <v>20</v>
      </c>
      <c r="M36" s="2">
        <v>4500</v>
      </c>
      <c r="N36" s="2">
        <v>850</v>
      </c>
      <c r="O36" s="2"/>
    </row>
    <row r="37" spans="1:15" x14ac:dyDescent="0.3">
      <c r="A37" s="2">
        <v>36</v>
      </c>
      <c r="B37" s="1" t="s">
        <v>8</v>
      </c>
      <c r="C37" s="1" t="s">
        <v>15</v>
      </c>
      <c r="D37" s="2">
        <v>35</v>
      </c>
      <c r="E37" s="1" t="s">
        <v>19</v>
      </c>
      <c r="F37" s="2">
        <v>10000</v>
      </c>
      <c r="G37" s="1" t="s">
        <v>28</v>
      </c>
      <c r="H37" s="1" t="s">
        <v>17</v>
      </c>
      <c r="I37" s="1" t="s">
        <v>20</v>
      </c>
      <c r="J37" s="2">
        <v>4</v>
      </c>
      <c r="K37" s="2">
        <v>7</v>
      </c>
      <c r="L37" s="1" t="s">
        <v>13</v>
      </c>
      <c r="M37" s="2">
        <v>3200</v>
      </c>
      <c r="N37" s="2">
        <v>750</v>
      </c>
      <c r="O37" s="2"/>
    </row>
    <row r="38" spans="1:15" x14ac:dyDescent="0.3">
      <c r="A38" s="2">
        <v>37</v>
      </c>
      <c r="B38" s="1" t="s">
        <v>8</v>
      </c>
      <c r="C38" s="1" t="s">
        <v>9</v>
      </c>
      <c r="D38" s="2">
        <v>50</v>
      </c>
      <c r="E38" s="1" t="s">
        <v>10</v>
      </c>
      <c r="F38" s="2">
        <v>12000</v>
      </c>
      <c r="G38" s="1" t="s">
        <v>11</v>
      </c>
      <c r="H38" s="1" t="s">
        <v>12</v>
      </c>
      <c r="I38" s="1" t="s">
        <v>13</v>
      </c>
      <c r="J38" s="2">
        <v>3</v>
      </c>
      <c r="K38" s="2">
        <v>5</v>
      </c>
      <c r="L38" s="1" t="s">
        <v>13</v>
      </c>
      <c r="M38" s="2">
        <v>3800</v>
      </c>
      <c r="N38" s="2">
        <v>800</v>
      </c>
      <c r="O38" s="2"/>
    </row>
    <row r="39" spans="1:15" x14ac:dyDescent="0.3">
      <c r="A39" s="2">
        <v>38</v>
      </c>
      <c r="B39" s="1" t="s">
        <v>14</v>
      </c>
      <c r="C39" s="1" t="s">
        <v>15</v>
      </c>
      <c r="D39" s="2">
        <v>28</v>
      </c>
      <c r="E39" s="1" t="s">
        <v>16</v>
      </c>
      <c r="F39" s="2">
        <v>8000</v>
      </c>
      <c r="G39" s="1" t="s">
        <v>30</v>
      </c>
      <c r="H39" s="1" t="s">
        <v>29</v>
      </c>
      <c r="I39" s="1" t="s">
        <v>13</v>
      </c>
      <c r="J39" s="2">
        <v>5</v>
      </c>
      <c r="K39" s="2">
        <v>4</v>
      </c>
      <c r="L39" s="1" t="s">
        <v>13</v>
      </c>
      <c r="M39" s="2">
        <v>2700</v>
      </c>
      <c r="N39" s="2">
        <v>900</v>
      </c>
      <c r="O39" s="2"/>
    </row>
    <row r="40" spans="1:15" x14ac:dyDescent="0.3">
      <c r="A40" s="2">
        <v>39</v>
      </c>
      <c r="B40" s="1" t="s">
        <v>14</v>
      </c>
      <c r="C40" s="1" t="s">
        <v>9</v>
      </c>
      <c r="D40" s="2">
        <v>55</v>
      </c>
      <c r="E40" s="1" t="s">
        <v>22</v>
      </c>
      <c r="F40" s="2">
        <v>15000</v>
      </c>
      <c r="G40" s="1" t="s">
        <v>28</v>
      </c>
      <c r="H40" s="1" t="s">
        <v>29</v>
      </c>
      <c r="I40" s="1" t="s">
        <v>20</v>
      </c>
      <c r="J40" s="2">
        <v>2</v>
      </c>
      <c r="K40" s="2">
        <v>6</v>
      </c>
      <c r="L40" s="1" t="s">
        <v>20</v>
      </c>
      <c r="M40" s="2">
        <v>4100</v>
      </c>
      <c r="N40" s="2">
        <v>850</v>
      </c>
      <c r="O40" s="2"/>
    </row>
    <row r="41" spans="1:15" x14ac:dyDescent="0.3">
      <c r="A41" s="2">
        <v>40</v>
      </c>
      <c r="B41" s="1" t="s">
        <v>18</v>
      </c>
      <c r="C41" s="1" t="s">
        <v>15</v>
      </c>
      <c r="D41" s="2">
        <v>40</v>
      </c>
      <c r="E41" s="1" t="s">
        <v>10</v>
      </c>
      <c r="F41" s="2">
        <v>11000</v>
      </c>
      <c r="G41" s="1" t="s">
        <v>11</v>
      </c>
      <c r="H41" s="1" t="s">
        <v>24</v>
      </c>
      <c r="I41" s="1" t="s">
        <v>13</v>
      </c>
      <c r="J41" s="2">
        <v>4</v>
      </c>
      <c r="K41" s="2">
        <v>5</v>
      </c>
      <c r="L41" s="1" t="s">
        <v>20</v>
      </c>
      <c r="M41" s="2">
        <v>3500</v>
      </c>
      <c r="N41" s="2">
        <v>800</v>
      </c>
      <c r="O41" s="2"/>
    </row>
    <row r="42" spans="1:15" x14ac:dyDescent="0.3">
      <c r="A42" s="2">
        <v>41</v>
      </c>
      <c r="B42" s="1" t="s">
        <v>18</v>
      </c>
      <c r="C42" s="1" t="s">
        <v>9</v>
      </c>
      <c r="D42" s="2">
        <v>48</v>
      </c>
      <c r="E42" s="1" t="s">
        <v>19</v>
      </c>
      <c r="F42" s="2">
        <v>14000</v>
      </c>
      <c r="G42" s="1" t="s">
        <v>30</v>
      </c>
      <c r="H42" s="1" t="s">
        <v>17</v>
      </c>
      <c r="I42" s="1" t="s">
        <v>13</v>
      </c>
      <c r="J42" s="2">
        <v>3</v>
      </c>
      <c r="K42" s="2">
        <v>7</v>
      </c>
      <c r="L42" s="1" t="s">
        <v>13</v>
      </c>
      <c r="M42" s="2">
        <v>3900</v>
      </c>
      <c r="N42" s="2">
        <v>900</v>
      </c>
      <c r="O42" s="2"/>
    </row>
    <row r="43" spans="1:15" x14ac:dyDescent="0.3">
      <c r="A43" s="2">
        <v>42</v>
      </c>
      <c r="B43" s="1" t="s">
        <v>18</v>
      </c>
      <c r="C43" s="1" t="s">
        <v>15</v>
      </c>
      <c r="D43" s="2">
        <v>33</v>
      </c>
      <c r="E43" s="1" t="s">
        <v>22</v>
      </c>
      <c r="F43" s="2">
        <v>13000</v>
      </c>
      <c r="G43" s="1" t="s">
        <v>28</v>
      </c>
      <c r="H43" s="1" t="s">
        <v>21</v>
      </c>
      <c r="I43" s="1" t="s">
        <v>13</v>
      </c>
      <c r="J43" s="2">
        <v>4</v>
      </c>
      <c r="K43" s="2">
        <v>5</v>
      </c>
      <c r="L43" s="1" t="s">
        <v>20</v>
      </c>
      <c r="M43" s="2">
        <v>3300</v>
      </c>
      <c r="N43" s="2">
        <v>750</v>
      </c>
      <c r="O43" s="2"/>
    </row>
    <row r="44" spans="1:15" x14ac:dyDescent="0.3">
      <c r="A44" s="2">
        <v>43</v>
      </c>
      <c r="B44" s="1" t="s">
        <v>8</v>
      </c>
      <c r="C44" s="1" t="s">
        <v>9</v>
      </c>
      <c r="D44" s="2">
        <v>52</v>
      </c>
      <c r="E44" s="1" t="s">
        <v>16</v>
      </c>
      <c r="F44" s="2">
        <v>12000</v>
      </c>
      <c r="G44" s="1" t="s">
        <v>11</v>
      </c>
      <c r="H44" s="1" t="s">
        <v>17</v>
      </c>
      <c r="I44" s="1" t="s">
        <v>13</v>
      </c>
      <c r="J44" s="2">
        <v>3</v>
      </c>
      <c r="K44" s="2">
        <v>6</v>
      </c>
      <c r="L44" s="1" t="s">
        <v>13</v>
      </c>
      <c r="M44" s="2">
        <v>3600</v>
      </c>
      <c r="N44" s="2">
        <v>850</v>
      </c>
      <c r="O44" s="2"/>
    </row>
    <row r="45" spans="1:15" x14ac:dyDescent="0.3">
      <c r="A45" s="2">
        <v>44</v>
      </c>
      <c r="B45" s="1" t="s">
        <v>26</v>
      </c>
      <c r="C45" s="1" t="s">
        <v>15</v>
      </c>
      <c r="D45" s="2">
        <v>30</v>
      </c>
      <c r="E45" s="1" t="s">
        <v>10</v>
      </c>
      <c r="F45" s="2">
        <v>9000</v>
      </c>
      <c r="G45" s="1" t="s">
        <v>30</v>
      </c>
      <c r="H45" s="1" t="s">
        <v>12</v>
      </c>
      <c r="I45" s="1" t="s">
        <v>13</v>
      </c>
      <c r="J45" s="2">
        <v>5</v>
      </c>
      <c r="K45" s="2">
        <v>4</v>
      </c>
      <c r="L45" s="1" t="s">
        <v>13</v>
      </c>
      <c r="M45" s="2">
        <v>2800</v>
      </c>
      <c r="N45" s="2">
        <v>900</v>
      </c>
      <c r="O45" s="2"/>
    </row>
    <row r="46" spans="1:15" x14ac:dyDescent="0.3">
      <c r="A46" s="2">
        <v>45</v>
      </c>
      <c r="B46" s="1" t="s">
        <v>8</v>
      </c>
      <c r="C46" s="1" t="s">
        <v>9</v>
      </c>
      <c r="D46" s="2">
        <v>47</v>
      </c>
      <c r="E46" s="1" t="s">
        <v>22</v>
      </c>
      <c r="F46" s="2">
        <v>16000</v>
      </c>
      <c r="G46" s="1" t="s">
        <v>28</v>
      </c>
      <c r="H46" s="1" t="s">
        <v>29</v>
      </c>
      <c r="I46" s="1" t="s">
        <v>20</v>
      </c>
      <c r="J46" s="2">
        <v>2</v>
      </c>
      <c r="K46" s="2">
        <v>7</v>
      </c>
      <c r="L46" s="1" t="s">
        <v>20</v>
      </c>
      <c r="M46" s="2">
        <v>4300</v>
      </c>
      <c r="N46" s="2">
        <v>850</v>
      </c>
      <c r="O46" s="2"/>
    </row>
    <row r="47" spans="1:15" x14ac:dyDescent="0.3">
      <c r="A47" s="2">
        <v>46</v>
      </c>
      <c r="B47" s="1" t="s">
        <v>25</v>
      </c>
      <c r="C47" s="1" t="s">
        <v>15</v>
      </c>
      <c r="D47" s="2">
        <v>31</v>
      </c>
      <c r="E47" s="1" t="s">
        <v>19</v>
      </c>
      <c r="F47" s="2">
        <v>10000</v>
      </c>
      <c r="G47" s="1" t="s">
        <v>11</v>
      </c>
      <c r="H47" s="1" t="s">
        <v>24</v>
      </c>
      <c r="I47" s="1" t="s">
        <v>13</v>
      </c>
      <c r="J47" s="2">
        <v>4</v>
      </c>
      <c r="K47" s="2">
        <v>5</v>
      </c>
      <c r="L47" s="1" t="s">
        <v>20</v>
      </c>
      <c r="M47" s="2">
        <v>3400</v>
      </c>
      <c r="N47" s="2">
        <v>800</v>
      </c>
      <c r="O47" s="2"/>
    </row>
    <row r="48" spans="1:15" x14ac:dyDescent="0.3">
      <c r="A48" s="2">
        <v>47</v>
      </c>
      <c r="B48" s="1" t="s">
        <v>14</v>
      </c>
      <c r="C48" s="1" t="s">
        <v>9</v>
      </c>
      <c r="D48" s="2">
        <v>57</v>
      </c>
      <c r="E48" s="1" t="s">
        <v>10</v>
      </c>
      <c r="F48" s="2">
        <v>11000</v>
      </c>
      <c r="G48" s="1" t="s">
        <v>30</v>
      </c>
      <c r="H48" s="1" t="s">
        <v>29</v>
      </c>
      <c r="I48" s="1" t="s">
        <v>20</v>
      </c>
      <c r="J48" s="2">
        <v>3</v>
      </c>
      <c r="K48" s="2">
        <v>6</v>
      </c>
      <c r="L48" s="1" t="s">
        <v>13</v>
      </c>
      <c r="M48" s="2">
        <v>3800</v>
      </c>
      <c r="N48" s="2">
        <v>750</v>
      </c>
      <c r="O48" s="2"/>
    </row>
    <row r="49" spans="1:15" x14ac:dyDescent="0.3">
      <c r="A49" s="2">
        <v>48</v>
      </c>
      <c r="B49" s="1" t="s">
        <v>8</v>
      </c>
      <c r="C49" s="1" t="s">
        <v>15</v>
      </c>
      <c r="D49" s="2">
        <v>37</v>
      </c>
      <c r="E49" s="1" t="s">
        <v>16</v>
      </c>
      <c r="F49" s="2">
        <v>9000</v>
      </c>
      <c r="G49" s="1" t="s">
        <v>28</v>
      </c>
      <c r="H49" s="1" t="s">
        <v>17</v>
      </c>
      <c r="I49" s="1" t="s">
        <v>13</v>
      </c>
      <c r="J49" s="2">
        <v>5</v>
      </c>
      <c r="K49" s="2">
        <v>4</v>
      </c>
      <c r="L49" s="1" t="s">
        <v>13</v>
      </c>
      <c r="M49" s="2">
        <v>3100</v>
      </c>
      <c r="N49" s="2">
        <v>900</v>
      </c>
      <c r="O49" s="2"/>
    </row>
    <row r="50" spans="1:15" x14ac:dyDescent="0.3">
      <c r="A50" s="2">
        <v>49</v>
      </c>
      <c r="B50" s="1" t="s">
        <v>26</v>
      </c>
      <c r="C50" s="1" t="s">
        <v>9</v>
      </c>
      <c r="D50" s="2">
        <v>45</v>
      </c>
      <c r="E50" s="1" t="s">
        <v>22</v>
      </c>
      <c r="F50" s="2">
        <v>13000</v>
      </c>
      <c r="G50" s="1" t="s">
        <v>11</v>
      </c>
      <c r="H50" s="1" t="s">
        <v>21</v>
      </c>
      <c r="I50" s="1" t="s">
        <v>13</v>
      </c>
      <c r="J50" s="2">
        <v>3</v>
      </c>
      <c r="K50" s="2">
        <v>7</v>
      </c>
      <c r="L50" s="1" t="s">
        <v>20</v>
      </c>
      <c r="M50" s="2">
        <v>4200</v>
      </c>
      <c r="N50" s="2">
        <v>850</v>
      </c>
      <c r="O50" s="2"/>
    </row>
    <row r="51" spans="1:15" x14ac:dyDescent="0.3">
      <c r="A51" s="2">
        <v>50</v>
      </c>
      <c r="B51" s="1" t="s">
        <v>8</v>
      </c>
      <c r="C51" s="1" t="s">
        <v>15</v>
      </c>
      <c r="D51" s="2">
        <v>29</v>
      </c>
      <c r="E51" s="1" t="s">
        <v>19</v>
      </c>
      <c r="F51" s="2">
        <v>8000</v>
      </c>
      <c r="G51" s="1" t="s">
        <v>30</v>
      </c>
      <c r="H51" s="1" t="s">
        <v>12</v>
      </c>
      <c r="I51" s="1" t="s">
        <v>13</v>
      </c>
      <c r="J51" s="2">
        <v>4</v>
      </c>
      <c r="K51" s="2">
        <v>5</v>
      </c>
      <c r="L51" s="1" t="s">
        <v>13</v>
      </c>
      <c r="M51" s="2">
        <v>3300</v>
      </c>
      <c r="N51" s="2">
        <v>800</v>
      </c>
      <c r="O51" s="2"/>
    </row>
    <row r="52" spans="1:15" x14ac:dyDescent="0.3">
      <c r="A52" s="2">
        <v>51</v>
      </c>
      <c r="B52" s="1" t="s">
        <v>8</v>
      </c>
      <c r="C52" s="1" t="s">
        <v>9</v>
      </c>
      <c r="D52" s="2">
        <v>50</v>
      </c>
      <c r="E52" s="1" t="s">
        <v>10</v>
      </c>
      <c r="F52" s="2">
        <v>14000</v>
      </c>
      <c r="G52" s="1" t="s">
        <v>28</v>
      </c>
      <c r="H52" s="1" t="s">
        <v>24</v>
      </c>
      <c r="I52" s="1" t="s">
        <v>13</v>
      </c>
      <c r="J52" s="2">
        <v>2</v>
      </c>
      <c r="K52" s="2">
        <v>6</v>
      </c>
      <c r="L52" s="1" t="s">
        <v>20</v>
      </c>
      <c r="M52" s="2">
        <v>3700</v>
      </c>
      <c r="N52" s="2">
        <v>850</v>
      </c>
      <c r="O52" s="2"/>
    </row>
    <row r="53" spans="1:15" x14ac:dyDescent="0.3">
      <c r="A53" s="2">
        <v>52</v>
      </c>
      <c r="B53" s="1" t="s">
        <v>8</v>
      </c>
      <c r="C53" s="1" t="s">
        <v>15</v>
      </c>
      <c r="D53" s="2">
        <v>38</v>
      </c>
      <c r="E53" s="1" t="s">
        <v>22</v>
      </c>
      <c r="F53" s="2">
        <v>12000</v>
      </c>
      <c r="G53" s="1" t="s">
        <v>11</v>
      </c>
      <c r="H53" s="1" t="s">
        <v>29</v>
      </c>
      <c r="I53" s="1" t="s">
        <v>20</v>
      </c>
      <c r="J53" s="2">
        <v>4</v>
      </c>
      <c r="K53" s="2">
        <v>7</v>
      </c>
      <c r="L53" s="1" t="s">
        <v>20</v>
      </c>
      <c r="M53" s="2">
        <v>4000</v>
      </c>
      <c r="N53" s="2">
        <v>800</v>
      </c>
      <c r="O53" s="2"/>
    </row>
    <row r="54" spans="1:15" x14ac:dyDescent="0.3">
      <c r="A54" s="2">
        <v>53</v>
      </c>
      <c r="B54" s="1" t="s">
        <v>8</v>
      </c>
      <c r="C54" s="1" t="s">
        <v>9</v>
      </c>
      <c r="D54" s="2">
        <v>53</v>
      </c>
      <c r="E54" s="1" t="s">
        <v>16</v>
      </c>
      <c r="F54" s="2">
        <v>10000</v>
      </c>
      <c r="G54" s="1" t="s">
        <v>30</v>
      </c>
      <c r="H54" s="1" t="s">
        <v>17</v>
      </c>
      <c r="I54" s="1" t="s">
        <v>13</v>
      </c>
      <c r="J54" s="2">
        <v>3</v>
      </c>
      <c r="K54" s="2">
        <v>5</v>
      </c>
      <c r="L54" s="1" t="s">
        <v>13</v>
      </c>
      <c r="M54" s="2">
        <v>3200</v>
      </c>
      <c r="N54" s="2">
        <v>900</v>
      </c>
      <c r="O54" s="2"/>
    </row>
    <row r="55" spans="1:15" x14ac:dyDescent="0.3">
      <c r="A55" s="2">
        <v>54</v>
      </c>
      <c r="B55" s="1" t="s">
        <v>8</v>
      </c>
      <c r="C55" s="1" t="s">
        <v>15</v>
      </c>
      <c r="D55" s="2">
        <v>36</v>
      </c>
      <c r="E55" s="1" t="s">
        <v>10</v>
      </c>
      <c r="F55" s="2">
        <v>11000</v>
      </c>
      <c r="G55" s="1" t="s">
        <v>28</v>
      </c>
      <c r="H55" s="1" t="s">
        <v>29</v>
      </c>
      <c r="I55" s="1" t="s">
        <v>13</v>
      </c>
      <c r="J55" s="2">
        <v>5</v>
      </c>
      <c r="K55" s="2">
        <v>4</v>
      </c>
      <c r="L55" s="1" t="s">
        <v>13</v>
      </c>
      <c r="M55" s="2">
        <v>2800</v>
      </c>
      <c r="N55" s="2">
        <v>950</v>
      </c>
      <c r="O55" s="2"/>
    </row>
    <row r="56" spans="1:15" x14ac:dyDescent="0.3">
      <c r="A56" s="2">
        <v>55</v>
      </c>
      <c r="B56" s="1" t="s">
        <v>8</v>
      </c>
      <c r="C56" s="1" t="s">
        <v>9</v>
      </c>
      <c r="D56" s="2">
        <v>46</v>
      </c>
      <c r="E56" s="1" t="s">
        <v>19</v>
      </c>
      <c r="F56" s="2">
        <v>9000</v>
      </c>
      <c r="G56" s="1" t="s">
        <v>11</v>
      </c>
      <c r="H56" s="1" t="s">
        <v>21</v>
      </c>
      <c r="I56" s="1" t="s">
        <v>13</v>
      </c>
      <c r="J56" s="2">
        <v>2</v>
      </c>
      <c r="K56" s="2">
        <v>6</v>
      </c>
      <c r="L56" s="1" t="s">
        <v>20</v>
      </c>
      <c r="M56" s="2">
        <v>3600</v>
      </c>
      <c r="N56" s="2">
        <v>900</v>
      </c>
      <c r="O56" s="2"/>
    </row>
    <row r="57" spans="1:15" x14ac:dyDescent="0.3">
      <c r="A57" s="2">
        <v>56</v>
      </c>
      <c r="B57" s="1" t="s">
        <v>26</v>
      </c>
      <c r="C57" s="1" t="s">
        <v>15</v>
      </c>
      <c r="D57" s="2">
        <v>32</v>
      </c>
      <c r="E57" s="1" t="s">
        <v>22</v>
      </c>
      <c r="F57" s="2">
        <v>13000</v>
      </c>
      <c r="G57" s="1" t="s">
        <v>30</v>
      </c>
      <c r="H57" s="1" t="s">
        <v>24</v>
      </c>
      <c r="I57" s="1" t="s">
        <v>13</v>
      </c>
      <c r="J57" s="2">
        <v>4</v>
      </c>
      <c r="K57" s="2">
        <v>5</v>
      </c>
      <c r="L57" s="1" t="s">
        <v>20</v>
      </c>
      <c r="M57" s="2">
        <v>3900</v>
      </c>
      <c r="N57" s="2">
        <v>850</v>
      </c>
      <c r="O57" s="2"/>
    </row>
    <row r="58" spans="1:15" x14ac:dyDescent="0.3">
      <c r="A58" s="2">
        <v>57</v>
      </c>
      <c r="B58" s="1" t="s">
        <v>18</v>
      </c>
      <c r="C58" s="1" t="s">
        <v>9</v>
      </c>
      <c r="D58" s="2">
        <v>56</v>
      </c>
      <c r="E58" s="1" t="s">
        <v>16</v>
      </c>
      <c r="F58" s="2">
        <v>15000</v>
      </c>
      <c r="G58" s="1" t="s">
        <v>28</v>
      </c>
      <c r="H58" s="1" t="s">
        <v>29</v>
      </c>
      <c r="I58" s="1" t="s">
        <v>20</v>
      </c>
      <c r="J58" s="2">
        <v>3</v>
      </c>
      <c r="K58" s="2">
        <v>7</v>
      </c>
      <c r="L58" s="1" t="s">
        <v>20</v>
      </c>
      <c r="M58" s="2">
        <v>4300</v>
      </c>
      <c r="N58" s="2">
        <v>800</v>
      </c>
      <c r="O58" s="2"/>
    </row>
    <row r="59" spans="1:15" x14ac:dyDescent="0.3">
      <c r="A59" s="2">
        <v>58</v>
      </c>
      <c r="B59" s="1" t="s">
        <v>8</v>
      </c>
      <c r="C59" s="1" t="s">
        <v>15</v>
      </c>
      <c r="D59" s="2">
        <v>39</v>
      </c>
      <c r="E59" s="1" t="s">
        <v>10</v>
      </c>
      <c r="F59" s="2">
        <v>16000</v>
      </c>
      <c r="G59" s="1" t="s">
        <v>11</v>
      </c>
      <c r="H59" s="1" t="s">
        <v>17</v>
      </c>
      <c r="I59" s="1" t="s">
        <v>13</v>
      </c>
      <c r="J59" s="2">
        <v>2</v>
      </c>
      <c r="K59" s="2">
        <v>6</v>
      </c>
      <c r="L59" s="1" t="s">
        <v>13</v>
      </c>
      <c r="M59" s="2">
        <v>3500</v>
      </c>
      <c r="N59" s="2">
        <v>850</v>
      </c>
      <c r="O59" s="2"/>
    </row>
    <row r="60" spans="1:15" x14ac:dyDescent="0.3">
      <c r="A60" s="2">
        <v>59</v>
      </c>
      <c r="B60" s="1" t="s">
        <v>27</v>
      </c>
      <c r="C60" s="1" t="s">
        <v>9</v>
      </c>
      <c r="D60" s="2">
        <v>33</v>
      </c>
      <c r="E60" s="1" t="s">
        <v>19</v>
      </c>
      <c r="F60" s="2">
        <v>8000</v>
      </c>
      <c r="G60" s="1" t="s">
        <v>30</v>
      </c>
      <c r="H60" s="1" t="s">
        <v>12</v>
      </c>
      <c r="I60" s="1" t="s">
        <v>13</v>
      </c>
      <c r="J60" s="2">
        <v>5</v>
      </c>
      <c r="K60" s="2">
        <v>4</v>
      </c>
      <c r="L60" s="1" t="s">
        <v>13</v>
      </c>
      <c r="M60" s="2">
        <v>3200</v>
      </c>
      <c r="N60" s="2">
        <v>950</v>
      </c>
      <c r="O60" s="2"/>
    </row>
    <row r="61" spans="1:15" x14ac:dyDescent="0.3">
      <c r="A61" s="2">
        <v>60</v>
      </c>
      <c r="B61" s="1" t="s">
        <v>8</v>
      </c>
      <c r="C61" s="1" t="s">
        <v>15</v>
      </c>
      <c r="D61" s="2">
        <v>51</v>
      </c>
      <c r="E61" s="1" t="s">
        <v>22</v>
      </c>
      <c r="F61" s="2">
        <v>10000</v>
      </c>
      <c r="G61" s="1" t="s">
        <v>28</v>
      </c>
      <c r="H61" s="1" t="s">
        <v>29</v>
      </c>
      <c r="I61" s="1" t="s">
        <v>13</v>
      </c>
      <c r="J61" s="2">
        <v>4</v>
      </c>
      <c r="K61" s="2">
        <v>7</v>
      </c>
      <c r="L61" s="1" t="s">
        <v>13</v>
      </c>
      <c r="M61" s="2">
        <v>4100</v>
      </c>
      <c r="N61" s="2">
        <v>900</v>
      </c>
      <c r="O61" s="2"/>
    </row>
    <row r="62" spans="1:15" x14ac:dyDescent="0.3">
      <c r="A62" s="2">
        <v>61</v>
      </c>
      <c r="B62" s="1" t="s">
        <v>14</v>
      </c>
      <c r="C62" s="1" t="s">
        <v>9</v>
      </c>
      <c r="D62" s="2">
        <v>47</v>
      </c>
      <c r="E62" s="1" t="s">
        <v>16</v>
      </c>
      <c r="F62" s="2">
        <v>11000</v>
      </c>
      <c r="G62" s="1" t="s">
        <v>11</v>
      </c>
      <c r="H62" s="1" t="s">
        <v>24</v>
      </c>
      <c r="I62" s="1" t="s">
        <v>13</v>
      </c>
      <c r="J62" s="2">
        <v>3</v>
      </c>
      <c r="K62" s="2">
        <v>5</v>
      </c>
      <c r="L62" s="1" t="s">
        <v>20</v>
      </c>
      <c r="M62" s="2">
        <v>3400</v>
      </c>
      <c r="N62" s="2">
        <v>950</v>
      </c>
      <c r="O62" s="2"/>
    </row>
    <row r="63" spans="1:15" x14ac:dyDescent="0.3">
      <c r="A63" s="2">
        <v>62</v>
      </c>
      <c r="B63" s="1" t="s">
        <v>25</v>
      </c>
      <c r="C63" s="1" t="s">
        <v>15</v>
      </c>
      <c r="D63" s="2">
        <v>31</v>
      </c>
      <c r="E63" s="1" t="s">
        <v>10</v>
      </c>
      <c r="F63" s="2">
        <v>12000</v>
      </c>
      <c r="G63" s="1" t="s">
        <v>30</v>
      </c>
      <c r="H63" s="1" t="s">
        <v>29</v>
      </c>
      <c r="I63" s="1" t="s">
        <v>20</v>
      </c>
      <c r="J63" s="2">
        <v>5</v>
      </c>
      <c r="K63" s="2">
        <v>6</v>
      </c>
      <c r="L63" s="1" t="s">
        <v>20</v>
      </c>
      <c r="M63" s="2">
        <v>3800</v>
      </c>
      <c r="N63" s="2">
        <v>850</v>
      </c>
      <c r="O63" s="2"/>
    </row>
    <row r="64" spans="1:15" x14ac:dyDescent="0.3">
      <c r="A64" s="2">
        <v>63</v>
      </c>
      <c r="B64" s="1" t="s">
        <v>18</v>
      </c>
      <c r="C64" s="1" t="s">
        <v>9</v>
      </c>
      <c r="D64" s="2">
        <v>54</v>
      </c>
      <c r="E64" s="1" t="s">
        <v>19</v>
      </c>
      <c r="F64" s="2">
        <v>14000</v>
      </c>
      <c r="G64" s="1" t="s">
        <v>28</v>
      </c>
      <c r="H64" s="1" t="s">
        <v>21</v>
      </c>
      <c r="I64" s="1" t="s">
        <v>13</v>
      </c>
      <c r="J64" s="2">
        <v>2</v>
      </c>
      <c r="K64" s="2">
        <v>5</v>
      </c>
      <c r="L64" s="1" t="s">
        <v>20</v>
      </c>
      <c r="M64" s="2">
        <v>3100</v>
      </c>
      <c r="N64" s="2">
        <v>900</v>
      </c>
      <c r="O64" s="2"/>
    </row>
    <row r="65" spans="1:15" x14ac:dyDescent="0.3">
      <c r="A65" s="2">
        <v>64</v>
      </c>
      <c r="B65" s="1" t="s">
        <v>8</v>
      </c>
      <c r="C65" s="1" t="s">
        <v>15</v>
      </c>
      <c r="D65" s="2">
        <v>40</v>
      </c>
      <c r="E65" s="1" t="s">
        <v>22</v>
      </c>
      <c r="F65" s="2">
        <v>15000</v>
      </c>
      <c r="G65" s="1" t="s">
        <v>11</v>
      </c>
      <c r="H65" s="1" t="s">
        <v>17</v>
      </c>
      <c r="I65" s="1" t="s">
        <v>13</v>
      </c>
      <c r="J65" s="2">
        <v>3</v>
      </c>
      <c r="K65" s="2">
        <v>7</v>
      </c>
      <c r="L65" s="1" t="s">
        <v>13</v>
      </c>
      <c r="M65" s="2">
        <v>4500</v>
      </c>
      <c r="N65" s="2">
        <v>850</v>
      </c>
      <c r="O65" s="2"/>
    </row>
    <row r="66" spans="1:15" x14ac:dyDescent="0.3">
      <c r="A66" s="2">
        <v>65</v>
      </c>
      <c r="B66" s="1" t="s">
        <v>8</v>
      </c>
      <c r="C66" s="1" t="s">
        <v>9</v>
      </c>
      <c r="D66" s="2">
        <v>29</v>
      </c>
      <c r="E66" s="1" t="s">
        <v>10</v>
      </c>
      <c r="F66" s="2">
        <v>8000</v>
      </c>
      <c r="G66" s="1" t="s">
        <v>30</v>
      </c>
      <c r="H66" s="1" t="s">
        <v>12</v>
      </c>
      <c r="I66" s="1" t="s">
        <v>13</v>
      </c>
      <c r="J66" s="2">
        <v>4</v>
      </c>
      <c r="K66" s="2">
        <v>4</v>
      </c>
      <c r="L66" s="1" t="s">
        <v>13</v>
      </c>
      <c r="M66" s="2">
        <v>2800</v>
      </c>
      <c r="N66" s="2">
        <v>950</v>
      </c>
      <c r="O66" s="2"/>
    </row>
    <row r="67" spans="1:15" x14ac:dyDescent="0.3">
      <c r="A67" s="2">
        <v>66</v>
      </c>
      <c r="B67" s="1" t="s">
        <v>14</v>
      </c>
      <c r="C67" s="1" t="s">
        <v>15</v>
      </c>
      <c r="D67" s="2">
        <v>56</v>
      </c>
      <c r="E67" s="1" t="s">
        <v>16</v>
      </c>
      <c r="F67" s="2">
        <v>9000</v>
      </c>
      <c r="G67" s="1" t="s">
        <v>28</v>
      </c>
      <c r="H67" s="1" t="s">
        <v>24</v>
      </c>
      <c r="I67" s="1" t="s">
        <v>13</v>
      </c>
      <c r="J67" s="2">
        <v>5</v>
      </c>
      <c r="K67" s="2">
        <v>6</v>
      </c>
      <c r="L67" s="1" t="s">
        <v>20</v>
      </c>
      <c r="M67" s="2">
        <v>4200</v>
      </c>
      <c r="N67" s="2">
        <v>900</v>
      </c>
      <c r="O67" s="2"/>
    </row>
    <row r="68" spans="1:15" x14ac:dyDescent="0.3">
      <c r="A68" s="2">
        <v>67</v>
      </c>
      <c r="B68" s="1" t="s">
        <v>25</v>
      </c>
      <c r="C68" s="1" t="s">
        <v>9</v>
      </c>
      <c r="D68" s="2">
        <v>43</v>
      </c>
      <c r="E68" s="1" t="s">
        <v>22</v>
      </c>
      <c r="F68" s="2">
        <v>10000</v>
      </c>
      <c r="G68" s="1" t="s">
        <v>11</v>
      </c>
      <c r="H68" s="1" t="s">
        <v>29</v>
      </c>
      <c r="I68" s="1" t="s">
        <v>20</v>
      </c>
      <c r="J68" s="2">
        <v>3</v>
      </c>
      <c r="K68" s="2">
        <v>5</v>
      </c>
      <c r="L68" s="1" t="s">
        <v>20</v>
      </c>
      <c r="M68" s="2">
        <v>3500</v>
      </c>
      <c r="N68" s="2">
        <v>850</v>
      </c>
      <c r="O68" s="2"/>
    </row>
    <row r="69" spans="1:15" x14ac:dyDescent="0.3">
      <c r="A69" s="2">
        <v>68</v>
      </c>
      <c r="B69" s="1" t="s">
        <v>26</v>
      </c>
      <c r="C69" s="1" t="s">
        <v>15</v>
      </c>
      <c r="D69" s="2">
        <v>30</v>
      </c>
      <c r="E69" s="1" t="s">
        <v>19</v>
      </c>
      <c r="F69" s="2">
        <v>11000</v>
      </c>
      <c r="G69" s="1" t="s">
        <v>30</v>
      </c>
      <c r="H69" s="1" t="s">
        <v>21</v>
      </c>
      <c r="I69" s="1" t="s">
        <v>13</v>
      </c>
      <c r="J69" s="2">
        <v>5</v>
      </c>
      <c r="K69" s="2">
        <v>7</v>
      </c>
      <c r="L69" s="1" t="s">
        <v>20</v>
      </c>
      <c r="M69" s="2">
        <v>2000</v>
      </c>
      <c r="N69" s="2">
        <v>900</v>
      </c>
      <c r="O69" s="2"/>
    </row>
    <row r="70" spans="1:15" x14ac:dyDescent="0.3">
      <c r="A70" s="2">
        <v>69</v>
      </c>
      <c r="B70" s="1" t="s">
        <v>14</v>
      </c>
      <c r="C70" s="1" t="s">
        <v>9</v>
      </c>
      <c r="D70" s="2">
        <v>42</v>
      </c>
      <c r="E70" s="1" t="s">
        <v>22</v>
      </c>
      <c r="F70" s="2">
        <v>13000</v>
      </c>
      <c r="G70" s="1" t="s">
        <v>30</v>
      </c>
      <c r="H70" s="1" t="s">
        <v>21</v>
      </c>
      <c r="I70" s="1" t="s">
        <v>13</v>
      </c>
      <c r="J70" s="2">
        <v>3</v>
      </c>
      <c r="K70" s="2">
        <v>6</v>
      </c>
      <c r="L70" s="1" t="s">
        <v>20</v>
      </c>
      <c r="M70" s="2">
        <v>3200</v>
      </c>
      <c r="N70" s="2">
        <v>750</v>
      </c>
      <c r="O70" s="2"/>
    </row>
    <row r="71" spans="1:15" x14ac:dyDescent="0.3">
      <c r="A71" s="2">
        <v>70</v>
      </c>
      <c r="B71" s="1" t="s">
        <v>14</v>
      </c>
      <c r="C71" s="1" t="s">
        <v>15</v>
      </c>
      <c r="D71" s="2">
        <v>35</v>
      </c>
      <c r="E71" s="1" t="s">
        <v>22</v>
      </c>
      <c r="F71" s="2">
        <v>11000</v>
      </c>
      <c r="G71" s="1" t="s">
        <v>28</v>
      </c>
      <c r="H71" s="1" t="s">
        <v>17</v>
      </c>
      <c r="I71" s="1" t="s">
        <v>13</v>
      </c>
      <c r="J71" s="2">
        <v>4</v>
      </c>
      <c r="K71" s="2">
        <v>5</v>
      </c>
      <c r="L71" s="1" t="s">
        <v>13</v>
      </c>
      <c r="M71" s="2">
        <v>3500</v>
      </c>
      <c r="N71" s="2">
        <v>700</v>
      </c>
      <c r="O71" s="2"/>
    </row>
    <row r="72" spans="1:15" x14ac:dyDescent="0.3">
      <c r="A72" s="2">
        <v>71</v>
      </c>
      <c r="B72" s="1" t="s">
        <v>18</v>
      </c>
      <c r="C72" s="1" t="s">
        <v>9</v>
      </c>
      <c r="D72" s="2">
        <v>49</v>
      </c>
      <c r="E72" s="1" t="s">
        <v>10</v>
      </c>
      <c r="F72" s="2">
        <v>12000</v>
      </c>
      <c r="G72" s="1" t="s">
        <v>11</v>
      </c>
      <c r="H72" s="1" t="s">
        <v>12</v>
      </c>
      <c r="I72" s="1" t="s">
        <v>13</v>
      </c>
      <c r="J72" s="2">
        <v>2</v>
      </c>
      <c r="K72" s="2">
        <v>7</v>
      </c>
      <c r="L72" s="1" t="s">
        <v>13</v>
      </c>
      <c r="M72" s="2">
        <v>3800</v>
      </c>
      <c r="N72" s="2">
        <v>650</v>
      </c>
      <c r="O72" s="2"/>
    </row>
    <row r="73" spans="1:15" x14ac:dyDescent="0.3">
      <c r="A73" s="2">
        <v>72</v>
      </c>
      <c r="B73" s="1" t="s">
        <v>14</v>
      </c>
      <c r="C73" s="1" t="s">
        <v>15</v>
      </c>
      <c r="D73" s="2">
        <v>27</v>
      </c>
      <c r="E73" s="1" t="s">
        <v>16</v>
      </c>
      <c r="F73" s="2">
        <v>10000</v>
      </c>
      <c r="G73" s="1" t="s">
        <v>30</v>
      </c>
      <c r="H73" s="1" t="s">
        <v>29</v>
      </c>
      <c r="I73" s="1" t="s">
        <v>20</v>
      </c>
      <c r="J73" s="2">
        <v>5</v>
      </c>
      <c r="K73" s="2">
        <v>4</v>
      </c>
      <c r="L73" s="1" t="s">
        <v>13</v>
      </c>
      <c r="M73" s="2">
        <v>2800</v>
      </c>
      <c r="N73" s="2">
        <v>800</v>
      </c>
      <c r="O73" s="2"/>
    </row>
    <row r="74" spans="1:15" x14ac:dyDescent="0.3">
      <c r="A74" s="2">
        <v>73</v>
      </c>
      <c r="B74" s="1" t="s">
        <v>26</v>
      </c>
      <c r="C74" s="1" t="s">
        <v>9</v>
      </c>
      <c r="D74" s="2">
        <v>55</v>
      </c>
      <c r="E74" s="1" t="s">
        <v>19</v>
      </c>
      <c r="F74" s="2">
        <v>14000</v>
      </c>
      <c r="G74" s="1" t="s">
        <v>28</v>
      </c>
      <c r="H74" s="1" t="s">
        <v>21</v>
      </c>
      <c r="I74" s="1" t="s">
        <v>13</v>
      </c>
      <c r="J74" s="2">
        <v>3</v>
      </c>
      <c r="K74" s="2">
        <v>6</v>
      </c>
      <c r="L74" s="1" t="s">
        <v>20</v>
      </c>
      <c r="M74" s="2">
        <v>3300</v>
      </c>
      <c r="N74" s="2">
        <v>750</v>
      </c>
      <c r="O74" s="2"/>
    </row>
    <row r="75" spans="1:15" x14ac:dyDescent="0.3">
      <c r="A75" s="2">
        <v>74</v>
      </c>
      <c r="B75" s="1" t="s">
        <v>8</v>
      </c>
      <c r="C75" s="1" t="s">
        <v>15</v>
      </c>
      <c r="D75" s="2">
        <v>41</v>
      </c>
      <c r="E75" s="1" t="s">
        <v>22</v>
      </c>
      <c r="F75" s="2">
        <v>15000</v>
      </c>
      <c r="G75" s="1" t="s">
        <v>11</v>
      </c>
      <c r="H75" s="1" t="s">
        <v>24</v>
      </c>
      <c r="I75" s="1" t="s">
        <v>13</v>
      </c>
      <c r="J75" s="2">
        <v>4</v>
      </c>
      <c r="K75" s="2">
        <v>5</v>
      </c>
      <c r="L75" s="1" t="s">
        <v>20</v>
      </c>
      <c r="M75" s="2">
        <v>3700</v>
      </c>
      <c r="N75" s="2">
        <v>700</v>
      </c>
      <c r="O75" s="2"/>
    </row>
    <row r="76" spans="1:15" x14ac:dyDescent="0.3">
      <c r="A76" s="2">
        <v>75</v>
      </c>
      <c r="B76" s="1" t="s">
        <v>26</v>
      </c>
      <c r="C76" s="1" t="s">
        <v>9</v>
      </c>
      <c r="D76" s="2">
        <v>30</v>
      </c>
      <c r="E76" s="1" t="s">
        <v>10</v>
      </c>
      <c r="F76" s="2">
        <v>9000</v>
      </c>
      <c r="G76" s="1" t="s">
        <v>30</v>
      </c>
      <c r="H76" s="1" t="s">
        <v>29</v>
      </c>
      <c r="I76" s="1" t="s">
        <v>20</v>
      </c>
      <c r="J76" s="2">
        <v>5</v>
      </c>
      <c r="K76" s="2">
        <v>7</v>
      </c>
      <c r="L76" s="1" t="s">
        <v>20</v>
      </c>
      <c r="M76" s="2">
        <v>3000</v>
      </c>
      <c r="N76" s="2">
        <v>850</v>
      </c>
      <c r="O76" s="2"/>
    </row>
    <row r="77" spans="1:15" x14ac:dyDescent="0.3">
      <c r="A77" s="2">
        <v>76</v>
      </c>
      <c r="B77" s="1" t="s">
        <v>8</v>
      </c>
      <c r="C77" s="1" t="s">
        <v>15</v>
      </c>
      <c r="D77" s="2">
        <v>47</v>
      </c>
      <c r="E77" s="1" t="s">
        <v>16</v>
      </c>
      <c r="F77" s="2">
        <v>8000</v>
      </c>
      <c r="G77" s="1" t="s">
        <v>28</v>
      </c>
      <c r="H77" s="1" t="s">
        <v>17</v>
      </c>
      <c r="I77" s="1" t="s">
        <v>13</v>
      </c>
      <c r="J77" s="2">
        <v>3</v>
      </c>
      <c r="K77" s="2">
        <v>5</v>
      </c>
      <c r="L77" s="1" t="s">
        <v>13</v>
      </c>
      <c r="M77" s="2">
        <v>3500</v>
      </c>
      <c r="N77" s="2">
        <v>750</v>
      </c>
      <c r="O77" s="2"/>
    </row>
    <row r="78" spans="1:15" x14ac:dyDescent="0.3">
      <c r="A78" s="2">
        <v>77</v>
      </c>
      <c r="B78" s="1" t="s">
        <v>26</v>
      </c>
      <c r="C78" s="1" t="s">
        <v>9</v>
      </c>
      <c r="D78" s="2">
        <v>39</v>
      </c>
      <c r="E78" s="1" t="s">
        <v>19</v>
      </c>
      <c r="F78" s="2">
        <v>12000</v>
      </c>
      <c r="G78" s="1" t="s">
        <v>11</v>
      </c>
      <c r="H78" s="1" t="s">
        <v>12</v>
      </c>
      <c r="I78" s="1" t="s">
        <v>13</v>
      </c>
      <c r="J78" s="2">
        <v>2</v>
      </c>
      <c r="K78" s="2">
        <v>6</v>
      </c>
      <c r="L78" s="1" t="s">
        <v>13</v>
      </c>
      <c r="M78" s="2">
        <v>3100</v>
      </c>
      <c r="N78" s="2">
        <v>800</v>
      </c>
      <c r="O78" s="2"/>
    </row>
    <row r="79" spans="1:15" x14ac:dyDescent="0.3">
      <c r="A79" s="2">
        <v>78</v>
      </c>
      <c r="B79" s="1" t="s">
        <v>18</v>
      </c>
      <c r="C79" s="1" t="s">
        <v>15</v>
      </c>
      <c r="D79" s="2">
        <v>53</v>
      </c>
      <c r="E79" s="1" t="s">
        <v>22</v>
      </c>
      <c r="F79" s="2">
        <v>13000</v>
      </c>
      <c r="G79" s="1" t="s">
        <v>30</v>
      </c>
      <c r="H79" s="1" t="s">
        <v>29</v>
      </c>
      <c r="I79" s="1" t="s">
        <v>20</v>
      </c>
      <c r="J79" s="2">
        <v>4</v>
      </c>
      <c r="K79" s="2">
        <v>5</v>
      </c>
      <c r="L79" s="1" t="s">
        <v>13</v>
      </c>
      <c r="M79" s="2">
        <v>3400</v>
      </c>
      <c r="N79" s="2">
        <v>750</v>
      </c>
      <c r="O79" s="2"/>
    </row>
    <row r="80" spans="1:15" x14ac:dyDescent="0.3">
      <c r="A80" s="2">
        <v>79</v>
      </c>
      <c r="B80" s="1" t="s">
        <v>8</v>
      </c>
      <c r="C80" s="1" t="s">
        <v>9</v>
      </c>
      <c r="D80" s="2">
        <v>28</v>
      </c>
      <c r="E80" s="1" t="s">
        <v>10</v>
      </c>
      <c r="F80" s="2">
        <v>11000</v>
      </c>
      <c r="G80" s="1" t="s">
        <v>28</v>
      </c>
      <c r="H80" s="1" t="s">
        <v>21</v>
      </c>
      <c r="I80" s="1" t="s">
        <v>13</v>
      </c>
      <c r="J80" s="2">
        <v>5</v>
      </c>
      <c r="K80" s="2">
        <v>4</v>
      </c>
      <c r="L80" s="1" t="s">
        <v>20</v>
      </c>
      <c r="M80" s="2">
        <v>3800</v>
      </c>
      <c r="N80" s="2">
        <v>700</v>
      </c>
      <c r="O80" s="2"/>
    </row>
    <row r="81" spans="1:15" x14ac:dyDescent="0.3">
      <c r="A81" s="2">
        <v>80</v>
      </c>
      <c r="B81" s="1" t="s">
        <v>18</v>
      </c>
      <c r="C81" s="1" t="s">
        <v>15</v>
      </c>
      <c r="D81" s="2">
        <v>46</v>
      </c>
      <c r="E81" s="1" t="s">
        <v>16</v>
      </c>
      <c r="F81" s="2">
        <v>10000</v>
      </c>
      <c r="G81" s="1" t="s">
        <v>11</v>
      </c>
      <c r="H81" s="1" t="s">
        <v>24</v>
      </c>
      <c r="I81" s="1" t="s">
        <v>13</v>
      </c>
      <c r="J81" s="2">
        <v>3</v>
      </c>
      <c r="K81" s="2">
        <v>7</v>
      </c>
      <c r="L81" s="1" t="s">
        <v>20</v>
      </c>
      <c r="M81" s="2">
        <v>3200</v>
      </c>
      <c r="N81" s="2">
        <v>800</v>
      </c>
      <c r="O81" s="2"/>
    </row>
    <row r="82" spans="1:15" x14ac:dyDescent="0.3">
      <c r="A82" s="2">
        <v>81</v>
      </c>
      <c r="B82" s="1" t="s">
        <v>25</v>
      </c>
      <c r="C82" s="1" t="s">
        <v>9</v>
      </c>
      <c r="D82" s="2">
        <v>36</v>
      </c>
      <c r="E82" s="1" t="s">
        <v>22</v>
      </c>
      <c r="F82" s="2">
        <v>14000</v>
      </c>
      <c r="G82" s="1" t="s">
        <v>30</v>
      </c>
      <c r="H82" s="1" t="s">
        <v>29</v>
      </c>
      <c r="I82" s="1" t="s">
        <v>20</v>
      </c>
      <c r="J82" s="2">
        <v>2</v>
      </c>
      <c r="K82" s="2">
        <v>6</v>
      </c>
      <c r="L82" s="1" t="s">
        <v>20</v>
      </c>
      <c r="M82" s="2">
        <v>3700</v>
      </c>
      <c r="N82" s="2">
        <v>750</v>
      </c>
      <c r="O82" s="2"/>
    </row>
    <row r="83" spans="1:15" x14ac:dyDescent="0.3">
      <c r="A83" s="2">
        <v>82</v>
      </c>
      <c r="B83" s="1" t="s">
        <v>18</v>
      </c>
      <c r="C83" s="1" t="s">
        <v>15</v>
      </c>
      <c r="D83" s="2">
        <v>50</v>
      </c>
      <c r="E83" s="1" t="s">
        <v>19</v>
      </c>
      <c r="F83" s="2">
        <v>15000</v>
      </c>
      <c r="G83" s="1" t="s">
        <v>28</v>
      </c>
      <c r="H83" s="1" t="s">
        <v>17</v>
      </c>
      <c r="I83" s="1" t="s">
        <v>13</v>
      </c>
      <c r="J83" s="2">
        <v>4</v>
      </c>
      <c r="K83" s="2">
        <v>5</v>
      </c>
      <c r="L83" s="1" t="s">
        <v>13</v>
      </c>
      <c r="M83" s="2">
        <v>3900</v>
      </c>
      <c r="N83" s="2">
        <v>700</v>
      </c>
      <c r="O83" s="2"/>
    </row>
    <row r="84" spans="1:15" x14ac:dyDescent="0.3">
      <c r="A84" s="2">
        <v>83</v>
      </c>
      <c r="B84" s="1" t="s">
        <v>18</v>
      </c>
      <c r="C84" s="1" t="s">
        <v>9</v>
      </c>
      <c r="D84" s="2">
        <v>32</v>
      </c>
      <c r="E84" s="1" t="s">
        <v>10</v>
      </c>
      <c r="F84" s="2">
        <v>9000</v>
      </c>
      <c r="G84" s="1" t="s">
        <v>11</v>
      </c>
      <c r="H84" s="1" t="s">
        <v>12</v>
      </c>
      <c r="I84" s="1" t="s">
        <v>13</v>
      </c>
      <c r="J84" s="2">
        <v>3</v>
      </c>
      <c r="K84" s="2">
        <v>7</v>
      </c>
      <c r="L84" s="1" t="s">
        <v>13</v>
      </c>
      <c r="M84" s="2">
        <v>3300</v>
      </c>
      <c r="N84" s="2">
        <v>650</v>
      </c>
      <c r="O84" s="2"/>
    </row>
    <row r="85" spans="1:15" x14ac:dyDescent="0.3">
      <c r="A85" s="2">
        <v>84</v>
      </c>
      <c r="B85" s="1" t="s">
        <v>8</v>
      </c>
      <c r="C85" s="1" t="s">
        <v>15</v>
      </c>
      <c r="D85" s="2">
        <v>54</v>
      </c>
      <c r="E85" s="1" t="s">
        <v>16</v>
      </c>
      <c r="F85" s="2">
        <v>12000</v>
      </c>
      <c r="G85" s="1" t="s">
        <v>30</v>
      </c>
      <c r="H85" s="1" t="s">
        <v>29</v>
      </c>
      <c r="I85" s="1" t="s">
        <v>20</v>
      </c>
      <c r="J85" s="2">
        <v>5</v>
      </c>
      <c r="K85" s="2">
        <v>4</v>
      </c>
      <c r="L85" s="1" t="s">
        <v>13</v>
      </c>
      <c r="M85" s="2">
        <v>2900</v>
      </c>
      <c r="N85" s="2">
        <v>850</v>
      </c>
      <c r="O85" s="2"/>
    </row>
    <row r="86" spans="1:15" x14ac:dyDescent="0.3">
      <c r="A86" s="2">
        <v>85</v>
      </c>
      <c r="B86" s="1" t="s">
        <v>14</v>
      </c>
      <c r="C86" s="1" t="s">
        <v>9</v>
      </c>
      <c r="D86" s="2">
        <v>40</v>
      </c>
      <c r="E86" s="1" t="s">
        <v>22</v>
      </c>
      <c r="F86" s="2">
        <v>13000</v>
      </c>
      <c r="G86" s="1" t="s">
        <v>28</v>
      </c>
      <c r="H86" s="1" t="s">
        <v>21</v>
      </c>
      <c r="I86" s="1" t="s">
        <v>13</v>
      </c>
      <c r="J86" s="2">
        <v>2</v>
      </c>
      <c r="K86" s="2">
        <v>6</v>
      </c>
      <c r="L86" s="1" t="s">
        <v>20</v>
      </c>
      <c r="M86" s="2">
        <v>3500</v>
      </c>
      <c r="N86" s="2">
        <v>750</v>
      </c>
      <c r="O86" s="2"/>
    </row>
    <row r="87" spans="1:15" x14ac:dyDescent="0.3">
      <c r="A87" s="2">
        <v>86</v>
      </c>
      <c r="B87" s="1" t="s">
        <v>8</v>
      </c>
      <c r="C87" s="1" t="s">
        <v>15</v>
      </c>
      <c r="D87" s="2">
        <v>29</v>
      </c>
      <c r="E87" s="1" t="s">
        <v>10</v>
      </c>
      <c r="F87" s="2">
        <v>11000</v>
      </c>
      <c r="G87" s="1" t="s">
        <v>11</v>
      </c>
      <c r="H87" s="1" t="s">
        <v>24</v>
      </c>
      <c r="I87" s="1" t="s">
        <v>13</v>
      </c>
      <c r="J87" s="2">
        <v>4</v>
      </c>
      <c r="K87" s="2">
        <v>5</v>
      </c>
      <c r="L87" s="1" t="s">
        <v>20</v>
      </c>
      <c r="M87" s="2">
        <v>3800</v>
      </c>
      <c r="N87" s="2">
        <v>700</v>
      </c>
      <c r="O87" s="2"/>
    </row>
    <row r="88" spans="1:15" x14ac:dyDescent="0.3">
      <c r="A88" s="2">
        <v>87</v>
      </c>
      <c r="B88" s="1" t="s">
        <v>18</v>
      </c>
      <c r="C88" s="1" t="s">
        <v>9</v>
      </c>
      <c r="D88" s="2">
        <v>45</v>
      </c>
      <c r="E88" s="1" t="s">
        <v>19</v>
      </c>
      <c r="F88" s="2">
        <v>10000</v>
      </c>
      <c r="G88" s="1" t="s">
        <v>30</v>
      </c>
      <c r="H88" s="1" t="s">
        <v>29</v>
      </c>
      <c r="I88" s="1" t="s">
        <v>20</v>
      </c>
      <c r="J88" s="2">
        <v>3</v>
      </c>
      <c r="K88" s="2">
        <v>7</v>
      </c>
      <c r="L88" s="1" t="s">
        <v>20</v>
      </c>
      <c r="M88" s="2">
        <v>3100</v>
      </c>
      <c r="N88" s="2">
        <v>800</v>
      </c>
      <c r="O88" s="2"/>
    </row>
    <row r="89" spans="1:15" x14ac:dyDescent="0.3">
      <c r="A89" s="2">
        <v>88</v>
      </c>
      <c r="B89" s="1" t="s">
        <v>14</v>
      </c>
      <c r="C89" s="1" t="s">
        <v>15</v>
      </c>
      <c r="D89" s="2">
        <v>37</v>
      </c>
      <c r="E89" s="1" t="s">
        <v>22</v>
      </c>
      <c r="F89" s="2">
        <v>14000</v>
      </c>
      <c r="G89" s="1" t="s">
        <v>28</v>
      </c>
      <c r="H89" s="1" t="s">
        <v>17</v>
      </c>
      <c r="I89" s="1" t="s">
        <v>13</v>
      </c>
      <c r="J89" s="2">
        <v>5</v>
      </c>
      <c r="K89" s="2">
        <v>4</v>
      </c>
      <c r="L89" s="1" t="s">
        <v>13</v>
      </c>
      <c r="M89" s="2">
        <v>3300</v>
      </c>
      <c r="N89" s="2">
        <v>750</v>
      </c>
      <c r="O89" s="2"/>
    </row>
    <row r="90" spans="1:15" x14ac:dyDescent="0.3">
      <c r="A90" s="2">
        <v>89</v>
      </c>
      <c r="B90" s="1" t="s">
        <v>14</v>
      </c>
      <c r="C90" s="1" t="s">
        <v>9</v>
      </c>
      <c r="D90" s="2">
        <v>51</v>
      </c>
      <c r="E90" s="1" t="s">
        <v>16</v>
      </c>
      <c r="F90" s="2">
        <v>15000</v>
      </c>
      <c r="G90" s="1" t="s">
        <v>11</v>
      </c>
      <c r="H90" s="1" t="s">
        <v>12</v>
      </c>
      <c r="I90" s="1" t="s">
        <v>13</v>
      </c>
      <c r="J90" s="2">
        <v>2</v>
      </c>
      <c r="K90" s="2">
        <v>6</v>
      </c>
      <c r="L90" s="1" t="s">
        <v>13</v>
      </c>
      <c r="M90" s="2">
        <v>3700</v>
      </c>
      <c r="N90" s="2">
        <v>700</v>
      </c>
      <c r="O90" s="2"/>
    </row>
    <row r="91" spans="1:15" x14ac:dyDescent="0.3">
      <c r="A91" s="2">
        <v>90</v>
      </c>
      <c r="B91" s="1" t="s">
        <v>14</v>
      </c>
      <c r="C91" s="1" t="s">
        <v>15</v>
      </c>
      <c r="D91" s="2">
        <v>33</v>
      </c>
      <c r="E91" s="1" t="s">
        <v>10</v>
      </c>
      <c r="F91" s="2">
        <v>9000</v>
      </c>
      <c r="G91" s="1" t="s">
        <v>30</v>
      </c>
      <c r="H91" s="1" t="s">
        <v>29</v>
      </c>
      <c r="I91" s="1" t="s">
        <v>20</v>
      </c>
      <c r="J91" s="2">
        <v>4</v>
      </c>
      <c r="K91" s="2">
        <v>5</v>
      </c>
      <c r="L91" s="1" t="s">
        <v>13</v>
      </c>
      <c r="M91" s="2">
        <v>3200</v>
      </c>
      <c r="N91" s="2">
        <v>650</v>
      </c>
      <c r="O91" s="2"/>
    </row>
    <row r="92" spans="1:15" x14ac:dyDescent="0.3">
      <c r="A92" s="2">
        <v>91</v>
      </c>
      <c r="B92" s="1" t="s">
        <v>18</v>
      </c>
      <c r="C92" s="1" t="s">
        <v>9</v>
      </c>
      <c r="D92" s="2">
        <v>48</v>
      </c>
      <c r="E92" s="1" t="s">
        <v>19</v>
      </c>
      <c r="F92" s="2">
        <v>12000</v>
      </c>
      <c r="G92" s="1" t="s">
        <v>28</v>
      </c>
      <c r="H92" s="1" t="s">
        <v>21</v>
      </c>
      <c r="I92" s="1" t="s">
        <v>13</v>
      </c>
      <c r="J92" s="2">
        <v>3</v>
      </c>
      <c r="K92" s="2">
        <v>7</v>
      </c>
      <c r="L92" s="1" t="s">
        <v>20</v>
      </c>
      <c r="M92" s="2">
        <v>3600</v>
      </c>
      <c r="N92" s="2">
        <v>850</v>
      </c>
      <c r="O92" s="2"/>
    </row>
    <row r="93" spans="1:15" x14ac:dyDescent="0.3">
      <c r="A93" s="2">
        <v>92</v>
      </c>
      <c r="B93" s="1" t="s">
        <v>8</v>
      </c>
      <c r="C93" s="1" t="s">
        <v>15</v>
      </c>
      <c r="D93" s="2">
        <v>31</v>
      </c>
      <c r="E93" s="1" t="s">
        <v>22</v>
      </c>
      <c r="F93" s="2">
        <v>13000</v>
      </c>
      <c r="G93" s="1" t="s">
        <v>11</v>
      </c>
      <c r="H93" s="1" t="s">
        <v>24</v>
      </c>
      <c r="I93" s="1" t="s">
        <v>13</v>
      </c>
      <c r="J93" s="2">
        <v>4</v>
      </c>
      <c r="K93" s="2">
        <v>5</v>
      </c>
      <c r="L93" s="1" t="s">
        <v>20</v>
      </c>
      <c r="M93" s="2">
        <v>3900</v>
      </c>
      <c r="N93" s="2">
        <v>800</v>
      </c>
      <c r="O93" s="2"/>
    </row>
    <row r="94" spans="1:15" x14ac:dyDescent="0.3">
      <c r="A94" s="2">
        <v>93</v>
      </c>
      <c r="B94" s="1" t="s">
        <v>18</v>
      </c>
      <c r="C94" s="1" t="s">
        <v>9</v>
      </c>
      <c r="D94" s="2">
        <v>56</v>
      </c>
      <c r="E94" s="1" t="s">
        <v>16</v>
      </c>
      <c r="F94" s="2">
        <v>11000</v>
      </c>
      <c r="G94" s="1" t="s">
        <v>30</v>
      </c>
      <c r="H94" s="1" t="s">
        <v>29</v>
      </c>
      <c r="I94" s="1" t="s">
        <v>20</v>
      </c>
      <c r="J94" s="2">
        <v>2</v>
      </c>
      <c r="K94" s="2">
        <v>6</v>
      </c>
      <c r="L94" s="1" t="s">
        <v>20</v>
      </c>
      <c r="M94" s="2">
        <v>3300</v>
      </c>
      <c r="N94" s="2">
        <v>750</v>
      </c>
      <c r="O94" s="2"/>
    </row>
    <row r="95" spans="1:15" x14ac:dyDescent="0.3">
      <c r="A95" s="2">
        <v>94</v>
      </c>
      <c r="B95" s="1" t="s">
        <v>18</v>
      </c>
      <c r="C95" s="1" t="s">
        <v>15</v>
      </c>
      <c r="D95" s="2">
        <v>38</v>
      </c>
      <c r="E95" s="1" t="s">
        <v>10</v>
      </c>
      <c r="F95" s="2">
        <v>10000</v>
      </c>
      <c r="G95" s="1" t="s">
        <v>28</v>
      </c>
      <c r="H95" s="1" t="s">
        <v>17</v>
      </c>
      <c r="I95" s="1" t="s">
        <v>13</v>
      </c>
      <c r="J95" s="2">
        <v>5</v>
      </c>
      <c r="K95" s="2">
        <v>4</v>
      </c>
      <c r="L95" s="1" t="s">
        <v>20</v>
      </c>
      <c r="M95" s="2">
        <v>3100</v>
      </c>
      <c r="N95" s="2">
        <v>700</v>
      </c>
      <c r="O95" s="2"/>
    </row>
    <row r="96" spans="1:15" x14ac:dyDescent="0.3">
      <c r="A96" s="2">
        <v>95</v>
      </c>
      <c r="B96" s="1" t="s">
        <v>8</v>
      </c>
      <c r="C96" s="1" t="s">
        <v>9</v>
      </c>
      <c r="D96" s="2">
        <v>44</v>
      </c>
      <c r="E96" s="1" t="s">
        <v>19</v>
      </c>
      <c r="F96" s="2">
        <v>14000</v>
      </c>
      <c r="G96" s="1" t="s">
        <v>11</v>
      </c>
      <c r="H96" s="1" t="s">
        <v>12</v>
      </c>
      <c r="I96" s="1" t="s">
        <v>13</v>
      </c>
      <c r="J96" s="2">
        <v>3</v>
      </c>
      <c r="K96" s="2">
        <v>7</v>
      </c>
      <c r="L96" s="1" t="s">
        <v>13</v>
      </c>
      <c r="M96" s="2">
        <v>3400</v>
      </c>
      <c r="N96" s="2">
        <v>650</v>
      </c>
      <c r="O96" s="2"/>
    </row>
    <row r="97" spans="1:15" x14ac:dyDescent="0.3">
      <c r="A97" s="2">
        <v>96</v>
      </c>
      <c r="B97" s="1" t="s">
        <v>8</v>
      </c>
      <c r="C97" s="1" t="s">
        <v>9</v>
      </c>
      <c r="D97" s="2">
        <v>34</v>
      </c>
      <c r="E97" s="1" t="s">
        <v>22</v>
      </c>
      <c r="F97" s="2">
        <v>15000</v>
      </c>
      <c r="G97" s="1" t="s">
        <v>30</v>
      </c>
      <c r="H97" s="1" t="s">
        <v>29</v>
      </c>
      <c r="I97" s="1" t="s">
        <v>20</v>
      </c>
      <c r="J97" s="2">
        <v>4</v>
      </c>
      <c r="K97" s="2">
        <v>5</v>
      </c>
      <c r="L97" s="1" t="s">
        <v>13</v>
      </c>
      <c r="M97" s="2">
        <v>2800</v>
      </c>
      <c r="N97" s="2">
        <v>850</v>
      </c>
      <c r="O97" s="2"/>
    </row>
    <row r="98" spans="1:15" x14ac:dyDescent="0.3">
      <c r="A98" s="2">
        <v>97</v>
      </c>
      <c r="B98" s="1" t="s">
        <v>8</v>
      </c>
      <c r="C98" s="1" t="s">
        <v>9</v>
      </c>
      <c r="D98" s="2">
        <v>52</v>
      </c>
      <c r="E98" s="1" t="s">
        <v>16</v>
      </c>
      <c r="F98" s="2">
        <v>9000</v>
      </c>
      <c r="G98" s="1" t="s">
        <v>28</v>
      </c>
      <c r="H98" s="1" t="s">
        <v>21</v>
      </c>
      <c r="I98" s="1" t="s">
        <v>13</v>
      </c>
      <c r="J98" s="2">
        <v>3</v>
      </c>
      <c r="K98" s="2">
        <v>6</v>
      </c>
      <c r="L98" s="1" t="s">
        <v>20</v>
      </c>
      <c r="M98" s="2">
        <v>3200</v>
      </c>
      <c r="N98" s="2">
        <v>800</v>
      </c>
      <c r="O98" s="2"/>
    </row>
    <row r="99" spans="1:15" x14ac:dyDescent="0.3">
      <c r="A99" s="2">
        <v>98</v>
      </c>
      <c r="B99" s="1" t="s">
        <v>18</v>
      </c>
      <c r="C99" s="1" t="s">
        <v>9</v>
      </c>
      <c r="D99" s="2">
        <v>30</v>
      </c>
      <c r="E99" s="1" t="s">
        <v>10</v>
      </c>
      <c r="F99" s="2">
        <v>12000</v>
      </c>
      <c r="G99" s="1" t="s">
        <v>11</v>
      </c>
      <c r="H99" s="1" t="s">
        <v>24</v>
      </c>
      <c r="I99" s="1" t="s">
        <v>13</v>
      </c>
      <c r="J99" s="2">
        <v>2</v>
      </c>
      <c r="K99" s="2">
        <v>5</v>
      </c>
      <c r="L99" s="1" t="s">
        <v>20</v>
      </c>
      <c r="M99" s="2">
        <v>3600</v>
      </c>
      <c r="N99" s="2">
        <v>750</v>
      </c>
      <c r="O99" s="2"/>
    </row>
    <row r="100" spans="1:15" x14ac:dyDescent="0.3">
      <c r="A100" s="2">
        <v>99</v>
      </c>
      <c r="B100" s="1" t="s">
        <v>23</v>
      </c>
      <c r="C100" s="1" t="s">
        <v>9</v>
      </c>
      <c r="D100" s="2">
        <v>49</v>
      </c>
      <c r="E100" s="1" t="s">
        <v>19</v>
      </c>
      <c r="F100" s="2">
        <v>11000</v>
      </c>
      <c r="G100" s="1" t="s">
        <v>30</v>
      </c>
      <c r="H100" s="1" t="s">
        <v>29</v>
      </c>
      <c r="I100" s="1" t="s">
        <v>20</v>
      </c>
      <c r="J100" s="2">
        <v>5</v>
      </c>
      <c r="K100" s="2">
        <v>7</v>
      </c>
      <c r="L100" s="1" t="s">
        <v>13</v>
      </c>
      <c r="M100" s="2">
        <v>3000</v>
      </c>
      <c r="N100" s="2">
        <v>700</v>
      </c>
      <c r="O100" s="2"/>
    </row>
    <row r="101" spans="1:15" x14ac:dyDescent="0.3">
      <c r="A101" s="2">
        <v>100</v>
      </c>
      <c r="B101" s="1" t="s">
        <v>26</v>
      </c>
      <c r="C101" s="1" t="s">
        <v>9</v>
      </c>
      <c r="D101" s="2">
        <v>37</v>
      </c>
      <c r="E101" s="1" t="s">
        <v>22</v>
      </c>
      <c r="F101" s="2">
        <v>10000</v>
      </c>
      <c r="G101" s="1" t="s">
        <v>28</v>
      </c>
      <c r="H101" s="1" t="s">
        <v>17</v>
      </c>
      <c r="I101" s="1" t="s">
        <v>13</v>
      </c>
      <c r="J101" s="2">
        <v>4</v>
      </c>
      <c r="K101" s="2">
        <v>6</v>
      </c>
      <c r="L101" s="1" t="s">
        <v>13</v>
      </c>
      <c r="M101" s="2">
        <v>3400</v>
      </c>
      <c r="N101" s="2">
        <v>650</v>
      </c>
      <c r="O101" s="2"/>
    </row>
    <row r="102" spans="1:15" x14ac:dyDescent="0.3">
      <c r="A102" s="2">
        <v>101</v>
      </c>
      <c r="B102" s="1" t="s">
        <v>26</v>
      </c>
      <c r="C102" s="1" t="s">
        <v>9</v>
      </c>
      <c r="D102" s="2">
        <v>45</v>
      </c>
      <c r="E102" s="1" t="s">
        <v>16</v>
      </c>
      <c r="F102" s="2">
        <v>14000</v>
      </c>
      <c r="G102" s="1" t="s">
        <v>11</v>
      </c>
      <c r="H102" s="1" t="s">
        <v>12</v>
      </c>
      <c r="I102" s="1" t="s">
        <v>13</v>
      </c>
      <c r="J102" s="2">
        <v>3</v>
      </c>
      <c r="K102" s="2">
        <v>5</v>
      </c>
      <c r="L102" s="1" t="s">
        <v>13</v>
      </c>
      <c r="M102" s="2">
        <v>3700</v>
      </c>
      <c r="N102" s="2">
        <v>850</v>
      </c>
      <c r="O102" s="2"/>
    </row>
    <row r="103" spans="1:15" x14ac:dyDescent="0.3">
      <c r="A103" s="2">
        <v>102</v>
      </c>
      <c r="B103" s="1" t="s">
        <v>14</v>
      </c>
      <c r="C103" s="1" t="s">
        <v>9</v>
      </c>
      <c r="D103" s="2">
        <v>31</v>
      </c>
      <c r="E103" s="1" t="s">
        <v>10</v>
      </c>
      <c r="F103" s="2">
        <v>13000</v>
      </c>
      <c r="G103" s="1" t="s">
        <v>30</v>
      </c>
      <c r="H103" s="1" t="s">
        <v>29</v>
      </c>
      <c r="I103" s="1" t="s">
        <v>20</v>
      </c>
      <c r="J103" s="2">
        <v>2</v>
      </c>
      <c r="K103" s="2">
        <v>6</v>
      </c>
      <c r="L103" s="1" t="s">
        <v>20</v>
      </c>
      <c r="M103" s="2">
        <v>3100</v>
      </c>
      <c r="N103" s="2">
        <v>750</v>
      </c>
      <c r="O10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1F7A-D514-4DC5-B5C7-8F153261BB38}">
  <sheetPr>
    <tabColor theme="6" tint="0.39997558519241921"/>
  </sheetPr>
  <dimension ref="A1:L20"/>
  <sheetViews>
    <sheetView tabSelected="1" zoomScaleNormal="100" workbookViewId="0">
      <selection activeCell="J9" sqref="J9:J20"/>
    </sheetView>
  </sheetViews>
  <sheetFormatPr defaultColWidth="8.77734375" defaultRowHeight="14.4" x14ac:dyDescent="0.3"/>
  <cols>
    <col min="1" max="1" width="17.33203125" style="4" customWidth="1"/>
    <col min="2" max="4" width="8.77734375" style="4"/>
    <col min="5" max="5" width="12.21875" style="4" customWidth="1"/>
    <col min="6" max="6" width="8.77734375" style="4"/>
    <col min="7" max="7" width="11.44140625" style="4" customWidth="1"/>
    <col min="8" max="9" width="8.77734375" style="4"/>
    <col min="10" max="10" width="12.88671875" style="4" bestFit="1" customWidth="1"/>
    <col min="11" max="16384" width="8.77734375" style="4"/>
  </cols>
  <sheetData>
    <row r="1" spans="1:12" x14ac:dyDescent="0.3">
      <c r="B1" s="6" t="s">
        <v>35</v>
      </c>
    </row>
    <row r="2" spans="1:12" x14ac:dyDescent="0.3">
      <c r="A2" s="4" t="s">
        <v>36</v>
      </c>
      <c r="B2" s="7" t="s">
        <v>53</v>
      </c>
    </row>
    <row r="3" spans="1:12" x14ac:dyDescent="0.3">
      <c r="A3" s="4" t="s">
        <v>37</v>
      </c>
      <c r="B3" s="7" t="s">
        <v>54</v>
      </c>
    </row>
    <row r="4" spans="1:12" x14ac:dyDescent="0.3">
      <c r="A4" s="4" t="s">
        <v>38</v>
      </c>
      <c r="B4" s="7" t="s">
        <v>55</v>
      </c>
    </row>
    <row r="5" spans="1:12" x14ac:dyDescent="0.3">
      <c r="A5" s="4" t="s">
        <v>39</v>
      </c>
      <c r="B5" s="4" t="s">
        <v>40</v>
      </c>
    </row>
    <row r="7" spans="1:12" x14ac:dyDescent="0.3">
      <c r="C7" s="5"/>
      <c r="D7" s="5"/>
      <c r="E7" s="8" t="s">
        <v>56</v>
      </c>
      <c r="F7" s="5"/>
      <c r="G7" s="5"/>
      <c r="I7" s="5"/>
      <c r="J7" s="9" t="s">
        <v>57</v>
      </c>
      <c r="K7" s="5"/>
      <c r="L7" s="5"/>
    </row>
    <row r="8" spans="1:12" x14ac:dyDescent="0.3">
      <c r="B8" s="5" t="s">
        <v>36</v>
      </c>
      <c r="C8" s="5" t="s">
        <v>37</v>
      </c>
      <c r="D8" s="5" t="s">
        <v>38</v>
      </c>
      <c r="E8" s="9" t="s">
        <v>58</v>
      </c>
      <c r="G8" s="5" t="s">
        <v>36</v>
      </c>
      <c r="H8" s="5" t="s">
        <v>37</v>
      </c>
      <c r="I8" s="5" t="s">
        <v>38</v>
      </c>
      <c r="J8" s="8" t="s">
        <v>58</v>
      </c>
    </row>
    <row r="9" spans="1:12" x14ac:dyDescent="0.3">
      <c r="A9" s="4" t="s">
        <v>41</v>
      </c>
      <c r="B9" s="4">
        <v>7</v>
      </c>
      <c r="C9" s="4">
        <v>5</v>
      </c>
      <c r="D9" s="4">
        <v>8</v>
      </c>
      <c r="E9" s="10">
        <f t="shared" ref="E9:E20" si="0">AVERAGE(B9:D9)</f>
        <v>6.666666666666667</v>
      </c>
      <c r="G9" s="4">
        <v>6</v>
      </c>
      <c r="H9" s="4">
        <v>8</v>
      </c>
      <c r="I9" s="4">
        <v>9</v>
      </c>
      <c r="J9" s="11">
        <f t="shared" ref="J9:J20" si="1">AVERAGE(G9:I9)</f>
        <v>7.666666666666667</v>
      </c>
    </row>
    <row r="10" spans="1:12" x14ac:dyDescent="0.3">
      <c r="A10" s="4" t="s">
        <v>42</v>
      </c>
      <c r="B10" s="4">
        <v>5</v>
      </c>
      <c r="C10" s="4">
        <v>7</v>
      </c>
      <c r="D10" s="4">
        <v>5</v>
      </c>
      <c r="E10" s="10">
        <f t="shared" si="0"/>
        <v>5.666666666666667</v>
      </c>
      <c r="G10" s="4">
        <v>7</v>
      </c>
      <c r="H10" s="4">
        <v>9</v>
      </c>
      <c r="I10" s="4">
        <v>8</v>
      </c>
      <c r="J10" s="11">
        <f t="shared" si="1"/>
        <v>8</v>
      </c>
    </row>
    <row r="11" spans="1:12" x14ac:dyDescent="0.3">
      <c r="A11" s="4" t="s">
        <v>43</v>
      </c>
      <c r="B11" s="4">
        <v>9</v>
      </c>
      <c r="C11" s="4">
        <v>6</v>
      </c>
      <c r="D11" s="4">
        <v>6</v>
      </c>
      <c r="E11" s="10">
        <f t="shared" si="0"/>
        <v>7</v>
      </c>
      <c r="G11" s="4">
        <v>8</v>
      </c>
      <c r="H11" s="4">
        <v>6</v>
      </c>
      <c r="I11" s="4">
        <v>6</v>
      </c>
      <c r="J11" s="11">
        <f t="shared" si="1"/>
        <v>6.666666666666667</v>
      </c>
    </row>
    <row r="12" spans="1:12" x14ac:dyDescent="0.3">
      <c r="A12" s="4" t="s">
        <v>44</v>
      </c>
      <c r="B12" s="4">
        <v>2</v>
      </c>
      <c r="C12" s="4">
        <v>6</v>
      </c>
      <c r="D12" s="4">
        <v>3</v>
      </c>
      <c r="E12" s="10">
        <f t="shared" si="0"/>
        <v>3.6666666666666665</v>
      </c>
      <c r="G12" s="4">
        <v>9</v>
      </c>
      <c r="H12" s="4">
        <v>8</v>
      </c>
      <c r="I12" s="4">
        <v>7</v>
      </c>
      <c r="J12" s="11">
        <f t="shared" si="1"/>
        <v>8</v>
      </c>
    </row>
    <row r="13" spans="1:12" x14ac:dyDescent="0.3">
      <c r="A13" s="4" t="s">
        <v>45</v>
      </c>
      <c r="B13" s="4">
        <v>6</v>
      </c>
      <c r="C13" s="4">
        <v>5</v>
      </c>
      <c r="D13" s="4">
        <v>9</v>
      </c>
      <c r="E13" s="10">
        <f t="shared" si="0"/>
        <v>6.666666666666667</v>
      </c>
      <c r="G13" s="4">
        <v>8</v>
      </c>
      <c r="H13" s="4">
        <v>7</v>
      </c>
      <c r="I13" s="4">
        <v>5</v>
      </c>
      <c r="J13" s="11">
        <f t="shared" si="1"/>
        <v>6.666666666666667</v>
      </c>
    </row>
    <row r="14" spans="1:12" x14ac:dyDescent="0.3">
      <c r="A14" s="4" t="s">
        <v>46</v>
      </c>
      <c r="B14" s="4">
        <v>3</v>
      </c>
      <c r="C14" s="4">
        <v>9</v>
      </c>
      <c r="D14" s="4">
        <v>2</v>
      </c>
      <c r="E14" s="10">
        <f t="shared" si="0"/>
        <v>4.666666666666667</v>
      </c>
      <c r="G14" s="4">
        <v>10</v>
      </c>
      <c r="H14" s="4">
        <v>9</v>
      </c>
      <c r="I14" s="4">
        <v>1</v>
      </c>
      <c r="J14" s="11">
        <f t="shared" si="1"/>
        <v>6.666666666666667</v>
      </c>
    </row>
    <row r="15" spans="1:12" x14ac:dyDescent="0.3">
      <c r="A15" s="4" t="s">
        <v>47</v>
      </c>
      <c r="B15" s="4">
        <v>8</v>
      </c>
      <c r="C15" s="4">
        <v>1</v>
      </c>
      <c r="D15" s="4">
        <v>5</v>
      </c>
      <c r="E15" s="10">
        <f t="shared" si="0"/>
        <v>4.666666666666667</v>
      </c>
      <c r="G15" s="4">
        <v>2</v>
      </c>
      <c r="H15" s="4">
        <v>8</v>
      </c>
      <c r="I15" s="4">
        <v>7</v>
      </c>
      <c r="J15" s="11">
        <f t="shared" si="1"/>
        <v>5.666666666666667</v>
      </c>
    </row>
    <row r="16" spans="1:12" x14ac:dyDescent="0.3">
      <c r="A16" s="4" t="s">
        <v>48</v>
      </c>
      <c r="B16" s="4">
        <v>1</v>
      </c>
      <c r="C16" s="4">
        <v>8</v>
      </c>
      <c r="D16" s="4">
        <v>10</v>
      </c>
      <c r="E16" s="10">
        <f t="shared" si="0"/>
        <v>6.333333333333333</v>
      </c>
      <c r="G16" s="4">
        <v>8</v>
      </c>
      <c r="H16" s="4">
        <v>10</v>
      </c>
      <c r="I16" s="4">
        <v>8</v>
      </c>
      <c r="J16" s="11">
        <f t="shared" si="1"/>
        <v>8.6666666666666661</v>
      </c>
    </row>
    <row r="17" spans="1:10" x14ac:dyDescent="0.3">
      <c r="A17" s="4" t="s">
        <v>49</v>
      </c>
      <c r="B17" s="4">
        <v>4</v>
      </c>
      <c r="C17" s="4">
        <v>5</v>
      </c>
      <c r="D17" s="4">
        <v>7</v>
      </c>
      <c r="E17" s="10">
        <f t="shared" si="0"/>
        <v>5.333333333333333</v>
      </c>
      <c r="G17" s="4">
        <v>7</v>
      </c>
      <c r="H17" s="4">
        <v>6</v>
      </c>
      <c r="I17" s="4">
        <v>1</v>
      </c>
      <c r="J17" s="11">
        <f t="shared" si="1"/>
        <v>4.666666666666667</v>
      </c>
    </row>
    <row r="18" spans="1:10" x14ac:dyDescent="0.3">
      <c r="A18" s="4" t="s">
        <v>50</v>
      </c>
      <c r="B18" s="4">
        <v>7</v>
      </c>
      <c r="C18" s="4">
        <v>7</v>
      </c>
      <c r="D18" s="4">
        <v>4</v>
      </c>
      <c r="E18" s="10">
        <f t="shared" si="0"/>
        <v>6</v>
      </c>
      <c r="G18" s="4">
        <v>10</v>
      </c>
      <c r="H18" s="4">
        <v>9</v>
      </c>
      <c r="I18" s="4">
        <v>1</v>
      </c>
      <c r="J18" s="11">
        <f t="shared" si="1"/>
        <v>6.666666666666667</v>
      </c>
    </row>
    <row r="19" spans="1:10" x14ac:dyDescent="0.3">
      <c r="A19" s="4" t="s">
        <v>51</v>
      </c>
      <c r="B19" s="4">
        <v>5</v>
      </c>
      <c r="C19" s="4">
        <v>5</v>
      </c>
      <c r="D19" s="4">
        <v>8</v>
      </c>
      <c r="E19" s="10">
        <f t="shared" si="0"/>
        <v>6</v>
      </c>
      <c r="G19" s="4">
        <v>8</v>
      </c>
      <c r="H19" s="4">
        <v>8</v>
      </c>
      <c r="I19" s="4">
        <v>6</v>
      </c>
      <c r="J19" s="11">
        <f t="shared" si="1"/>
        <v>7.333333333333333</v>
      </c>
    </row>
    <row r="20" spans="1:10" x14ac:dyDescent="0.3">
      <c r="A20" s="4" t="s">
        <v>52</v>
      </c>
      <c r="B20" s="4">
        <v>7</v>
      </c>
      <c r="C20" s="4">
        <v>4</v>
      </c>
      <c r="D20" s="4">
        <v>1</v>
      </c>
      <c r="E20" s="10">
        <f t="shared" si="0"/>
        <v>4</v>
      </c>
      <c r="G20" s="4">
        <v>7</v>
      </c>
      <c r="H20" s="4">
        <v>4</v>
      </c>
      <c r="I20" s="4">
        <v>5</v>
      </c>
      <c r="J20" s="11">
        <f t="shared" si="1"/>
        <v>5.333333333333333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6644-8D4C-4423-ADDC-5C0A8FC43F14}">
  <sheetPr>
    <tabColor theme="6" tint="-0.249977111117893"/>
  </sheetPr>
  <dimension ref="A1:O32"/>
  <sheetViews>
    <sheetView topLeftCell="B1" zoomScale="104" zoomScaleNormal="104" workbookViewId="0">
      <selection activeCell="F8" sqref="F8:F24"/>
    </sheetView>
  </sheetViews>
  <sheetFormatPr defaultColWidth="8.77734375" defaultRowHeight="14.4" x14ac:dyDescent="0.3"/>
  <cols>
    <col min="2" max="2" width="22.77734375" bestFit="1" customWidth="1"/>
    <col min="3" max="3" width="7.77734375" bestFit="1" customWidth="1"/>
    <col min="4" max="4" width="3.88671875" bestFit="1" customWidth="1"/>
    <col min="5" max="5" width="20.21875" bestFit="1" customWidth="1"/>
    <col min="6" max="6" width="10.44140625" bestFit="1" customWidth="1"/>
    <col min="7" max="7" width="9" bestFit="1" customWidth="1"/>
    <col min="8" max="8" width="11.33203125" bestFit="1" customWidth="1"/>
    <col min="9" max="9" width="10" bestFit="1" customWidth="1"/>
    <col min="10" max="10" width="15.109375" bestFit="1" customWidth="1"/>
    <col min="11" max="11" width="15.5546875" bestFit="1" customWidth="1"/>
    <col min="12" max="12" width="16.5546875" bestFit="1" customWidth="1"/>
    <col min="13" max="13" width="11.88671875" bestFit="1" customWidth="1"/>
    <col min="14" max="14" width="19.3320312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60</v>
      </c>
      <c r="I1" s="3" t="s">
        <v>59</v>
      </c>
      <c r="J1" s="3" t="s">
        <v>31</v>
      </c>
      <c r="K1" s="3" t="s">
        <v>32</v>
      </c>
      <c r="L1" s="3" t="s">
        <v>7</v>
      </c>
      <c r="M1" s="3" t="s">
        <v>33</v>
      </c>
      <c r="N1" s="3" t="s">
        <v>34</v>
      </c>
    </row>
    <row r="2" spans="1:15" s="1" customFormat="1" x14ac:dyDescent="0.3">
      <c r="A2" s="2" t="s">
        <v>61</v>
      </c>
      <c r="B2" s="1" t="s">
        <v>18</v>
      </c>
      <c r="C2" s="1" t="s">
        <v>9</v>
      </c>
      <c r="D2" s="2">
        <v>45</v>
      </c>
      <c r="E2" s="1" t="s">
        <v>22</v>
      </c>
      <c r="F2" s="2">
        <v>15000</v>
      </c>
      <c r="G2" s="1" t="s">
        <v>30</v>
      </c>
      <c r="H2" s="1" t="s">
        <v>21</v>
      </c>
      <c r="I2" s="1" t="s">
        <v>20</v>
      </c>
      <c r="J2" s="2">
        <v>3</v>
      </c>
      <c r="K2" s="2">
        <v>7</v>
      </c>
      <c r="L2" s="1" t="s">
        <v>20</v>
      </c>
      <c r="M2" s="2">
        <v>4000</v>
      </c>
      <c r="N2" s="2">
        <v>600</v>
      </c>
      <c r="O2" s="2"/>
    </row>
    <row r="3" spans="1:15" s="1" customFormat="1" x14ac:dyDescent="0.3">
      <c r="A3" s="2" t="s">
        <v>62</v>
      </c>
      <c r="B3" s="1" t="s">
        <v>8</v>
      </c>
      <c r="C3" s="1" t="s">
        <v>9</v>
      </c>
      <c r="D3" s="2">
        <v>50</v>
      </c>
      <c r="E3" s="1" t="s">
        <v>10</v>
      </c>
      <c r="F3" s="2">
        <v>10000</v>
      </c>
      <c r="G3" s="1" t="s">
        <v>11</v>
      </c>
      <c r="H3" s="1" t="s">
        <v>12</v>
      </c>
      <c r="I3" s="1" t="s">
        <v>13</v>
      </c>
      <c r="J3" s="2">
        <v>4</v>
      </c>
      <c r="K3" s="2">
        <v>6</v>
      </c>
      <c r="L3" s="1" t="s">
        <v>13</v>
      </c>
      <c r="M3" s="2">
        <v>3500</v>
      </c>
      <c r="N3" s="2">
        <v>700</v>
      </c>
      <c r="O3" s="2"/>
    </row>
    <row r="4" spans="1:15" s="1" customFormat="1" x14ac:dyDescent="0.3">
      <c r="A4" s="2" t="s">
        <v>63</v>
      </c>
      <c r="B4" s="1" t="s">
        <v>8</v>
      </c>
      <c r="C4" s="1" t="s">
        <v>9</v>
      </c>
      <c r="D4" s="2">
        <v>55</v>
      </c>
      <c r="E4" s="1" t="s">
        <v>19</v>
      </c>
      <c r="F4" s="2">
        <v>10000</v>
      </c>
      <c r="G4" s="1" t="s">
        <v>28</v>
      </c>
      <c r="H4" s="1" t="s">
        <v>21</v>
      </c>
      <c r="I4" s="1" t="s">
        <v>13</v>
      </c>
      <c r="J4" s="2">
        <v>3</v>
      </c>
      <c r="K4" s="2">
        <v>7</v>
      </c>
      <c r="L4" s="1" t="s">
        <v>20</v>
      </c>
      <c r="M4" s="2">
        <v>2800</v>
      </c>
      <c r="N4" s="2">
        <v>800</v>
      </c>
      <c r="O4" s="2"/>
    </row>
    <row r="5" spans="1:15" s="1" customFormat="1" x14ac:dyDescent="0.3">
      <c r="A5" s="2" t="s">
        <v>64</v>
      </c>
      <c r="B5" s="1" t="s">
        <v>8</v>
      </c>
      <c r="C5" s="1" t="s">
        <v>15</v>
      </c>
      <c r="D5" s="2">
        <v>38</v>
      </c>
      <c r="E5" s="1" t="s">
        <v>10</v>
      </c>
      <c r="F5" s="2">
        <v>9000</v>
      </c>
      <c r="G5" s="1" t="s">
        <v>28</v>
      </c>
      <c r="H5" s="1" t="s">
        <v>21</v>
      </c>
      <c r="I5" s="1" t="s">
        <v>20</v>
      </c>
      <c r="J5" s="2">
        <v>3</v>
      </c>
      <c r="K5" s="2">
        <v>6</v>
      </c>
      <c r="L5" s="1" t="s">
        <v>20</v>
      </c>
      <c r="M5" s="2">
        <v>3800</v>
      </c>
      <c r="N5" s="2">
        <v>700</v>
      </c>
      <c r="O5" s="2"/>
    </row>
    <row r="6" spans="1:15" s="1" customFormat="1" x14ac:dyDescent="0.3">
      <c r="A6" s="2" t="s">
        <v>65</v>
      </c>
      <c r="B6" s="1" t="s">
        <v>8</v>
      </c>
      <c r="C6" s="1" t="s">
        <v>9</v>
      </c>
      <c r="D6" s="2">
        <v>42</v>
      </c>
      <c r="E6" s="1" t="s">
        <v>22</v>
      </c>
      <c r="F6" s="2">
        <v>16000</v>
      </c>
      <c r="G6" s="1" t="s">
        <v>30</v>
      </c>
      <c r="H6" s="1" t="s">
        <v>12</v>
      </c>
      <c r="I6" s="1" t="s">
        <v>13</v>
      </c>
      <c r="J6" s="2">
        <v>5</v>
      </c>
      <c r="K6" s="2">
        <v>3</v>
      </c>
      <c r="L6" s="1" t="s">
        <v>13</v>
      </c>
      <c r="M6" s="2">
        <v>3800</v>
      </c>
      <c r="N6" s="2">
        <v>750</v>
      </c>
      <c r="O6" s="2"/>
    </row>
    <row r="7" spans="1:15" s="1" customFormat="1" x14ac:dyDescent="0.3">
      <c r="A7" s="2" t="s">
        <v>66</v>
      </c>
      <c r="B7" s="1" t="s">
        <v>14</v>
      </c>
      <c r="C7" s="1" t="s">
        <v>15</v>
      </c>
      <c r="D7" s="2">
        <v>30</v>
      </c>
      <c r="E7" s="1" t="s">
        <v>19</v>
      </c>
      <c r="F7" s="2">
        <v>15000</v>
      </c>
      <c r="G7" s="1" t="s">
        <v>28</v>
      </c>
      <c r="H7" s="1" t="s">
        <v>21</v>
      </c>
      <c r="I7" s="1" t="s">
        <v>13</v>
      </c>
      <c r="J7" s="2">
        <v>3</v>
      </c>
      <c r="K7" s="2">
        <v>6</v>
      </c>
      <c r="L7" s="1" t="s">
        <v>20</v>
      </c>
      <c r="M7" s="2">
        <v>2900</v>
      </c>
      <c r="N7" s="2">
        <v>800</v>
      </c>
      <c r="O7" s="2"/>
    </row>
    <row r="8" spans="1:15" s="1" customFormat="1" x14ac:dyDescent="0.3">
      <c r="A8" s="2" t="s">
        <v>67</v>
      </c>
      <c r="B8" s="1" t="s">
        <v>18</v>
      </c>
      <c r="C8" s="1" t="s">
        <v>15</v>
      </c>
      <c r="D8" s="2">
        <v>33</v>
      </c>
      <c r="E8" s="1" t="s">
        <v>19</v>
      </c>
      <c r="F8" s="2">
        <v>8000</v>
      </c>
      <c r="G8" s="1" t="s">
        <v>11</v>
      </c>
      <c r="H8" s="1" t="s">
        <v>29</v>
      </c>
      <c r="I8" s="1" t="s">
        <v>20</v>
      </c>
      <c r="J8" s="2">
        <v>5</v>
      </c>
      <c r="K8" s="2">
        <v>6</v>
      </c>
      <c r="L8" s="1" t="s">
        <v>20</v>
      </c>
      <c r="M8" s="2">
        <v>2600</v>
      </c>
      <c r="N8" s="2">
        <v>850</v>
      </c>
      <c r="O8" s="2"/>
    </row>
    <row r="9" spans="1:15" s="1" customFormat="1" x14ac:dyDescent="0.3">
      <c r="A9" s="2" t="s">
        <v>68</v>
      </c>
      <c r="B9" s="1" t="s">
        <v>18</v>
      </c>
      <c r="C9" s="1" t="s">
        <v>15</v>
      </c>
      <c r="D9" s="2">
        <v>37</v>
      </c>
      <c r="E9" s="1" t="s">
        <v>10</v>
      </c>
      <c r="F9" s="2">
        <v>12000</v>
      </c>
      <c r="G9" s="1" t="s">
        <v>28</v>
      </c>
      <c r="H9" s="1" t="s">
        <v>12</v>
      </c>
      <c r="I9" s="1" t="s">
        <v>13</v>
      </c>
      <c r="J9" s="2">
        <v>3</v>
      </c>
      <c r="K9" s="2">
        <v>6</v>
      </c>
      <c r="L9" s="1" t="s">
        <v>13</v>
      </c>
      <c r="M9" s="2">
        <v>3300</v>
      </c>
      <c r="N9" s="2">
        <v>750</v>
      </c>
      <c r="O9" s="2"/>
    </row>
    <row r="10" spans="1:15" s="1" customFormat="1" x14ac:dyDescent="0.3">
      <c r="A10" s="2" t="s">
        <v>69</v>
      </c>
      <c r="B10" s="1" t="s">
        <v>8</v>
      </c>
      <c r="C10" s="1" t="s">
        <v>9</v>
      </c>
      <c r="D10" s="2">
        <v>45</v>
      </c>
      <c r="E10" s="1" t="s">
        <v>16</v>
      </c>
      <c r="F10" s="2">
        <v>14000</v>
      </c>
      <c r="G10" s="1" t="s">
        <v>11</v>
      </c>
      <c r="H10" s="1" t="s">
        <v>21</v>
      </c>
      <c r="I10" s="1" t="s">
        <v>13</v>
      </c>
      <c r="J10" s="2">
        <v>4</v>
      </c>
      <c r="K10" s="2">
        <v>7</v>
      </c>
      <c r="L10" s="1" t="s">
        <v>20</v>
      </c>
      <c r="M10" s="2">
        <v>3700</v>
      </c>
      <c r="N10" s="2">
        <v>700</v>
      </c>
      <c r="O10" s="2"/>
    </row>
    <row r="11" spans="1:15" s="1" customFormat="1" x14ac:dyDescent="0.3">
      <c r="A11" s="2" t="s">
        <v>70</v>
      </c>
      <c r="B11" s="1" t="s">
        <v>25</v>
      </c>
      <c r="C11" s="1" t="s">
        <v>15</v>
      </c>
      <c r="D11" s="2">
        <v>50</v>
      </c>
      <c r="E11" s="1" t="s">
        <v>22</v>
      </c>
      <c r="F11" s="2">
        <v>15000</v>
      </c>
      <c r="G11" s="1" t="s">
        <v>28</v>
      </c>
      <c r="H11" s="1" t="s">
        <v>12</v>
      </c>
      <c r="I11" s="1" t="s">
        <v>20</v>
      </c>
      <c r="J11" s="2">
        <v>3</v>
      </c>
      <c r="K11" s="2">
        <v>6</v>
      </c>
      <c r="L11" s="1" t="s">
        <v>20</v>
      </c>
      <c r="M11" s="2">
        <v>3000</v>
      </c>
      <c r="N11" s="2">
        <v>800</v>
      </c>
      <c r="O11" s="2"/>
    </row>
    <row r="12" spans="1:15" s="1" customFormat="1" x14ac:dyDescent="0.3">
      <c r="A12" s="2" t="s">
        <v>71</v>
      </c>
      <c r="B12" s="1" t="s">
        <v>8</v>
      </c>
      <c r="C12" s="1" t="s">
        <v>15</v>
      </c>
      <c r="D12" s="2">
        <v>29</v>
      </c>
      <c r="E12" s="1" t="s">
        <v>10</v>
      </c>
      <c r="F12" s="2">
        <v>10000</v>
      </c>
      <c r="G12" s="1" t="s">
        <v>11</v>
      </c>
      <c r="H12" s="1" t="s">
        <v>17</v>
      </c>
      <c r="I12" s="1" t="s">
        <v>13</v>
      </c>
      <c r="J12" s="2">
        <v>4</v>
      </c>
      <c r="K12" s="2">
        <v>5</v>
      </c>
      <c r="L12" s="1" t="s">
        <v>13</v>
      </c>
      <c r="M12" s="2">
        <v>3500</v>
      </c>
      <c r="N12" s="2">
        <v>750</v>
      </c>
      <c r="O12" s="2"/>
    </row>
    <row r="13" spans="1:15" s="1" customFormat="1" x14ac:dyDescent="0.3">
      <c r="A13" s="2" t="s">
        <v>72</v>
      </c>
      <c r="B13" s="1" t="s">
        <v>14</v>
      </c>
      <c r="C13" s="1" t="s">
        <v>9</v>
      </c>
      <c r="D13" s="2">
        <v>53</v>
      </c>
      <c r="E13" s="1" t="s">
        <v>16</v>
      </c>
      <c r="F13" s="2">
        <v>10000</v>
      </c>
      <c r="G13" s="1" t="s">
        <v>30</v>
      </c>
      <c r="H13" s="1" t="s">
        <v>12</v>
      </c>
      <c r="I13" s="1" t="s">
        <v>13</v>
      </c>
      <c r="J13" s="2">
        <v>2</v>
      </c>
      <c r="K13" s="2">
        <v>7</v>
      </c>
      <c r="L13" s="1" t="s">
        <v>13</v>
      </c>
      <c r="M13" s="2">
        <v>2700</v>
      </c>
      <c r="N13" s="2">
        <v>850</v>
      </c>
      <c r="O13" s="2"/>
    </row>
    <row r="14" spans="1:15" s="1" customFormat="1" x14ac:dyDescent="0.3">
      <c r="A14" s="2" t="s">
        <v>73</v>
      </c>
      <c r="B14" s="1" t="s">
        <v>8</v>
      </c>
      <c r="C14" s="1" t="s">
        <v>9</v>
      </c>
      <c r="D14" s="2">
        <v>46</v>
      </c>
      <c r="E14" s="1" t="s">
        <v>22</v>
      </c>
      <c r="F14" s="2">
        <v>11000</v>
      </c>
      <c r="G14" s="1" t="s">
        <v>11</v>
      </c>
      <c r="H14" s="1" t="s">
        <v>24</v>
      </c>
      <c r="I14" s="1" t="s">
        <v>20</v>
      </c>
      <c r="J14" s="2">
        <v>3</v>
      </c>
      <c r="K14" s="2">
        <v>5</v>
      </c>
      <c r="L14" s="1" t="s">
        <v>20</v>
      </c>
      <c r="M14" s="2">
        <v>3400</v>
      </c>
      <c r="N14" s="2">
        <v>750</v>
      </c>
      <c r="O14" s="2"/>
    </row>
    <row r="15" spans="1:15" s="1" customFormat="1" x14ac:dyDescent="0.3">
      <c r="A15" s="2" t="s">
        <v>74</v>
      </c>
      <c r="B15" s="1" t="s">
        <v>8</v>
      </c>
      <c r="C15" s="1" t="s">
        <v>15</v>
      </c>
      <c r="D15" s="2">
        <v>34</v>
      </c>
      <c r="E15" s="1" t="s">
        <v>10</v>
      </c>
      <c r="F15" s="2">
        <v>10000</v>
      </c>
      <c r="G15" s="1" t="s">
        <v>30</v>
      </c>
      <c r="H15" s="1" t="s">
        <v>21</v>
      </c>
      <c r="I15" s="1" t="s">
        <v>13</v>
      </c>
      <c r="J15" s="2">
        <v>4</v>
      </c>
      <c r="K15" s="2">
        <v>6</v>
      </c>
      <c r="L15" s="1" t="s">
        <v>20</v>
      </c>
      <c r="M15" s="2">
        <v>3700</v>
      </c>
      <c r="N15" s="2">
        <v>700</v>
      </c>
      <c r="O15" s="2"/>
    </row>
    <row r="16" spans="1:15" s="1" customFormat="1" x14ac:dyDescent="0.3">
      <c r="A16" s="2" t="s">
        <v>75</v>
      </c>
      <c r="B16" s="1" t="s">
        <v>8</v>
      </c>
      <c r="C16" s="1" t="s">
        <v>9</v>
      </c>
      <c r="D16" s="2">
        <v>56</v>
      </c>
      <c r="E16" s="1" t="s">
        <v>16</v>
      </c>
      <c r="F16" s="2">
        <v>10000</v>
      </c>
      <c r="G16" s="1" t="s">
        <v>28</v>
      </c>
      <c r="H16" s="1" t="s">
        <v>29</v>
      </c>
      <c r="I16" s="1" t="s">
        <v>20</v>
      </c>
      <c r="J16" s="2">
        <v>2</v>
      </c>
      <c r="K16" s="2">
        <v>4</v>
      </c>
      <c r="L16" s="1" t="s">
        <v>13</v>
      </c>
      <c r="M16" s="2">
        <v>2800</v>
      </c>
      <c r="N16" s="2">
        <v>850</v>
      </c>
      <c r="O16" s="2"/>
    </row>
    <row r="17" spans="1:15" s="1" customFormat="1" x14ac:dyDescent="0.3">
      <c r="A17" s="2" t="s">
        <v>76</v>
      </c>
      <c r="B17" s="1" t="s">
        <v>23</v>
      </c>
      <c r="C17" s="1" t="s">
        <v>15</v>
      </c>
      <c r="D17" s="2">
        <v>36</v>
      </c>
      <c r="E17" s="1" t="s">
        <v>19</v>
      </c>
      <c r="F17" s="2">
        <v>14000</v>
      </c>
      <c r="G17" s="1" t="s">
        <v>11</v>
      </c>
      <c r="H17" s="1" t="s">
        <v>17</v>
      </c>
      <c r="I17" s="1" t="s">
        <v>13</v>
      </c>
      <c r="J17" s="2">
        <v>3</v>
      </c>
      <c r="K17" s="2">
        <v>5</v>
      </c>
      <c r="L17" s="1" t="s">
        <v>13</v>
      </c>
      <c r="M17" s="2">
        <v>3300</v>
      </c>
      <c r="N17" s="2">
        <v>800</v>
      </c>
      <c r="O17" s="2"/>
    </row>
    <row r="18" spans="1:15" s="1" customFormat="1" x14ac:dyDescent="0.3">
      <c r="A18" s="2" t="s">
        <v>77</v>
      </c>
      <c r="B18" s="1" t="s">
        <v>23</v>
      </c>
      <c r="C18" s="1" t="s">
        <v>9</v>
      </c>
      <c r="D18" s="2">
        <v>32</v>
      </c>
      <c r="E18" s="1" t="s">
        <v>22</v>
      </c>
      <c r="F18" s="2">
        <v>10000</v>
      </c>
      <c r="G18" s="1" t="s">
        <v>30</v>
      </c>
      <c r="H18" s="1" t="s">
        <v>12</v>
      </c>
      <c r="I18" s="1" t="s">
        <v>13</v>
      </c>
      <c r="J18" s="2">
        <v>4</v>
      </c>
      <c r="K18" s="2">
        <v>6</v>
      </c>
      <c r="L18" s="1" t="s">
        <v>13</v>
      </c>
      <c r="M18" s="2">
        <v>3800</v>
      </c>
      <c r="N18" s="2">
        <v>750</v>
      </c>
      <c r="O18" s="2"/>
    </row>
    <row r="19" spans="1:15" s="1" customFormat="1" x14ac:dyDescent="0.3">
      <c r="A19" s="2" t="s">
        <v>78</v>
      </c>
      <c r="B19" s="1" t="s">
        <v>18</v>
      </c>
      <c r="C19" s="1" t="s">
        <v>9</v>
      </c>
      <c r="D19" s="2">
        <v>47</v>
      </c>
      <c r="E19" s="1" t="s">
        <v>16</v>
      </c>
      <c r="F19" s="2">
        <v>9000</v>
      </c>
      <c r="G19" s="1" t="s">
        <v>11</v>
      </c>
      <c r="H19" s="1" t="s">
        <v>29</v>
      </c>
      <c r="I19" s="1" t="s">
        <v>20</v>
      </c>
      <c r="J19" s="2">
        <v>2</v>
      </c>
      <c r="K19" s="2">
        <v>5</v>
      </c>
      <c r="L19" s="1" t="s">
        <v>20</v>
      </c>
      <c r="M19" s="2">
        <v>3100</v>
      </c>
      <c r="N19" s="2">
        <v>850</v>
      </c>
      <c r="O19" s="2"/>
    </row>
    <row r="20" spans="1:15" s="1" customFormat="1" x14ac:dyDescent="0.3">
      <c r="A20" s="2" t="s">
        <v>79</v>
      </c>
      <c r="B20" s="1" t="s">
        <v>14</v>
      </c>
      <c r="C20" s="1" t="s">
        <v>15</v>
      </c>
      <c r="D20" s="2">
        <v>31</v>
      </c>
      <c r="E20" s="1" t="s">
        <v>19</v>
      </c>
      <c r="F20" s="2">
        <v>11000</v>
      </c>
      <c r="G20" s="1" t="s">
        <v>30</v>
      </c>
      <c r="H20" s="1" t="s">
        <v>21</v>
      </c>
      <c r="I20" s="1" t="s">
        <v>13</v>
      </c>
      <c r="J20" s="2">
        <v>3</v>
      </c>
      <c r="K20" s="2">
        <v>4</v>
      </c>
      <c r="L20" s="1" t="s">
        <v>20</v>
      </c>
      <c r="M20" s="2">
        <v>3600</v>
      </c>
      <c r="N20" s="2">
        <v>800</v>
      </c>
      <c r="O20" s="2"/>
    </row>
    <row r="21" spans="1:15" s="1" customFormat="1" x14ac:dyDescent="0.3">
      <c r="A21" s="2" t="s">
        <v>80</v>
      </c>
      <c r="B21" s="1" t="s">
        <v>14</v>
      </c>
      <c r="C21" s="1" t="s">
        <v>9</v>
      </c>
      <c r="D21" s="2">
        <v>54</v>
      </c>
      <c r="E21" s="1" t="s">
        <v>22</v>
      </c>
      <c r="F21" s="2">
        <v>11000</v>
      </c>
      <c r="G21" s="1" t="s">
        <v>28</v>
      </c>
      <c r="H21" s="1" t="s">
        <v>29</v>
      </c>
      <c r="I21" s="1" t="s">
        <v>20</v>
      </c>
      <c r="J21" s="2">
        <v>4</v>
      </c>
      <c r="K21" s="2">
        <v>6</v>
      </c>
      <c r="L21" s="1" t="s">
        <v>13</v>
      </c>
      <c r="M21" s="2">
        <v>3100</v>
      </c>
      <c r="N21" s="2">
        <v>750</v>
      </c>
      <c r="O21" s="2"/>
    </row>
    <row r="22" spans="1:15" s="1" customFormat="1" x14ac:dyDescent="0.3">
      <c r="A22" s="2" t="s">
        <v>81</v>
      </c>
      <c r="B22" s="1" t="s">
        <v>14</v>
      </c>
      <c r="C22" s="1" t="s">
        <v>15</v>
      </c>
      <c r="D22" s="2">
        <v>38</v>
      </c>
      <c r="E22" s="1" t="s">
        <v>10</v>
      </c>
      <c r="F22" s="2">
        <v>13000</v>
      </c>
      <c r="G22" s="1" t="s">
        <v>11</v>
      </c>
      <c r="H22" s="1" t="s">
        <v>17</v>
      </c>
      <c r="I22" s="1" t="s">
        <v>13</v>
      </c>
      <c r="J22" s="2">
        <v>2</v>
      </c>
      <c r="K22" s="2">
        <v>5</v>
      </c>
      <c r="L22" s="1" t="s">
        <v>13</v>
      </c>
      <c r="M22" s="2">
        <v>3500</v>
      </c>
      <c r="N22" s="2">
        <v>700</v>
      </c>
      <c r="O22" s="2"/>
    </row>
    <row r="23" spans="1:15" s="1" customFormat="1" x14ac:dyDescent="0.3">
      <c r="A23" s="2" t="s">
        <v>82</v>
      </c>
      <c r="B23" s="1" t="s">
        <v>14</v>
      </c>
      <c r="C23" s="1" t="s">
        <v>9</v>
      </c>
      <c r="D23" s="2">
        <v>29</v>
      </c>
      <c r="E23" s="1" t="s">
        <v>16</v>
      </c>
      <c r="F23" s="2">
        <v>14000</v>
      </c>
      <c r="G23" s="1" t="s">
        <v>30</v>
      </c>
      <c r="H23" s="1" t="s">
        <v>12</v>
      </c>
      <c r="I23" s="1" t="s">
        <v>13</v>
      </c>
      <c r="J23" s="2">
        <v>3</v>
      </c>
      <c r="K23" s="2">
        <v>7</v>
      </c>
      <c r="L23" s="1" t="s">
        <v>13</v>
      </c>
      <c r="M23" s="2">
        <v>3900</v>
      </c>
      <c r="N23" s="2">
        <v>650</v>
      </c>
      <c r="O23" s="2"/>
    </row>
    <row r="24" spans="1:15" s="1" customFormat="1" x14ac:dyDescent="0.3">
      <c r="A24" s="2" t="s">
        <v>83</v>
      </c>
      <c r="B24" s="1" t="s">
        <v>8</v>
      </c>
      <c r="C24" s="1" t="s">
        <v>15</v>
      </c>
      <c r="D24" s="2">
        <v>50</v>
      </c>
      <c r="E24" s="1" t="s">
        <v>10</v>
      </c>
      <c r="F24" s="2">
        <v>12000</v>
      </c>
      <c r="G24" s="1" t="s">
        <v>11</v>
      </c>
      <c r="H24" s="1" t="s">
        <v>12</v>
      </c>
      <c r="I24" s="1" t="s">
        <v>13</v>
      </c>
      <c r="J24" s="2">
        <v>3</v>
      </c>
      <c r="K24" s="2">
        <v>5</v>
      </c>
      <c r="L24" s="1" t="s">
        <v>13</v>
      </c>
      <c r="M24" s="2">
        <v>3800</v>
      </c>
      <c r="N24" s="2">
        <v>800</v>
      </c>
      <c r="O24" s="2"/>
    </row>
    <row r="25" spans="1:15" s="1" customFormat="1" x14ac:dyDescent="0.3">
      <c r="A25" s="2" t="s">
        <v>84</v>
      </c>
      <c r="B25" s="1" t="s">
        <v>14</v>
      </c>
      <c r="C25" s="1" t="s">
        <v>9</v>
      </c>
      <c r="D25" s="2">
        <v>55</v>
      </c>
      <c r="E25" s="1" t="s">
        <v>22</v>
      </c>
      <c r="F25" s="2">
        <v>12000</v>
      </c>
      <c r="G25" s="1" t="s">
        <v>28</v>
      </c>
      <c r="H25" s="1" t="s">
        <v>29</v>
      </c>
      <c r="I25" s="1" t="s">
        <v>20</v>
      </c>
      <c r="J25" s="2">
        <v>2</v>
      </c>
      <c r="K25" s="2">
        <v>6</v>
      </c>
      <c r="L25" s="1" t="s">
        <v>20</v>
      </c>
      <c r="M25" s="2">
        <v>4100</v>
      </c>
      <c r="N25" s="2">
        <v>850</v>
      </c>
      <c r="O25" s="2"/>
    </row>
    <row r="26" spans="1:15" s="1" customFormat="1" x14ac:dyDescent="0.3">
      <c r="A26" s="2" t="s">
        <v>85</v>
      </c>
      <c r="B26" s="1" t="s">
        <v>18</v>
      </c>
      <c r="C26" s="1" t="s">
        <v>15</v>
      </c>
      <c r="D26" s="2">
        <v>33</v>
      </c>
      <c r="E26" s="1" t="s">
        <v>22</v>
      </c>
      <c r="F26" s="2">
        <v>16000</v>
      </c>
      <c r="G26" s="1" t="s">
        <v>28</v>
      </c>
      <c r="H26" s="1" t="s">
        <v>21</v>
      </c>
      <c r="I26" s="1" t="s">
        <v>13</v>
      </c>
      <c r="J26" s="2">
        <v>4</v>
      </c>
      <c r="K26" s="2">
        <v>5</v>
      </c>
      <c r="L26" s="1" t="s">
        <v>20</v>
      </c>
      <c r="M26" s="2">
        <v>3300</v>
      </c>
      <c r="N26" s="2">
        <v>750</v>
      </c>
      <c r="O26" s="2"/>
    </row>
    <row r="27" spans="1:15" s="1" customFormat="1" x14ac:dyDescent="0.3">
      <c r="A27" s="2" t="s">
        <v>86</v>
      </c>
      <c r="B27" s="1" t="s">
        <v>26</v>
      </c>
      <c r="C27" s="1" t="s">
        <v>15</v>
      </c>
      <c r="D27" s="2">
        <v>30</v>
      </c>
      <c r="E27" s="1" t="s">
        <v>10</v>
      </c>
      <c r="F27" s="2">
        <v>9000</v>
      </c>
      <c r="G27" s="1" t="s">
        <v>30</v>
      </c>
      <c r="H27" s="1" t="s">
        <v>12</v>
      </c>
      <c r="I27" s="1" t="s">
        <v>13</v>
      </c>
      <c r="J27" s="2">
        <v>5</v>
      </c>
      <c r="K27" s="2">
        <v>4</v>
      </c>
      <c r="L27" s="1" t="s">
        <v>13</v>
      </c>
      <c r="M27" s="2">
        <v>2800</v>
      </c>
      <c r="N27" s="2">
        <v>900</v>
      </c>
      <c r="O27" s="2"/>
    </row>
    <row r="28" spans="1:15" s="1" customFormat="1" x14ac:dyDescent="0.3">
      <c r="A28" s="2" t="s">
        <v>87</v>
      </c>
      <c r="B28" s="1" t="s">
        <v>8</v>
      </c>
      <c r="C28" s="1" t="s">
        <v>9</v>
      </c>
      <c r="D28" s="2">
        <v>47</v>
      </c>
      <c r="E28" s="1" t="s">
        <v>22</v>
      </c>
      <c r="F28" s="2">
        <v>12000</v>
      </c>
      <c r="G28" s="1" t="s">
        <v>28</v>
      </c>
      <c r="H28" s="1" t="s">
        <v>29</v>
      </c>
      <c r="I28" s="1" t="s">
        <v>20</v>
      </c>
      <c r="J28" s="2">
        <v>2</v>
      </c>
      <c r="K28" s="2">
        <v>7</v>
      </c>
      <c r="L28" s="1" t="s">
        <v>20</v>
      </c>
      <c r="M28" s="2">
        <v>4300</v>
      </c>
      <c r="N28" s="2">
        <v>850</v>
      </c>
      <c r="O28" s="2"/>
    </row>
    <row r="29" spans="1:15" s="1" customFormat="1" x14ac:dyDescent="0.3">
      <c r="A29" s="2" t="s">
        <v>88</v>
      </c>
      <c r="B29" s="1" t="s">
        <v>14</v>
      </c>
      <c r="C29" s="1" t="s">
        <v>15</v>
      </c>
      <c r="D29" s="2">
        <v>57</v>
      </c>
      <c r="E29" s="1" t="s">
        <v>10</v>
      </c>
      <c r="F29" s="2">
        <v>11000</v>
      </c>
      <c r="G29" s="1" t="s">
        <v>30</v>
      </c>
      <c r="H29" s="1" t="s">
        <v>29</v>
      </c>
      <c r="I29" s="1" t="s">
        <v>20</v>
      </c>
      <c r="J29" s="2">
        <v>3</v>
      </c>
      <c r="K29" s="2">
        <v>6</v>
      </c>
      <c r="L29" s="1" t="s">
        <v>13</v>
      </c>
      <c r="M29" s="2">
        <v>3800</v>
      </c>
      <c r="N29" s="2">
        <v>750</v>
      </c>
      <c r="O29" s="2"/>
    </row>
    <row r="30" spans="1:15" s="1" customFormat="1" x14ac:dyDescent="0.3">
      <c r="A30" s="2" t="s">
        <v>89</v>
      </c>
      <c r="B30" s="1" t="s">
        <v>26</v>
      </c>
      <c r="C30" s="1" t="s">
        <v>9</v>
      </c>
      <c r="D30" s="2">
        <v>45</v>
      </c>
      <c r="E30" s="1" t="s">
        <v>22</v>
      </c>
      <c r="F30" s="2">
        <v>13000</v>
      </c>
      <c r="G30" s="1" t="s">
        <v>11</v>
      </c>
      <c r="H30" s="1" t="s">
        <v>21</v>
      </c>
      <c r="I30" s="1" t="s">
        <v>13</v>
      </c>
      <c r="J30" s="2">
        <v>3</v>
      </c>
      <c r="K30" s="2">
        <v>7</v>
      </c>
      <c r="L30" s="1" t="s">
        <v>20</v>
      </c>
      <c r="M30" s="2">
        <v>4200</v>
      </c>
      <c r="N30" s="2">
        <v>850</v>
      </c>
      <c r="O30" s="2"/>
    </row>
    <row r="31" spans="1:15" s="1" customFormat="1" x14ac:dyDescent="0.3">
      <c r="A31" s="2" t="s">
        <v>90</v>
      </c>
      <c r="B31" s="1" t="s">
        <v>8</v>
      </c>
      <c r="C31" s="1" t="s">
        <v>15</v>
      </c>
      <c r="D31" s="2">
        <v>29</v>
      </c>
      <c r="E31" s="1" t="s">
        <v>19</v>
      </c>
      <c r="F31" s="2">
        <v>9000</v>
      </c>
      <c r="G31" s="1" t="s">
        <v>30</v>
      </c>
      <c r="H31" s="1" t="s">
        <v>12</v>
      </c>
      <c r="I31" s="1" t="s">
        <v>13</v>
      </c>
      <c r="J31" s="2">
        <v>4</v>
      </c>
      <c r="K31" s="2">
        <v>5</v>
      </c>
      <c r="L31" s="1" t="s">
        <v>13</v>
      </c>
      <c r="M31" s="2">
        <v>3300</v>
      </c>
      <c r="N31" s="2">
        <v>800</v>
      </c>
      <c r="O31"/>
    </row>
    <row r="32" spans="1:15" x14ac:dyDescent="0.3">
      <c r="A32" s="2"/>
      <c r="B32" s="1"/>
      <c r="C32" s="1"/>
      <c r="D32" s="2"/>
      <c r="E32" s="1"/>
      <c r="F32" s="2"/>
      <c r="G32" s="1"/>
      <c r="H32" s="1"/>
      <c r="I32" s="1"/>
      <c r="J32" s="2"/>
      <c r="K32" s="2"/>
      <c r="L32" s="1"/>
      <c r="M32" s="2"/>
      <c r="N32" s="2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B3F5-7DEA-4C81-95B0-35431675AC2B}">
  <dimension ref="B2:T48"/>
  <sheetViews>
    <sheetView workbookViewId="0">
      <selection activeCell="H7" sqref="H7"/>
    </sheetView>
  </sheetViews>
  <sheetFormatPr defaultColWidth="9.109375" defaultRowHeight="14.4" x14ac:dyDescent="0.3"/>
  <cols>
    <col min="1" max="1" width="4.21875" style="13" customWidth="1"/>
    <col min="2" max="2" width="31.44140625" style="13" customWidth="1"/>
    <col min="3" max="3" width="7" style="13" customWidth="1"/>
    <col min="4" max="4" width="3.44140625" style="13" customWidth="1"/>
    <col min="5" max="5" width="9.109375" style="13"/>
    <col min="6" max="6" width="7.109375" style="13" customWidth="1"/>
    <col min="7" max="7" width="3.44140625" style="13" customWidth="1"/>
    <col min="8" max="8" width="24.21875" style="13" bestFit="1" customWidth="1"/>
    <col min="9" max="9" width="70.6640625" style="13" bestFit="1" customWidth="1"/>
    <col min="10" max="10" width="7.88671875" customWidth="1"/>
    <col min="11" max="11" width="6.5546875" customWidth="1"/>
    <col min="12" max="12" width="5.77734375" customWidth="1"/>
    <col min="14" max="16384" width="9.109375" style="13"/>
  </cols>
  <sheetData>
    <row r="2" spans="2:20" ht="15" thickBot="1" x14ac:dyDescent="0.35"/>
    <row r="3" spans="2:20" ht="15" x14ac:dyDescent="0.3">
      <c r="B3" s="99" t="s">
        <v>108</v>
      </c>
      <c r="C3" s="100"/>
      <c r="D3" s="100"/>
      <c r="E3" s="101"/>
      <c r="H3" s="89" t="s">
        <v>236</v>
      </c>
      <c r="I3" s="90" t="s">
        <v>239</v>
      </c>
    </row>
    <row r="4" spans="2:20" ht="15" x14ac:dyDescent="0.3">
      <c r="B4" s="102"/>
      <c r="C4" s="103"/>
      <c r="D4" s="103"/>
      <c r="E4" s="104"/>
      <c r="H4" s="91" t="s">
        <v>237</v>
      </c>
      <c r="I4" s="92" t="s">
        <v>238</v>
      </c>
      <c r="S4" s="13" t="s">
        <v>110</v>
      </c>
      <c r="T4" s="14" t="s">
        <v>111</v>
      </c>
    </row>
    <row r="5" spans="2:20" x14ac:dyDescent="0.3">
      <c r="B5" s="110" t="s">
        <v>112</v>
      </c>
      <c r="C5" s="111"/>
      <c r="D5" s="111"/>
      <c r="E5" s="112"/>
      <c r="S5" s="13" t="s">
        <v>113</v>
      </c>
      <c r="T5" s="13" t="s">
        <v>114</v>
      </c>
    </row>
    <row r="6" spans="2:20" ht="15.6" x14ac:dyDescent="0.35">
      <c r="B6" s="15" t="s">
        <v>115</v>
      </c>
      <c r="C6" s="16" t="s">
        <v>116</v>
      </c>
      <c r="D6" s="16" t="str">
        <f>IF(D7="&gt;",$T$4,IF(D7="&lt;",$T$5,$T$6))</f>
        <v>≤</v>
      </c>
      <c r="E6" s="17">
        <f>E7</f>
        <v>0</v>
      </c>
      <c r="S6" s="14" t="s">
        <v>118</v>
      </c>
      <c r="T6" s="19" t="s">
        <v>119</v>
      </c>
    </row>
    <row r="7" spans="2:20" ht="15.6" x14ac:dyDescent="0.35">
      <c r="B7" s="15" t="s">
        <v>120</v>
      </c>
      <c r="C7" s="16" t="s">
        <v>116</v>
      </c>
      <c r="D7" s="20" t="s">
        <v>110</v>
      </c>
      <c r="E7" s="21">
        <v>0</v>
      </c>
    </row>
    <row r="8" spans="2:20" x14ac:dyDescent="0.3">
      <c r="B8" s="23" t="s">
        <v>121</v>
      </c>
      <c r="C8" s="24"/>
      <c r="D8" s="24"/>
      <c r="E8" s="25" t="str">
        <f>IF(D7="&lt;","Lower",IF(D7="&gt;","Upper","Two"))</f>
        <v>Upper</v>
      </c>
    </row>
    <row r="9" spans="2:20" x14ac:dyDescent="0.3">
      <c r="B9" s="110" t="s">
        <v>122</v>
      </c>
      <c r="C9" s="111"/>
      <c r="D9" s="111"/>
      <c r="E9" s="112"/>
    </row>
    <row r="10" spans="2:20" x14ac:dyDescent="0.3">
      <c r="B10" s="27"/>
      <c r="D10" s="28" t="s">
        <v>123</v>
      </c>
      <c r="E10" s="29">
        <v>0.05</v>
      </c>
    </row>
    <row r="11" spans="2:20" x14ac:dyDescent="0.3">
      <c r="B11" s="110" t="s">
        <v>124</v>
      </c>
      <c r="C11" s="111"/>
      <c r="D11" s="111"/>
      <c r="E11" s="112"/>
    </row>
    <row r="12" spans="2:20" x14ac:dyDescent="0.3">
      <c r="B12" s="105" t="s">
        <v>125</v>
      </c>
      <c r="C12" s="106"/>
      <c r="D12" s="106"/>
      <c r="E12" s="30">
        <f>INT((E17^2/E19+E21^2/E23)^2/((E17^2/E19)^2/(E19-1)+(E21^2/E23)^2/(E23-1)))</f>
        <v>97</v>
      </c>
    </row>
    <row r="13" spans="2:20" x14ac:dyDescent="0.3">
      <c r="B13" s="105" t="str">
        <f>IF(D6="=","Lower Critical Value","Critical Value")</f>
        <v>Critical Value</v>
      </c>
      <c r="C13" s="106"/>
      <c r="D13" s="106"/>
      <c r="E13" s="31">
        <f>IF(E8="Two",-(TINV(E10,E12)),IF(E8="Lower",-(TINV(E10*2,E12)),TINV(E10*2,E12)))</f>
        <v>1.6607146101230255</v>
      </c>
    </row>
    <row r="14" spans="2:20" x14ac:dyDescent="0.3">
      <c r="B14" s="107" t="str">
        <f>IF(D6="=","Upper Critical Value","")</f>
        <v/>
      </c>
      <c r="C14" s="108"/>
      <c r="D14" s="109"/>
      <c r="E14" s="32" t="str">
        <f>IF(D6="=",-E13,"")</f>
        <v/>
      </c>
    </row>
    <row r="15" spans="2:20" x14ac:dyDescent="0.3">
      <c r="B15" s="110" t="s">
        <v>127</v>
      </c>
      <c r="C15" s="111"/>
      <c r="D15" s="111"/>
      <c r="E15" s="112"/>
    </row>
    <row r="16" spans="2:20" x14ac:dyDescent="0.3">
      <c r="B16" s="113" t="s">
        <v>128</v>
      </c>
      <c r="C16" s="114"/>
      <c r="D16" s="114"/>
      <c r="E16" s="115"/>
    </row>
    <row r="17" spans="2:5" x14ac:dyDescent="0.3">
      <c r="B17" s="107" t="s">
        <v>130</v>
      </c>
      <c r="C17" s="108"/>
      <c r="D17" s="109"/>
      <c r="E17" s="29">
        <v>2374.81</v>
      </c>
    </row>
    <row r="18" spans="2:5" x14ac:dyDescent="0.3">
      <c r="B18" s="107" t="s">
        <v>132</v>
      </c>
      <c r="C18" s="108"/>
      <c r="D18" s="109"/>
      <c r="E18" s="29">
        <f>AVERAGEIF('EVSurvey '!C:C,"Metro",'EVSurvey '!F:F)</f>
        <v>12090.90909090909</v>
      </c>
    </row>
    <row r="19" spans="2:5" x14ac:dyDescent="0.3">
      <c r="B19" s="107" t="s">
        <v>129</v>
      </c>
      <c r="C19" s="108"/>
      <c r="D19" s="109"/>
      <c r="E19" s="21">
        <f>COUNTIF('EVSurvey '!C:C,"Metro")</f>
        <v>55</v>
      </c>
    </row>
    <row r="20" spans="2:5" x14ac:dyDescent="0.3">
      <c r="B20" s="113" t="s">
        <v>134</v>
      </c>
      <c r="C20" s="114"/>
      <c r="D20" s="114"/>
      <c r="E20" s="115"/>
    </row>
    <row r="21" spans="2:5" x14ac:dyDescent="0.3">
      <c r="B21" s="107" t="s">
        <v>130</v>
      </c>
      <c r="C21" s="108"/>
      <c r="D21" s="109"/>
      <c r="E21" s="29">
        <f>_xlfn.STDEV.P(IF('EVSurvey '!C:C = "Regional",'EVSurvey '!F:F))</f>
        <v>2339.5862829556168</v>
      </c>
    </row>
    <row r="22" spans="2:5" x14ac:dyDescent="0.3">
      <c r="B22" s="107" t="s">
        <v>132</v>
      </c>
      <c r="C22" s="108"/>
      <c r="D22" s="109"/>
      <c r="E22" s="29">
        <f>AVERAGEIF('EVSurvey '!C:C,"Regional",'EVSurvey '!F:F)</f>
        <v>11297.872340425532</v>
      </c>
    </row>
    <row r="23" spans="2:5" x14ac:dyDescent="0.3">
      <c r="B23" s="107" t="s">
        <v>129</v>
      </c>
      <c r="C23" s="108"/>
      <c r="D23" s="109"/>
      <c r="E23" s="21">
        <f>COUNTIF('EVSurvey '!C:C,"Regional")</f>
        <v>47</v>
      </c>
    </row>
    <row r="24" spans="2:5" x14ac:dyDescent="0.3">
      <c r="B24" s="118"/>
      <c r="C24" s="119"/>
      <c r="D24" s="119"/>
      <c r="E24" s="120"/>
    </row>
    <row r="25" spans="2:5" x14ac:dyDescent="0.3">
      <c r="B25" s="121"/>
      <c r="C25" s="122"/>
      <c r="D25" s="122"/>
      <c r="E25" s="123"/>
    </row>
    <row r="26" spans="2:5" x14ac:dyDescent="0.3">
      <c r="B26" s="105" t="s">
        <v>135</v>
      </c>
      <c r="C26" s="106"/>
      <c r="D26" s="106"/>
      <c r="E26" s="32">
        <f>SQRT(E17^2/E19+E21^2/E23)</f>
        <v>467.97579573515901</v>
      </c>
    </row>
    <row r="27" spans="2:5" x14ac:dyDescent="0.3">
      <c r="B27" s="116" t="s">
        <v>136</v>
      </c>
      <c r="C27" s="117"/>
      <c r="D27" s="117"/>
      <c r="E27" s="34">
        <f>((E18-E22)-E6)/E26</f>
        <v>1.694610613862517</v>
      </c>
    </row>
    <row r="28" spans="2:5" x14ac:dyDescent="0.3">
      <c r="B28" s="105" t="s">
        <v>137</v>
      </c>
      <c r="C28" s="106"/>
      <c r="D28" s="106"/>
      <c r="E28" s="34">
        <f>IF(D6="=",TDIST(ABS(E27),E12,2),IF(E27*E13&gt;0,TDIST(ABS(E27),E12,1),1-TDIST(ABS(E27),E12,1)))</f>
        <v>4.6678821676424731E-2</v>
      </c>
    </row>
    <row r="29" spans="2:5" x14ac:dyDescent="0.3">
      <c r="B29" s="129"/>
      <c r="C29" s="130"/>
      <c r="D29" s="130"/>
      <c r="E29" s="131"/>
    </row>
    <row r="30" spans="2:5" x14ac:dyDescent="0.3">
      <c r="B30" s="110" t="s">
        <v>139</v>
      </c>
      <c r="C30" s="111"/>
      <c r="D30" s="111"/>
      <c r="E30" s="112"/>
    </row>
    <row r="31" spans="2:5" ht="15" thickBot="1" x14ac:dyDescent="0.35">
      <c r="B31" s="126" t="str">
        <f>IF(E28&lt;E10,"Reject Null Hypothesis", "Fail to reject Null Hypothesis")</f>
        <v>Reject Null Hypothesis</v>
      </c>
      <c r="C31" s="127"/>
      <c r="D31" s="127"/>
      <c r="E31" s="128"/>
    </row>
    <row r="36" spans="2:5" x14ac:dyDescent="0.3">
      <c r="B36" s="35"/>
      <c r="C36" s="36"/>
      <c r="D36" s="35"/>
      <c r="E36" s="37"/>
    </row>
    <row r="37" spans="2:5" x14ac:dyDescent="0.3">
      <c r="B37" s="35"/>
      <c r="C37" s="38"/>
      <c r="D37" s="35"/>
      <c r="E37" s="39"/>
    </row>
    <row r="38" spans="2:5" x14ac:dyDescent="0.3">
      <c r="B38" s="35"/>
      <c r="C38" s="38"/>
      <c r="D38" s="35"/>
      <c r="E38" s="40"/>
    </row>
    <row r="39" spans="2:5" x14ac:dyDescent="0.3">
      <c r="B39" s="35"/>
      <c r="C39" s="40"/>
      <c r="D39" s="35"/>
      <c r="E39" s="38"/>
    </row>
    <row r="40" spans="2:5" x14ac:dyDescent="0.3">
      <c r="B40" s="35"/>
      <c r="C40" s="38"/>
      <c r="D40" s="124"/>
      <c r="E40" s="125"/>
    </row>
    <row r="41" spans="2:5" x14ac:dyDescent="0.3">
      <c r="B41" s="35"/>
      <c r="C41" s="38"/>
      <c r="D41" s="35"/>
      <c r="E41" s="38"/>
    </row>
    <row r="42" spans="2:5" x14ac:dyDescent="0.3">
      <c r="B42" s="35"/>
      <c r="C42" s="36"/>
      <c r="D42" s="35"/>
      <c r="E42" s="38"/>
    </row>
    <row r="43" spans="2:5" x14ac:dyDescent="0.3">
      <c r="B43" s="35"/>
      <c r="C43" s="36"/>
      <c r="D43" s="35"/>
      <c r="E43" s="38"/>
    </row>
    <row r="44" spans="2:5" x14ac:dyDescent="0.3">
      <c r="B44" s="35"/>
      <c r="C44" s="36"/>
      <c r="D44" s="35"/>
      <c r="E44" s="38"/>
    </row>
    <row r="45" spans="2:5" x14ac:dyDescent="0.3">
      <c r="B45" s="36"/>
      <c r="C45" s="36"/>
      <c r="D45" s="35"/>
      <c r="E45" s="42"/>
    </row>
    <row r="46" spans="2:5" x14ac:dyDescent="0.3">
      <c r="B46" s="36"/>
      <c r="C46" s="36"/>
      <c r="D46" s="124"/>
      <c r="E46" s="125"/>
    </row>
    <row r="47" spans="2:5" x14ac:dyDescent="0.3">
      <c r="B47" s="36"/>
      <c r="C47" s="36"/>
      <c r="D47" s="41"/>
      <c r="E47" s="36"/>
    </row>
    <row r="48" spans="2:5" x14ac:dyDescent="0.3">
      <c r="B48" s="36"/>
      <c r="C48" s="36"/>
      <c r="D48" s="41"/>
      <c r="E48" s="36"/>
    </row>
  </sheetData>
  <mergeCells count="26">
    <mergeCell ref="D40:E40"/>
    <mergeCell ref="D46:E46"/>
    <mergeCell ref="B30:E30"/>
    <mergeCell ref="B31:E31"/>
    <mergeCell ref="B28:D28"/>
    <mergeCell ref="B29:E29"/>
    <mergeCell ref="B26:D26"/>
    <mergeCell ref="B27:D27"/>
    <mergeCell ref="B23:D23"/>
    <mergeCell ref="B24:E25"/>
    <mergeCell ref="B21:D21"/>
    <mergeCell ref="B22:D22"/>
    <mergeCell ref="B19:D19"/>
    <mergeCell ref="B20:E20"/>
    <mergeCell ref="B17:D17"/>
    <mergeCell ref="B18:D18"/>
    <mergeCell ref="B15:E15"/>
    <mergeCell ref="B16:E16"/>
    <mergeCell ref="B3:E3"/>
    <mergeCell ref="B4:E4"/>
    <mergeCell ref="B13:D13"/>
    <mergeCell ref="B14:D14"/>
    <mergeCell ref="B11:E11"/>
    <mergeCell ref="B12:D12"/>
    <mergeCell ref="B5:E5"/>
    <mergeCell ref="B9:E9"/>
  </mergeCells>
  <conditionalFormatting sqref="E14">
    <cfRule type="cellIs" dxfId="2" priority="2" stopIfTrue="1" operator="notEqual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82B4-9F69-40D1-B817-3E1CB4AB729E}">
  <dimension ref="A2:S31"/>
  <sheetViews>
    <sheetView topLeftCell="A4" workbookViewId="0">
      <selection activeCell="A18" sqref="A18:C18"/>
    </sheetView>
  </sheetViews>
  <sheetFormatPr defaultColWidth="9.109375" defaultRowHeight="14.4" x14ac:dyDescent="0.3"/>
  <cols>
    <col min="1" max="1" width="26.88671875" style="13" customWidth="1"/>
    <col min="2" max="2" width="6.5546875" style="13" customWidth="1"/>
    <col min="3" max="3" width="11.77734375" style="13" bestFit="1" customWidth="1"/>
    <col min="4" max="5" width="9.109375" style="13"/>
    <col min="6" max="6" width="22.109375" style="13" bestFit="1" customWidth="1"/>
    <col min="7" max="7" width="82.6640625" style="13" bestFit="1" customWidth="1"/>
    <col min="8" max="8" width="9.109375" style="13"/>
    <col min="9" max="9" width="26.88671875" customWidth="1"/>
    <col min="10" max="10" width="6.5546875" customWidth="1"/>
    <col min="11" max="11" width="3.44140625" customWidth="1"/>
    <col min="13" max="16384" width="9.109375" style="13"/>
  </cols>
  <sheetData>
    <row r="2" spans="1:19" ht="15" thickBot="1" x14ac:dyDescent="0.35"/>
    <row r="3" spans="1:19" x14ac:dyDescent="0.3">
      <c r="A3" s="99" t="s">
        <v>109</v>
      </c>
      <c r="B3" s="100"/>
      <c r="C3" s="100"/>
      <c r="D3" s="101"/>
    </row>
    <row r="4" spans="1:19" x14ac:dyDescent="0.3">
      <c r="A4" s="102"/>
      <c r="B4" s="103"/>
      <c r="C4" s="103"/>
      <c r="D4" s="104"/>
      <c r="R4" s="13" t="s">
        <v>110</v>
      </c>
      <c r="S4" s="14" t="s">
        <v>111</v>
      </c>
    </row>
    <row r="5" spans="1:19" ht="15" x14ac:dyDescent="0.3">
      <c r="A5" s="110" t="s">
        <v>112</v>
      </c>
      <c r="B5" s="111"/>
      <c r="C5" s="111"/>
      <c r="D5" s="112"/>
      <c r="F5" s="93" t="s">
        <v>115</v>
      </c>
      <c r="G5" s="94" t="s">
        <v>242</v>
      </c>
      <c r="R5" s="13" t="s">
        <v>113</v>
      </c>
      <c r="S5" s="13" t="s">
        <v>114</v>
      </c>
    </row>
    <row r="6" spans="1:19" ht="15.6" x14ac:dyDescent="0.35">
      <c r="A6" s="15" t="s">
        <v>115</v>
      </c>
      <c r="B6" s="16" t="s">
        <v>117</v>
      </c>
      <c r="C6" s="16" t="str">
        <f>IF(C7="&gt;",$S$4,IF(C7="&lt;",$S$5,$S$6))</f>
        <v>≥</v>
      </c>
      <c r="D6" s="18">
        <f>D7</f>
        <v>0</v>
      </c>
      <c r="F6" s="95" t="s">
        <v>241</v>
      </c>
      <c r="G6" s="96" t="s">
        <v>240</v>
      </c>
      <c r="R6" s="14" t="s">
        <v>118</v>
      </c>
      <c r="S6" s="19" t="s">
        <v>119</v>
      </c>
    </row>
    <row r="7" spans="1:19" ht="15.6" x14ac:dyDescent="0.35">
      <c r="A7" s="15" t="s">
        <v>120</v>
      </c>
      <c r="B7" s="16" t="s">
        <v>117</v>
      </c>
      <c r="C7" s="20" t="s">
        <v>113</v>
      </c>
      <c r="D7" s="22">
        <v>0</v>
      </c>
    </row>
    <row r="8" spans="1:19" x14ac:dyDescent="0.3">
      <c r="A8" s="23" t="s">
        <v>121</v>
      </c>
      <c r="B8" s="24"/>
      <c r="C8" s="24"/>
      <c r="D8" s="26" t="str">
        <f>IF(C7="&lt;","Lower",IF(C7="&gt;","Upper","Two"))</f>
        <v>Lower</v>
      </c>
    </row>
    <row r="9" spans="1:19" x14ac:dyDescent="0.3">
      <c r="A9" s="110" t="s">
        <v>122</v>
      </c>
      <c r="B9" s="111"/>
      <c r="C9" s="111"/>
      <c r="D9" s="112"/>
    </row>
    <row r="10" spans="1:19" x14ac:dyDescent="0.3">
      <c r="A10" s="27"/>
      <c r="C10" s="28" t="s">
        <v>123</v>
      </c>
      <c r="D10" s="29">
        <v>0.05</v>
      </c>
    </row>
    <row r="11" spans="1:19" x14ac:dyDescent="0.3">
      <c r="A11" s="110" t="s">
        <v>124</v>
      </c>
      <c r="B11" s="111"/>
      <c r="C11" s="111"/>
      <c r="D11" s="112"/>
    </row>
    <row r="12" spans="1:19" x14ac:dyDescent="0.3">
      <c r="A12" s="105" t="str">
        <f>IF(C6="=","Lower Critical Value","Critical Value")</f>
        <v>Critical Value</v>
      </c>
      <c r="B12" s="106"/>
      <c r="C12" s="106"/>
      <c r="D12" s="31">
        <f>IF(D8="Two",NORMSINV(D10/2),IF(D8="Lower",NORMSINV(D10),NORMSINV(1-D10)))</f>
        <v>-1.6448536269514726</v>
      </c>
    </row>
    <row r="13" spans="1:19" x14ac:dyDescent="0.3">
      <c r="A13" s="132" t="str">
        <f>IF(C6="=","Upper Critical Value","")</f>
        <v/>
      </c>
      <c r="B13" s="108"/>
      <c r="C13" s="109"/>
      <c r="D13" s="32" t="str">
        <f>IF(C6="=",-D12,"")</f>
        <v/>
      </c>
    </row>
    <row r="14" spans="1:19" x14ac:dyDescent="0.3">
      <c r="A14" s="110" t="s">
        <v>126</v>
      </c>
      <c r="B14" s="111"/>
      <c r="C14" s="111"/>
      <c r="D14" s="112"/>
    </row>
    <row r="15" spans="1:19" x14ac:dyDescent="0.3">
      <c r="A15" s="113" t="s">
        <v>128</v>
      </c>
      <c r="B15" s="114"/>
      <c r="C15" s="114"/>
      <c r="D15" s="115"/>
    </row>
    <row r="16" spans="1:19" x14ac:dyDescent="0.3">
      <c r="A16" s="107" t="s">
        <v>129</v>
      </c>
      <c r="B16" s="108"/>
      <c r="C16" s="109"/>
      <c r="D16" s="21">
        <f>COUNTIF('EVSurvey '!C:C,"Metro")</f>
        <v>55</v>
      </c>
    </row>
    <row r="17" spans="1:4" x14ac:dyDescent="0.3">
      <c r="A17" s="107" t="s">
        <v>131</v>
      </c>
      <c r="B17" s="108"/>
      <c r="C17" s="109"/>
      <c r="D17" s="21">
        <f>COUNTIFS('EVSurvey '!C:C,"Metro",'EVSurvey '!I:I,"Yes")</f>
        <v>36</v>
      </c>
    </row>
    <row r="18" spans="1:4" ht="15.6" x14ac:dyDescent="0.35">
      <c r="A18" s="105" t="s">
        <v>133</v>
      </c>
      <c r="B18" s="106"/>
      <c r="C18" s="106"/>
      <c r="D18" s="33">
        <f>D17/D16</f>
        <v>0.65454545454545454</v>
      </c>
    </row>
    <row r="19" spans="1:4" x14ac:dyDescent="0.3">
      <c r="A19" s="113" t="s">
        <v>134</v>
      </c>
      <c r="B19" s="114"/>
      <c r="C19" s="114"/>
      <c r="D19" s="115"/>
    </row>
    <row r="20" spans="1:4" x14ac:dyDescent="0.3">
      <c r="A20" s="107" t="s">
        <v>129</v>
      </c>
      <c r="B20" s="108"/>
      <c r="C20" s="109"/>
      <c r="D20" s="21">
        <f>COUNTIF('EVSurvey '!C:C,"Regional")</f>
        <v>47</v>
      </c>
    </row>
    <row r="21" spans="1:4" x14ac:dyDescent="0.3">
      <c r="A21" s="107" t="s">
        <v>131</v>
      </c>
      <c r="B21" s="108"/>
      <c r="C21" s="109"/>
      <c r="D21" s="21">
        <f>COUNTIFS('EVSurvey '!C:C,"Regional",'EVSurvey '!I:I,"Yes")</f>
        <v>37</v>
      </c>
    </row>
    <row r="22" spans="1:4" ht="15.6" x14ac:dyDescent="0.35">
      <c r="A22" s="105" t="s">
        <v>138</v>
      </c>
      <c r="B22" s="106"/>
      <c r="C22" s="106"/>
      <c r="D22" s="33">
        <f>D21/D20</f>
        <v>0.78723404255319152</v>
      </c>
    </row>
    <row r="23" spans="1:4" x14ac:dyDescent="0.3">
      <c r="A23" s="118"/>
      <c r="B23" s="119"/>
      <c r="C23" s="119"/>
      <c r="D23" s="120"/>
    </row>
    <row r="24" spans="1:4" x14ac:dyDescent="0.3">
      <c r="A24" s="121"/>
      <c r="B24" s="122"/>
      <c r="C24" s="122"/>
      <c r="D24" s="123"/>
    </row>
    <row r="25" spans="1:4" x14ac:dyDescent="0.3">
      <c r="A25" s="105" t="s">
        <v>140</v>
      </c>
      <c r="B25" s="106"/>
      <c r="C25" s="106"/>
      <c r="D25" s="33">
        <f>(D17+D21)/(D16+D20)</f>
        <v>0.71568627450980393</v>
      </c>
    </row>
    <row r="26" spans="1:4" x14ac:dyDescent="0.3">
      <c r="A26" s="105" t="s">
        <v>141</v>
      </c>
      <c r="B26" s="106"/>
      <c r="C26" s="106"/>
      <c r="D26" s="33">
        <f>SQRT(D25*(1-D25)*(1/D16+1/D20))</f>
        <v>8.9604551298782878E-2</v>
      </c>
    </row>
    <row r="27" spans="1:4" x14ac:dyDescent="0.3">
      <c r="A27" s="116" t="s">
        <v>142</v>
      </c>
      <c r="B27" s="117"/>
      <c r="C27" s="117"/>
      <c r="D27" s="34">
        <f>((D18-D22)-D6)/D26</f>
        <v>-1.4808242001602359</v>
      </c>
    </row>
    <row r="28" spans="1:4" x14ac:dyDescent="0.3">
      <c r="A28" s="105" t="s">
        <v>137</v>
      </c>
      <c r="B28" s="106"/>
      <c r="C28" s="106"/>
      <c r="D28" s="34">
        <f>IF(D8="Two",2*(1-NORMSDIST(ABS(D27))),IF(D8="Lower",NORMSDIST(D27),1-NORMSDIST((D27))))</f>
        <v>6.9326712995717424E-2</v>
      </c>
    </row>
    <row r="29" spans="1:4" x14ac:dyDescent="0.3">
      <c r="A29" s="129"/>
      <c r="B29" s="130"/>
      <c r="C29" s="130"/>
      <c r="D29" s="131"/>
    </row>
    <row r="30" spans="1:4" x14ac:dyDescent="0.3">
      <c r="A30" s="110" t="s">
        <v>139</v>
      </c>
      <c r="B30" s="111"/>
      <c r="C30" s="111"/>
      <c r="D30" s="112"/>
    </row>
    <row r="31" spans="1:4" ht="15" thickBot="1" x14ac:dyDescent="0.35">
      <c r="A31" s="126" t="str">
        <f>IF(D28&lt;D10,"Reject Null Hypothesis", "Fail to reject Null Hypothesis")</f>
        <v>Fail to reject Null Hypothesis</v>
      </c>
      <c r="B31" s="127"/>
      <c r="C31" s="127"/>
      <c r="D31" s="128"/>
    </row>
  </sheetData>
  <mergeCells count="24">
    <mergeCell ref="A29:D29"/>
    <mergeCell ref="A30:D30"/>
    <mergeCell ref="A31:D31"/>
    <mergeCell ref="A26:C26"/>
    <mergeCell ref="A27:C27"/>
    <mergeCell ref="A28:C28"/>
    <mergeCell ref="A23:D24"/>
    <mergeCell ref="A25:C25"/>
    <mergeCell ref="A21:C21"/>
    <mergeCell ref="A22:C22"/>
    <mergeCell ref="A19:D19"/>
    <mergeCell ref="A20:C20"/>
    <mergeCell ref="A17:C17"/>
    <mergeCell ref="A18:C18"/>
    <mergeCell ref="A15:D15"/>
    <mergeCell ref="A16:C16"/>
    <mergeCell ref="A13:C13"/>
    <mergeCell ref="A14:D14"/>
    <mergeCell ref="A11:D11"/>
    <mergeCell ref="A12:C12"/>
    <mergeCell ref="A5:D5"/>
    <mergeCell ref="A9:D9"/>
    <mergeCell ref="A3:D3"/>
    <mergeCell ref="A4:D4"/>
  </mergeCells>
  <conditionalFormatting sqref="D13">
    <cfRule type="cellIs" dxfId="1" priority="1" stopIfTrue="1" operator="notEqual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E02D-8F6F-4D16-8F18-429FC41E3BB5}">
  <dimension ref="A1:W32"/>
  <sheetViews>
    <sheetView topLeftCell="B1" workbookViewId="0">
      <selection activeCell="R1" sqref="R1"/>
    </sheetView>
  </sheetViews>
  <sheetFormatPr defaultRowHeight="14.4" x14ac:dyDescent="0.3"/>
  <cols>
    <col min="1" max="4" width="9" style="44" bestFit="1" customWidth="1"/>
    <col min="5" max="6" width="8.88671875" style="44"/>
    <col min="7" max="7" width="16.5546875" style="44" bestFit="1" customWidth="1"/>
    <col min="8" max="8" width="18.44140625" style="44" bestFit="1" customWidth="1"/>
    <col min="9" max="9" width="20.88671875" style="44" bestFit="1" customWidth="1"/>
    <col min="10" max="10" width="12.33203125" style="44" bestFit="1" customWidth="1"/>
    <col min="11" max="11" width="12.44140625" style="44" bestFit="1" customWidth="1"/>
    <col min="12" max="14" width="9" style="44" bestFit="1" customWidth="1"/>
    <col min="15" max="15" width="9.5546875" style="44" bestFit="1" customWidth="1"/>
    <col min="16" max="16" width="9" style="44" bestFit="1" customWidth="1"/>
    <col min="17" max="17" width="8.88671875" style="44"/>
    <col min="18" max="18" width="18.33203125" style="44" bestFit="1" customWidth="1"/>
    <col min="19" max="21" width="9" style="44" bestFit="1" customWidth="1"/>
    <col min="22" max="16384" width="8.88671875" style="44"/>
  </cols>
  <sheetData>
    <row r="1" spans="1:23" x14ac:dyDescent="0.3">
      <c r="A1" s="54" t="s">
        <v>22</v>
      </c>
      <c r="B1" s="54" t="s">
        <v>10</v>
      </c>
      <c r="C1" s="54" t="s">
        <v>19</v>
      </c>
      <c r="D1" s="54" t="s">
        <v>16</v>
      </c>
      <c r="H1" s="55" t="s">
        <v>22</v>
      </c>
      <c r="I1" s="55" t="s">
        <v>10</v>
      </c>
      <c r="J1" s="55" t="s">
        <v>19</v>
      </c>
      <c r="K1" s="55" t="s">
        <v>16</v>
      </c>
      <c r="N1" s="56" t="s">
        <v>171</v>
      </c>
    </row>
    <row r="2" spans="1:23" x14ac:dyDescent="0.3">
      <c r="A2" s="54">
        <v>4000</v>
      </c>
      <c r="B2" s="54">
        <v>3500</v>
      </c>
      <c r="C2" s="54">
        <v>2800</v>
      </c>
      <c r="D2" s="54">
        <v>2500</v>
      </c>
      <c r="S2" s="57"/>
      <c r="T2" s="57"/>
      <c r="U2" s="57"/>
      <c r="V2" s="57"/>
      <c r="W2" s="57"/>
    </row>
    <row r="3" spans="1:23" x14ac:dyDescent="0.3">
      <c r="A3" s="54">
        <v>3000</v>
      </c>
      <c r="B3" s="54">
        <v>3800</v>
      </c>
      <c r="C3" s="54">
        <v>2900</v>
      </c>
      <c r="D3" s="54">
        <v>4200</v>
      </c>
      <c r="G3" s="58" t="s">
        <v>143</v>
      </c>
      <c r="H3" s="44">
        <v>3653.3333333333335</v>
      </c>
      <c r="I3" s="44">
        <v>3465.3846153846152</v>
      </c>
      <c r="J3" s="44">
        <v>3208.695652173913</v>
      </c>
      <c r="K3" s="46">
        <v>3382.608695652174</v>
      </c>
      <c r="N3" s="59"/>
      <c r="O3" s="59" t="s">
        <v>172</v>
      </c>
      <c r="P3" s="60" t="s">
        <v>172</v>
      </c>
      <c r="Q3" s="61"/>
      <c r="R3" s="62"/>
      <c r="S3" s="62" t="s">
        <v>173</v>
      </c>
      <c r="T3" s="62" t="s">
        <v>174</v>
      </c>
      <c r="U3" s="62" t="s">
        <v>175</v>
      </c>
    </row>
    <row r="4" spans="1:23" x14ac:dyDescent="0.3">
      <c r="A4" s="54">
        <v>3200</v>
      </c>
      <c r="B4" s="54">
        <v>3400</v>
      </c>
      <c r="C4" s="54">
        <v>2600</v>
      </c>
      <c r="D4" s="54">
        <v>4100</v>
      </c>
      <c r="G4" s="58" t="s">
        <v>141</v>
      </c>
      <c r="H4" s="44">
        <v>81.893305037479763</v>
      </c>
      <c r="I4" s="44">
        <v>72.311783844960033</v>
      </c>
      <c r="J4" s="44">
        <v>111.92053990267014</v>
      </c>
      <c r="K4" s="46">
        <v>110.80948538775444</v>
      </c>
      <c r="N4" s="63" t="s">
        <v>176</v>
      </c>
      <c r="O4" s="63" t="s">
        <v>143</v>
      </c>
      <c r="P4" s="64" t="s">
        <v>177</v>
      </c>
      <c r="Q4" s="61"/>
      <c r="R4" s="61" t="s">
        <v>178</v>
      </c>
      <c r="S4" s="62" t="s">
        <v>179</v>
      </c>
      <c r="T4" s="62" t="s">
        <v>180</v>
      </c>
      <c r="U4" s="62" t="s">
        <v>150</v>
      </c>
      <c r="V4" s="56" t="str">
        <f>IF(O15="","Results are NOT valid until Q Statistic is entered into B15","Results")</f>
        <v>Results</v>
      </c>
    </row>
    <row r="5" spans="1:23" x14ac:dyDescent="0.3">
      <c r="A5" s="54">
        <v>3800</v>
      </c>
      <c r="B5" s="54">
        <v>3300</v>
      </c>
      <c r="C5" s="54">
        <v>4300</v>
      </c>
      <c r="D5" s="54">
        <v>3700</v>
      </c>
      <c r="G5" s="58" t="s">
        <v>144</v>
      </c>
      <c r="H5" s="44">
        <v>3650</v>
      </c>
      <c r="I5" s="44">
        <v>3500</v>
      </c>
      <c r="J5" s="44">
        <v>3200</v>
      </c>
      <c r="K5" s="46">
        <v>3300</v>
      </c>
      <c r="N5" s="65">
        <v>1</v>
      </c>
      <c r="O5" s="66">
        <v>3563.33</v>
      </c>
      <c r="P5" s="66">
        <v>30</v>
      </c>
      <c r="R5" s="56" t="s">
        <v>181</v>
      </c>
      <c r="S5" s="44">
        <f>ABS($O$5 - $O$6)</f>
        <v>97.949999999999818</v>
      </c>
      <c r="T5" s="44">
        <f>SQRT(($O$14/2)*((1/$P$5)+(1/$P$6)))</f>
        <v>89.329650230236595</v>
      </c>
      <c r="U5" s="44">
        <f>T5*$O$15</f>
        <v>329.62640934957301</v>
      </c>
      <c r="V5" s="56" t="str">
        <f>IF($S$5&gt;$U$5,"Means are different","Means are not different")</f>
        <v>Means are not different</v>
      </c>
    </row>
    <row r="6" spans="1:23" x14ac:dyDescent="0.3">
      <c r="A6" s="54">
        <v>3600</v>
      </c>
      <c r="B6" s="54">
        <v>3500</v>
      </c>
      <c r="C6" s="54">
        <v>3200</v>
      </c>
      <c r="D6" s="54">
        <v>2700</v>
      </c>
      <c r="G6" s="58" t="s">
        <v>145</v>
      </c>
      <c r="H6" s="44">
        <v>3900</v>
      </c>
      <c r="I6" s="44">
        <v>3800</v>
      </c>
      <c r="J6" s="44">
        <v>3200</v>
      </c>
      <c r="K6" s="46">
        <v>3700</v>
      </c>
      <c r="N6" s="65">
        <v>2</v>
      </c>
      <c r="O6" s="66">
        <v>3465.38</v>
      </c>
      <c r="P6" s="66">
        <v>26</v>
      </c>
      <c r="R6" s="56" t="s">
        <v>182</v>
      </c>
      <c r="S6" s="44">
        <f>ABS(O5-O7)</f>
        <v>354.63000000000011</v>
      </c>
      <c r="T6" s="44">
        <f>SQRT(($O$14/2)*((1/$P$5)+(1/$P$7)))</f>
        <v>92.397944680384626</v>
      </c>
      <c r="U6" s="44">
        <f>T6*$O$15</f>
        <v>340.94841587061927</v>
      </c>
      <c r="V6" s="56" t="str">
        <f>IF($S$6&gt;$U$6,"Means are different","Means are not different")</f>
        <v>Means are different</v>
      </c>
    </row>
    <row r="7" spans="1:23" x14ac:dyDescent="0.3">
      <c r="A7" s="54">
        <v>3900</v>
      </c>
      <c r="B7" s="54">
        <v>3700</v>
      </c>
      <c r="C7" s="54">
        <v>3300</v>
      </c>
      <c r="D7" s="54">
        <v>2800</v>
      </c>
      <c r="G7" s="58" t="s">
        <v>146</v>
      </c>
      <c r="H7" s="44">
        <v>448.54810477679121</v>
      </c>
      <c r="I7" s="44">
        <v>368.71919688815467</v>
      </c>
      <c r="J7" s="44">
        <v>536.75205337140449</v>
      </c>
      <c r="K7" s="46">
        <v>531.42362310465285</v>
      </c>
      <c r="N7" s="65">
        <v>3</v>
      </c>
      <c r="O7" s="66">
        <v>3208.7</v>
      </c>
      <c r="P7" s="66">
        <v>23</v>
      </c>
      <c r="R7" s="56" t="s">
        <v>183</v>
      </c>
      <c r="S7" s="44">
        <f>ABS(O5-O8)</f>
        <v>180.7199999999998</v>
      </c>
      <c r="T7" s="44">
        <f>SQRT(($O$14/2)*((1/$P$5)+(1/$P$8)))</f>
        <v>92.397944680384626</v>
      </c>
      <c r="U7" s="44">
        <f t="shared" ref="U7:U10" si="0">T7*$O$15</f>
        <v>340.94841587061927</v>
      </c>
      <c r="V7" s="56" t="str">
        <f>IF($S$7&gt;$U$7,"Means are different","Means are not different")</f>
        <v>Means are not different</v>
      </c>
    </row>
    <row r="8" spans="1:23" x14ac:dyDescent="0.3">
      <c r="A8" s="54">
        <v>3000</v>
      </c>
      <c r="B8" s="54">
        <v>4200</v>
      </c>
      <c r="C8" s="54">
        <v>3600</v>
      </c>
      <c r="D8" s="54">
        <v>3100</v>
      </c>
      <c r="G8" s="58" t="s">
        <v>147</v>
      </c>
      <c r="H8" s="44">
        <v>201195.40229885126</v>
      </c>
      <c r="I8" s="44">
        <v>135953.84615384578</v>
      </c>
      <c r="J8" s="44">
        <v>288102.766798419</v>
      </c>
      <c r="K8" s="46">
        <v>282411.06719367614</v>
      </c>
      <c r="N8" s="65">
        <v>4</v>
      </c>
      <c r="O8" s="66">
        <v>3382.61</v>
      </c>
      <c r="P8" s="66">
        <v>23</v>
      </c>
      <c r="R8" s="56" t="s">
        <v>184</v>
      </c>
      <c r="S8" s="44">
        <f>ABS(O6-O7)</f>
        <v>256.68000000000029</v>
      </c>
      <c r="T8" s="44">
        <f>SQRT(($O$14/2)*((1/$P$6)+(1/$P$7)))</f>
        <v>95.432515028941594</v>
      </c>
      <c r="U8" s="44">
        <f>T8*$O$15</f>
        <v>352.14598045679446</v>
      </c>
      <c r="V8" s="56" t="str">
        <f>IF($S$8&gt;$U$8,"Means are different","Means are not different")</f>
        <v>Means are not different</v>
      </c>
    </row>
    <row r="9" spans="1:23" x14ac:dyDescent="0.3">
      <c r="A9" s="54">
        <v>3400</v>
      </c>
      <c r="B9" s="54">
        <v>3500</v>
      </c>
      <c r="C9" s="54">
        <v>2000</v>
      </c>
      <c r="D9" s="54">
        <v>3900</v>
      </c>
      <c r="G9" s="58" t="s">
        <v>148</v>
      </c>
      <c r="H9" s="44">
        <v>-0.68555378216277818</v>
      </c>
      <c r="I9" s="44">
        <v>-0.47266224134145363</v>
      </c>
      <c r="J9" s="44">
        <v>1.1445867817468747</v>
      </c>
      <c r="K9" s="46">
        <v>-0.97605404844606758</v>
      </c>
      <c r="R9" s="56" t="s">
        <v>185</v>
      </c>
      <c r="S9" s="44">
        <f>ABS(O6-O8)</f>
        <v>82.769999999999982</v>
      </c>
      <c r="T9" s="44">
        <f>SQRT(($O$14/2)*((1/$P$6)+(1/$P$8)))</f>
        <v>95.432515028941594</v>
      </c>
      <c r="U9" s="44">
        <f>T9*$O$15</f>
        <v>352.14598045679446</v>
      </c>
      <c r="V9" s="56" t="str">
        <f>IF($S$9&gt;$U$9,"Means are different","Means are not different")</f>
        <v>Means are not different</v>
      </c>
    </row>
    <row r="10" spans="1:23" x14ac:dyDescent="0.3">
      <c r="A10" s="54">
        <v>3800</v>
      </c>
      <c r="B10" s="54">
        <v>3800</v>
      </c>
      <c r="C10" s="54">
        <v>3200</v>
      </c>
      <c r="D10" s="54">
        <v>2700</v>
      </c>
      <c r="G10" s="58" t="s">
        <v>149</v>
      </c>
      <c r="H10" s="44">
        <v>0.11377063105770453</v>
      </c>
      <c r="I10" s="44">
        <v>-0.36562742594401831</v>
      </c>
      <c r="J10" s="44">
        <v>-0.55094261044371484</v>
      </c>
      <c r="K10" s="46">
        <v>0.1938135536166328</v>
      </c>
      <c r="N10" s="133" t="s">
        <v>186</v>
      </c>
      <c r="O10" s="133"/>
      <c r="R10" s="56" t="s">
        <v>187</v>
      </c>
      <c r="S10" s="44">
        <f>ABS(O7-O8)</f>
        <v>173.91000000000031</v>
      </c>
      <c r="T10" s="44">
        <f>SQRT(($O$14/2)*((1/$P$7)+(1/$P$8)))</f>
        <v>98.310521795239055</v>
      </c>
      <c r="U10" s="44">
        <f t="shared" si="0"/>
        <v>362.76582542443208</v>
      </c>
      <c r="V10" s="56" t="str">
        <f>IF($S$10&gt;$U$10,"Means are different","Means are not different")</f>
        <v>Means are not different</v>
      </c>
    </row>
    <row r="11" spans="1:23" x14ac:dyDescent="0.3">
      <c r="A11" s="54">
        <v>3100</v>
      </c>
      <c r="B11" s="54">
        <v>3500</v>
      </c>
      <c r="C11" s="54">
        <v>3900</v>
      </c>
      <c r="D11" s="54">
        <v>3600</v>
      </c>
      <c r="G11" s="58" t="s">
        <v>150</v>
      </c>
      <c r="H11" s="44">
        <v>1700</v>
      </c>
      <c r="I11" s="44">
        <v>1400</v>
      </c>
      <c r="J11" s="44">
        <v>2300</v>
      </c>
      <c r="K11" s="46">
        <v>1800</v>
      </c>
      <c r="N11" s="67" t="s">
        <v>122</v>
      </c>
      <c r="O11" s="67">
        <v>0.05</v>
      </c>
    </row>
    <row r="12" spans="1:23" x14ac:dyDescent="0.3">
      <c r="A12" s="54">
        <v>4500</v>
      </c>
      <c r="B12" s="54">
        <v>2800</v>
      </c>
      <c r="C12" s="54">
        <v>3400</v>
      </c>
      <c r="D12" s="54">
        <v>3100</v>
      </c>
      <c r="G12" s="58" t="s">
        <v>151</v>
      </c>
      <c r="H12" s="44">
        <v>2800</v>
      </c>
      <c r="I12" s="44">
        <v>2800</v>
      </c>
      <c r="J12" s="44">
        <v>2000</v>
      </c>
      <c r="K12" s="46">
        <v>2500</v>
      </c>
      <c r="N12" s="67" t="s">
        <v>188</v>
      </c>
      <c r="O12" s="67">
        <v>4</v>
      </c>
    </row>
    <row r="13" spans="1:23" x14ac:dyDescent="0.3">
      <c r="A13" s="54">
        <v>4100</v>
      </c>
      <c r="B13" s="54">
        <v>3800</v>
      </c>
      <c r="C13" s="54">
        <v>3300</v>
      </c>
      <c r="D13" s="54">
        <v>3200</v>
      </c>
      <c r="G13" s="58" t="s">
        <v>152</v>
      </c>
      <c r="H13" s="44">
        <v>4500</v>
      </c>
      <c r="I13" s="44">
        <v>4200</v>
      </c>
      <c r="J13" s="44">
        <v>4300</v>
      </c>
      <c r="K13" s="46">
        <v>4300</v>
      </c>
      <c r="N13" s="68" t="s">
        <v>189</v>
      </c>
      <c r="O13" s="66">
        <v>98</v>
      </c>
    </row>
    <row r="14" spans="1:23" x14ac:dyDescent="0.3">
      <c r="A14" s="54">
        <v>3300</v>
      </c>
      <c r="B14" s="54">
        <v>3700</v>
      </c>
      <c r="C14" s="54">
        <v>3600</v>
      </c>
      <c r="D14" s="54">
        <v>4300</v>
      </c>
      <c r="G14" s="58" t="s">
        <v>153</v>
      </c>
      <c r="H14" s="44">
        <v>109600</v>
      </c>
      <c r="I14" s="44">
        <v>90100</v>
      </c>
      <c r="J14" s="44">
        <v>73800</v>
      </c>
      <c r="K14" s="46">
        <v>77800</v>
      </c>
      <c r="N14" s="68" t="s">
        <v>190</v>
      </c>
      <c r="O14" s="66">
        <v>222294.05</v>
      </c>
    </row>
    <row r="15" spans="1:23" x14ac:dyDescent="0.3">
      <c r="A15" s="54">
        <v>4300</v>
      </c>
      <c r="B15" s="54">
        <v>2800</v>
      </c>
      <c r="C15" s="54">
        <v>3200</v>
      </c>
      <c r="D15" s="54">
        <v>3400</v>
      </c>
      <c r="G15" s="69" t="s">
        <v>154</v>
      </c>
      <c r="H15" s="45">
        <v>30</v>
      </c>
      <c r="I15" s="45">
        <v>26</v>
      </c>
      <c r="J15" s="45">
        <v>23</v>
      </c>
      <c r="K15" s="47">
        <v>23</v>
      </c>
      <c r="N15" s="70" t="s">
        <v>191</v>
      </c>
      <c r="O15" s="71">
        <v>3.69</v>
      </c>
    </row>
    <row r="16" spans="1:23" x14ac:dyDescent="0.3">
      <c r="A16" s="54">
        <v>4200</v>
      </c>
      <c r="B16" s="54">
        <v>3500</v>
      </c>
      <c r="C16" s="54">
        <v>3100</v>
      </c>
      <c r="D16" s="54">
        <v>4200</v>
      </c>
    </row>
    <row r="17" spans="1:14" x14ac:dyDescent="0.3">
      <c r="A17" s="54">
        <v>4000</v>
      </c>
      <c r="B17" s="54">
        <v>3800</v>
      </c>
      <c r="C17" s="54">
        <v>2000</v>
      </c>
      <c r="D17" s="54">
        <v>2800</v>
      </c>
      <c r="G17" s="44" t="s">
        <v>155</v>
      </c>
    </row>
    <row r="18" spans="1:14" x14ac:dyDescent="0.3">
      <c r="A18" s="54">
        <v>3900</v>
      </c>
      <c r="B18" s="54">
        <v>2800</v>
      </c>
      <c r="C18" s="54">
        <v>3300</v>
      </c>
      <c r="D18" s="54">
        <v>3500</v>
      </c>
    </row>
    <row r="19" spans="1:14" ht="15" thickBot="1" x14ac:dyDescent="0.35">
      <c r="A19" s="54">
        <v>4100</v>
      </c>
      <c r="B19" s="54">
        <v>3800</v>
      </c>
      <c r="C19" s="54">
        <v>3100</v>
      </c>
      <c r="D19" s="54">
        <v>3200</v>
      </c>
      <c r="G19" s="44" t="s">
        <v>156</v>
      </c>
    </row>
    <row r="20" spans="1:14" x14ac:dyDescent="0.3">
      <c r="A20" s="54">
        <v>4500</v>
      </c>
      <c r="B20" s="54">
        <v>3000</v>
      </c>
      <c r="C20" s="54">
        <v>3900</v>
      </c>
      <c r="D20" s="54">
        <v>2900</v>
      </c>
      <c r="G20" s="49" t="s">
        <v>157</v>
      </c>
      <c r="H20" s="49" t="s">
        <v>154</v>
      </c>
      <c r="I20" s="49" t="s">
        <v>153</v>
      </c>
      <c r="J20" s="49" t="s">
        <v>158</v>
      </c>
      <c r="K20" s="49" t="s">
        <v>159</v>
      </c>
      <c r="N20" s="72"/>
    </row>
    <row r="21" spans="1:14" x14ac:dyDescent="0.3">
      <c r="A21" s="54">
        <v>3500</v>
      </c>
      <c r="B21" s="54">
        <v>3800</v>
      </c>
      <c r="C21" s="54">
        <v>3100</v>
      </c>
      <c r="D21" s="54">
        <v>3700</v>
      </c>
      <c r="G21" s="44" t="s">
        <v>22</v>
      </c>
      <c r="H21" s="44">
        <v>30</v>
      </c>
      <c r="I21" s="44">
        <v>109600</v>
      </c>
      <c r="J21" s="44">
        <v>3653.3333333333335</v>
      </c>
      <c r="K21" s="44">
        <v>201195.40229885126</v>
      </c>
    </row>
    <row r="22" spans="1:14" x14ac:dyDescent="0.3">
      <c r="A22" s="54">
        <v>3200</v>
      </c>
      <c r="B22" s="54">
        <v>3300</v>
      </c>
      <c r="C22" s="54">
        <v>3600</v>
      </c>
      <c r="D22" s="54">
        <v>3300</v>
      </c>
      <c r="G22" s="44" t="s">
        <v>10</v>
      </c>
      <c r="H22" s="44">
        <v>26</v>
      </c>
      <c r="I22" s="44">
        <v>90100</v>
      </c>
      <c r="J22" s="44">
        <v>3465.3846153846152</v>
      </c>
      <c r="K22" s="44">
        <v>135953.84615384578</v>
      </c>
    </row>
    <row r="23" spans="1:14" x14ac:dyDescent="0.3">
      <c r="A23" s="54">
        <v>3500</v>
      </c>
      <c r="B23" s="54">
        <v>3800</v>
      </c>
      <c r="C23" s="54">
        <v>3400</v>
      </c>
      <c r="D23" s="54">
        <v>3200</v>
      </c>
      <c r="G23" s="44" t="s">
        <v>19</v>
      </c>
      <c r="H23" s="44">
        <v>23</v>
      </c>
      <c r="I23" s="44">
        <v>73800</v>
      </c>
      <c r="J23" s="44">
        <v>3208.695652173913</v>
      </c>
      <c r="K23" s="44">
        <v>288102.766798419</v>
      </c>
    </row>
    <row r="24" spans="1:14" ht="15" thickBot="1" x14ac:dyDescent="0.35">
      <c r="A24" s="54">
        <v>3700</v>
      </c>
      <c r="B24" s="54">
        <v>3200</v>
      </c>
      <c r="C24" s="54">
        <v>3000</v>
      </c>
      <c r="D24" s="54">
        <v>3700</v>
      </c>
      <c r="G24" s="50" t="s">
        <v>16</v>
      </c>
      <c r="H24" s="50">
        <v>23</v>
      </c>
      <c r="I24" s="50">
        <v>77800</v>
      </c>
      <c r="J24" s="50">
        <v>3382.608695652174</v>
      </c>
      <c r="K24" s="50">
        <v>282411.06719367614</v>
      </c>
    </row>
    <row r="25" spans="1:14" x14ac:dyDescent="0.3">
      <c r="A25" s="54">
        <v>3400</v>
      </c>
      <c r="B25" s="54">
        <v>3100</v>
      </c>
    </row>
    <row r="26" spans="1:14" x14ac:dyDescent="0.3">
      <c r="A26" s="54">
        <v>3700</v>
      </c>
      <c r="B26" s="54">
        <v>3600</v>
      </c>
    </row>
    <row r="27" spans="1:14" ht="15" thickBot="1" x14ac:dyDescent="0.35">
      <c r="A27" s="54">
        <v>3500</v>
      </c>
      <c r="B27" s="54">
        <v>3100</v>
      </c>
      <c r="G27" s="44" t="s">
        <v>160</v>
      </c>
    </row>
    <row r="28" spans="1:14" x14ac:dyDescent="0.3">
      <c r="A28" s="54">
        <v>3300</v>
      </c>
      <c r="G28" s="49" t="s">
        <v>161</v>
      </c>
      <c r="H28" s="49" t="s">
        <v>162</v>
      </c>
      <c r="I28" s="49" t="s">
        <v>163</v>
      </c>
      <c r="J28" s="49" t="s">
        <v>164</v>
      </c>
      <c r="K28" s="49" t="s">
        <v>165</v>
      </c>
      <c r="L28" s="49" t="s">
        <v>166</v>
      </c>
      <c r="M28" s="49" t="s">
        <v>167</v>
      </c>
    </row>
    <row r="29" spans="1:14" x14ac:dyDescent="0.3">
      <c r="A29" s="54">
        <v>3900</v>
      </c>
      <c r="G29" s="44" t="s">
        <v>168</v>
      </c>
      <c r="H29" s="44">
        <v>2686653.4198963866</v>
      </c>
      <c r="I29" s="44">
        <v>3</v>
      </c>
      <c r="J29" s="44">
        <v>895551.13996546215</v>
      </c>
      <c r="K29" s="44">
        <v>4.0286779107867678</v>
      </c>
      <c r="L29" s="44">
        <v>9.5069995445393653E-3</v>
      </c>
      <c r="M29" s="44">
        <v>2.6974232197581554</v>
      </c>
    </row>
    <row r="30" spans="1:14" x14ac:dyDescent="0.3">
      <c r="A30" s="54">
        <v>2800</v>
      </c>
      <c r="G30" s="44" t="s">
        <v>169</v>
      </c>
      <c r="H30" s="44">
        <v>21784817.168338906</v>
      </c>
      <c r="I30" s="44">
        <v>98</v>
      </c>
      <c r="J30" s="44">
        <v>222294.05273815201</v>
      </c>
    </row>
    <row r="31" spans="1:14" x14ac:dyDescent="0.3">
      <c r="A31" s="54">
        <v>3400</v>
      </c>
    </row>
    <row r="32" spans="1:14" ht="15" thickBot="1" x14ac:dyDescent="0.35">
      <c r="G32" s="50" t="s">
        <v>170</v>
      </c>
      <c r="H32" s="50">
        <v>24471470.588235293</v>
      </c>
      <c r="I32" s="50">
        <v>101</v>
      </c>
      <c r="J32" s="50"/>
      <c r="K32" s="50"/>
      <c r="L32" s="50"/>
      <c r="M32" s="50"/>
    </row>
  </sheetData>
  <mergeCells count="1">
    <mergeCell ref="N10:O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2A8A-0E36-4626-9048-73F1029CFE93}">
  <dimension ref="A1:M68"/>
  <sheetViews>
    <sheetView topLeftCell="A20" workbookViewId="0">
      <selection activeCell="K80" sqref="K80"/>
    </sheetView>
  </sheetViews>
  <sheetFormatPr defaultRowHeight="14.4" x14ac:dyDescent="0.3"/>
  <cols>
    <col min="1" max="1" width="23.6640625" bestFit="1" customWidth="1"/>
    <col min="2" max="2" width="15.5546875" bestFit="1" customWidth="1"/>
    <col min="3" max="3" width="11.88671875" bestFit="1" customWidth="1"/>
    <col min="4" max="4" width="11.6640625" bestFit="1" customWidth="1"/>
    <col min="5" max="5" width="6.44140625" bestFit="1" customWidth="1"/>
    <col min="6" max="7" width="10.77734375" bestFit="1" customWidth="1"/>
    <col min="8" max="8" width="6.44140625" bestFit="1" customWidth="1"/>
    <col min="9" max="9" width="10.77734375" bestFit="1" customWidth="1"/>
    <col min="10" max="10" width="8.21875" bestFit="1" customWidth="1"/>
    <col min="11" max="11" width="9.21875" bestFit="1" customWidth="1"/>
    <col min="12" max="12" width="11.88671875" bestFit="1" customWidth="1"/>
    <col min="13" max="13" width="11.6640625" bestFit="1" customWidth="1"/>
    <col min="14" max="14" width="6.44140625" bestFit="1" customWidth="1"/>
    <col min="15" max="15" width="10.77734375" bestFit="1" customWidth="1"/>
    <col min="16" max="16" width="6.6640625" bestFit="1" customWidth="1"/>
    <col min="17" max="17" width="9.21875" bestFit="1" customWidth="1"/>
    <col min="18" max="18" width="11.88671875" bestFit="1" customWidth="1"/>
    <col min="19" max="19" width="11.6640625" bestFit="1" customWidth="1"/>
    <col min="20" max="20" width="6.44140625" bestFit="1" customWidth="1"/>
    <col min="21" max="21" width="10.77734375" bestFit="1" customWidth="1"/>
    <col min="22" max="22" width="6.6640625" bestFit="1" customWidth="1"/>
    <col min="23" max="23" width="9.21875" bestFit="1" customWidth="1"/>
    <col min="24" max="24" width="11.88671875" bestFit="1" customWidth="1"/>
    <col min="25" max="25" width="11.6640625" bestFit="1" customWidth="1"/>
    <col min="26" max="26" width="6.44140625" bestFit="1" customWidth="1"/>
    <col min="27" max="27" width="10.77734375" bestFit="1" customWidth="1"/>
    <col min="28" max="28" width="6.6640625" bestFit="1" customWidth="1"/>
    <col min="29" max="29" width="10.77734375" bestFit="1" customWidth="1"/>
  </cols>
  <sheetData>
    <row r="1" spans="1:13" x14ac:dyDescent="0.3">
      <c r="A1" s="74" t="s">
        <v>235</v>
      </c>
      <c r="B1" s="74" t="s">
        <v>194</v>
      </c>
    </row>
    <row r="2" spans="1:13" x14ac:dyDescent="0.3">
      <c r="A2" s="74" t="s">
        <v>192</v>
      </c>
      <c r="B2" t="s">
        <v>12</v>
      </c>
      <c r="C2" t="s">
        <v>21</v>
      </c>
      <c r="D2" t="s">
        <v>29</v>
      </c>
      <c r="E2" t="s">
        <v>24</v>
      </c>
      <c r="F2" t="s">
        <v>17</v>
      </c>
      <c r="G2" t="s">
        <v>193</v>
      </c>
    </row>
    <row r="3" spans="1:13" x14ac:dyDescent="0.3">
      <c r="A3" s="75">
        <v>3</v>
      </c>
      <c r="B3">
        <v>1</v>
      </c>
      <c r="E3">
        <v>1</v>
      </c>
      <c r="G3">
        <v>2</v>
      </c>
    </row>
    <row r="4" spans="1:13" x14ac:dyDescent="0.3">
      <c r="A4" s="75">
        <v>4</v>
      </c>
      <c r="B4">
        <v>3</v>
      </c>
      <c r="C4">
        <v>2</v>
      </c>
      <c r="D4">
        <v>6</v>
      </c>
      <c r="E4">
        <v>3</v>
      </c>
      <c r="F4">
        <v>4</v>
      </c>
      <c r="G4">
        <v>18</v>
      </c>
    </row>
    <row r="5" spans="1:13" x14ac:dyDescent="0.3">
      <c r="A5" s="75">
        <v>5</v>
      </c>
      <c r="B5">
        <v>3</v>
      </c>
      <c r="C5">
        <v>2</v>
      </c>
      <c r="D5">
        <v>7</v>
      </c>
      <c r="E5">
        <v>9</v>
      </c>
      <c r="F5">
        <v>9</v>
      </c>
      <c r="G5">
        <v>30</v>
      </c>
    </row>
    <row r="6" spans="1:13" x14ac:dyDescent="0.3">
      <c r="A6" s="75">
        <v>6</v>
      </c>
      <c r="B6">
        <v>5</v>
      </c>
      <c r="C6">
        <v>8</v>
      </c>
      <c r="D6">
        <v>10</v>
      </c>
      <c r="E6">
        <v>2</v>
      </c>
      <c r="F6">
        <v>3</v>
      </c>
      <c r="G6">
        <v>28</v>
      </c>
    </row>
    <row r="7" spans="1:13" x14ac:dyDescent="0.3">
      <c r="A7" s="75">
        <v>7</v>
      </c>
      <c r="B7">
        <v>5</v>
      </c>
      <c r="C7">
        <v>6</v>
      </c>
      <c r="D7">
        <v>7</v>
      </c>
      <c r="E7">
        <v>2</v>
      </c>
      <c r="F7">
        <v>4</v>
      </c>
      <c r="G7">
        <v>24</v>
      </c>
    </row>
    <row r="8" spans="1:13" x14ac:dyDescent="0.3">
      <c r="A8" s="75" t="s">
        <v>193</v>
      </c>
      <c r="B8">
        <v>17</v>
      </c>
      <c r="C8">
        <v>18</v>
      </c>
      <c r="D8">
        <v>30</v>
      </c>
      <c r="E8">
        <v>17</v>
      </c>
      <c r="F8">
        <v>20</v>
      </c>
      <c r="G8">
        <v>102</v>
      </c>
    </row>
    <row r="11" spans="1:13" x14ac:dyDescent="0.3">
      <c r="A11" s="76" t="s">
        <v>195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 spans="1:13" x14ac:dyDescent="0.3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x14ac:dyDescent="0.3">
      <c r="A13" s="135" t="s">
        <v>196</v>
      </c>
      <c r="B13" s="135"/>
      <c r="C13" s="135"/>
      <c r="D13" s="135"/>
      <c r="E13" s="135"/>
      <c r="F13" s="135"/>
      <c r="G13" s="135"/>
      <c r="H13" s="76"/>
      <c r="I13" s="76"/>
      <c r="J13" s="76"/>
      <c r="K13" s="76"/>
      <c r="L13" s="76"/>
      <c r="M13" s="76"/>
    </row>
    <row r="14" spans="1:13" x14ac:dyDescent="0.3">
      <c r="A14" s="77"/>
      <c r="B14" s="136" t="s">
        <v>197</v>
      </c>
      <c r="C14" s="137"/>
      <c r="D14" s="137"/>
      <c r="E14" s="137"/>
      <c r="F14" s="138"/>
      <c r="G14" s="78"/>
      <c r="H14" s="76"/>
      <c r="I14" s="76" t="s">
        <v>198</v>
      </c>
      <c r="J14" s="76"/>
      <c r="K14" s="76"/>
      <c r="L14" s="76"/>
      <c r="M14" s="76"/>
    </row>
    <row r="15" spans="1:13" x14ac:dyDescent="0.3">
      <c r="A15" s="79" t="s">
        <v>199</v>
      </c>
      <c r="B15" s="79" t="s">
        <v>12</v>
      </c>
      <c r="C15" s="79" t="s">
        <v>21</v>
      </c>
      <c r="D15" s="79" t="s">
        <v>29</v>
      </c>
      <c r="E15" s="79" t="s">
        <v>24</v>
      </c>
      <c r="F15" s="79" t="s">
        <v>17</v>
      </c>
      <c r="G15" s="80" t="s">
        <v>170</v>
      </c>
      <c r="H15" s="76"/>
      <c r="I15" s="134" t="s">
        <v>200</v>
      </c>
      <c r="J15" s="134"/>
      <c r="K15" s="134"/>
      <c r="L15" s="134"/>
      <c r="M15" s="134"/>
    </row>
    <row r="16" spans="1:13" x14ac:dyDescent="0.3">
      <c r="A16" s="81" t="s">
        <v>233</v>
      </c>
      <c r="B16" s="82">
        <f>GETPIVOTDATA("Charge_at_Home",$A$1,"Reason","Economic","Charge_at_Home",6)</f>
        <v>5</v>
      </c>
      <c r="C16" s="82">
        <f>GETPIVOTDATA("Charge_at_Home",$A$1,"Reason","Environment","Charge_at_Home",6)</f>
        <v>8</v>
      </c>
      <c r="D16" s="82">
        <f>GETPIVOTDATA("Charge_at_Home",$A$1,"Reason","Fuel Security","Charge_at_Home",6)</f>
        <v>10</v>
      </c>
      <c r="E16" s="82">
        <f>GETPIVOTDATA("Charge_at_Home",$A$1,"Reason","Health","Charge_at_Home",6)</f>
        <v>2</v>
      </c>
      <c r="F16" s="82">
        <f>GETPIVOTDATA("Charge_at_Home",$A$1,"Reason","Technology","Charge_at_Home",6)</f>
        <v>3</v>
      </c>
      <c r="G16" s="77">
        <f>SUM(B16:F16)</f>
        <v>28</v>
      </c>
      <c r="H16" s="76"/>
      <c r="I16" s="76">
        <f>B16 - B23</f>
        <v>-0.38461538461538503</v>
      </c>
      <c r="J16" s="76">
        <f>C16 - C23</f>
        <v>0.46153846153846168</v>
      </c>
      <c r="K16" s="76">
        <f t="shared" ref="I16:M17" si="0">D16 - D23</f>
        <v>0.8461538461538467</v>
      </c>
      <c r="L16" s="76">
        <f t="shared" si="0"/>
        <v>-0.15384615384615374</v>
      </c>
      <c r="M16" s="76">
        <f t="shared" si="0"/>
        <v>-0.76923076923076916</v>
      </c>
    </row>
    <row r="17" spans="1:13" x14ac:dyDescent="0.3">
      <c r="A17" s="81" t="s">
        <v>234</v>
      </c>
      <c r="B17" s="82">
        <f>GETPIVOTDATA("Charge_at_Home",$A$1,"Reason","Economic","Charge_at_Home",7)</f>
        <v>5</v>
      </c>
      <c r="C17" s="82">
        <f>GETPIVOTDATA("Charge_at_Home",$A$1,"Reason","Environment","Charge_at_Home",7)</f>
        <v>6</v>
      </c>
      <c r="D17" s="82">
        <f>GETPIVOTDATA("Charge_at_Home",$A$1,"Reason","Fuel Security","Charge_at_Home",7)</f>
        <v>7</v>
      </c>
      <c r="E17" s="82">
        <f>GETPIVOTDATA("Charge_at_Home",$A$1,"Reason","Health","Charge_at_Home",7)</f>
        <v>2</v>
      </c>
      <c r="F17" s="82">
        <f>GETPIVOTDATA("Charge_at_Home",$A$1,"Reason","Technology","Charge_at_Home",7)</f>
        <v>4</v>
      </c>
      <c r="G17" s="77">
        <f>SUM(B17:F17)</f>
        <v>24</v>
      </c>
      <c r="H17" s="76"/>
      <c r="I17" s="76">
        <f t="shared" si="0"/>
        <v>0.38461538461538503</v>
      </c>
      <c r="J17" s="76">
        <f>C17 - C24</f>
        <v>-0.46153846153846168</v>
      </c>
      <c r="K17" s="76">
        <f t="shared" si="0"/>
        <v>-0.84615384615384581</v>
      </c>
      <c r="L17" s="76">
        <f t="shared" si="0"/>
        <v>0.15384615384615374</v>
      </c>
      <c r="M17" s="76">
        <f t="shared" si="0"/>
        <v>0.76923076923076916</v>
      </c>
    </row>
    <row r="18" spans="1:13" x14ac:dyDescent="0.3">
      <c r="A18" s="83" t="s">
        <v>170</v>
      </c>
      <c r="B18" s="77">
        <f>SUM(B16:B17)</f>
        <v>10</v>
      </c>
      <c r="C18" s="77">
        <f>SUM(C16:C17)</f>
        <v>14</v>
      </c>
      <c r="D18" s="77">
        <f>SUM(D16:D17)</f>
        <v>17</v>
      </c>
      <c r="E18" s="77">
        <f>SUM(E16:E17)</f>
        <v>4</v>
      </c>
      <c r="F18" s="77">
        <f>SUM(F16:F17)</f>
        <v>7</v>
      </c>
      <c r="G18" s="77">
        <f>SUM(B18:F18)</f>
        <v>52</v>
      </c>
      <c r="H18" s="76"/>
      <c r="I18" s="76"/>
      <c r="J18" s="76"/>
      <c r="K18" s="76"/>
      <c r="L18" s="76"/>
      <c r="M18" s="76"/>
    </row>
    <row r="19" spans="1:13" x14ac:dyDescent="0.3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</row>
    <row r="20" spans="1:13" x14ac:dyDescent="0.3">
      <c r="A20" s="139" t="s">
        <v>201</v>
      </c>
      <c r="B20" s="139"/>
      <c r="C20" s="139"/>
      <c r="D20" s="139"/>
      <c r="E20" s="139"/>
      <c r="F20" s="139"/>
      <c r="G20" s="139"/>
      <c r="H20" s="76"/>
      <c r="I20" s="76"/>
      <c r="J20" s="76"/>
      <c r="K20" s="76"/>
      <c r="L20" s="76"/>
      <c r="M20" s="76"/>
    </row>
    <row r="21" spans="1:13" x14ac:dyDescent="0.3">
      <c r="A21" s="77"/>
      <c r="B21" s="140" t="str">
        <f>B14</f>
        <v>Column variable</v>
      </c>
      <c r="C21" s="141"/>
      <c r="D21" s="141"/>
      <c r="E21" s="141"/>
      <c r="F21" s="142"/>
      <c r="G21" s="77"/>
      <c r="H21" s="76"/>
      <c r="I21" s="76"/>
      <c r="J21" s="76"/>
      <c r="K21" s="76"/>
      <c r="L21" s="76"/>
      <c r="M21" s="76"/>
    </row>
    <row r="22" spans="1:13" x14ac:dyDescent="0.3">
      <c r="A22" s="80" t="str">
        <f>A15</f>
        <v>Row variable</v>
      </c>
      <c r="B22" s="80" t="str">
        <f>B15</f>
        <v>Economic</v>
      </c>
      <c r="C22" s="80" t="str">
        <f>C15</f>
        <v>Environment</v>
      </c>
      <c r="D22" s="80" t="str">
        <f>D15</f>
        <v>Fuel Security</v>
      </c>
      <c r="E22" s="80" t="str">
        <f>E15</f>
        <v>Health</v>
      </c>
      <c r="F22" s="80" t="str">
        <f>F15</f>
        <v>Technology</v>
      </c>
      <c r="G22" s="80" t="s">
        <v>170</v>
      </c>
      <c r="H22" s="76"/>
      <c r="I22" s="134" t="s">
        <v>202</v>
      </c>
      <c r="J22" s="134"/>
      <c r="K22" s="134"/>
      <c r="L22" s="134"/>
      <c r="M22" s="134"/>
    </row>
    <row r="23" spans="1:13" x14ac:dyDescent="0.3">
      <c r="A23" s="83" t="str">
        <f>A16</f>
        <v>Charging 6 times</v>
      </c>
      <c r="B23" s="77">
        <f>$G16 * B18/$G18</f>
        <v>5.384615384615385</v>
      </c>
      <c r="C23" s="77">
        <f>$G16 * C$18/$G$18</f>
        <v>7.5384615384615383</v>
      </c>
      <c r="D23" s="77">
        <f t="shared" ref="D23:F23" si="1">$G16 * D$18/$G$18</f>
        <v>9.1538461538461533</v>
      </c>
      <c r="E23" s="77">
        <f t="shared" si="1"/>
        <v>2.1538461538461537</v>
      </c>
      <c r="F23" s="77">
        <f t="shared" si="1"/>
        <v>3.7692307692307692</v>
      </c>
      <c r="G23" s="77">
        <f>SUM(B23:F23)</f>
        <v>28</v>
      </c>
      <c r="H23" s="76"/>
      <c r="I23" s="76">
        <f>I16^2/B23</f>
        <v>2.7472527472527528E-2</v>
      </c>
      <c r="J23" s="76">
        <f>J16^2/C23</f>
        <v>2.8257456828885415E-2</v>
      </c>
      <c r="K23" s="76">
        <f t="shared" ref="I23:M24" si="2">K16^2/D23</f>
        <v>7.8215901745313607E-2</v>
      </c>
      <c r="L23" s="76">
        <f>L16^2/E23</f>
        <v>1.0989010989010974E-2</v>
      </c>
      <c r="M23" s="76">
        <f t="shared" si="2"/>
        <v>0.15698587127158553</v>
      </c>
    </row>
    <row r="24" spans="1:13" x14ac:dyDescent="0.3">
      <c r="A24" s="83" t="str">
        <f>A17</f>
        <v>Charging 7 times</v>
      </c>
      <c r="B24" s="77">
        <f>$G17 * B$18/$G$18</f>
        <v>4.615384615384615</v>
      </c>
      <c r="C24" s="77">
        <f t="shared" ref="C24:F24" si="3">$G17 * C$18/$G$18</f>
        <v>6.4615384615384617</v>
      </c>
      <c r="D24" s="77">
        <f t="shared" si="3"/>
        <v>7.8461538461538458</v>
      </c>
      <c r="E24" s="77">
        <f t="shared" si="3"/>
        <v>1.8461538461538463</v>
      </c>
      <c r="F24" s="77">
        <f t="shared" si="3"/>
        <v>3.2307692307692308</v>
      </c>
      <c r="G24" s="77">
        <f>SUM(B24:F24)</f>
        <v>24</v>
      </c>
      <c r="H24" s="76"/>
      <c r="I24" s="76">
        <f t="shared" si="2"/>
        <v>3.2051282051282125E-2</v>
      </c>
      <c r="J24" s="76">
        <f>J17^2/C24</f>
        <v>3.2967032967032982E-2</v>
      </c>
      <c r="K24" s="76">
        <f t="shared" si="2"/>
        <v>9.1251885369532354E-2</v>
      </c>
      <c r="L24" s="76">
        <f t="shared" si="2"/>
        <v>1.2820512820512803E-2</v>
      </c>
      <c r="M24" s="76">
        <f t="shared" si="2"/>
        <v>0.18315018315018311</v>
      </c>
    </row>
    <row r="25" spans="1:13" x14ac:dyDescent="0.3">
      <c r="A25" s="83" t="s">
        <v>170</v>
      </c>
      <c r="B25" s="77">
        <f>SUM(B23:B24)</f>
        <v>10</v>
      </c>
      <c r="C25" s="77">
        <f>SUM(C23:C24)</f>
        <v>14</v>
      </c>
      <c r="D25" s="77">
        <f>SUM(D23:D24)</f>
        <v>17</v>
      </c>
      <c r="E25" s="77">
        <f>SUM(E23:E24)</f>
        <v>4</v>
      </c>
      <c r="F25" s="77">
        <f>SUM(F23:F24)</f>
        <v>7</v>
      </c>
      <c r="G25" s="77">
        <f>SUM(B25:F25)</f>
        <v>52</v>
      </c>
      <c r="H25" s="76"/>
      <c r="I25" s="76"/>
      <c r="J25" s="76"/>
      <c r="K25" s="76"/>
      <c r="L25" s="76"/>
      <c r="M25" s="76"/>
    </row>
    <row r="26" spans="1:13" x14ac:dyDescent="0.3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</row>
    <row r="27" spans="1:13" x14ac:dyDescent="0.3">
      <c r="A27" s="143" t="s">
        <v>203</v>
      </c>
      <c r="B27" s="143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 spans="1:13" x14ac:dyDescent="0.3">
      <c r="A28" s="84" t="s">
        <v>204</v>
      </c>
      <c r="B28" s="82">
        <v>0.05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</row>
    <row r="29" spans="1:13" x14ac:dyDescent="0.3">
      <c r="A29" s="85" t="s">
        <v>205</v>
      </c>
      <c r="B29" s="85">
        <v>2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</row>
    <row r="30" spans="1:13" x14ac:dyDescent="0.3">
      <c r="A30" s="85" t="s">
        <v>206</v>
      </c>
      <c r="B30" s="85">
        <v>5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</row>
    <row r="31" spans="1:13" x14ac:dyDescent="0.3">
      <c r="A31" s="85" t="s">
        <v>125</v>
      </c>
      <c r="B31" s="85">
        <f>($B$29 - 1) * ($B$30 - 1)</f>
        <v>4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3" x14ac:dyDescent="0.3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</row>
    <row r="33" spans="1:13" x14ac:dyDescent="0.3">
      <c r="A33" s="144" t="s">
        <v>207</v>
      </c>
      <c r="B33" s="144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</row>
    <row r="34" spans="1:13" x14ac:dyDescent="0.3">
      <c r="A34" s="73" t="s">
        <v>208</v>
      </c>
      <c r="B34" s="73">
        <f>CHIINV(B28, B31)</f>
        <v>9.4877290367811575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</row>
    <row r="35" spans="1:13" x14ac:dyDescent="0.3">
      <c r="A35" s="73" t="s">
        <v>209</v>
      </c>
      <c r="B35" s="73">
        <f>SUM(I23:M24)</f>
        <v>0.65416166466586634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</row>
    <row r="36" spans="1:13" x14ac:dyDescent="0.3">
      <c r="A36" s="86" t="s">
        <v>210</v>
      </c>
      <c r="B36" s="73">
        <f>CHIDIST(B35, B31)</f>
        <v>0.95685906560085709</v>
      </c>
      <c r="C36" s="87"/>
      <c r="D36" s="87"/>
      <c r="E36" s="87"/>
      <c r="F36" s="87"/>
      <c r="G36" s="87"/>
      <c r="H36" s="87"/>
      <c r="I36" s="87"/>
      <c r="J36" s="76"/>
      <c r="K36" s="76"/>
      <c r="L36" s="76"/>
      <c r="M36" s="76"/>
    </row>
    <row r="37" spans="1:13" x14ac:dyDescent="0.3">
      <c r="A37" s="145" t="str">
        <f>IF(B36&lt;B28, "Reject the null hypothesis", "Do not reject the null hypothesis")</f>
        <v>Do not reject the null hypothesis</v>
      </c>
      <c r="B37" s="14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</row>
    <row r="38" spans="1:13" x14ac:dyDescent="0.3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</row>
    <row r="39" spans="1:13" x14ac:dyDescent="0.3">
      <c r="A39" s="88" t="s">
        <v>211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</row>
    <row r="40" spans="1:13" x14ac:dyDescent="0.3">
      <c r="A40" s="88" t="str">
        <f>IF(OR(B23&lt;1, C23&lt;1, D23&lt;1, E23&lt;1, F23&lt;1, B24&lt;1, C24&lt;1, D24&lt;1, E24&lt;1, F24&lt;1), "       is violated.", "       is met.")</f>
        <v xml:space="preserve">       is met.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</row>
    <row r="41" spans="1:13" x14ac:dyDescent="0.3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</row>
    <row r="42" spans="1:13" x14ac:dyDescent="0.3">
      <c r="A42" s="76" t="s">
        <v>212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</row>
    <row r="43" spans="1:13" x14ac:dyDescent="0.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</row>
    <row r="44" spans="1:13" x14ac:dyDescent="0.3">
      <c r="A44" s="85" t="s">
        <v>204</v>
      </c>
      <c r="B44" s="85">
        <v>0.05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</row>
    <row r="45" spans="1:13" x14ac:dyDescent="0.3">
      <c r="A45" s="85" t="s">
        <v>213</v>
      </c>
      <c r="B45" s="85">
        <f>SQRT(B34)</f>
        <v>3.0802157451680485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</row>
    <row r="46" spans="1:13" x14ac:dyDescent="0.3">
      <c r="A46" s="76"/>
      <c r="B46" s="76"/>
      <c r="C46" s="76"/>
      <c r="D46" s="76"/>
    </row>
    <row r="47" spans="1:13" x14ac:dyDescent="0.3">
      <c r="A47" s="147" t="s">
        <v>214</v>
      </c>
      <c r="B47" s="147"/>
      <c r="C47" s="76"/>
      <c r="D47" s="76"/>
    </row>
    <row r="48" spans="1:13" x14ac:dyDescent="0.3">
      <c r="A48" s="85" t="str">
        <f>"1: " &amp; [2]ChiSquare2x5!B46</f>
        <v xml:space="preserve">1: </v>
      </c>
      <c r="B48" s="85">
        <f>B16/B18</f>
        <v>0.5</v>
      </c>
      <c r="C48" s="76"/>
      <c r="D48" s="76"/>
    </row>
    <row r="49" spans="1:4" x14ac:dyDescent="0.3">
      <c r="A49" s="85" t="str">
        <f>"2: " &amp; [2]ChiSquare2x5!C46</f>
        <v xml:space="preserve">2: </v>
      </c>
      <c r="B49" s="85">
        <f>C16/C18</f>
        <v>0.5714285714285714</v>
      </c>
      <c r="C49" s="76"/>
      <c r="D49" s="76"/>
    </row>
    <row r="50" spans="1:4" x14ac:dyDescent="0.3">
      <c r="A50" s="85" t="str">
        <f>"3: " &amp; [2]ChiSquare2x5!D46</f>
        <v xml:space="preserve">3: </v>
      </c>
      <c r="B50" s="85">
        <f>D16/D18</f>
        <v>0.58823529411764708</v>
      </c>
      <c r="C50" s="76"/>
      <c r="D50" s="76"/>
    </row>
    <row r="51" spans="1:4" x14ac:dyDescent="0.3">
      <c r="A51" s="85" t="str">
        <f>"4: " &amp; [2]ChiSquare2x5!E46</f>
        <v xml:space="preserve">4: </v>
      </c>
      <c r="B51" s="85">
        <f>E16/E18</f>
        <v>0.5</v>
      </c>
      <c r="C51" s="76"/>
      <c r="D51" s="76"/>
    </row>
    <row r="52" spans="1:4" x14ac:dyDescent="0.3">
      <c r="A52" s="85" t="str">
        <f>"5: " &amp; [2]ChiSquare2x5!F46</f>
        <v xml:space="preserve">5: </v>
      </c>
      <c r="B52" s="85">
        <f>F16/F18</f>
        <v>0.42857142857142855</v>
      </c>
      <c r="C52" s="76"/>
      <c r="D52" s="76"/>
    </row>
    <row r="53" spans="1:4" x14ac:dyDescent="0.3">
      <c r="A53" s="76"/>
      <c r="B53" s="76"/>
      <c r="C53" s="76"/>
      <c r="D53" s="76"/>
    </row>
    <row r="54" spans="1:4" x14ac:dyDescent="0.3">
      <c r="A54" s="144" t="s">
        <v>215</v>
      </c>
      <c r="B54" s="144"/>
      <c r="C54" s="144"/>
      <c r="D54" s="76"/>
    </row>
    <row r="55" spans="1:4" x14ac:dyDescent="0.3">
      <c r="A55" s="73" t="s">
        <v>216</v>
      </c>
      <c r="B55" s="73" t="s">
        <v>217</v>
      </c>
      <c r="C55" s="73" t="s">
        <v>218</v>
      </c>
      <c r="D55" s="76"/>
    </row>
    <row r="56" spans="1:4" x14ac:dyDescent="0.3">
      <c r="A56" s="73" t="s">
        <v>219</v>
      </c>
      <c r="B56" s="73">
        <f>ABS(B48 - B49)</f>
        <v>7.1428571428571397E-2</v>
      </c>
      <c r="C56" s="73">
        <f>$B$45 * SQRT($B$48 * (1 - $B$48)/B18+B49 * (1 - B49)/C18)</f>
        <v>0.6349482904293855</v>
      </c>
      <c r="D56" s="76" t="str">
        <f>IF(B56&gt; C56, "Significant", "Not significant")</f>
        <v>Not significant</v>
      </c>
    </row>
    <row r="57" spans="1:4" x14ac:dyDescent="0.3">
      <c r="A57" s="73" t="s">
        <v>220</v>
      </c>
      <c r="B57" s="73">
        <f>ABS(B48 - B50)</f>
        <v>8.8235294117647078E-2</v>
      </c>
      <c r="C57" s="73">
        <f>$B$45 * SQRT($B$48 * (1 - $B$48)/B18+B50 * (1 - B50)/D18)</f>
        <v>0.61022419685631002</v>
      </c>
      <c r="D57" s="76" t="str">
        <f>IF(B57&gt; C57, "Significant", "Not significant")</f>
        <v>Not significant</v>
      </c>
    </row>
    <row r="58" spans="1:4" x14ac:dyDescent="0.3">
      <c r="A58" s="73" t="s">
        <v>221</v>
      </c>
      <c r="B58" s="73">
        <f>ABS(B48 - B51)</f>
        <v>0</v>
      </c>
      <c r="C58" s="73">
        <f>$B$45 * SQRT($B$48 * (1 - $B$48)/B18+B51 * (1 - B51)/E18)</f>
        <v>0.91114010487869046</v>
      </c>
      <c r="D58" s="76" t="str">
        <f>IF(B58&gt; C58, "Significant", "Not significant")</f>
        <v>Not significant</v>
      </c>
    </row>
    <row r="59" spans="1:4" x14ac:dyDescent="0.3">
      <c r="A59" s="73" t="s">
        <v>222</v>
      </c>
      <c r="B59" s="73">
        <f>ABS(B48 - B52)</f>
        <v>7.1428571428571452E-2</v>
      </c>
      <c r="C59" s="73">
        <f>$B$45 * SQRT($B$48 * (1 - $B$48)/B18+B49 * (1 - B52)/F18)</f>
        <v>0.82448135668349098</v>
      </c>
      <c r="D59" s="76" t="str">
        <f>IF(B59&gt; C59, "Significant", "Not significant")</f>
        <v>Not significant</v>
      </c>
    </row>
    <row r="60" spans="1:4" x14ac:dyDescent="0.3">
      <c r="A60" s="76"/>
      <c r="B60" s="76"/>
      <c r="C60" s="76"/>
      <c r="D60" s="76"/>
    </row>
    <row r="61" spans="1:4" x14ac:dyDescent="0.3">
      <c r="A61" s="73" t="s">
        <v>223</v>
      </c>
      <c r="B61" s="73">
        <f>ABS(B49 - B50)</f>
        <v>1.6806722689075682E-2</v>
      </c>
      <c r="C61" s="73">
        <f>$B$45 * SQRT($B$49 * (1 - $B$49)/C18+B50 * (1 - B50)/D18)</f>
        <v>0.54876812052912671</v>
      </c>
      <c r="D61" s="76" t="str">
        <f>IF(B61&gt; C61, "Significant", "Not significant")</f>
        <v>Not significant</v>
      </c>
    </row>
    <row r="62" spans="1:4" x14ac:dyDescent="0.3">
      <c r="A62" s="73" t="s">
        <v>224</v>
      </c>
      <c r="B62" s="73">
        <f>ABS(B49 - B51)</f>
        <v>7.1428571428571397E-2</v>
      </c>
      <c r="C62" s="73">
        <f>$B$45 * SQRT($B$49 * (1 - $B$49)/C18+B51 * (1 - B51)/E18)</f>
        <v>0.87117688812232186</v>
      </c>
      <c r="D62" s="76" t="str">
        <f>IF(B62&gt; C62, "Significant", "Not significant")</f>
        <v>Not significant</v>
      </c>
    </row>
    <row r="63" spans="1:4" x14ac:dyDescent="0.3">
      <c r="A63" s="73" t="s">
        <v>225</v>
      </c>
      <c r="B63" s="73">
        <f>ABS(B49 - B52)</f>
        <v>0.14285714285714285</v>
      </c>
      <c r="C63" s="73">
        <f>$B$45 * SQRT($B$49 * (1 - $B$49)/C18+B52 * (1 - B52)/F18)</f>
        <v>0.70561910178155685</v>
      </c>
      <c r="D63" s="76" t="str">
        <f>IF(B63&gt; C63, "Significant", "Not significant")</f>
        <v>Not significant</v>
      </c>
    </row>
    <row r="64" spans="1:4" x14ac:dyDescent="0.3">
      <c r="A64" s="76"/>
      <c r="B64" s="76"/>
      <c r="C64" s="76"/>
      <c r="D64" s="76"/>
    </row>
    <row r="65" spans="1:4" x14ac:dyDescent="0.3">
      <c r="A65" s="73" t="s">
        <v>226</v>
      </c>
      <c r="B65" s="73">
        <f>ABS(B50 - B51)</f>
        <v>8.8235294117647078E-2</v>
      </c>
      <c r="C65" s="73">
        <f>$B$45 * SQRT($B$50 * (1 - $B$50)/D18+B51 * (1 - B51)/E18)</f>
        <v>0.85332491426667134</v>
      </c>
      <c r="D65" s="76" t="str">
        <f>IF(B65&gt; C65, "Significant", "Not significant")</f>
        <v>Not significant</v>
      </c>
    </row>
    <row r="66" spans="1:4" x14ac:dyDescent="0.3">
      <c r="A66" s="73" t="s">
        <v>227</v>
      </c>
      <c r="B66" s="73">
        <f>ABS(B50 - B52)</f>
        <v>0.15966386554621853</v>
      </c>
      <c r="C66" s="73">
        <f>$B$45 * SQRT($B$50 * (1 - $B$50)/D18+B52 * (1 - B52)/F18)</f>
        <v>0.68345633050601007</v>
      </c>
      <c r="D66" s="76" t="str">
        <f>IF(B66&gt; C66, "Significant", "Not significant")</f>
        <v>Not significant</v>
      </c>
    </row>
    <row r="67" spans="1:4" x14ac:dyDescent="0.3">
      <c r="A67" s="76"/>
      <c r="B67" s="76"/>
      <c r="C67" s="76"/>
      <c r="D67" s="76"/>
    </row>
    <row r="68" spans="1:4" x14ac:dyDescent="0.3">
      <c r="A68" s="73" t="s">
        <v>228</v>
      </c>
      <c r="B68" s="73">
        <f>ABS(B51 - B52)</f>
        <v>7.1428571428571452E-2</v>
      </c>
      <c r="C68" s="73">
        <f>$B$45 * SQRT($B$51 * (1 - $B$51)/E18+B52 * (1 - B52)/F18)</f>
        <v>0.96172515616373633</v>
      </c>
      <c r="D68" s="76" t="str">
        <f>IF(B68&gt; C68, "Significant", "Not significant")</f>
        <v>Not significant</v>
      </c>
    </row>
  </sheetData>
  <mergeCells count="11">
    <mergeCell ref="A27:B27"/>
    <mergeCell ref="A33:B33"/>
    <mergeCell ref="A37:B37"/>
    <mergeCell ref="A47:B47"/>
    <mergeCell ref="A54:C54"/>
    <mergeCell ref="I22:M22"/>
    <mergeCell ref="A13:G13"/>
    <mergeCell ref="B14:F14"/>
    <mergeCell ref="I15:M15"/>
    <mergeCell ref="A20:G20"/>
    <mergeCell ref="B21:F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FC67-6B23-4932-9044-742227776B4F}">
  <dimension ref="A1:M30"/>
  <sheetViews>
    <sheetView workbookViewId="0">
      <selection activeCell="N1" sqref="N1"/>
    </sheetView>
  </sheetViews>
  <sheetFormatPr defaultRowHeight="14.4" x14ac:dyDescent="0.3"/>
  <cols>
    <col min="1" max="6" width="8.88671875" style="44"/>
    <col min="7" max="7" width="31" style="44" bestFit="1" customWidth="1"/>
    <col min="8" max="8" width="12.5546875" style="44" bestFit="1" customWidth="1"/>
    <col min="9" max="11" width="12.109375" style="44" bestFit="1" customWidth="1"/>
    <col min="12" max="13" width="9" style="44" bestFit="1" customWidth="1"/>
    <col min="14" max="16384" width="8.88671875" style="44"/>
  </cols>
  <sheetData>
    <row r="1" spans="1:11" x14ac:dyDescent="0.3">
      <c r="B1" s="44" t="s">
        <v>11</v>
      </c>
      <c r="C1" s="44" t="s">
        <v>28</v>
      </c>
      <c r="D1" s="44" t="s">
        <v>30</v>
      </c>
      <c r="G1" s="44" t="s">
        <v>229</v>
      </c>
    </row>
    <row r="2" spans="1:11" x14ac:dyDescent="0.3">
      <c r="A2" s="44" t="s">
        <v>9</v>
      </c>
      <c r="B2" s="54">
        <v>10000</v>
      </c>
      <c r="C2" s="54">
        <v>10000</v>
      </c>
      <c r="D2" s="54">
        <v>15000</v>
      </c>
    </row>
    <row r="3" spans="1:11" x14ac:dyDescent="0.3">
      <c r="B3" s="54">
        <v>14000</v>
      </c>
      <c r="C3" s="54">
        <v>10000</v>
      </c>
      <c r="D3" s="54">
        <v>16000</v>
      </c>
      <c r="G3" s="44" t="s">
        <v>156</v>
      </c>
      <c r="H3" s="44" t="s">
        <v>11</v>
      </c>
      <c r="I3" s="44" t="s">
        <v>28</v>
      </c>
      <c r="J3" s="44" t="s">
        <v>30</v>
      </c>
      <c r="K3" s="44" t="s">
        <v>170</v>
      </c>
    </row>
    <row r="4" spans="1:11" ht="15" thickBot="1" x14ac:dyDescent="0.35">
      <c r="B4" s="54">
        <v>11000</v>
      </c>
      <c r="C4" s="54">
        <v>11000</v>
      </c>
      <c r="D4" s="54">
        <v>10000</v>
      </c>
      <c r="G4" s="48" t="s">
        <v>9</v>
      </c>
      <c r="H4" s="48"/>
      <c r="I4" s="48"/>
      <c r="J4" s="48"/>
      <c r="K4" s="48"/>
    </row>
    <row r="5" spans="1:11" x14ac:dyDescent="0.3">
      <c r="B5" s="54">
        <v>9000</v>
      </c>
      <c r="C5" s="54">
        <v>12000</v>
      </c>
      <c r="D5" s="54">
        <v>10000</v>
      </c>
      <c r="G5" s="44" t="s">
        <v>154</v>
      </c>
      <c r="H5" s="44">
        <v>5</v>
      </c>
      <c r="I5" s="44">
        <v>5</v>
      </c>
      <c r="J5" s="44">
        <v>5</v>
      </c>
      <c r="K5" s="44">
        <v>15</v>
      </c>
    </row>
    <row r="6" spans="1:11" x14ac:dyDescent="0.3">
      <c r="B6" s="54">
        <v>13000</v>
      </c>
      <c r="C6" s="54">
        <v>12000</v>
      </c>
      <c r="D6" s="54">
        <v>14000</v>
      </c>
      <c r="G6" s="44" t="s">
        <v>153</v>
      </c>
      <c r="H6" s="44">
        <v>57000</v>
      </c>
      <c r="I6" s="44">
        <v>55000</v>
      </c>
      <c r="J6" s="44">
        <v>65000</v>
      </c>
      <c r="K6" s="44">
        <v>177000</v>
      </c>
    </row>
    <row r="7" spans="1:11" x14ac:dyDescent="0.3">
      <c r="A7" s="44" t="s">
        <v>15</v>
      </c>
      <c r="B7" s="54">
        <v>8000</v>
      </c>
      <c r="C7" s="54">
        <v>9000</v>
      </c>
      <c r="D7" s="54">
        <v>10000</v>
      </c>
      <c r="G7" s="44" t="s">
        <v>158</v>
      </c>
      <c r="H7" s="52">
        <v>11400</v>
      </c>
      <c r="I7" s="52">
        <v>11000</v>
      </c>
      <c r="J7" s="52">
        <v>13000</v>
      </c>
      <c r="K7" s="51">
        <v>11800</v>
      </c>
    </row>
    <row r="8" spans="1:11" x14ac:dyDescent="0.3">
      <c r="B8" s="54">
        <v>10000</v>
      </c>
      <c r="C8" s="54">
        <v>15000</v>
      </c>
      <c r="D8" s="54">
        <v>11000</v>
      </c>
      <c r="G8" s="44" t="s">
        <v>159</v>
      </c>
      <c r="H8" s="44">
        <v>4300000</v>
      </c>
      <c r="I8" s="44">
        <v>1000000</v>
      </c>
      <c r="J8" s="44">
        <v>8000000</v>
      </c>
      <c r="K8" s="44">
        <v>4600000</v>
      </c>
    </row>
    <row r="9" spans="1:11" x14ac:dyDescent="0.3">
      <c r="B9" s="54">
        <v>14000</v>
      </c>
      <c r="C9" s="54">
        <v>12000</v>
      </c>
      <c r="D9" s="54">
        <v>9000</v>
      </c>
    </row>
    <row r="10" spans="1:11" ht="15" thickBot="1" x14ac:dyDescent="0.35">
      <c r="B10" s="54">
        <v>13000</v>
      </c>
      <c r="C10" s="54">
        <v>15000</v>
      </c>
      <c r="D10" s="54">
        <v>11000</v>
      </c>
      <c r="G10" s="48" t="s">
        <v>15</v>
      </c>
      <c r="H10" s="48"/>
      <c r="I10" s="48"/>
      <c r="J10" s="48"/>
      <c r="K10" s="48"/>
    </row>
    <row r="11" spans="1:11" x14ac:dyDescent="0.3">
      <c r="B11" s="54">
        <v>12000</v>
      </c>
      <c r="C11" s="54">
        <v>16000</v>
      </c>
      <c r="D11" s="54">
        <v>9000</v>
      </c>
      <c r="G11" s="44" t="s">
        <v>154</v>
      </c>
      <c r="H11" s="44">
        <v>5</v>
      </c>
      <c r="I11" s="44">
        <v>5</v>
      </c>
      <c r="J11" s="44">
        <v>5</v>
      </c>
      <c r="K11" s="44">
        <v>15</v>
      </c>
    </row>
    <row r="12" spans="1:11" x14ac:dyDescent="0.3">
      <c r="G12" s="44" t="s">
        <v>153</v>
      </c>
      <c r="H12" s="44">
        <v>57000</v>
      </c>
      <c r="I12" s="44">
        <v>67000</v>
      </c>
      <c r="J12" s="44">
        <v>50000</v>
      </c>
      <c r="K12" s="44">
        <v>174000</v>
      </c>
    </row>
    <row r="13" spans="1:11" x14ac:dyDescent="0.3">
      <c r="G13" s="44" t="s">
        <v>158</v>
      </c>
      <c r="H13" s="52">
        <v>11400</v>
      </c>
      <c r="I13" s="52">
        <v>13400</v>
      </c>
      <c r="J13" s="52">
        <v>10000</v>
      </c>
      <c r="K13" s="51">
        <v>11600</v>
      </c>
    </row>
    <row r="14" spans="1:11" x14ac:dyDescent="0.3">
      <c r="G14" s="44" t="s">
        <v>159</v>
      </c>
      <c r="H14" s="44">
        <v>5800000</v>
      </c>
      <c r="I14" s="44">
        <v>8300000</v>
      </c>
      <c r="J14" s="44">
        <v>1000000</v>
      </c>
      <c r="K14" s="44">
        <v>6400000</v>
      </c>
    </row>
    <row r="16" spans="1:11" ht="15" thickBot="1" x14ac:dyDescent="0.35">
      <c r="G16" s="48" t="s">
        <v>170</v>
      </c>
      <c r="H16" s="48"/>
      <c r="I16" s="48"/>
      <c r="J16" s="48"/>
    </row>
    <row r="17" spans="7:13" x14ac:dyDescent="0.3">
      <c r="G17" s="44" t="s">
        <v>154</v>
      </c>
      <c r="H17" s="44">
        <v>10</v>
      </c>
      <c r="I17" s="44">
        <v>10</v>
      </c>
      <c r="J17" s="44">
        <v>10</v>
      </c>
    </row>
    <row r="18" spans="7:13" x14ac:dyDescent="0.3">
      <c r="G18" s="44" t="s">
        <v>153</v>
      </c>
      <c r="H18" s="44">
        <v>114000</v>
      </c>
      <c r="I18" s="44">
        <v>122000</v>
      </c>
      <c r="J18" s="44">
        <v>115000</v>
      </c>
    </row>
    <row r="19" spans="7:13" x14ac:dyDescent="0.3">
      <c r="G19" s="44" t="s">
        <v>158</v>
      </c>
      <c r="H19" s="51">
        <v>11400</v>
      </c>
      <c r="I19" s="51">
        <v>12200</v>
      </c>
      <c r="J19" s="51">
        <v>11500</v>
      </c>
    </row>
    <row r="20" spans="7:13" x14ac:dyDescent="0.3">
      <c r="G20" s="44" t="s">
        <v>159</v>
      </c>
      <c r="H20" s="44">
        <v>4488888.888888889</v>
      </c>
      <c r="I20" s="44">
        <v>5733333.333333333</v>
      </c>
      <c r="J20" s="44">
        <v>6500000</v>
      </c>
    </row>
    <row r="23" spans="7:13" ht="15" thickBot="1" x14ac:dyDescent="0.35">
      <c r="G23" s="44" t="s">
        <v>160</v>
      </c>
    </row>
    <row r="24" spans="7:13" x14ac:dyDescent="0.3">
      <c r="G24" s="49" t="s">
        <v>161</v>
      </c>
      <c r="H24" s="49" t="s">
        <v>162</v>
      </c>
      <c r="I24" s="49" t="s">
        <v>163</v>
      </c>
      <c r="J24" s="49" t="s">
        <v>164</v>
      </c>
      <c r="K24" s="49" t="s">
        <v>165</v>
      </c>
      <c r="L24" s="49" t="s">
        <v>166</v>
      </c>
      <c r="M24" s="49" t="s">
        <v>167</v>
      </c>
    </row>
    <row r="25" spans="7:13" x14ac:dyDescent="0.3">
      <c r="G25" s="44" t="s">
        <v>172</v>
      </c>
      <c r="H25" s="44">
        <v>300000</v>
      </c>
      <c r="I25" s="44">
        <v>1</v>
      </c>
      <c r="J25" s="44">
        <v>300000</v>
      </c>
      <c r="K25" s="44">
        <v>6.3380281690140844E-2</v>
      </c>
      <c r="L25" s="53">
        <v>0.80337419939356125</v>
      </c>
      <c r="M25" s="44">
        <v>4.2596772726902348</v>
      </c>
    </row>
    <row r="26" spans="7:13" x14ac:dyDescent="0.3">
      <c r="G26" s="44" t="s">
        <v>230</v>
      </c>
      <c r="H26" s="44">
        <v>3800000</v>
      </c>
      <c r="I26" s="44">
        <v>2</v>
      </c>
      <c r="J26" s="44">
        <v>1900000</v>
      </c>
      <c r="K26" s="44">
        <v>0.40140845070422537</v>
      </c>
      <c r="L26" s="53">
        <v>0.67378728869851168</v>
      </c>
      <c r="M26" s="44">
        <v>3.4028261053501945</v>
      </c>
    </row>
    <row r="27" spans="7:13" x14ac:dyDescent="0.3">
      <c r="G27" s="44" t="s">
        <v>231</v>
      </c>
      <c r="H27" s="44">
        <v>36600000</v>
      </c>
      <c r="I27" s="44">
        <v>2</v>
      </c>
      <c r="J27" s="44">
        <v>18300000</v>
      </c>
      <c r="K27" s="44">
        <v>3.8661971830985919</v>
      </c>
      <c r="L27" s="51">
        <v>3.5034892114923021E-2</v>
      </c>
      <c r="M27" s="44">
        <v>3.4028261053501945</v>
      </c>
    </row>
    <row r="28" spans="7:13" x14ac:dyDescent="0.3">
      <c r="G28" s="44" t="s">
        <v>232</v>
      </c>
      <c r="H28" s="44">
        <v>113600000</v>
      </c>
      <c r="I28" s="44">
        <v>24</v>
      </c>
      <c r="J28" s="44">
        <v>4733333.333333333</v>
      </c>
    </row>
    <row r="30" spans="7:13" ht="15" thickBot="1" x14ac:dyDescent="0.35">
      <c r="G30" s="50" t="s">
        <v>170</v>
      </c>
      <c r="H30" s="50">
        <v>154300000</v>
      </c>
      <c r="I30" s="50">
        <v>29</v>
      </c>
      <c r="J30" s="50"/>
      <c r="K30" s="50"/>
      <c r="L30" s="50"/>
      <c r="M30" s="5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Description</vt:lpstr>
      <vt:lpstr>EVSurvey </vt:lpstr>
      <vt:lpstr>Attitude</vt:lpstr>
      <vt:lpstr>Experiment</vt:lpstr>
      <vt:lpstr>Q1</vt:lpstr>
      <vt:lpstr>Q2</vt:lpstr>
      <vt:lpstr>Q3</vt:lpstr>
      <vt:lpstr>Q4</vt:lpstr>
      <vt:lpstr>Q5</vt:lpstr>
      <vt:lpstr>Q6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PARTH SHARMA</cp:lastModifiedBy>
  <dcterms:created xsi:type="dcterms:W3CDTF">2011-08-01T14:22:18Z</dcterms:created>
  <dcterms:modified xsi:type="dcterms:W3CDTF">2024-08-02T05:03:51Z</dcterms:modified>
</cp:coreProperties>
</file>