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economie\"/>
    </mc:Choice>
  </mc:AlternateContent>
  <xr:revisionPtr revIDLastSave="0" documentId="13_ncr:1_{CE2A3B2F-CBD9-4F2B-8908-4A8EAFFC3D5B}" xr6:coauthVersionLast="47" xr6:coauthVersionMax="47" xr10:uidLastSave="{00000000-0000-0000-0000-000000000000}"/>
  <bookViews>
    <workbookView xWindow="372" yWindow="384" windowWidth="22668" windowHeight="1189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3" i="1" l="1"/>
  <c r="I52" i="1"/>
  <c r="H53" i="1"/>
  <c r="H52" i="1"/>
  <c r="G53" i="1"/>
  <c r="G52" i="1"/>
  <c r="F53" i="1"/>
  <c r="F52" i="1"/>
  <c r="E53" i="1"/>
  <c r="E52" i="1"/>
  <c r="F81" i="1"/>
  <c r="F43" i="1"/>
  <c r="H17" i="1"/>
  <c r="G17" i="1"/>
  <c r="G18" i="1"/>
  <c r="F17" i="1"/>
  <c r="F68" i="1"/>
  <c r="G68" i="1"/>
  <c r="H68" i="1"/>
  <c r="I68" i="1"/>
  <c r="E68" i="1"/>
  <c r="D53" i="1"/>
  <c r="D52" i="1"/>
  <c r="D70" i="1"/>
  <c r="F38" i="1"/>
  <c r="G38" i="1" s="1"/>
  <c r="F37" i="1"/>
  <c r="G37" i="1" s="1"/>
  <c r="F36" i="1"/>
  <c r="G36" i="1" s="1"/>
  <c r="H36" i="1" s="1"/>
  <c r="F35" i="1"/>
  <c r="G35" i="1" s="1"/>
  <c r="H35" i="1" s="1"/>
  <c r="F34" i="1"/>
  <c r="G34" i="1" s="1"/>
  <c r="F33" i="1"/>
  <c r="G33" i="1" s="1"/>
  <c r="H33" i="1" s="1"/>
  <c r="F32" i="1"/>
  <c r="F31" i="1"/>
  <c r="F39" i="1"/>
  <c r="G39" i="1" s="1"/>
  <c r="H39" i="1" s="1"/>
  <c r="F30" i="1"/>
  <c r="G30" i="1" s="1"/>
  <c r="F29" i="1"/>
  <c r="G29" i="1" s="1"/>
  <c r="H29" i="1" s="1"/>
  <c r="F40" i="1"/>
  <c r="H38" i="1" l="1"/>
  <c r="H37" i="1"/>
  <c r="H34" i="1"/>
  <c r="G32" i="1"/>
  <c r="H32" i="1" s="1"/>
  <c r="G31" i="1"/>
  <c r="H31" i="1" s="1"/>
  <c r="H30" i="1"/>
  <c r="G40" i="1"/>
  <c r="H40" i="1" s="1"/>
  <c r="E70" i="1"/>
  <c r="I70" i="1" s="1"/>
  <c r="F21" i="1"/>
  <c r="G21" i="1" s="1"/>
  <c r="F27" i="1"/>
  <c r="F24" i="1"/>
  <c r="G24" i="1" s="1"/>
  <c r="H24" i="1" s="1"/>
  <c r="F18" i="1"/>
  <c r="F61" i="1"/>
  <c r="F62" i="1" s="1"/>
  <c r="G61" i="1"/>
  <c r="G62" i="1" s="1"/>
  <c r="H61" i="1"/>
  <c r="H62" i="1" s="1"/>
  <c r="I61" i="1"/>
  <c r="I62" i="1" s="1"/>
  <c r="E61" i="1"/>
  <c r="E62" i="1" s="1"/>
  <c r="F67" i="1"/>
  <c r="E69" i="1"/>
  <c r="H69" i="1" s="1"/>
  <c r="E71" i="1"/>
  <c r="G71" i="1" s="1"/>
  <c r="E72" i="1"/>
  <c r="G72" i="1" s="1"/>
  <c r="E67" i="1"/>
  <c r="I67" i="1" s="1"/>
  <c r="H18" i="1" l="1"/>
  <c r="D80" i="1"/>
  <c r="G54" i="1"/>
  <c r="G63" i="1" s="1"/>
  <c r="E54" i="1"/>
  <c r="I54" i="1"/>
  <c r="H21" i="1"/>
  <c r="G27" i="1"/>
  <c r="H27" i="1" s="1"/>
  <c r="H54" i="1"/>
  <c r="F54" i="1"/>
  <c r="I69" i="1"/>
  <c r="F72" i="1"/>
  <c r="H72" i="1"/>
  <c r="F70" i="1"/>
  <c r="I71" i="1"/>
  <c r="I72" i="1"/>
  <c r="H71" i="1"/>
  <c r="F71" i="1"/>
  <c r="G69" i="1"/>
  <c r="F69" i="1"/>
  <c r="G67" i="1"/>
  <c r="G70" i="1"/>
  <c r="H67" i="1"/>
  <c r="H70" i="1"/>
  <c r="H63" i="1" l="1"/>
  <c r="I63" i="1"/>
  <c r="G74" i="1" l="1"/>
  <c r="F63" i="1"/>
  <c r="F74" i="1" s="1"/>
  <c r="I74" i="1"/>
  <c r="H74" i="1"/>
  <c r="F19" i="1" l="1"/>
  <c r="F20" i="1"/>
  <c r="G20" i="1" s="1"/>
  <c r="F26" i="1"/>
  <c r="F25" i="1"/>
  <c r="G25" i="1" s="1"/>
  <c r="F16" i="1"/>
  <c r="D79" i="1" s="1"/>
  <c r="F28" i="1"/>
  <c r="G28" i="1" s="1"/>
  <c r="H28" i="1" s="1"/>
  <c r="F80" i="1" l="1"/>
  <c r="G19" i="1"/>
  <c r="H19" i="1" s="1"/>
  <c r="G16" i="1"/>
  <c r="H16" i="1" s="1"/>
  <c r="H20" i="1"/>
  <c r="G26" i="1"/>
  <c r="H26" i="1" s="1"/>
  <c r="H25" i="1"/>
  <c r="F84" i="1"/>
  <c r="F86" i="1" s="1"/>
  <c r="G84" i="1"/>
  <c r="G86" i="1" s="1"/>
  <c r="H84" i="1"/>
  <c r="H86" i="1" s="1"/>
  <c r="I84" i="1"/>
  <c r="I86" i="1" s="1"/>
  <c r="E84" i="1"/>
  <c r="E86" i="1" s="1"/>
  <c r="F22" i="1" l="1"/>
  <c r="G22" i="1" s="1"/>
  <c r="F23" i="1"/>
  <c r="F41" i="1"/>
  <c r="F15" i="1"/>
  <c r="F79" i="1" l="1"/>
  <c r="F42" i="1"/>
  <c r="H22" i="1"/>
  <c r="G41" i="1"/>
  <c r="H41" i="1" s="1"/>
  <c r="G23" i="1"/>
  <c r="H23" i="1" s="1"/>
  <c r="G15" i="1"/>
  <c r="F82" i="1" l="1"/>
  <c r="D73" i="1" s="1"/>
  <c r="E73" i="1" s="1"/>
  <c r="F73" i="1" s="1"/>
  <c r="F75" i="1" s="1"/>
  <c r="D90" i="1"/>
  <c r="D92" i="1" s="1"/>
  <c r="H15" i="1"/>
  <c r="H42" i="1" s="1"/>
  <c r="G42" i="1"/>
  <c r="H73" i="1" l="1"/>
  <c r="H75" i="1" s="1"/>
  <c r="H87" i="1" s="1"/>
  <c r="H89" i="1" s="1"/>
  <c r="H92" i="1" s="1"/>
  <c r="G73" i="1"/>
  <c r="G75" i="1" s="1"/>
  <c r="G87" i="1" s="1"/>
  <c r="I73" i="1"/>
  <c r="I75" i="1" s="1"/>
  <c r="I87" i="1" s="1"/>
  <c r="F85" i="1"/>
  <c r="F87" i="1"/>
  <c r="F89" i="1" s="1"/>
  <c r="F92" i="1" s="1"/>
  <c r="H85" i="1" l="1"/>
  <c r="I89" i="1"/>
  <c r="I92" i="1" s="1"/>
  <c r="I85" i="1"/>
  <c r="G89" i="1"/>
  <c r="G92" i="1" s="1"/>
  <c r="G85" i="1"/>
  <c r="E63" i="1"/>
  <c r="E74" i="1" l="1"/>
  <c r="E75" i="1" s="1"/>
  <c r="E87" i="1" l="1"/>
  <c r="E89" i="1" s="1"/>
  <c r="E85" i="1"/>
  <c r="D91" i="1" l="1"/>
  <c r="E92" i="1"/>
  <c r="D93" i="1" s="1"/>
</calcChain>
</file>

<file path=xl/sharedStrings.xml><?xml version="1.0" encoding="utf-8"?>
<sst xmlns="http://schemas.openxmlformats.org/spreadsheetml/2006/main" count="128" uniqueCount="109">
  <si>
    <t>INVESTIȚIA NECESARĂ</t>
  </si>
  <si>
    <t>Preț unitar fără TVA</t>
  </si>
  <si>
    <t>Bucăți</t>
  </si>
  <si>
    <t>Preț total fără TVA</t>
  </si>
  <si>
    <t>TVA</t>
  </si>
  <si>
    <t>Preț total cu TVA</t>
  </si>
  <si>
    <t>Total</t>
  </si>
  <si>
    <t>IPOTEZE VENITURI</t>
  </si>
  <si>
    <t>Anul 1</t>
  </si>
  <si>
    <t>Anul 2</t>
  </si>
  <si>
    <t>Anul 3</t>
  </si>
  <si>
    <t>Anul 4</t>
  </si>
  <si>
    <t>Anul 5</t>
  </si>
  <si>
    <t>OPERAREA INVESTIȚIEI:</t>
  </si>
  <si>
    <t>ANALIZA VENITURILOR</t>
  </si>
  <si>
    <t>PROIECȚIA CHELTUIELILOR</t>
  </si>
  <si>
    <t>Cheltuieli cu amortizarea* (pentru mijloacele fixe din proiectul de investiții)</t>
  </si>
  <si>
    <t>*Cum calculăm amortizarea în sistem liniar pentru mijloacele fixe?</t>
  </si>
  <si>
    <t>Valoarea de intrare a mijoacelor fixe:</t>
  </si>
  <si>
    <t>Durata 
de amortizare</t>
  </si>
  <si>
    <t>Amortizarea 
anuală</t>
  </si>
  <si>
    <t>MIJLOACE FIXE = preț unitar &gt; 2500 lei fără TVA</t>
  </si>
  <si>
    <t xml:space="preserve">Valoarea de intrare </t>
  </si>
  <si>
    <t>1% din CA</t>
  </si>
  <si>
    <r>
      <rPr>
        <b/>
        <sz val="11"/>
        <color theme="1"/>
        <rFont val="Calibri"/>
        <family val="2"/>
        <scheme val="minor"/>
      </rPr>
      <t>VAN negativ</t>
    </r>
    <r>
      <rPr>
        <sz val="11"/>
        <color theme="1"/>
        <rFont val="Calibri"/>
        <family val="2"/>
        <scheme val="minor"/>
      </rPr>
      <t xml:space="preserve"> --&gt;</t>
    </r>
    <r>
      <rPr>
        <b/>
        <sz val="11"/>
        <color theme="1"/>
        <rFont val="Calibri"/>
        <family val="2"/>
        <scheme val="minor"/>
      </rPr>
      <t xml:space="preserve"> RESPINGEREA</t>
    </r>
    <r>
      <rPr>
        <sz val="11"/>
        <color theme="1"/>
        <rFont val="Calibri"/>
        <family val="2"/>
        <scheme val="minor"/>
      </rPr>
      <t xml:space="preserve"> PROIECTULUI DE INVESTIȚII
</t>
    </r>
    <r>
      <rPr>
        <b/>
        <sz val="11"/>
        <color theme="1"/>
        <rFont val="Calibri"/>
        <family val="2"/>
        <scheme val="minor"/>
      </rPr>
      <t>VAN POZITIV</t>
    </r>
    <r>
      <rPr>
        <sz val="11"/>
        <color theme="1"/>
        <rFont val="Calibri"/>
        <family val="2"/>
        <scheme val="minor"/>
      </rPr>
      <t xml:space="preserve"> --&gt; </t>
    </r>
    <r>
      <rPr>
        <b/>
        <sz val="11"/>
        <color theme="1"/>
        <rFont val="Calibri"/>
        <family val="2"/>
        <scheme val="minor"/>
      </rPr>
      <t>Acceptarea</t>
    </r>
    <r>
      <rPr>
        <sz val="11"/>
        <color theme="1"/>
        <rFont val="Calibri"/>
        <family val="2"/>
        <scheme val="minor"/>
      </rPr>
      <t xml:space="preserve"> proiectului </t>
    </r>
  </si>
  <si>
    <t>RIR (funcția IRR din excel - Rata internă de rentabilitate)</t>
  </si>
  <si>
    <t>Birou pentru lucru</t>
  </si>
  <si>
    <t>Scaune birou</t>
  </si>
  <si>
    <t>Masa de lucru / suport</t>
  </si>
  <si>
    <t>Scaune clienti</t>
  </si>
  <si>
    <t xml:space="preserve">Cuier haine din lemn </t>
  </si>
  <si>
    <t>Număr mediu de firme pe an</t>
  </si>
  <si>
    <t>PROIECȚIA VENITURILOR ANUALE MEDII  DIN IT</t>
  </si>
  <si>
    <t>PROIECȚIA VENITURILOR ANUALE MEDII DIN CONTABILITATE</t>
  </si>
  <si>
    <t>Cheltuieli cu impozitul - 1% din CA -lei/ an</t>
  </si>
  <si>
    <t>INVESTIȚIE pentru pornirea afacerii:</t>
  </si>
  <si>
    <t>x</t>
  </si>
  <si>
    <t>CHELTUIELI TOTALE ANUALE</t>
  </si>
  <si>
    <t>TOTALUL  CHELTUIELILOR ANUALE</t>
  </si>
  <si>
    <t xml:space="preserve">Cheltuieli cu chiria </t>
  </si>
  <si>
    <t xml:space="preserve">Cheltuiala cu combustibilul </t>
  </si>
  <si>
    <t xml:space="preserve">Cheltuieli de promovare  </t>
  </si>
  <si>
    <t>Tavite documente -set</t>
  </si>
  <si>
    <t>Consumabile birou (coli hartie, dosare, bibliorafturi, etc   - la set</t>
  </si>
  <si>
    <t>Valoatea fara TVA a mijloacelor fixe</t>
  </si>
  <si>
    <t>TOTAL</t>
  </si>
  <si>
    <t>Rafturi lemn depozitare documente / dulapuri</t>
  </si>
  <si>
    <t>Ipoteze/ch./lună</t>
  </si>
  <si>
    <t xml:space="preserve">ANALIZA FINANCIARA A AFACERII </t>
  </si>
  <si>
    <r>
      <t>Cash flow net ACTUALIZAT  (</t>
    </r>
    <r>
      <rPr>
        <i/>
        <sz val="11"/>
        <color theme="1"/>
        <rFont val="Calibri"/>
        <family val="2"/>
        <scheme val="minor"/>
      </rPr>
      <t xml:space="preserve">cu rata de actualizare </t>
    </r>
    <r>
      <rPr>
        <b/>
        <i/>
        <sz val="11"/>
        <color theme="1"/>
        <rFont val="Calibri"/>
        <family val="2"/>
        <scheme val="minor"/>
      </rPr>
      <t>k = 0,05</t>
    </r>
    <r>
      <rPr>
        <sz val="11"/>
        <color theme="1"/>
        <rFont val="Calibri"/>
        <family val="2"/>
        <scheme val="minor"/>
      </rPr>
      <t xml:space="preserve">) calculat pentru fiecare an  </t>
    </r>
    <r>
      <rPr>
        <b/>
        <i/>
        <sz val="11"/>
        <color theme="1"/>
        <rFont val="Calibri"/>
        <family val="2"/>
        <scheme val="minor"/>
      </rPr>
      <t xml:space="preserve">t , </t>
    </r>
    <r>
      <rPr>
        <i/>
        <sz val="11"/>
        <color theme="1"/>
        <rFont val="Calibri"/>
        <family val="2"/>
        <scheme val="minor"/>
      </rPr>
      <t xml:space="preserve">conform relatiei, in care </t>
    </r>
    <r>
      <rPr>
        <b/>
        <i/>
        <sz val="11"/>
        <color theme="1"/>
        <rFont val="Calibri"/>
        <family val="2"/>
        <scheme val="minor"/>
      </rPr>
      <t xml:space="preserve">t </t>
    </r>
    <r>
      <rPr>
        <i/>
        <sz val="11"/>
        <color theme="1"/>
        <rFont val="Calibri"/>
        <family val="2"/>
        <scheme val="minor"/>
      </rPr>
      <t xml:space="preserve">= 1, 2, 3 , 4 sau 5 </t>
    </r>
    <r>
      <rPr>
        <sz val="11"/>
        <color theme="1"/>
        <rFont val="Calibri"/>
        <family val="2"/>
        <scheme val="minor"/>
      </rPr>
      <t>)</t>
    </r>
  </si>
  <si>
    <r>
      <t>Valoarea actualizata neta  VAN*
*(</t>
    </r>
    <r>
      <rPr>
        <b/>
        <i/>
        <sz val="11"/>
        <color theme="0"/>
        <rFont val="Calibri"/>
        <family val="2"/>
        <scheme val="minor"/>
      </rPr>
      <t>pentru această investiție nu a fost necesar a se lua in calcul  Valori Reziduale / Cash Flow terminal</t>
    </r>
    <r>
      <rPr>
        <b/>
        <sz val="11"/>
        <color theme="0"/>
        <rFont val="Calibri"/>
        <family val="2"/>
        <scheme val="minor"/>
      </rPr>
      <t>)</t>
    </r>
  </si>
  <si>
    <r>
      <t xml:space="preserve">Cash flow net  </t>
    </r>
    <r>
      <rPr>
        <sz val="11"/>
        <color theme="1"/>
        <rFont val="Calibri"/>
        <family val="2"/>
        <scheme val="minor"/>
      </rPr>
      <t xml:space="preserve"> NEACTUALIZAT  (</t>
    </r>
    <r>
      <rPr>
        <i/>
        <sz val="11"/>
        <color theme="1"/>
        <rFont val="Calibri"/>
        <family val="2"/>
        <scheme val="minor"/>
      </rPr>
      <t xml:space="preserve">neactualizat cu rata de actualizare </t>
    </r>
    <r>
      <rPr>
        <b/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</si>
  <si>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t>VENITURILE ANUALE TOTALE ALE AFACERII</t>
  </si>
  <si>
    <t xml:space="preserve"> Partea a 2-a  proiectului</t>
  </si>
  <si>
    <r>
      <t>DETERMINAREA CASH FLOW-ului (</t>
    </r>
    <r>
      <rPr>
        <i/>
        <sz val="11"/>
        <color theme="1"/>
        <rFont val="Calibri"/>
        <family val="2"/>
        <scheme val="minor"/>
      </rPr>
      <t xml:space="preserve"> ÎNCASĂRI minus CHELTUIELI luate fara amortizarea mijloacelor fixe</t>
    </r>
    <r>
      <rPr>
        <sz val="11"/>
        <color theme="1"/>
        <rFont val="Calibri"/>
        <family val="2"/>
        <scheme val="minor"/>
      </rPr>
      <t xml:space="preserve">) - </t>
    </r>
    <r>
      <rPr>
        <b/>
        <i/>
        <sz val="12"/>
        <color theme="1"/>
        <rFont val="Calibri"/>
        <family val="2"/>
        <scheme val="minor"/>
      </rPr>
      <t xml:space="preserve">CF </t>
    </r>
    <r>
      <rPr>
        <sz val="11"/>
        <color theme="1"/>
        <rFont val="Calibri"/>
        <family val="2"/>
        <scheme val="minor"/>
      </rPr>
      <t>-</t>
    </r>
  </si>
  <si>
    <r>
      <t xml:space="preserve">DETERMINAREA REZULTATULUI NET - </t>
    </r>
    <r>
      <rPr>
        <b/>
        <i/>
        <sz val="11"/>
        <color theme="0"/>
        <rFont val="Calibri"/>
        <family val="2"/>
        <scheme val="minor"/>
      </rPr>
      <t>PROFITUL  NET CONTABIL</t>
    </r>
    <r>
      <rPr>
        <b/>
        <sz val="11"/>
        <color theme="0"/>
        <rFont val="Calibri"/>
        <family val="2"/>
        <scheme val="minor"/>
      </rPr>
      <t xml:space="preserve"> -</t>
    </r>
  </si>
  <si>
    <r>
      <t xml:space="preserve">Investitia initiala a proiectului -  </t>
    </r>
    <r>
      <rPr>
        <b/>
        <i/>
        <sz val="12"/>
        <color theme="1"/>
        <rFont val="Calibri"/>
        <family val="2"/>
        <scheme val="minor"/>
      </rPr>
      <t>Io -</t>
    </r>
  </si>
  <si>
    <t>Ipoteze</t>
  </si>
  <si>
    <t>0,05%</t>
  </si>
  <si>
    <r>
      <t xml:space="preserve">Rata de actualizare - </t>
    </r>
    <r>
      <rPr>
        <b/>
        <i/>
        <sz val="11"/>
        <color theme="1"/>
        <rFont val="Calibri"/>
        <family val="2"/>
        <scheme val="minor"/>
      </rPr>
      <t xml:space="preserve">k </t>
    </r>
    <r>
      <rPr>
        <sz val="11"/>
        <color theme="1"/>
        <rFont val="Calibri"/>
        <family val="2"/>
        <scheme val="minor"/>
      </rPr>
      <t xml:space="preserve">- (fiind 5% --&gt; 5/100 = </t>
    </r>
    <r>
      <rPr>
        <b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) - potrivit recomandarilor UE pt. RO, sectorul economic (si k = 5,5 pt sectorul social)</t>
    </r>
  </si>
  <si>
    <t>nu se ia  în
calcul amortizarea mijloacelor fixe</t>
  </si>
  <si>
    <r>
      <t>Date pentru calcul RIR in Excel (RIR -</t>
    </r>
    <r>
      <rPr>
        <i/>
        <sz val="11"/>
        <color theme="1"/>
        <rFont val="Calibri"/>
        <family val="2"/>
        <scheme val="minor"/>
      </rPr>
      <t>Rata Interna de rentabilitate)</t>
    </r>
  </si>
  <si>
    <r>
      <rPr>
        <b/>
        <sz val="11"/>
        <rFont val="Calibri"/>
        <family val="2"/>
        <scheme val="minor"/>
      </rPr>
      <t>Nu are spațiu de lucru si sediu</t>
    </r>
    <r>
      <rPr>
        <sz val="11"/>
        <rFont val="Calibri"/>
        <family val="2"/>
        <scheme val="minor"/>
      </rPr>
      <t>, va inchiria si va include o chirie lunară pentru spatiu  în costurile de operare</t>
    </r>
  </si>
  <si>
    <t>CONCLUZII:</t>
  </si>
  <si>
    <r>
      <rPr>
        <b/>
        <sz val="11"/>
        <color theme="1"/>
        <rFont val="Calibri"/>
        <family val="2"/>
        <scheme val="minor"/>
      </rPr>
      <t>Firmă Neplătitoare de TVA</t>
    </r>
    <r>
      <rPr>
        <sz val="11"/>
        <color theme="1"/>
        <rFont val="Calibri"/>
        <family val="2"/>
        <scheme val="minor"/>
      </rPr>
      <t xml:space="preserve"> - potrivit legislatiei (primul an si apoi daca CA &lt; 220000lei)</t>
    </r>
  </si>
  <si>
    <t xml:space="preserve">                                                                          XXXXXXXXXXXXXXXXXXXXX</t>
  </si>
  <si>
    <t>Service auto</t>
  </si>
  <si>
    <r>
      <t xml:space="preserve">Nume și prenume: </t>
    </r>
    <r>
      <rPr>
        <sz val="14"/>
        <rFont val="Calibri"/>
        <family val="2"/>
        <scheme val="minor"/>
      </rPr>
      <t xml:space="preserve">  Pârvan Andrei-Leonard</t>
    </r>
  </si>
  <si>
    <r>
      <rPr>
        <b/>
        <sz val="11"/>
        <color theme="1"/>
        <rFont val="Calibri"/>
        <family val="2"/>
        <scheme val="minor"/>
      </rPr>
      <t>Concept:</t>
    </r>
    <r>
      <rPr>
        <sz val="11"/>
        <color theme="1"/>
        <rFont val="Calibri"/>
        <family val="2"/>
        <scheme val="minor"/>
      </rPr>
      <t xml:space="preserve"> Servicii de vulcanizare cât și servicii de întreținere a autovehiculelor</t>
    </r>
  </si>
  <si>
    <t>Antreprenorul.</t>
  </si>
  <si>
    <t>Mașină de echilibrat roți</t>
  </si>
  <si>
    <t>Mașină dejantat roată</t>
  </si>
  <si>
    <t>Petice</t>
  </si>
  <si>
    <t>Leviere</t>
  </si>
  <si>
    <t>Pistol cu manometru</t>
  </si>
  <si>
    <t>Valve</t>
  </si>
  <si>
    <t xml:space="preserve">Contragreutăți </t>
  </si>
  <si>
    <t>Compresor aer</t>
  </si>
  <si>
    <t>Furtun aer</t>
  </si>
  <si>
    <t>Pistol pneumatic de impact</t>
  </si>
  <si>
    <t>Cric pernă de aer 4.5 tone</t>
  </si>
  <si>
    <t>Cric crocodil hidraulic 3 tone</t>
  </si>
  <si>
    <t>Multimetru</t>
  </si>
  <si>
    <t>Trusă presă cilindri frână</t>
  </si>
  <si>
    <t>Trusă bușon baie de ulei</t>
  </si>
  <si>
    <t>Recuperator Ulei</t>
  </si>
  <si>
    <t>Trusă chei</t>
  </si>
  <si>
    <t>Cheltuieli de construcție și diferite autorizații</t>
  </si>
  <si>
    <t>Mașină de dejantat roata</t>
  </si>
  <si>
    <t>Număr mediu de clienți pe an</t>
  </si>
  <si>
    <t>1. Venituri din activitati de vulcanizare</t>
  </si>
  <si>
    <t>Prețul lei / clienti/an</t>
  </si>
  <si>
    <t>2. Venituri din activitati de întreținere a autovehicule</t>
  </si>
  <si>
    <t>Prețul lei / client/an</t>
  </si>
  <si>
    <t>Cheltuieli cu salariile - 3 angajati,  - 3000 lei/luna x3=9000lei/luna</t>
  </si>
  <si>
    <t>VENITURI ANUALE DIN ACTIVITATI  INTRETINERE AUTO</t>
  </si>
  <si>
    <r>
      <t>Venituri anuale din servicii de întreținere auto - schimb ulei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(700lei/schimb)</t>
    </r>
  </si>
  <si>
    <r>
      <t xml:space="preserve">Venituri anuale din activitati de vulcanizare  </t>
    </r>
    <r>
      <rPr>
        <i/>
        <sz val="11"/>
        <color theme="1"/>
        <rFont val="Calibri"/>
        <family val="2"/>
        <scheme val="minor"/>
      </rPr>
      <t>(30lei/luna/client)</t>
    </r>
  </si>
  <si>
    <t>Cheltuieli administrative (utilități, consumabile, altele) - lei/luna</t>
  </si>
  <si>
    <r>
      <t xml:space="preserve">Venituri anuale din activitati de schimbare al anvelopelor sezoniere  </t>
    </r>
    <r>
      <rPr>
        <i/>
        <sz val="11"/>
        <color theme="1"/>
        <rFont val="Calibri"/>
        <family val="2"/>
        <scheme val="minor"/>
      </rPr>
      <t>(100lei/sezon/client)</t>
    </r>
  </si>
  <si>
    <t>Cheltuieli neprevăzute</t>
  </si>
  <si>
    <t>Imprimantă multifuncțională</t>
  </si>
  <si>
    <t>3 buc</t>
  </si>
  <si>
    <r>
      <t>Finanțare: aproximativ 17.000 euro, prin programul Startup (</t>
    </r>
    <r>
      <rPr>
        <b/>
        <i/>
        <sz val="11"/>
        <color theme="1"/>
        <rFont val="Calibri"/>
        <family val="2"/>
        <scheme val="minor"/>
      </rPr>
      <t>220.000 lei -cifra actualizata în 2020)</t>
    </r>
  </si>
  <si>
    <r>
      <rPr>
        <b/>
        <sz val="11"/>
        <color theme="1"/>
        <rFont val="Calibri"/>
        <family val="2"/>
        <scheme val="minor"/>
      </rPr>
      <t xml:space="preserve">VAN POZITIV </t>
    </r>
    <r>
      <rPr>
        <sz val="11"/>
        <color theme="1"/>
        <rFont val="Calibri"/>
        <family val="2"/>
        <scheme val="minor"/>
      </rPr>
      <t xml:space="preserve">--&gt; Acceptarea proiectului  de investiții
</t>
    </r>
    <r>
      <rPr>
        <b/>
        <sz val="11"/>
        <color theme="1"/>
        <rFont val="Calibri"/>
        <family val="2"/>
        <scheme val="minor"/>
      </rPr>
      <t>RIR de 48%</t>
    </r>
    <r>
      <rPr>
        <sz val="11"/>
        <color theme="1"/>
        <rFont val="Calibri"/>
        <family val="2"/>
        <scheme val="minor"/>
      </rPr>
      <t xml:space="preserve"> --&gt; reprezintă șansele de acceptare a proiectului</t>
    </r>
  </si>
  <si>
    <t>VENITURI ANUALE DIN ACTIVITATI DE VULCANIZARE</t>
  </si>
  <si>
    <t xml:space="preserve"> Numărul de clienti s-a stabili calculand cu aproximatie 2 clienti/zi</t>
  </si>
  <si>
    <r>
      <t xml:space="preserve">Veniturile se vor obtine din realizarea de servicii de întreținere al autovehiculelor, asigurate unui </t>
    </r>
    <r>
      <rPr>
        <b/>
        <i/>
        <sz val="11"/>
        <color theme="1"/>
        <rFont val="Calibri"/>
        <family val="2"/>
        <scheme val="minor"/>
      </rPr>
      <t>numar mediu de clienti pe an</t>
    </r>
    <r>
      <rPr>
        <sz val="11"/>
        <color theme="1"/>
        <rFont val="Calibri"/>
        <family val="2"/>
        <scheme val="minor"/>
      </rPr>
      <t xml:space="preserve">, calculat in functie de numarul lunar de clienti estimati a fi cooptati prin actiuni de promovare, </t>
    </r>
    <r>
      <rPr>
        <b/>
        <i/>
        <sz val="11"/>
        <color theme="1"/>
        <rFont val="Calibri"/>
        <family val="2"/>
        <scheme val="minor"/>
      </rPr>
      <t>folosind  preturi medii / serviciu</t>
    </r>
  </si>
  <si>
    <r>
      <t xml:space="preserve">Veniturile se vor realiza din servicii de vulcanizare asigurate unui </t>
    </r>
    <r>
      <rPr>
        <b/>
        <i/>
        <sz val="11"/>
        <color theme="1"/>
        <rFont val="Calibri"/>
        <family val="2"/>
        <scheme val="minor"/>
      </rPr>
      <t>numar mediu de clienti pe an</t>
    </r>
    <r>
      <rPr>
        <sz val="11"/>
        <color theme="1"/>
        <rFont val="Calibri"/>
        <family val="2"/>
        <scheme val="minor"/>
      </rPr>
      <t xml:space="preserve">, calculat in functie de numarul lunar de clienti estimati a fi cooptati prin actiuni de promovare, folosind </t>
    </r>
    <r>
      <rPr>
        <b/>
        <i/>
        <sz val="11"/>
        <color theme="1"/>
        <rFont val="Calibri"/>
        <family val="2"/>
        <scheme val="minor"/>
      </rPr>
      <t xml:space="preserve"> preturi medii / luna/ client </t>
    </r>
    <r>
      <rPr>
        <sz val="11"/>
        <color theme="1"/>
        <rFont val="Calibri"/>
        <family val="2"/>
        <scheme val="minor"/>
      </rPr>
      <t xml:space="preserve">respectiv </t>
    </r>
    <r>
      <rPr>
        <b/>
        <i/>
        <sz val="11"/>
        <color theme="1"/>
        <rFont val="Calibri"/>
        <family val="2"/>
        <scheme val="minor"/>
      </rPr>
      <t>preturi medii/sezon/client unde intr-un an se afla 2 sezoane ( vara/iarna)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</si>
</sst>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1" fillId="3" borderId="2" xfId="0" applyFont="1" applyFill="1" applyBorder="1"/>
    <xf numFmtId="0" fontId="1" fillId="3" borderId="1" xfId="0" applyFont="1" applyFill="1" applyBorder="1"/>
    <xf numFmtId="1" fontId="0" fillId="0" borderId="1" xfId="0" applyNumberFormat="1" applyBorder="1"/>
    <xf numFmtId="0" fontId="5" fillId="0" borderId="0" xfId="0" applyFont="1"/>
    <xf numFmtId="0" fontId="6" fillId="0" borderId="0" xfId="0" applyFont="1"/>
    <xf numFmtId="0" fontId="1" fillId="3" borderId="5" xfId="0" applyFont="1" applyFill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4" borderId="2" xfId="0" applyFont="1" applyFill="1" applyBorder="1"/>
    <xf numFmtId="9" fontId="3" fillId="4" borderId="0" xfId="0" applyNumberFormat="1" applyFont="1" applyFill="1"/>
    <xf numFmtId="1" fontId="1" fillId="4" borderId="3" xfId="0" applyNumberFormat="1" applyFont="1" applyFill="1" applyBorder="1"/>
    <xf numFmtId="0" fontId="0" fillId="0" borderId="0" xfId="0" applyBorder="1"/>
    <xf numFmtId="0" fontId="8" fillId="5" borderId="0" xfId="0" applyFont="1" applyFill="1"/>
    <xf numFmtId="0" fontId="0" fillId="5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Font="1" applyBorder="1" applyAlignment="1">
      <alignment vertical="top" wrapText="1"/>
    </xf>
    <xf numFmtId="0" fontId="1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Border="1"/>
    <xf numFmtId="0" fontId="9" fillId="6" borderId="1" xfId="0" applyFont="1" applyFill="1" applyBorder="1"/>
    <xf numFmtId="0" fontId="10" fillId="6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left"/>
    </xf>
    <xf numFmtId="0" fontId="2" fillId="5" borderId="0" xfId="0" applyFont="1" applyFill="1" applyBorder="1"/>
    <xf numFmtId="0" fontId="2" fillId="5" borderId="1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2" fontId="9" fillId="6" borderId="1" xfId="0" applyNumberFormat="1" applyFont="1" applyFill="1" applyBorder="1"/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6" fillId="0" borderId="0" xfId="0" applyFont="1"/>
    <xf numFmtId="0" fontId="17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4" fillId="0" borderId="0" xfId="0" applyFont="1"/>
    <xf numFmtId="0" fontId="25" fillId="0" borderId="0" xfId="0" applyFont="1"/>
    <xf numFmtId="0" fontId="19" fillId="0" borderId="0" xfId="0" applyFont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23" fillId="0" borderId="0" xfId="0" applyFont="1"/>
    <xf numFmtId="0" fontId="2" fillId="0" borderId="0" xfId="0" applyFont="1"/>
    <xf numFmtId="0" fontId="0" fillId="0" borderId="1" xfId="0" applyFont="1" applyBorder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20" fillId="0" borderId="0" xfId="0" applyFont="1" applyBorder="1"/>
    <xf numFmtId="0" fontId="0" fillId="0" borderId="0" xfId="0" applyAlignment="1">
      <alignment horizontal="center"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2" fillId="0" borderId="15" xfId="0" applyFont="1" applyBorder="1" applyAlignment="1">
      <alignment wrapText="1"/>
    </xf>
    <xf numFmtId="0" fontId="0" fillId="0" borderId="12" xfId="0" applyBorder="1" applyAlignment="1"/>
    <xf numFmtId="0" fontId="1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92187</xdr:colOff>
      <xdr:row>88</xdr:row>
      <xdr:rowOff>128155</xdr:rowOff>
    </xdr:from>
    <xdr:to>
      <xdr:col>3</xdr:col>
      <xdr:colOff>805096</xdr:colOff>
      <xdr:row>88</xdr:row>
      <xdr:rowOff>682696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875EAE-670B-4FCB-B7BA-2EDE8DBCE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3392" y="18693246"/>
          <a:ext cx="712909" cy="554541"/>
        </a:xfrm>
        <a:prstGeom prst="rect">
          <a:avLst/>
        </a:prstGeom>
      </xdr:spPr>
    </xdr:pic>
    <xdr:clientData/>
  </xdr:twoCellAnchor>
  <xdr:twoCellAnchor editAs="oneCell">
    <xdr:from>
      <xdr:col>4</xdr:col>
      <xdr:colOff>72885</xdr:colOff>
      <xdr:row>90</xdr:row>
      <xdr:rowOff>178906</xdr:rowOff>
    </xdr:from>
    <xdr:to>
      <xdr:col>5</xdr:col>
      <xdr:colOff>541967</xdr:colOff>
      <xdr:row>90</xdr:row>
      <xdr:rowOff>669107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20E63F-6F43-4672-85A0-5EACC04DD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4224" y="13444332"/>
          <a:ext cx="1437861" cy="482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08"/>
  <sheetViews>
    <sheetView tabSelected="1" topLeftCell="B1" zoomScaleNormal="100" workbookViewId="0">
      <selection activeCell="C49" sqref="C49"/>
    </sheetView>
  </sheetViews>
  <sheetFormatPr defaultRowHeight="14.4" x14ac:dyDescent="0.3"/>
  <cols>
    <col min="2" max="2" width="5.88671875" customWidth="1"/>
    <col min="3" max="3" width="67.5546875" customWidth="1"/>
    <col min="4" max="4" width="15.5546875" customWidth="1"/>
    <col min="5" max="5" width="14.44140625" customWidth="1"/>
    <col min="6" max="7" width="13.109375" customWidth="1"/>
    <col min="8" max="8" width="15" customWidth="1"/>
    <col min="9" max="9" width="13.5546875" customWidth="1"/>
  </cols>
  <sheetData>
    <row r="1" spans="3:11" s="25" customFormat="1" ht="14.25" customHeight="1" x14ac:dyDescent="0.5">
      <c r="C1" s="24"/>
    </row>
    <row r="2" spans="3:11" ht="23.4" x14ac:dyDescent="0.45">
      <c r="C2" s="68"/>
      <c r="D2" s="30" t="s">
        <v>48</v>
      </c>
    </row>
    <row r="3" spans="3:11" ht="22.5" customHeight="1" x14ac:dyDescent="0.45">
      <c r="C3" s="9"/>
      <c r="D3" s="82" t="s">
        <v>53</v>
      </c>
      <c r="E3" s="83"/>
      <c r="F3" s="83"/>
      <c r="G3" s="23"/>
      <c r="H3" s="23"/>
      <c r="I3" s="23"/>
      <c r="J3" s="23"/>
      <c r="K3" s="23"/>
    </row>
    <row r="4" spans="3:11" ht="35.25" customHeight="1" x14ac:dyDescent="0.3">
      <c r="C4" s="88"/>
      <c r="D4" s="89"/>
      <c r="E4" s="89"/>
      <c r="F4" s="89"/>
      <c r="G4" s="23"/>
      <c r="I4" s="23"/>
      <c r="J4" s="23"/>
      <c r="K4" s="23"/>
    </row>
    <row r="5" spans="3:11" ht="22.5" customHeight="1" x14ac:dyDescent="0.45">
      <c r="C5" s="69" t="s">
        <v>66</v>
      </c>
      <c r="E5" s="30"/>
    </row>
    <row r="6" spans="3:11" ht="18" x14ac:dyDescent="0.35">
      <c r="C6" s="61" t="s">
        <v>67</v>
      </c>
      <c r="F6" s="70"/>
      <c r="G6" s="71"/>
      <c r="H6" s="71"/>
      <c r="I6" s="71"/>
      <c r="J6" s="71"/>
      <c r="K6" s="71"/>
    </row>
    <row r="7" spans="3:11" x14ac:dyDescent="0.3">
      <c r="C7" s="2" t="s">
        <v>68</v>
      </c>
      <c r="D7" s="53"/>
      <c r="F7" s="72"/>
      <c r="G7" s="72"/>
      <c r="H7" s="72"/>
      <c r="I7" s="72"/>
      <c r="J7" s="72"/>
      <c r="K7" s="72"/>
    </row>
    <row r="8" spans="3:11" x14ac:dyDescent="0.3">
      <c r="C8" s="3" t="s">
        <v>103</v>
      </c>
      <c r="D8" s="54"/>
      <c r="F8" s="72"/>
      <c r="G8" s="72"/>
      <c r="H8" s="72"/>
      <c r="I8" s="72"/>
      <c r="J8" s="72"/>
      <c r="K8" s="72"/>
    </row>
    <row r="9" spans="3:11" x14ac:dyDescent="0.3">
      <c r="C9" s="4" t="s">
        <v>64</v>
      </c>
      <c r="D9" s="55"/>
      <c r="F9" s="73"/>
      <c r="G9" s="71"/>
      <c r="H9" s="71"/>
      <c r="I9" s="71"/>
      <c r="J9" s="71"/>
      <c r="K9" s="72"/>
    </row>
    <row r="10" spans="3:11" ht="32.25" customHeight="1" x14ac:dyDescent="0.3">
      <c r="C10" s="84" t="s">
        <v>62</v>
      </c>
      <c r="D10" s="85"/>
      <c r="F10" s="77"/>
      <c r="G10" s="23"/>
      <c r="H10" s="73"/>
      <c r="I10" s="78"/>
      <c r="J10" s="77"/>
      <c r="K10" s="72"/>
    </row>
    <row r="11" spans="3:11" x14ac:dyDescent="0.3">
      <c r="C11" s="86" t="s">
        <v>69</v>
      </c>
      <c r="D11" s="87"/>
      <c r="F11" s="72"/>
      <c r="G11" s="23"/>
      <c r="H11" s="79"/>
      <c r="I11" s="72"/>
      <c r="J11" s="72"/>
      <c r="K11" s="72"/>
    </row>
    <row r="12" spans="3:11" x14ac:dyDescent="0.3">
      <c r="F12" s="72"/>
      <c r="G12" s="72"/>
      <c r="H12" s="72"/>
      <c r="I12" s="72"/>
      <c r="J12" s="72"/>
      <c r="K12" s="72"/>
    </row>
    <row r="13" spans="3:11" ht="23.4" x14ac:dyDescent="0.45">
      <c r="C13" s="10" t="s">
        <v>35</v>
      </c>
    </row>
    <row r="14" spans="3:11" ht="28.8" x14ac:dyDescent="0.3">
      <c r="C14" s="1" t="s">
        <v>0</v>
      </c>
      <c r="D14" s="50" t="s">
        <v>1</v>
      </c>
      <c r="E14" s="49" t="s">
        <v>2</v>
      </c>
      <c r="F14" s="50" t="s">
        <v>3</v>
      </c>
      <c r="G14" s="49" t="s">
        <v>4</v>
      </c>
      <c r="H14" s="50" t="s">
        <v>5</v>
      </c>
    </row>
    <row r="15" spans="3:11" x14ac:dyDescent="0.3">
      <c r="C15" s="76" t="s">
        <v>75</v>
      </c>
      <c r="D15" s="5">
        <v>0.55000000000000004</v>
      </c>
      <c r="E15" s="5">
        <v>100</v>
      </c>
      <c r="F15" s="5">
        <f>D15*E15</f>
        <v>55.000000000000007</v>
      </c>
      <c r="G15" s="5">
        <f>F15*0.19</f>
        <v>10.450000000000001</v>
      </c>
      <c r="H15" s="5">
        <f>F15+G15</f>
        <v>65.45</v>
      </c>
    </row>
    <row r="16" spans="3:11" x14ac:dyDescent="0.3">
      <c r="C16" s="5" t="s">
        <v>70</v>
      </c>
      <c r="D16" s="5">
        <v>2800</v>
      </c>
      <c r="E16" s="5">
        <v>1</v>
      </c>
      <c r="F16" s="5">
        <f>D16*E16</f>
        <v>2800</v>
      </c>
      <c r="G16" s="5">
        <f>F16*0.19</f>
        <v>532</v>
      </c>
      <c r="H16" s="5">
        <f>F16+G16</f>
        <v>3332</v>
      </c>
    </row>
    <row r="17" spans="3:8" x14ac:dyDescent="0.3">
      <c r="C17" s="5" t="s">
        <v>101</v>
      </c>
      <c r="D17" s="5">
        <v>9100</v>
      </c>
      <c r="E17" s="5">
        <v>1</v>
      </c>
      <c r="F17" s="5">
        <f>D17*E17</f>
        <v>9100</v>
      </c>
      <c r="G17" s="5">
        <f>F17*0.19</f>
        <v>1729</v>
      </c>
      <c r="H17" s="5">
        <f>F17+G17</f>
        <v>10829</v>
      </c>
    </row>
    <row r="18" spans="3:8" x14ac:dyDescent="0.3">
      <c r="C18" s="5" t="s">
        <v>71</v>
      </c>
      <c r="D18" s="5">
        <v>3500</v>
      </c>
      <c r="E18" s="5">
        <v>1</v>
      </c>
      <c r="F18" s="5">
        <f>D18*E18</f>
        <v>3500</v>
      </c>
      <c r="G18" s="5">
        <f>F18*0.19</f>
        <v>665</v>
      </c>
      <c r="H18" s="5">
        <f>F18+G18</f>
        <v>4165</v>
      </c>
    </row>
    <row r="19" spans="3:8" x14ac:dyDescent="0.3">
      <c r="C19" s="5" t="s">
        <v>73</v>
      </c>
      <c r="D19" s="5">
        <v>37</v>
      </c>
      <c r="E19" s="5">
        <v>4</v>
      </c>
      <c r="F19" s="5">
        <f t="shared" ref="F19:F21" si="0">D19*E19</f>
        <v>148</v>
      </c>
      <c r="G19" s="5">
        <f t="shared" ref="G19:G21" si="1">F19*0.19</f>
        <v>28.12</v>
      </c>
      <c r="H19" s="5">
        <f t="shared" ref="H19:H21" si="2">F19+G19</f>
        <v>176.12</v>
      </c>
    </row>
    <row r="20" spans="3:8" x14ac:dyDescent="0.3">
      <c r="C20" s="5" t="s">
        <v>72</v>
      </c>
      <c r="D20" s="5">
        <v>0.35</v>
      </c>
      <c r="E20" s="5">
        <v>50</v>
      </c>
      <c r="F20" s="5">
        <f t="shared" si="0"/>
        <v>17.5</v>
      </c>
      <c r="G20" s="5">
        <f t="shared" si="1"/>
        <v>3.3250000000000002</v>
      </c>
      <c r="H20" s="5">
        <f t="shared" si="2"/>
        <v>20.824999999999999</v>
      </c>
    </row>
    <row r="21" spans="3:8" x14ac:dyDescent="0.3">
      <c r="C21" s="5" t="s">
        <v>74</v>
      </c>
      <c r="D21" s="5">
        <v>118</v>
      </c>
      <c r="E21" s="5">
        <v>1</v>
      </c>
      <c r="F21" s="5">
        <f t="shared" si="0"/>
        <v>118</v>
      </c>
      <c r="G21" s="5">
        <f t="shared" si="1"/>
        <v>22.42</v>
      </c>
      <c r="H21" s="5">
        <f t="shared" si="2"/>
        <v>140.42000000000002</v>
      </c>
    </row>
    <row r="22" spans="3:8" x14ac:dyDescent="0.3">
      <c r="C22" s="5" t="s">
        <v>26</v>
      </c>
      <c r="D22" s="5">
        <v>500</v>
      </c>
      <c r="E22" s="5">
        <v>1</v>
      </c>
      <c r="F22" s="5">
        <f t="shared" ref="F22:F38" si="3">D22*E22</f>
        <v>500</v>
      </c>
      <c r="G22" s="5">
        <f t="shared" ref="G22:G41" si="4">F22*0.19</f>
        <v>95</v>
      </c>
      <c r="H22" s="5">
        <f t="shared" ref="H22:H41" si="5">F22+G22</f>
        <v>595</v>
      </c>
    </row>
    <row r="23" spans="3:8" x14ac:dyDescent="0.3">
      <c r="C23" s="5" t="s">
        <v>27</v>
      </c>
      <c r="D23" s="5">
        <v>350</v>
      </c>
      <c r="E23" s="5">
        <v>1</v>
      </c>
      <c r="F23" s="5">
        <f t="shared" si="3"/>
        <v>350</v>
      </c>
      <c r="G23" s="5">
        <f t="shared" si="4"/>
        <v>66.5</v>
      </c>
      <c r="H23" s="5">
        <f t="shared" si="5"/>
        <v>416.5</v>
      </c>
    </row>
    <row r="24" spans="3:8" x14ac:dyDescent="0.3">
      <c r="C24" s="5" t="s">
        <v>42</v>
      </c>
      <c r="D24" s="5">
        <v>100</v>
      </c>
      <c r="E24" s="5">
        <v>7</v>
      </c>
      <c r="F24" s="5">
        <f t="shared" si="3"/>
        <v>700</v>
      </c>
      <c r="G24" s="5">
        <f t="shared" si="4"/>
        <v>133</v>
      </c>
      <c r="H24" s="5">
        <f t="shared" si="5"/>
        <v>833</v>
      </c>
    </row>
    <row r="25" spans="3:8" x14ac:dyDescent="0.3">
      <c r="C25" s="5" t="s">
        <v>28</v>
      </c>
      <c r="D25" s="5">
        <v>300</v>
      </c>
      <c r="E25" s="5">
        <v>7</v>
      </c>
      <c r="F25" s="5">
        <f t="shared" si="3"/>
        <v>2100</v>
      </c>
      <c r="G25" s="5">
        <f t="shared" si="4"/>
        <v>399</v>
      </c>
      <c r="H25" s="5">
        <f t="shared" si="5"/>
        <v>2499</v>
      </c>
    </row>
    <row r="26" spans="3:8" x14ac:dyDescent="0.3">
      <c r="C26" s="5" t="s">
        <v>29</v>
      </c>
      <c r="D26" s="5">
        <v>200</v>
      </c>
      <c r="E26" s="5">
        <v>3</v>
      </c>
      <c r="F26" s="5">
        <f t="shared" si="3"/>
        <v>600</v>
      </c>
      <c r="G26" s="5">
        <f t="shared" si="4"/>
        <v>114</v>
      </c>
      <c r="H26" s="5">
        <f t="shared" si="5"/>
        <v>714</v>
      </c>
    </row>
    <row r="27" spans="3:8" x14ac:dyDescent="0.3">
      <c r="C27" s="5" t="s">
        <v>43</v>
      </c>
      <c r="D27" s="5">
        <v>800</v>
      </c>
      <c r="E27" s="5">
        <v>7</v>
      </c>
      <c r="F27" s="5">
        <f t="shared" si="3"/>
        <v>5600</v>
      </c>
      <c r="G27" s="5">
        <f t="shared" si="4"/>
        <v>1064</v>
      </c>
      <c r="H27" s="5">
        <f t="shared" si="5"/>
        <v>6664</v>
      </c>
    </row>
    <row r="28" spans="3:8" x14ac:dyDescent="0.3">
      <c r="C28" s="5" t="s">
        <v>46</v>
      </c>
      <c r="D28" s="5">
        <v>1200</v>
      </c>
      <c r="E28" s="5">
        <v>3</v>
      </c>
      <c r="F28" s="5">
        <f t="shared" si="3"/>
        <v>3600</v>
      </c>
      <c r="G28" s="5">
        <f t="shared" ref="G28:G40" si="6">F28*0.19</f>
        <v>684</v>
      </c>
      <c r="H28" s="5">
        <f t="shared" ref="H28:H40" si="7">F28+G28</f>
        <v>4284</v>
      </c>
    </row>
    <row r="29" spans="3:8" x14ac:dyDescent="0.3">
      <c r="C29" s="5" t="s">
        <v>77</v>
      </c>
      <c r="D29" s="5">
        <v>680</v>
      </c>
      <c r="E29" s="5">
        <v>1</v>
      </c>
      <c r="F29" s="5">
        <f t="shared" si="3"/>
        <v>680</v>
      </c>
      <c r="G29" s="5">
        <f t="shared" si="6"/>
        <v>129.19999999999999</v>
      </c>
      <c r="H29" s="5">
        <f t="shared" si="7"/>
        <v>809.2</v>
      </c>
    </row>
    <row r="30" spans="3:8" x14ac:dyDescent="0.3">
      <c r="C30" s="5" t="s">
        <v>78</v>
      </c>
      <c r="D30" s="5">
        <v>170</v>
      </c>
      <c r="E30" s="5">
        <v>1</v>
      </c>
      <c r="F30" s="5">
        <f t="shared" si="3"/>
        <v>170</v>
      </c>
      <c r="G30" s="5">
        <f t="shared" si="6"/>
        <v>32.299999999999997</v>
      </c>
      <c r="H30" s="5">
        <f t="shared" si="7"/>
        <v>202.3</v>
      </c>
    </row>
    <row r="31" spans="3:8" x14ac:dyDescent="0.3">
      <c r="C31" s="5" t="s">
        <v>80</v>
      </c>
      <c r="D31" s="5">
        <v>680</v>
      </c>
      <c r="E31" s="5">
        <v>1</v>
      </c>
      <c r="F31" s="5">
        <f t="shared" si="3"/>
        <v>680</v>
      </c>
      <c r="G31" s="5">
        <f t="shared" si="6"/>
        <v>129.19999999999999</v>
      </c>
      <c r="H31" s="5">
        <f t="shared" si="7"/>
        <v>809.2</v>
      </c>
    </row>
    <row r="32" spans="3:8" x14ac:dyDescent="0.3">
      <c r="C32" s="5" t="s">
        <v>81</v>
      </c>
      <c r="D32" s="5">
        <v>425</v>
      </c>
      <c r="E32" s="5">
        <v>1</v>
      </c>
      <c r="F32" s="5">
        <f t="shared" si="3"/>
        <v>425</v>
      </c>
      <c r="G32" s="5">
        <f t="shared" si="6"/>
        <v>80.75</v>
      </c>
      <c r="H32" s="5">
        <f t="shared" si="7"/>
        <v>505.75</v>
      </c>
    </row>
    <row r="33" spans="3:11" x14ac:dyDescent="0.3">
      <c r="C33" s="5" t="s">
        <v>82</v>
      </c>
      <c r="D33" s="5">
        <v>25</v>
      </c>
      <c r="E33" s="5">
        <v>1</v>
      </c>
      <c r="F33" s="5">
        <f t="shared" si="3"/>
        <v>25</v>
      </c>
      <c r="G33" s="5">
        <f t="shared" si="6"/>
        <v>4.75</v>
      </c>
      <c r="H33" s="5">
        <f t="shared" si="7"/>
        <v>29.75</v>
      </c>
    </row>
    <row r="34" spans="3:11" x14ac:dyDescent="0.3">
      <c r="C34" s="5" t="s">
        <v>83</v>
      </c>
      <c r="D34" s="5">
        <v>42</v>
      </c>
      <c r="E34" s="5">
        <v>1</v>
      </c>
      <c r="F34" s="5">
        <f t="shared" si="3"/>
        <v>42</v>
      </c>
      <c r="G34" s="5">
        <f t="shared" si="6"/>
        <v>7.98</v>
      </c>
      <c r="H34" s="5">
        <f t="shared" si="7"/>
        <v>49.980000000000004</v>
      </c>
    </row>
    <row r="35" spans="3:11" x14ac:dyDescent="0.3">
      <c r="C35" s="5" t="s">
        <v>84</v>
      </c>
      <c r="D35" s="5">
        <v>42</v>
      </c>
      <c r="E35" s="5">
        <v>1</v>
      </c>
      <c r="F35" s="5">
        <f t="shared" si="3"/>
        <v>42</v>
      </c>
      <c r="G35" s="5">
        <f t="shared" si="6"/>
        <v>7.98</v>
      </c>
      <c r="H35" s="5">
        <f t="shared" si="7"/>
        <v>49.980000000000004</v>
      </c>
    </row>
    <row r="36" spans="3:11" x14ac:dyDescent="0.3">
      <c r="C36" s="5" t="s">
        <v>85</v>
      </c>
      <c r="D36" s="5">
        <v>336</v>
      </c>
      <c r="E36" s="5">
        <v>1</v>
      </c>
      <c r="F36" s="5">
        <f t="shared" si="3"/>
        <v>336</v>
      </c>
      <c r="G36" s="5">
        <f t="shared" si="6"/>
        <v>63.84</v>
      </c>
      <c r="H36" s="5">
        <f t="shared" si="7"/>
        <v>399.84000000000003</v>
      </c>
    </row>
    <row r="37" spans="3:11" x14ac:dyDescent="0.3">
      <c r="C37" s="5" t="s">
        <v>86</v>
      </c>
      <c r="D37" s="5">
        <v>252</v>
      </c>
      <c r="E37" s="5">
        <v>1</v>
      </c>
      <c r="F37" s="5">
        <f t="shared" si="3"/>
        <v>252</v>
      </c>
      <c r="G37" s="5">
        <f t="shared" si="6"/>
        <v>47.88</v>
      </c>
      <c r="H37" s="5">
        <f t="shared" si="7"/>
        <v>299.88</v>
      </c>
    </row>
    <row r="38" spans="3:11" x14ac:dyDescent="0.3">
      <c r="C38" s="5" t="s">
        <v>87</v>
      </c>
      <c r="D38" s="5">
        <v>35000</v>
      </c>
      <c r="E38" s="5">
        <v>1</v>
      </c>
      <c r="F38" s="5">
        <f t="shared" si="3"/>
        <v>35000</v>
      </c>
      <c r="G38" s="5">
        <f t="shared" si="6"/>
        <v>6650</v>
      </c>
      <c r="H38" s="5">
        <f t="shared" si="7"/>
        <v>41650</v>
      </c>
    </row>
    <row r="39" spans="3:11" x14ac:dyDescent="0.3">
      <c r="C39" s="5" t="s">
        <v>79</v>
      </c>
      <c r="D39" s="5">
        <v>420</v>
      </c>
      <c r="E39" s="5">
        <v>1</v>
      </c>
      <c r="F39" s="5">
        <f>D39*E39</f>
        <v>420</v>
      </c>
      <c r="G39" s="5">
        <f t="shared" si="6"/>
        <v>79.8</v>
      </c>
      <c r="H39" s="5">
        <f t="shared" si="7"/>
        <v>499.8</v>
      </c>
    </row>
    <row r="40" spans="3:11" x14ac:dyDescent="0.3">
      <c r="C40" s="5" t="s">
        <v>76</v>
      </c>
      <c r="D40" s="5">
        <v>0.6</v>
      </c>
      <c r="E40" s="5">
        <v>500</v>
      </c>
      <c r="F40" s="5">
        <f>D40*E40</f>
        <v>300</v>
      </c>
      <c r="G40" s="5">
        <f t="shared" si="6"/>
        <v>57</v>
      </c>
      <c r="H40" s="5">
        <f t="shared" si="7"/>
        <v>357</v>
      </c>
    </row>
    <row r="41" spans="3:11" x14ac:dyDescent="0.3">
      <c r="C41" s="5" t="s">
        <v>30</v>
      </c>
      <c r="D41" s="5">
        <v>250</v>
      </c>
      <c r="E41" s="5">
        <v>2</v>
      </c>
      <c r="F41" s="5">
        <f>D41*E41</f>
        <v>500</v>
      </c>
      <c r="G41" s="5">
        <f t="shared" si="4"/>
        <v>95</v>
      </c>
      <c r="H41" s="5">
        <f t="shared" si="5"/>
        <v>595</v>
      </c>
    </row>
    <row r="42" spans="3:11" ht="18" x14ac:dyDescent="0.35">
      <c r="C42" s="33" t="s">
        <v>6</v>
      </c>
      <c r="D42" s="48" t="s">
        <v>36</v>
      </c>
      <c r="E42" s="48" t="s">
        <v>36</v>
      </c>
      <c r="F42" s="33">
        <f>SUM(F15:F41)</f>
        <v>68060.5</v>
      </c>
      <c r="G42" s="33">
        <f>SUM(G15:G41)</f>
        <v>12931.494999999999</v>
      </c>
      <c r="H42" s="33">
        <f>SUM(H15:H41)</f>
        <v>80991.99500000001</v>
      </c>
    </row>
    <row r="43" spans="3:11" x14ac:dyDescent="0.3">
      <c r="C43" s="37" t="s">
        <v>44</v>
      </c>
      <c r="D43" s="47" t="s">
        <v>36</v>
      </c>
      <c r="E43" s="46" t="s">
        <v>102</v>
      </c>
      <c r="F43" s="37">
        <f>F16+F18+F17</f>
        <v>15400</v>
      </c>
      <c r="G43" s="36"/>
      <c r="H43" s="36"/>
      <c r="I43" s="74"/>
      <c r="J43" s="74"/>
      <c r="K43" s="74"/>
    </row>
    <row r="44" spans="3:11" x14ac:dyDescent="0.3">
      <c r="C44" s="36"/>
      <c r="D44" s="36"/>
      <c r="E44" s="36"/>
      <c r="F44" s="36"/>
      <c r="G44" s="36"/>
      <c r="H44" s="36"/>
      <c r="I44" s="74"/>
      <c r="J44" s="74"/>
      <c r="K44" s="74"/>
    </row>
    <row r="45" spans="3:11" ht="23.4" x14ac:dyDescent="0.45">
      <c r="C45" s="10" t="s">
        <v>13</v>
      </c>
      <c r="H45" s="28"/>
      <c r="I45" s="74"/>
      <c r="J45" s="74"/>
      <c r="K45" s="74"/>
    </row>
    <row r="46" spans="3:11" ht="23.4" x14ac:dyDescent="0.45">
      <c r="C46" s="30" t="s">
        <v>14</v>
      </c>
      <c r="H46" s="28"/>
      <c r="I46" s="74"/>
      <c r="J46" s="74"/>
      <c r="K46" s="74"/>
    </row>
    <row r="47" spans="3:11" ht="23.4" x14ac:dyDescent="0.45">
      <c r="C47" s="10" t="s">
        <v>90</v>
      </c>
      <c r="H47" s="28"/>
    </row>
    <row r="48" spans="3:11" x14ac:dyDescent="0.3">
      <c r="C48" s="6" t="s">
        <v>7</v>
      </c>
      <c r="H48" s="28"/>
    </row>
    <row r="49" spans="3:10" ht="60" customHeight="1" x14ac:dyDescent="0.3">
      <c r="C49" s="29" t="s">
        <v>108</v>
      </c>
      <c r="H49" s="28"/>
    </row>
    <row r="50" spans="3:10" ht="28.8" x14ac:dyDescent="0.3">
      <c r="C50" s="7" t="s">
        <v>33</v>
      </c>
      <c r="D50" s="51" t="s">
        <v>91</v>
      </c>
      <c r="E50" s="51" t="s">
        <v>8</v>
      </c>
      <c r="F50" s="51" t="s">
        <v>9</v>
      </c>
      <c r="G50" s="51" t="s">
        <v>10</v>
      </c>
      <c r="H50" s="51" t="s">
        <v>11</v>
      </c>
      <c r="I50" s="51" t="s">
        <v>12</v>
      </c>
    </row>
    <row r="51" spans="3:10" x14ac:dyDescent="0.3">
      <c r="C51" s="5" t="s">
        <v>89</v>
      </c>
      <c r="D51" s="27" t="s">
        <v>36</v>
      </c>
      <c r="E51" s="5">
        <v>600</v>
      </c>
      <c r="F51" s="5">
        <v>650</v>
      </c>
      <c r="G51" s="5">
        <v>700</v>
      </c>
      <c r="H51" s="5">
        <v>730</v>
      </c>
      <c r="I51" s="5">
        <v>750</v>
      </c>
      <c r="J51" t="s">
        <v>106</v>
      </c>
    </row>
    <row r="52" spans="3:10" x14ac:dyDescent="0.3">
      <c r="C52" s="15" t="s">
        <v>97</v>
      </c>
      <c r="D52" s="27">
        <f>30*12</f>
        <v>360</v>
      </c>
      <c r="E52" s="5">
        <f>($D$52*400)</f>
        <v>144000</v>
      </c>
      <c r="F52" s="5">
        <f>$D$52*350</f>
        <v>126000</v>
      </c>
      <c r="G52" s="5">
        <f>$D$52*450</f>
        <v>162000</v>
      </c>
      <c r="H52" s="5">
        <f>$D$52*460</f>
        <v>165600</v>
      </c>
      <c r="I52" s="5">
        <f>$D$52*450</f>
        <v>162000</v>
      </c>
    </row>
    <row r="53" spans="3:10" ht="28.8" x14ac:dyDescent="0.3">
      <c r="C53" s="52" t="s">
        <v>99</v>
      </c>
      <c r="D53" s="27">
        <f>100*2</f>
        <v>200</v>
      </c>
      <c r="E53" s="5">
        <f>$D$53*200</f>
        <v>40000</v>
      </c>
      <c r="F53" s="5">
        <f>$D$53*250</f>
        <v>50000</v>
      </c>
      <c r="G53" s="5">
        <f>$D$53*250</f>
        <v>50000</v>
      </c>
      <c r="H53" s="5">
        <f>$D$53*260</f>
        <v>52000</v>
      </c>
      <c r="I53" s="5">
        <f>$D$53*300</f>
        <v>60000</v>
      </c>
    </row>
    <row r="54" spans="3:10" x14ac:dyDescent="0.3">
      <c r="C54" s="15" t="s">
        <v>105</v>
      </c>
      <c r="D54" s="27" t="s">
        <v>36</v>
      </c>
      <c r="E54" s="15">
        <f>E52+E53</f>
        <v>184000</v>
      </c>
      <c r="F54" s="15">
        <f t="shared" ref="F54:I54" si="8">F52+F53</f>
        <v>176000</v>
      </c>
      <c r="G54" s="15">
        <f t="shared" si="8"/>
        <v>212000</v>
      </c>
      <c r="H54" s="15">
        <f t="shared" si="8"/>
        <v>217600</v>
      </c>
      <c r="I54" s="15">
        <f t="shared" si="8"/>
        <v>222000</v>
      </c>
    </row>
    <row r="55" spans="3:10" x14ac:dyDescent="0.3">
      <c r="C55" s="32"/>
      <c r="D55" s="26"/>
      <c r="E55" s="23"/>
      <c r="F55" s="23"/>
      <c r="G55" s="23"/>
      <c r="H55" s="23"/>
      <c r="I55" s="23"/>
    </row>
    <row r="56" spans="3:10" ht="23.4" x14ac:dyDescent="0.45">
      <c r="C56" s="10" t="s">
        <v>92</v>
      </c>
      <c r="H56" s="28"/>
    </row>
    <row r="57" spans="3:10" ht="25.5" customHeight="1" x14ac:dyDescent="0.3">
      <c r="C57" s="6" t="s">
        <v>7</v>
      </c>
      <c r="H57" s="28"/>
    </row>
    <row r="58" spans="3:10" ht="60.75" customHeight="1" x14ac:dyDescent="0.3">
      <c r="C58" s="29" t="s">
        <v>107</v>
      </c>
      <c r="H58" s="28"/>
    </row>
    <row r="59" spans="3:10" ht="28.8" x14ac:dyDescent="0.3">
      <c r="C59" s="7" t="s">
        <v>32</v>
      </c>
      <c r="D59" s="51" t="s">
        <v>93</v>
      </c>
      <c r="E59" s="51" t="s">
        <v>8</v>
      </c>
      <c r="F59" s="51" t="s">
        <v>9</v>
      </c>
      <c r="G59" s="51" t="s">
        <v>10</v>
      </c>
      <c r="H59" s="51" t="s">
        <v>11</v>
      </c>
      <c r="I59" s="51" t="s">
        <v>12</v>
      </c>
    </row>
    <row r="60" spans="3:10" x14ac:dyDescent="0.3">
      <c r="C60" s="5" t="s">
        <v>31</v>
      </c>
      <c r="D60" s="27" t="s">
        <v>36</v>
      </c>
      <c r="E60" s="5">
        <v>100</v>
      </c>
      <c r="F60" s="5">
        <v>150</v>
      </c>
      <c r="G60" s="5">
        <v>170</v>
      </c>
      <c r="H60" s="5">
        <v>200</v>
      </c>
      <c r="I60" s="5">
        <v>210</v>
      </c>
    </row>
    <row r="61" spans="3:10" x14ac:dyDescent="0.3">
      <c r="C61" s="15" t="s">
        <v>96</v>
      </c>
      <c r="D61" s="27">
        <v>700</v>
      </c>
      <c r="E61" s="5">
        <f>E60*$D$61</f>
        <v>70000</v>
      </c>
      <c r="F61" s="5">
        <f t="shared" ref="F61:I61" si="9">F60*$D$61</f>
        <v>105000</v>
      </c>
      <c r="G61" s="5">
        <f t="shared" si="9"/>
        <v>119000</v>
      </c>
      <c r="H61" s="5">
        <f t="shared" si="9"/>
        <v>140000</v>
      </c>
      <c r="I61" s="5">
        <f t="shared" si="9"/>
        <v>147000</v>
      </c>
    </row>
    <row r="62" spans="3:10" x14ac:dyDescent="0.3">
      <c r="C62" s="15" t="s">
        <v>95</v>
      </c>
      <c r="D62" s="27" t="s">
        <v>36</v>
      </c>
      <c r="E62" s="15">
        <f>E61</f>
        <v>70000</v>
      </c>
      <c r="F62" s="15">
        <f>F61</f>
        <v>105000</v>
      </c>
      <c r="G62" s="15">
        <f>G61</f>
        <v>119000</v>
      </c>
      <c r="H62" s="15">
        <f>H61</f>
        <v>140000</v>
      </c>
      <c r="I62" s="15">
        <f>I61</f>
        <v>147000</v>
      </c>
    </row>
    <row r="63" spans="3:10" ht="18" x14ac:dyDescent="0.35">
      <c r="C63" s="33" t="s">
        <v>52</v>
      </c>
      <c r="D63" s="34"/>
      <c r="E63" s="33">
        <f>E54+E62</f>
        <v>254000</v>
      </c>
      <c r="F63" s="33">
        <f>F54+F62</f>
        <v>281000</v>
      </c>
      <c r="G63" s="33">
        <f>G54+G62</f>
        <v>331000</v>
      </c>
      <c r="H63" s="33">
        <f>H54+H62</f>
        <v>357600</v>
      </c>
      <c r="I63" s="33">
        <f>I54+I62</f>
        <v>369000</v>
      </c>
    </row>
    <row r="65" spans="3:9" ht="23.4" x14ac:dyDescent="0.45">
      <c r="C65" s="30" t="s">
        <v>37</v>
      </c>
    </row>
    <row r="66" spans="3:9" x14ac:dyDescent="0.3">
      <c r="C66" s="7" t="s">
        <v>15</v>
      </c>
      <c r="D66" s="7" t="s">
        <v>47</v>
      </c>
      <c r="E66" s="7" t="s">
        <v>8</v>
      </c>
      <c r="F66" s="7" t="s">
        <v>9</v>
      </c>
      <c r="G66" s="7" t="s">
        <v>10</v>
      </c>
      <c r="H66" s="7" t="s">
        <v>11</v>
      </c>
      <c r="I66" s="7" t="s">
        <v>12</v>
      </c>
    </row>
    <row r="67" spans="3:9" x14ac:dyDescent="0.3">
      <c r="C67" s="5" t="s">
        <v>39</v>
      </c>
      <c r="D67" s="31">
        <v>500</v>
      </c>
      <c r="E67" s="5">
        <f>D67*12</f>
        <v>6000</v>
      </c>
      <c r="F67" s="5">
        <f>D67*12</f>
        <v>6000</v>
      </c>
      <c r="G67" s="5">
        <f t="shared" ref="G67:G73" si="10">E67</f>
        <v>6000</v>
      </c>
      <c r="H67" s="5">
        <f t="shared" ref="H67:H73" si="11">E67</f>
        <v>6000</v>
      </c>
      <c r="I67" s="5">
        <f t="shared" ref="I67:I73" si="12">E67</f>
        <v>6000</v>
      </c>
    </row>
    <row r="68" spans="3:9" x14ac:dyDescent="0.3">
      <c r="C68" s="5" t="s">
        <v>100</v>
      </c>
      <c r="D68" s="31">
        <v>300</v>
      </c>
      <c r="E68" s="5">
        <f>300*12</f>
        <v>3600</v>
      </c>
      <c r="F68" s="5">
        <f t="shared" ref="F68:I68" si="13">300*12</f>
        <v>3600</v>
      </c>
      <c r="G68" s="5">
        <f t="shared" si="13"/>
        <v>3600</v>
      </c>
      <c r="H68" s="5">
        <f t="shared" si="13"/>
        <v>3600</v>
      </c>
      <c r="I68" s="5">
        <f t="shared" si="13"/>
        <v>3600</v>
      </c>
    </row>
    <row r="69" spans="3:9" x14ac:dyDescent="0.3">
      <c r="C69" s="5" t="s">
        <v>40</v>
      </c>
      <c r="D69" s="31">
        <v>400</v>
      </c>
      <c r="E69" s="5">
        <f>D69*12</f>
        <v>4800</v>
      </c>
      <c r="F69" s="5">
        <f>E69</f>
        <v>4800</v>
      </c>
      <c r="G69" s="5">
        <f t="shared" si="10"/>
        <v>4800</v>
      </c>
      <c r="H69" s="5">
        <f t="shared" si="11"/>
        <v>4800</v>
      </c>
      <c r="I69" s="5">
        <f t="shared" si="12"/>
        <v>4800</v>
      </c>
    </row>
    <row r="70" spans="3:9" x14ac:dyDescent="0.3">
      <c r="C70" s="5" t="s">
        <v>94</v>
      </c>
      <c r="D70" s="31">
        <f>3*3000</f>
        <v>9000</v>
      </c>
      <c r="E70" s="5">
        <f>D70*12</f>
        <v>108000</v>
      </c>
      <c r="F70" s="5">
        <f>E70</f>
        <v>108000</v>
      </c>
      <c r="G70" s="5">
        <f t="shared" si="10"/>
        <v>108000</v>
      </c>
      <c r="H70" s="5">
        <f t="shared" si="11"/>
        <v>108000</v>
      </c>
      <c r="I70" s="5">
        <f t="shared" si="12"/>
        <v>108000</v>
      </c>
    </row>
    <row r="71" spans="3:9" x14ac:dyDescent="0.3">
      <c r="C71" s="5" t="s">
        <v>41</v>
      </c>
      <c r="D71" s="31">
        <v>400</v>
      </c>
      <c r="E71" s="5">
        <f>D71*12</f>
        <v>4800</v>
      </c>
      <c r="F71" s="5">
        <f>E71</f>
        <v>4800</v>
      </c>
      <c r="G71" s="5">
        <f t="shared" si="10"/>
        <v>4800</v>
      </c>
      <c r="H71" s="5">
        <f t="shared" si="11"/>
        <v>4800</v>
      </c>
      <c r="I71" s="5">
        <f t="shared" si="12"/>
        <v>4800</v>
      </c>
    </row>
    <row r="72" spans="3:9" x14ac:dyDescent="0.3">
      <c r="C72" s="5" t="s">
        <v>98</v>
      </c>
      <c r="D72" s="31">
        <v>10000</v>
      </c>
      <c r="E72" s="5">
        <f>D72*12</f>
        <v>120000</v>
      </c>
      <c r="F72" s="5">
        <f>E72</f>
        <v>120000</v>
      </c>
      <c r="G72" s="5">
        <f t="shared" si="10"/>
        <v>120000</v>
      </c>
      <c r="H72" s="5">
        <f t="shared" si="11"/>
        <v>120000</v>
      </c>
      <c r="I72" s="5">
        <f t="shared" si="12"/>
        <v>120000</v>
      </c>
    </row>
    <row r="73" spans="3:9" x14ac:dyDescent="0.3">
      <c r="C73" s="5" t="s">
        <v>16</v>
      </c>
      <c r="D73" s="35">
        <f>F82/4</f>
        <v>962.5</v>
      </c>
      <c r="E73" s="41">
        <f>D73</f>
        <v>962.5</v>
      </c>
      <c r="F73" s="41">
        <f>E73</f>
        <v>962.5</v>
      </c>
      <c r="G73" s="41">
        <f t="shared" si="10"/>
        <v>962.5</v>
      </c>
      <c r="H73" s="41">
        <f t="shared" si="11"/>
        <v>962.5</v>
      </c>
      <c r="I73" s="41">
        <f t="shared" si="12"/>
        <v>962.5</v>
      </c>
    </row>
    <row r="74" spans="3:9" x14ac:dyDescent="0.3">
      <c r="C74" s="5" t="s">
        <v>34</v>
      </c>
      <c r="D74" s="5" t="s">
        <v>23</v>
      </c>
      <c r="E74" s="5">
        <f>E63*0.01</f>
        <v>2540</v>
      </c>
      <c r="F74" s="5">
        <f>F63*0.01</f>
        <v>2810</v>
      </c>
      <c r="G74" s="5">
        <f>G63*0.01</f>
        <v>3310</v>
      </c>
      <c r="H74" s="5">
        <f>H63*0.01</f>
        <v>3576</v>
      </c>
      <c r="I74" s="5">
        <f>I63*0.01</f>
        <v>3690</v>
      </c>
    </row>
    <row r="75" spans="3:9" ht="18" x14ac:dyDescent="0.35">
      <c r="C75" s="33" t="s">
        <v>38</v>
      </c>
      <c r="D75" s="33"/>
      <c r="E75" s="42">
        <f>SUM(E67:E74)</f>
        <v>250702.5</v>
      </c>
      <c r="F75" s="42">
        <f>SUM(F67:F74)</f>
        <v>250972.5</v>
      </c>
      <c r="G75" s="42">
        <f>SUM(G67:G74)</f>
        <v>251472.5</v>
      </c>
      <c r="H75" s="42">
        <f>SUM(H67:H74)</f>
        <v>251738.5</v>
      </c>
      <c r="I75" s="42">
        <f>SUM(I67:I74)</f>
        <v>251852.5</v>
      </c>
    </row>
    <row r="76" spans="3:9" ht="15" thickBot="1" x14ac:dyDescent="0.35"/>
    <row r="77" spans="3:9" ht="15" thickBot="1" x14ac:dyDescent="0.35">
      <c r="C77" s="12" t="s">
        <v>17</v>
      </c>
      <c r="D77" s="13" t="s">
        <v>21</v>
      </c>
      <c r="E77" s="13"/>
      <c r="F77" s="14"/>
    </row>
    <row r="78" spans="3:9" ht="28.8" x14ac:dyDescent="0.3">
      <c r="C78" s="11" t="s">
        <v>18</v>
      </c>
      <c r="D78" s="44" t="s">
        <v>22</v>
      </c>
      <c r="E78" s="43" t="s">
        <v>19</v>
      </c>
      <c r="F78" s="45" t="s">
        <v>20</v>
      </c>
    </row>
    <row r="79" spans="3:9" x14ac:dyDescent="0.3">
      <c r="C79" t="s">
        <v>70</v>
      </c>
      <c r="D79" s="38">
        <f>F16</f>
        <v>2800</v>
      </c>
      <c r="E79" s="39">
        <v>4</v>
      </c>
      <c r="F79" s="39">
        <f>D79/E79</f>
        <v>700</v>
      </c>
    </row>
    <row r="80" spans="3:9" x14ac:dyDescent="0.3">
      <c r="C80" s="5" t="s">
        <v>88</v>
      </c>
      <c r="D80" s="38">
        <f>F18</f>
        <v>3500</v>
      </c>
      <c r="E80" s="39">
        <v>4</v>
      </c>
      <c r="F80" s="39">
        <f>D80/E80</f>
        <v>875</v>
      </c>
    </row>
    <row r="81" spans="3:9" x14ac:dyDescent="0.3">
      <c r="C81" s="5" t="s">
        <v>101</v>
      </c>
      <c r="D81" s="5">
        <v>9100</v>
      </c>
      <c r="E81" s="5">
        <v>4</v>
      </c>
      <c r="F81" s="76">
        <f>D81/E81</f>
        <v>2275</v>
      </c>
    </row>
    <row r="82" spans="3:9" x14ac:dyDescent="0.3">
      <c r="E82" s="40" t="s">
        <v>45</v>
      </c>
      <c r="F82" s="15">
        <f>SUM(F79:F81)</f>
        <v>3850</v>
      </c>
    </row>
    <row r="84" spans="3:9" x14ac:dyDescent="0.3">
      <c r="C84" s="97" t="s">
        <v>55</v>
      </c>
      <c r="D84" s="98"/>
      <c r="E84" s="65" t="str">
        <f>E66</f>
        <v>Anul 1</v>
      </c>
      <c r="F84" s="65" t="str">
        <f>F66</f>
        <v>Anul 2</v>
      </c>
      <c r="G84" s="65" t="str">
        <f>G66</f>
        <v>Anul 3</v>
      </c>
      <c r="H84" s="65" t="str">
        <f>H66</f>
        <v>Anul 4</v>
      </c>
      <c r="I84" s="65" t="str">
        <f>I66</f>
        <v>Anul 5</v>
      </c>
    </row>
    <row r="85" spans="3:9" x14ac:dyDescent="0.3">
      <c r="C85" s="99"/>
      <c r="D85" s="100"/>
      <c r="E85" s="18">
        <f>E63-E75</f>
        <v>3297.5</v>
      </c>
      <c r="F85" s="17">
        <f>F63-F75</f>
        <v>30027.5</v>
      </c>
      <c r="G85" s="17">
        <f>G63-G75</f>
        <v>79527.5</v>
      </c>
      <c r="H85" s="17">
        <f>H63-H75</f>
        <v>105861.5</v>
      </c>
      <c r="I85" s="17">
        <f>I63-I75</f>
        <v>117147.5</v>
      </c>
    </row>
    <row r="86" spans="3:9" ht="30" x14ac:dyDescent="0.3">
      <c r="C86" s="64" t="s">
        <v>54</v>
      </c>
      <c r="D86" s="67" t="s">
        <v>57</v>
      </c>
      <c r="E86" s="62" t="str">
        <f>E84</f>
        <v>Anul 1</v>
      </c>
      <c r="F86" s="62" t="str">
        <f t="shared" ref="F86:I86" si="14">F84</f>
        <v>Anul 2</v>
      </c>
      <c r="G86" s="62" t="str">
        <f t="shared" si="14"/>
        <v>Anul 3</v>
      </c>
      <c r="H86" s="62" t="str">
        <f t="shared" si="14"/>
        <v>Anul 4</v>
      </c>
      <c r="I86" s="62" t="str">
        <f t="shared" si="14"/>
        <v>Anul 5</v>
      </c>
    </row>
    <row r="87" spans="3:9" ht="57.6" x14ac:dyDescent="0.3">
      <c r="C87" s="58" t="s">
        <v>51</v>
      </c>
      <c r="D87" s="57" t="s">
        <v>60</v>
      </c>
      <c r="E87" s="5">
        <f>E63-(E75-E73)</f>
        <v>4260</v>
      </c>
      <c r="F87" s="5">
        <f>F63-(F75-F73)</f>
        <v>30990</v>
      </c>
      <c r="G87" s="5">
        <f>G63-(G75-G73)</f>
        <v>80490</v>
      </c>
      <c r="H87" s="5">
        <f>H63-(H75-H73)</f>
        <v>106824</v>
      </c>
      <c r="I87" s="5">
        <f>I63-(I75-I73)</f>
        <v>118110</v>
      </c>
    </row>
    <row r="88" spans="3:9" ht="28.8" x14ac:dyDescent="0.3">
      <c r="C88" s="19" t="s">
        <v>59</v>
      </c>
      <c r="D88" s="56" t="s">
        <v>58</v>
      </c>
      <c r="E88" s="5"/>
      <c r="F88" s="5"/>
      <c r="G88" s="5"/>
      <c r="H88" s="5"/>
      <c r="I88" s="5"/>
    </row>
    <row r="89" spans="3:9" ht="60.6" customHeight="1" x14ac:dyDescent="0.3">
      <c r="C89" s="59" t="s">
        <v>49</v>
      </c>
      <c r="D89" s="5"/>
      <c r="E89" s="8">
        <f>E87/(1+0.05)^1</f>
        <v>4057.1428571428569</v>
      </c>
      <c r="F89" s="8">
        <f>F87/(1+0.05)^2</f>
        <v>28108.843537414967</v>
      </c>
      <c r="G89" s="8">
        <f>G87/(1+0.05)^3</f>
        <v>69530.288305798502</v>
      </c>
      <c r="H89" s="8">
        <f>H87/(1+0.05)^4</f>
        <v>87884.369167167999</v>
      </c>
      <c r="I89" s="8">
        <f>I87/(1+0.05)^5</f>
        <v>92542.27552158969</v>
      </c>
    </row>
    <row r="90" spans="3:9" ht="15.6" x14ac:dyDescent="0.3">
      <c r="C90" s="16" t="s">
        <v>56</v>
      </c>
      <c r="D90" s="5">
        <f>F42</f>
        <v>68060.5</v>
      </c>
    </row>
    <row r="91" spans="3:9" ht="62.4" customHeight="1" x14ac:dyDescent="0.3">
      <c r="C91" s="66" t="s">
        <v>50</v>
      </c>
      <c r="D91" s="22">
        <f>SUM(E89:I89)-D90</f>
        <v>214062.41938911402</v>
      </c>
      <c r="G91" s="81" t="s">
        <v>24</v>
      </c>
      <c r="H91" s="81"/>
      <c r="I91" s="81"/>
    </row>
    <row r="92" spans="3:9" x14ac:dyDescent="0.3">
      <c r="C92" s="16" t="s">
        <v>61</v>
      </c>
      <c r="D92" s="5">
        <f>D90*(-1)</f>
        <v>-68060.5</v>
      </c>
      <c r="E92" s="8">
        <f>E89</f>
        <v>4057.1428571428569</v>
      </c>
      <c r="F92" s="8">
        <f t="shared" ref="F92:I92" si="15">F89</f>
        <v>28108.843537414967</v>
      </c>
      <c r="G92" s="8">
        <f t="shared" si="15"/>
        <v>69530.288305798502</v>
      </c>
      <c r="H92" s="8">
        <f t="shared" si="15"/>
        <v>87884.369167167999</v>
      </c>
      <c r="I92" s="8">
        <f t="shared" si="15"/>
        <v>92542.27552158969</v>
      </c>
    </row>
    <row r="93" spans="3:9" x14ac:dyDescent="0.3">
      <c r="C93" s="20" t="s">
        <v>25</v>
      </c>
      <c r="D93" s="21">
        <f>IRR(D92:I92)</f>
        <v>0.48200196156722797</v>
      </c>
    </row>
    <row r="95" spans="3:9" ht="15.6" x14ac:dyDescent="0.3">
      <c r="C95" s="60" t="s">
        <v>63</v>
      </c>
    </row>
    <row r="96" spans="3:9" ht="14.4" customHeight="1" x14ac:dyDescent="0.3">
      <c r="C96" s="91" t="s">
        <v>104</v>
      </c>
      <c r="D96" s="92"/>
    </row>
    <row r="97" spans="3:4" x14ac:dyDescent="0.3">
      <c r="C97" s="93"/>
      <c r="D97" s="94"/>
    </row>
    <row r="98" spans="3:4" x14ac:dyDescent="0.3">
      <c r="C98" s="95"/>
      <c r="D98" s="96"/>
    </row>
    <row r="99" spans="3:4" x14ac:dyDescent="0.3">
      <c r="C99" s="63"/>
      <c r="D99" s="63"/>
    </row>
    <row r="100" spans="3:4" x14ac:dyDescent="0.3">
      <c r="C100" s="75" t="s">
        <v>65</v>
      </c>
    </row>
    <row r="101" spans="3:4" x14ac:dyDescent="0.3">
      <c r="C101" s="80"/>
      <c r="D101" s="23"/>
    </row>
    <row r="102" spans="3:4" ht="47.25" customHeight="1" x14ac:dyDescent="0.3">
      <c r="C102" s="90"/>
      <c r="D102" s="90"/>
    </row>
    <row r="103" spans="3:4" ht="43.5" customHeight="1" x14ac:dyDescent="0.3">
      <c r="C103" s="90"/>
      <c r="D103" s="90"/>
    </row>
    <row r="104" spans="3:4" ht="69" customHeight="1" x14ac:dyDescent="0.3">
      <c r="C104" s="90"/>
      <c r="D104" s="90"/>
    </row>
    <row r="105" spans="3:4" ht="32.25" customHeight="1" x14ac:dyDescent="0.3">
      <c r="C105" s="90"/>
      <c r="D105" s="90"/>
    </row>
    <row r="106" spans="3:4" ht="36" customHeight="1" x14ac:dyDescent="0.3">
      <c r="C106" s="90"/>
      <c r="D106" s="90"/>
    </row>
    <row r="107" spans="3:4" ht="93" customHeight="1" x14ac:dyDescent="0.3">
      <c r="C107" s="90"/>
      <c r="D107" s="90"/>
    </row>
    <row r="108" spans="3:4" ht="29.25" customHeight="1" x14ac:dyDescent="0.3">
      <c r="C108" s="90"/>
      <c r="D108" s="90"/>
    </row>
  </sheetData>
  <mergeCells count="14">
    <mergeCell ref="C103:D103"/>
    <mergeCell ref="C102:D102"/>
    <mergeCell ref="C96:D98"/>
    <mergeCell ref="C84:D85"/>
    <mergeCell ref="C108:D108"/>
    <mergeCell ref="C107:D107"/>
    <mergeCell ref="C106:D106"/>
    <mergeCell ref="C105:D105"/>
    <mergeCell ref="C104:D104"/>
    <mergeCell ref="G91:I91"/>
    <mergeCell ref="D3:F3"/>
    <mergeCell ref="C10:D10"/>
    <mergeCell ref="C11:D11"/>
    <mergeCell ref="C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Medeea Katerina Petrovan</dc:creator>
  <cp:lastModifiedBy>Andrei-Leonard Parvan</cp:lastModifiedBy>
  <dcterms:created xsi:type="dcterms:W3CDTF">2020-12-09T12:25:11Z</dcterms:created>
  <dcterms:modified xsi:type="dcterms:W3CDTF">2022-04-08T12:59:17Z</dcterms:modified>
</cp:coreProperties>
</file>