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9645"/>
  </bookViews>
  <sheets>
    <sheet name="Контрольная" sheetId="1" r:id="rId1"/>
    <sheet name="Анали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E107" i="1" l="1"/>
  <c r="E108" i="1"/>
  <c r="F23" i="1"/>
  <c r="C27" i="1"/>
  <c r="C30" i="1"/>
  <c r="C97" i="1" l="1"/>
  <c r="C84" i="1"/>
  <c r="F14" i="1"/>
  <c r="K3" i="1"/>
  <c r="I3" i="1" l="1"/>
  <c r="D22" i="1"/>
  <c r="D23" i="1" s="1"/>
  <c r="E22" i="1"/>
  <c r="E23" i="1" s="1"/>
  <c r="C22" i="1"/>
  <c r="C2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3" i="1"/>
  <c r="K22" i="1" l="1"/>
  <c r="K23" i="1" s="1"/>
  <c r="C28" i="1" s="1"/>
  <c r="G22" i="1"/>
  <c r="G23" i="1" s="1"/>
  <c r="J22" i="1"/>
  <c r="F22" i="1"/>
  <c r="H22" i="1"/>
  <c r="H23" i="1" s="1"/>
  <c r="I22" i="1"/>
  <c r="I23" i="1" l="1"/>
  <c r="C26" i="1" s="1"/>
  <c r="C31" i="1" s="1"/>
  <c r="J23" i="1"/>
  <c r="C58" i="1"/>
  <c r="C59" i="1" l="1"/>
  <c r="C102" i="1" s="1"/>
  <c r="E30" i="1"/>
  <c r="E58" i="1"/>
  <c r="C32" i="1"/>
  <c r="C34" i="1" s="1"/>
  <c r="C61" i="1"/>
  <c r="C101" i="1"/>
  <c r="C35" i="1" l="1"/>
  <c r="C54" i="1"/>
  <c r="E34" i="1"/>
  <c r="C60" i="1"/>
  <c r="C55" i="1"/>
  <c r="E35" i="1"/>
  <c r="L7" i="1"/>
  <c r="M7" i="1" s="1"/>
  <c r="C66" i="1"/>
  <c r="L5" i="1"/>
  <c r="M5" i="1" s="1"/>
  <c r="L20" i="1"/>
  <c r="M20" i="1" s="1"/>
  <c r="L17" i="1"/>
  <c r="M17" i="1" s="1"/>
  <c r="L8" i="1" l="1"/>
  <c r="M8" i="1" s="1"/>
  <c r="O8" i="1" s="1"/>
  <c r="L12" i="1"/>
  <c r="M12" i="1" s="1"/>
  <c r="O12" i="1" s="1"/>
  <c r="L21" i="1"/>
  <c r="M21" i="1" s="1"/>
  <c r="O21" i="1" s="1"/>
  <c r="L13" i="1"/>
  <c r="M13" i="1" s="1"/>
  <c r="N13" i="1" s="1"/>
  <c r="L4" i="1"/>
  <c r="M4" i="1" s="1"/>
  <c r="O4" i="1" s="1"/>
  <c r="L16" i="1"/>
  <c r="M16" i="1" s="1"/>
  <c r="N16" i="1" s="1"/>
  <c r="L9" i="1"/>
  <c r="M9" i="1" s="1"/>
  <c r="O9" i="1" s="1"/>
  <c r="L19" i="1"/>
  <c r="M19" i="1" s="1"/>
  <c r="O19" i="1" s="1"/>
  <c r="L15" i="1"/>
  <c r="M15" i="1" s="1"/>
  <c r="O15" i="1" s="1"/>
  <c r="L11" i="1"/>
  <c r="M11" i="1" s="1"/>
  <c r="O11" i="1" s="1"/>
  <c r="L6" i="1"/>
  <c r="M6" i="1" s="1"/>
  <c r="N6" i="1" s="1"/>
  <c r="L3" i="1"/>
  <c r="M3" i="1" s="1"/>
  <c r="O3" i="1" s="1"/>
  <c r="L18" i="1"/>
  <c r="M18" i="1" s="1"/>
  <c r="O18" i="1" s="1"/>
  <c r="L14" i="1"/>
  <c r="M14" i="1" s="1"/>
  <c r="O14" i="1" s="1"/>
  <c r="L10" i="1"/>
  <c r="M10" i="1" s="1"/>
  <c r="N10" i="1" s="1"/>
  <c r="N19" i="1"/>
  <c r="N15" i="1"/>
  <c r="N11" i="1"/>
  <c r="N8" i="1"/>
  <c r="N4" i="1"/>
  <c r="N20" i="1"/>
  <c r="O20" i="1"/>
  <c r="N9" i="1"/>
  <c r="N5" i="1"/>
  <c r="O5" i="1"/>
  <c r="N21" i="1"/>
  <c r="N17" i="1"/>
  <c r="O17" i="1"/>
  <c r="O6" i="1"/>
  <c r="O10" i="1"/>
  <c r="N7" i="1"/>
  <c r="O7" i="1"/>
  <c r="C103" i="1"/>
  <c r="F74" i="1"/>
  <c r="E78" i="1" s="1"/>
  <c r="N18" i="1" l="1"/>
  <c r="N14" i="1"/>
  <c r="N3" i="1"/>
  <c r="O13" i="1"/>
  <c r="N12" i="1"/>
  <c r="C83" i="1"/>
  <c r="C90" i="1"/>
  <c r="O16" i="1"/>
  <c r="O24" i="1" s="1"/>
  <c r="N23" i="1" l="1"/>
  <c r="C93" i="1"/>
  <c r="C96" i="1" s="1"/>
  <c r="C92" i="1"/>
  <c r="C95" i="1" l="1"/>
  <c r="N95" i="1"/>
  <c r="O95" i="1"/>
  <c r="N96" i="1"/>
  <c r="O96" i="1"/>
</calcChain>
</file>

<file path=xl/sharedStrings.xml><?xml version="1.0" encoding="utf-8"?>
<sst xmlns="http://schemas.openxmlformats.org/spreadsheetml/2006/main" count="107" uniqueCount="103">
  <si>
    <t>Номер</t>
  </si>
  <si>
    <t>y^2</t>
  </si>
  <si>
    <t>Сумма</t>
  </si>
  <si>
    <t>Среднее</t>
  </si>
  <si>
    <t>sy</t>
  </si>
  <si>
    <t>его квадрат</t>
  </si>
  <si>
    <t>a</t>
  </si>
  <si>
    <t>y ожидаемое</t>
  </si>
  <si>
    <t>разница</t>
  </si>
  <si>
    <t>разница^2</t>
  </si>
  <si>
    <t>Ошибка аппроксимации</t>
  </si>
  <si>
    <t>таблица для ошибки аппроксимации</t>
  </si>
  <si>
    <t>так как ошибка не больше 8-10%, качество модели хорошее</t>
  </si>
  <si>
    <t>ryx_1x_2</t>
  </si>
  <si>
    <t>Нескорректированный коэффиент детерминации</t>
  </si>
  <si>
    <t xml:space="preserve"> '='</t>
  </si>
  <si>
    <t>F стат</t>
  </si>
  <si>
    <t>F табл</t>
  </si>
  <si>
    <t>Попали в критическую область, уравнение регрессии статистически значимо</t>
  </si>
  <si>
    <t>tmp</t>
  </si>
  <si>
    <t>mb1</t>
  </si>
  <si>
    <t>mb2</t>
  </si>
  <si>
    <t>tb1</t>
  </si>
  <si>
    <t>tb2</t>
  </si>
  <si>
    <t>t табл</t>
  </si>
  <si>
    <t>ryx1^2</t>
  </si>
  <si>
    <t>ryx2^2</t>
  </si>
  <si>
    <t>ryx1x2^2</t>
  </si>
  <si>
    <t>Вариант</t>
  </si>
  <si>
    <t>n</t>
  </si>
  <si>
    <t>alpha</t>
  </si>
  <si>
    <t>уравнение множественной регрессии: y=-0,47204+0,142966x1+9,55049x2</t>
  </si>
  <si>
    <t>При увеличении x_1 на 1 y увеличится в среднем 0.14. Аналогично на 9.55 при увеличении x2 на 1</t>
  </si>
  <si>
    <t>стандартизорованное у-е регрессии ty=0,048127*t{x1}+0,795707*t{x2}</t>
  </si>
  <si>
    <t>Т. К. beta_1&lt;beta_2, то переменная x2 оказывает большее влияние на y, чем x1</t>
  </si>
  <si>
    <t>если x2 увеличится на 1%, y увеличится в среднем на 0.94%</t>
  </si>
  <si>
    <t>ryx1</t>
  </si>
  <si>
    <t>ryx2</t>
  </si>
  <si>
    <t>rx1x2</t>
  </si>
  <si>
    <t>Т. К. ryx2(x1)&gt;0.7, то x_1 можно исключить</t>
  </si>
  <si>
    <t>r{yx2}x1</t>
  </si>
  <si>
    <t>r{yx1}x2</t>
  </si>
  <si>
    <t>Т. К. коэффициент множественной корреляции относительно близок к единице, он указывает на близкую связь всего набора факторов с результатом (у)</t>
  </si>
  <si>
    <t>b1 и b2 статистически значимы</t>
  </si>
  <si>
    <t>sx1</t>
  </si>
  <si>
    <t>sx2</t>
  </si>
  <si>
    <t>b1</t>
  </si>
  <si>
    <t>b2</t>
  </si>
  <si>
    <t>beta1</t>
  </si>
  <si>
    <t>beta2</t>
  </si>
  <si>
    <t>Э1</t>
  </si>
  <si>
    <t>Э2</t>
  </si>
  <si>
    <t>y (цена акции)</t>
  </si>
  <si>
    <t>x1 (доходность капитала)</t>
  </si>
  <si>
    <t>x2 (уровень дивидендов)</t>
  </si>
  <si>
    <t>yx1</t>
  </si>
  <si>
    <t>yx2</t>
  </si>
  <si>
    <t>x1x2</t>
  </si>
  <si>
    <t>x1^2</t>
  </si>
  <si>
    <t>x2^2</t>
  </si>
  <si>
    <t>Парные коэффициенты корреляции</t>
  </si>
  <si>
    <t>Так как коэффициент корреляции rx1x2 близок к 0,  коллинеарность факторов не подтверждается</t>
  </si>
  <si>
    <t>Коэффициенты регрессии</t>
  </si>
  <si>
    <t>Скорректированный коэффициент детерминации</t>
  </si>
  <si>
    <t>Вариация признака y объясняется вариацией x1, x2 в среднем на 65%</t>
  </si>
  <si>
    <t>Концы доверительных интервалов</t>
  </si>
  <si>
    <t>Коэффициенты эластичности</t>
  </si>
  <si>
    <t>Частные коэффициенты корреляции</t>
  </si>
  <si>
    <t>Уравнение линейной регрессии с учётом только значимых факторов</t>
  </si>
  <si>
    <t>beta</t>
  </si>
  <si>
    <t>alp</t>
  </si>
  <si>
    <t>y = 12,178722+4,8407455x2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</si>
  <si>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</si>
  <si>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</si>
  <si>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</si>
  <si>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</si>
  <si>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</si>
  <si>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</si>
  <si>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</si>
  <si>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</si>
  <si>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</si>
  <si>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</si>
  <si>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</si>
  <si>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</si>
  <si>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</si>
  <si>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</si>
  <si>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</si>
  <si>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</si>
  <si>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</si>
  <si>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</si>
  <si>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</si>
  <si>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</si>
  <si>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</si>
  <si>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</si>
  <si>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97,3%</t>
  </si>
  <si>
    <t>Верхние 97,3%</t>
  </si>
  <si>
    <t>Переменная X 1</t>
  </si>
  <si>
    <t>Переменная X 2</t>
  </si>
  <si>
    <t>ВЫВОД ОСТАТКА</t>
  </si>
  <si>
    <t>Наблюдение</t>
  </si>
  <si>
    <t>Предсказанное Y</t>
  </si>
  <si>
    <t>Остатки</t>
  </si>
  <si>
    <t>Норма разности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</si>
</sst>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2" applyBorder="1" applyAlignment="1">
      <alignment horizontal="center" vertical="center" wrapText="1"/>
    </xf>
    <xf numFmtId="0" fontId="3" fillId="3" borderId="0" xfId="3"/>
    <xf numFmtId="0" fontId="3" fillId="3" borderId="0" xfId="3" applyAlignment="1">
      <alignment wrapText="1"/>
    </xf>
    <xf numFmtId="9" fontId="0" fillId="0" borderId="0" xfId="1" applyFont="1" applyAlignment="1">
      <alignment horizontal="center" vertical="center"/>
    </xf>
    <xf numFmtId="0" fontId="4" fillId="4" borderId="0" xfId="4"/>
    <xf numFmtId="0" fontId="4" fillId="4" borderId="0" xfId="4" applyAlignment="1">
      <alignment horizontal="center" vertical="center"/>
    </xf>
    <xf numFmtId="0" fontId="2" fillId="2" borderId="0" xfId="2" applyAlignment="1">
      <alignment horizontal="center" vertical="center" wrapText="1"/>
    </xf>
    <xf numFmtId="0" fontId="4" fillId="4" borderId="0" xfId="4" applyAlignment="1">
      <alignment horizontal="center" vertical="center" wrapText="1"/>
    </xf>
    <xf numFmtId="0" fontId="3" fillId="3" borderId="0" xfId="3" applyAlignment="1">
      <alignment horizontal="center" vertical="center"/>
    </xf>
    <xf numFmtId="0" fontId="2" fillId="2" borderId="0" xfId="2" applyAlignment="1">
      <alignment horizontal="center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 wrapText="1"/>
    </xf>
    <xf numFmtId="0" fontId="3" fillId="3" borderId="0" xfId="3" quotePrefix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2" fillId="2" borderId="4" xfId="2" applyBorder="1" applyAlignment="1">
      <alignment horizontal="center" vertical="center" wrapText="1"/>
    </xf>
    <xf numFmtId="0" fontId="2" fillId="2" borderId="5" xfId="2" applyBorder="1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4" fillId="4" borderId="0" xfId="4" applyAlignment="1">
      <alignment horizontal="center"/>
    </xf>
  </cellXfs>
  <cellStyles count="5">
    <cellStyle name="Акцент5" xfId="4" builtinId="45"/>
    <cellStyle name="Обычный" xfId="0" builtinId="0"/>
    <cellStyle name="Плохой" xfId="3" builtinId="27"/>
    <cellStyle name="Процентный" xfId="1" builtinId="5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abSelected="1" topLeftCell="A76" workbookViewId="0">
      <selection activeCell="N44" sqref="N44"/>
    </sheetView>
  </sheetViews>
  <sheetFormatPr defaultRowHeight="15" x14ac:dyDescent="0.25"/>
  <cols>
    <col min="1" max="1" width="12.5703125" customWidth="1"/>
    <col min="4" max="4" width="13.85546875" customWidth="1"/>
    <col min="5" max="5" width="10" customWidth="1"/>
    <col min="12" max="12" width="13.42578125" customWidth="1"/>
    <col min="13" max="13" width="16.42578125" customWidth="1"/>
    <col min="14" max="14" width="13.7109375" customWidth="1"/>
    <col min="15" max="15" width="13.5703125" customWidth="1"/>
  </cols>
  <sheetData>
    <row r="2" spans="2:15" ht="60" x14ac:dyDescent="0.25">
      <c r="B2" s="3" t="s">
        <v>0</v>
      </c>
      <c r="C2" s="3" t="s">
        <v>52</v>
      </c>
      <c r="D2" s="3" t="s">
        <v>53</v>
      </c>
      <c r="E2" s="3" t="s">
        <v>54</v>
      </c>
      <c r="F2" s="20" t="s">
        <v>55</v>
      </c>
      <c r="G2" s="21" t="s">
        <v>56</v>
      </c>
      <c r="H2" s="21" t="s">
        <v>57</v>
      </c>
      <c r="I2" s="21" t="s">
        <v>58</v>
      </c>
      <c r="J2" s="21" t="s">
        <v>59</v>
      </c>
      <c r="K2" s="21" t="s">
        <v>1</v>
      </c>
      <c r="L2" s="21" t="s">
        <v>7</v>
      </c>
      <c r="M2" s="21" t="s">
        <v>8</v>
      </c>
      <c r="N2" s="21" t="s">
        <v>9</v>
      </c>
      <c r="O2" s="21" t="s">
        <v>11</v>
      </c>
    </row>
    <row r="3" spans="2:15" x14ac:dyDescent="0.25">
      <c r="B3" s="3">
        <v>1</v>
      </c>
      <c r="C3" s="2">
        <v>25</v>
      </c>
      <c r="D3" s="2">
        <v>15.2</v>
      </c>
      <c r="E3" s="2">
        <v>2.6</v>
      </c>
      <c r="F3" s="1">
        <f>C3*D3</f>
        <v>380</v>
      </c>
      <c r="G3" s="1">
        <f>C3*E3</f>
        <v>65</v>
      </c>
      <c r="H3" s="1">
        <f>D3*E3</f>
        <v>39.519999999999996</v>
      </c>
      <c r="I3" s="1">
        <f>D3*D3</f>
        <v>231.04</v>
      </c>
      <c r="J3" s="1">
        <f>E3*E3</f>
        <v>6.7600000000000007</v>
      </c>
      <c r="K3" s="1">
        <f>C3*C3</f>
        <v>625</v>
      </c>
      <c r="L3" s="1">
        <f t="shared" ref="L3:L21" si="0">$C$36+$C$34*D3+$C$35*E3</f>
        <v>26.495710029859787</v>
      </c>
      <c r="M3" s="1">
        <f>C3-L3</f>
        <v>-1.4957100298597865</v>
      </c>
      <c r="N3" s="1">
        <f>M3*M3</f>
        <v>2.2371484934231636</v>
      </c>
      <c r="O3" s="1">
        <f>ABS(M3/C3)</f>
        <v>5.9828401194391458E-2</v>
      </c>
    </row>
    <row r="4" spans="2:15" x14ac:dyDescent="0.25">
      <c r="B4" s="3">
        <v>2</v>
      </c>
      <c r="C4" s="2">
        <v>20</v>
      </c>
      <c r="D4" s="2">
        <v>13.9</v>
      </c>
      <c r="E4" s="2">
        <v>2.1</v>
      </c>
      <c r="F4" s="1">
        <f t="shared" ref="F4:F21" si="1">C4*D4</f>
        <v>278</v>
      </c>
      <c r="G4" s="1">
        <f t="shared" ref="G4:G21" si="2">C4*E4</f>
        <v>42</v>
      </c>
      <c r="H4" s="1">
        <f t="shared" ref="H4:H21" si="3">D4*E4</f>
        <v>29.19</v>
      </c>
      <c r="I4" s="1">
        <f t="shared" ref="I4:J21" si="4">D4*D4</f>
        <v>193.21</v>
      </c>
      <c r="J4" s="1">
        <f t="shared" si="4"/>
        <v>4.41</v>
      </c>
      <c r="K4" s="1">
        <f t="shared" ref="K4:K21" si="5">C4*C4</f>
        <v>400</v>
      </c>
      <c r="L4" s="1">
        <f t="shared" si="0"/>
        <v>21.537740185896251</v>
      </c>
      <c r="M4" s="1">
        <f t="shared" ref="M4:M21" si="6">C4-L4</f>
        <v>-1.5377401858962507</v>
      </c>
      <c r="N4" s="1">
        <f t="shared" ref="N4:N21" si="7">M4*M4</f>
        <v>2.3646448793202359</v>
      </c>
      <c r="O4" s="1">
        <f t="shared" ref="O4:O21" si="8">ABS(M4/C4)</f>
        <v>7.6887009294812542E-2</v>
      </c>
    </row>
    <row r="5" spans="2:15" x14ac:dyDescent="0.25">
      <c r="B5" s="3">
        <v>3</v>
      </c>
      <c r="C5" s="2">
        <v>15</v>
      </c>
      <c r="D5" s="2">
        <v>15.8</v>
      </c>
      <c r="E5" s="2">
        <v>1.5</v>
      </c>
      <c r="F5" s="1">
        <f t="shared" si="1"/>
        <v>237</v>
      </c>
      <c r="G5" s="1">
        <f t="shared" si="2"/>
        <v>22.5</v>
      </c>
      <c r="H5" s="1">
        <f t="shared" si="3"/>
        <v>23.700000000000003</v>
      </c>
      <c r="I5" s="1">
        <f t="shared" si="4"/>
        <v>249.64000000000001</v>
      </c>
      <c r="J5" s="1">
        <f t="shared" si="4"/>
        <v>2.25</v>
      </c>
      <c r="K5" s="1">
        <f t="shared" si="5"/>
        <v>225</v>
      </c>
      <c r="L5" s="1">
        <f t="shared" si="0"/>
        <v>16.074504925512155</v>
      </c>
      <c r="M5" s="1">
        <f t="shared" si="6"/>
        <v>-1.074504925512155</v>
      </c>
      <c r="N5" s="1">
        <f t="shared" si="7"/>
        <v>1.1545608349498819</v>
      </c>
      <c r="O5" s="1">
        <f t="shared" si="8"/>
        <v>7.1633661700810342E-2</v>
      </c>
    </row>
    <row r="6" spans="2:15" x14ac:dyDescent="0.25">
      <c r="B6" s="3">
        <v>4</v>
      </c>
      <c r="C6" s="2">
        <v>34</v>
      </c>
      <c r="D6" s="2">
        <v>12.8</v>
      </c>
      <c r="E6" s="2">
        <v>2.2999999999999998</v>
      </c>
      <c r="F6" s="1">
        <f t="shared" si="1"/>
        <v>435.20000000000005</v>
      </c>
      <c r="G6" s="1">
        <f t="shared" si="2"/>
        <v>78.199999999999989</v>
      </c>
      <c r="H6" s="1">
        <f t="shared" si="3"/>
        <v>29.439999999999998</v>
      </c>
      <c r="I6" s="1">
        <f t="shared" si="4"/>
        <v>163.84000000000003</v>
      </c>
      <c r="J6" s="1">
        <f t="shared" si="4"/>
        <v>5.2899999999999991</v>
      </c>
      <c r="K6" s="1">
        <f t="shared" si="5"/>
        <v>1156</v>
      </c>
      <c r="L6" s="1">
        <f t="shared" si="0"/>
        <v>23.293225159654238</v>
      </c>
      <c r="M6" s="1">
        <f t="shared" si="6"/>
        <v>10.706774840345762</v>
      </c>
      <c r="N6" s="1">
        <f t="shared" si="7"/>
        <v>114.63502748186102</v>
      </c>
      <c r="O6" s="1">
        <f t="shared" si="8"/>
        <v>0.31490514236311062</v>
      </c>
    </row>
    <row r="7" spans="2:15" x14ac:dyDescent="0.25">
      <c r="B7" s="3">
        <v>5</v>
      </c>
      <c r="C7" s="2">
        <v>20</v>
      </c>
      <c r="D7" s="2">
        <v>6.9</v>
      </c>
      <c r="E7" s="2">
        <v>2.5</v>
      </c>
      <c r="F7" s="1">
        <f t="shared" si="1"/>
        <v>138</v>
      </c>
      <c r="G7" s="1">
        <f t="shared" si="2"/>
        <v>50</v>
      </c>
      <c r="H7" s="1">
        <f t="shared" si="3"/>
        <v>17.25</v>
      </c>
      <c r="I7" s="1">
        <f t="shared" si="4"/>
        <v>47.610000000000007</v>
      </c>
      <c r="J7" s="1">
        <f t="shared" si="4"/>
        <v>6.25</v>
      </c>
      <c r="K7" s="1">
        <f t="shared" si="5"/>
        <v>400</v>
      </c>
      <c r="L7" s="1">
        <f t="shared" si="0"/>
        <v>24.374034685034687</v>
      </c>
      <c r="M7" s="1">
        <f t="shared" si="6"/>
        <v>-4.3740346850346867</v>
      </c>
      <c r="N7" s="1">
        <f t="shared" si="7"/>
        <v>19.132179425886491</v>
      </c>
      <c r="O7" s="1">
        <f t="shared" si="8"/>
        <v>0.21870173425173434</v>
      </c>
    </row>
    <row r="8" spans="2:15" x14ac:dyDescent="0.25">
      <c r="B8" s="3">
        <v>6</v>
      </c>
      <c r="C8" s="2">
        <v>33</v>
      </c>
      <c r="D8" s="2">
        <v>14.6</v>
      </c>
      <c r="E8" s="2">
        <v>2.6</v>
      </c>
      <c r="F8" s="1">
        <f t="shared" si="1"/>
        <v>481.8</v>
      </c>
      <c r="G8" s="1">
        <f t="shared" si="2"/>
        <v>85.8</v>
      </c>
      <c r="H8" s="1">
        <f t="shared" si="3"/>
        <v>37.96</v>
      </c>
      <c r="I8" s="1">
        <f t="shared" si="4"/>
        <v>213.16</v>
      </c>
      <c r="J8" s="1">
        <f t="shared" si="4"/>
        <v>6.7600000000000007</v>
      </c>
      <c r="K8" s="1">
        <f t="shared" si="5"/>
        <v>1089</v>
      </c>
      <c r="L8" s="1">
        <f t="shared" si="0"/>
        <v>26.41137559881259</v>
      </c>
      <c r="M8" s="1">
        <f t="shared" si="6"/>
        <v>6.5886244011874098</v>
      </c>
      <c r="N8" s="1">
        <f t="shared" si="7"/>
        <v>43.409971499922158</v>
      </c>
      <c r="O8" s="1">
        <f t="shared" si="8"/>
        <v>0.19965528488446696</v>
      </c>
    </row>
    <row r="9" spans="2:15" x14ac:dyDescent="0.25">
      <c r="B9" s="3">
        <v>7</v>
      </c>
      <c r="C9" s="2">
        <v>28</v>
      </c>
      <c r="D9" s="2">
        <v>15.4</v>
      </c>
      <c r="E9" s="2">
        <v>2.9</v>
      </c>
      <c r="F9" s="1">
        <f t="shared" si="1"/>
        <v>431.2</v>
      </c>
      <c r="G9" s="1">
        <f t="shared" si="2"/>
        <v>81.2</v>
      </c>
      <c r="H9" s="1">
        <f t="shared" si="3"/>
        <v>44.66</v>
      </c>
      <c r="I9" s="1">
        <f t="shared" si="4"/>
        <v>237.16000000000003</v>
      </c>
      <c r="J9" s="1">
        <f t="shared" si="4"/>
        <v>8.41</v>
      </c>
      <c r="K9" s="1">
        <f t="shared" si="5"/>
        <v>784</v>
      </c>
      <c r="L9" s="1">
        <f t="shared" si="0"/>
        <v>29.388968652892284</v>
      </c>
      <c r="M9" s="1">
        <f t="shared" si="6"/>
        <v>-1.3889686528922844</v>
      </c>
      <c r="N9" s="1">
        <f t="shared" si="7"/>
        <v>1.9292339187174072</v>
      </c>
      <c r="O9" s="1">
        <f t="shared" si="8"/>
        <v>4.9606023317581585E-2</v>
      </c>
    </row>
    <row r="10" spans="2:15" x14ac:dyDescent="0.25">
      <c r="B10" s="3">
        <v>9</v>
      </c>
      <c r="C10" s="2">
        <v>23</v>
      </c>
      <c r="D10" s="2">
        <v>13.7</v>
      </c>
      <c r="E10" s="2">
        <v>2.4</v>
      </c>
      <c r="F10" s="1">
        <f t="shared" si="1"/>
        <v>315.09999999999997</v>
      </c>
      <c r="G10" s="1">
        <f t="shared" si="2"/>
        <v>55.199999999999996</v>
      </c>
      <c r="H10" s="1">
        <f t="shared" si="3"/>
        <v>32.879999999999995</v>
      </c>
      <c r="I10" s="1">
        <f t="shared" si="4"/>
        <v>187.68999999999997</v>
      </c>
      <c r="J10" s="1">
        <f t="shared" si="4"/>
        <v>5.76</v>
      </c>
      <c r="K10" s="1">
        <f t="shared" si="5"/>
        <v>529</v>
      </c>
      <c r="L10" s="1">
        <f t="shared" si="0"/>
        <v>24.374775854897287</v>
      </c>
      <c r="M10" s="1">
        <f t="shared" si="6"/>
        <v>-1.3747758548972868</v>
      </c>
      <c r="N10" s="1">
        <f t="shared" si="7"/>
        <v>1.8900086512085659</v>
      </c>
      <c r="O10" s="1">
        <f t="shared" si="8"/>
        <v>5.9772863256403776E-2</v>
      </c>
    </row>
    <row r="11" spans="2:15" x14ac:dyDescent="0.25">
      <c r="B11" s="3">
        <v>10</v>
      </c>
      <c r="C11" s="2">
        <v>24</v>
      </c>
      <c r="D11" s="2">
        <v>12.7</v>
      </c>
      <c r="E11" s="2">
        <v>2.4</v>
      </c>
      <c r="F11" s="1">
        <f t="shared" si="1"/>
        <v>304.79999999999995</v>
      </c>
      <c r="G11" s="1">
        <f t="shared" si="2"/>
        <v>57.599999999999994</v>
      </c>
      <c r="H11" s="1">
        <f t="shared" si="3"/>
        <v>30.479999999999997</v>
      </c>
      <c r="I11" s="1">
        <f t="shared" si="4"/>
        <v>161.29</v>
      </c>
      <c r="J11" s="1">
        <f t="shared" si="4"/>
        <v>5.76</v>
      </c>
      <c r="K11" s="1">
        <f t="shared" si="5"/>
        <v>576</v>
      </c>
      <c r="L11" s="1">
        <f t="shared" si="0"/>
        <v>24.234218469818629</v>
      </c>
      <c r="M11" s="1">
        <f t="shared" si="6"/>
        <v>-0.23421846981862871</v>
      </c>
      <c r="N11" s="1">
        <f t="shared" si="7"/>
        <v>5.4858291604179883E-2</v>
      </c>
      <c r="O11" s="1">
        <f t="shared" si="8"/>
        <v>9.7591029091095294E-3</v>
      </c>
    </row>
    <row r="12" spans="2:15" x14ac:dyDescent="0.25">
      <c r="B12" s="3">
        <v>11</v>
      </c>
      <c r="C12" s="2">
        <v>25</v>
      </c>
      <c r="D12" s="2">
        <v>15.3</v>
      </c>
      <c r="E12" s="2">
        <v>2.6</v>
      </c>
      <c r="F12" s="1">
        <f t="shared" si="1"/>
        <v>382.5</v>
      </c>
      <c r="G12" s="1">
        <f t="shared" si="2"/>
        <v>65</v>
      </c>
      <c r="H12" s="1">
        <f t="shared" si="3"/>
        <v>39.78</v>
      </c>
      <c r="I12" s="1">
        <f t="shared" si="4"/>
        <v>234.09000000000003</v>
      </c>
      <c r="J12" s="1">
        <f t="shared" si="4"/>
        <v>6.7600000000000007</v>
      </c>
      <c r="K12" s="1">
        <f t="shared" si="5"/>
        <v>625</v>
      </c>
      <c r="L12" s="1">
        <f t="shared" si="0"/>
        <v>26.50976576836765</v>
      </c>
      <c r="M12" s="1">
        <f t="shared" si="6"/>
        <v>-1.5097657683676502</v>
      </c>
      <c r="N12" s="1">
        <f t="shared" si="7"/>
        <v>2.2793926753347611</v>
      </c>
      <c r="O12" s="1">
        <f t="shared" si="8"/>
        <v>6.0390630734706005E-2</v>
      </c>
    </row>
    <row r="13" spans="2:15" x14ac:dyDescent="0.25">
      <c r="B13" s="3">
        <v>12</v>
      </c>
      <c r="C13" s="2">
        <v>26</v>
      </c>
      <c r="D13" s="2">
        <v>15.2</v>
      </c>
      <c r="E13" s="2">
        <v>2.8</v>
      </c>
      <c r="F13" s="1">
        <f t="shared" si="1"/>
        <v>395.2</v>
      </c>
      <c r="G13" s="1">
        <f t="shared" si="2"/>
        <v>72.8</v>
      </c>
      <c r="H13" s="1">
        <f t="shared" si="3"/>
        <v>42.559999999999995</v>
      </c>
      <c r="I13" s="1">
        <f t="shared" si="4"/>
        <v>231.04</v>
      </c>
      <c r="J13" s="1">
        <f t="shared" si="4"/>
        <v>7.839999999999999</v>
      </c>
      <c r="K13" s="1">
        <f t="shared" si="5"/>
        <v>676</v>
      </c>
      <c r="L13" s="1">
        <f t="shared" si="0"/>
        <v>28.405808127204295</v>
      </c>
      <c r="M13" s="1">
        <f t="shared" si="6"/>
        <v>-2.4058081272042955</v>
      </c>
      <c r="N13" s="1">
        <f t="shared" si="7"/>
        <v>5.7879127449222398</v>
      </c>
      <c r="O13" s="1">
        <f t="shared" si="8"/>
        <v>9.2531081815549823E-2</v>
      </c>
    </row>
    <row r="14" spans="2:15" x14ac:dyDescent="0.25">
      <c r="B14" s="3">
        <v>13</v>
      </c>
      <c r="C14" s="2">
        <v>26</v>
      </c>
      <c r="D14" s="2">
        <v>12</v>
      </c>
      <c r="E14" s="2">
        <v>2.7</v>
      </c>
      <c r="F14" s="1">
        <f>C14*D14</f>
        <v>312</v>
      </c>
      <c r="G14" s="1">
        <f t="shared" si="2"/>
        <v>70.2</v>
      </c>
      <c r="H14" s="1">
        <f t="shared" si="3"/>
        <v>32.400000000000006</v>
      </c>
      <c r="I14" s="1">
        <f t="shared" si="4"/>
        <v>144</v>
      </c>
      <c r="J14" s="1">
        <f t="shared" si="4"/>
        <v>7.2900000000000009</v>
      </c>
      <c r="K14" s="1">
        <f t="shared" si="5"/>
        <v>676</v>
      </c>
      <c r="L14" s="1">
        <f t="shared" si="0"/>
        <v>27.000975446280346</v>
      </c>
      <c r="M14" s="1">
        <f t="shared" si="6"/>
        <v>-1.0009754462803464</v>
      </c>
      <c r="N14" s="1">
        <f t="shared" si="7"/>
        <v>1.0019518440561386</v>
      </c>
      <c r="O14" s="1">
        <f t="shared" si="8"/>
        <v>3.8499055626167171E-2</v>
      </c>
    </row>
    <row r="15" spans="2:15" x14ac:dyDescent="0.25">
      <c r="B15" s="3">
        <v>14</v>
      </c>
      <c r="C15" s="2">
        <v>20</v>
      </c>
      <c r="D15" s="2">
        <v>15.3</v>
      </c>
      <c r="E15" s="2">
        <v>1.9</v>
      </c>
      <c r="F15" s="1">
        <f t="shared" si="1"/>
        <v>306</v>
      </c>
      <c r="G15" s="1">
        <f t="shared" si="2"/>
        <v>38</v>
      </c>
      <c r="H15" s="1">
        <f t="shared" si="3"/>
        <v>29.07</v>
      </c>
      <c r="I15" s="1">
        <f t="shared" si="4"/>
        <v>234.09000000000003</v>
      </c>
      <c r="J15" s="1">
        <f t="shared" si="4"/>
        <v>3.61</v>
      </c>
      <c r="K15" s="1">
        <f t="shared" si="5"/>
        <v>400</v>
      </c>
      <c r="L15" s="1">
        <f t="shared" si="0"/>
        <v>19.824422427661851</v>
      </c>
      <c r="M15" s="1">
        <f t="shared" si="6"/>
        <v>0.17557757233814897</v>
      </c>
      <c r="N15" s="1">
        <f t="shared" si="7"/>
        <v>3.0827483908157934E-2</v>
      </c>
      <c r="O15" s="1">
        <f t="shared" si="8"/>
        <v>8.7788786169074491E-3</v>
      </c>
    </row>
    <row r="16" spans="2:15" x14ac:dyDescent="0.25">
      <c r="B16" s="3">
        <v>15</v>
      </c>
      <c r="C16" s="2">
        <v>20</v>
      </c>
      <c r="D16" s="2">
        <v>13.7</v>
      </c>
      <c r="E16" s="2">
        <v>1.9</v>
      </c>
      <c r="F16" s="1">
        <f t="shared" si="1"/>
        <v>274</v>
      </c>
      <c r="G16" s="1">
        <f t="shared" si="2"/>
        <v>38</v>
      </c>
      <c r="H16" s="1">
        <f t="shared" si="3"/>
        <v>26.029999999999998</v>
      </c>
      <c r="I16" s="1">
        <f t="shared" si="4"/>
        <v>187.68999999999997</v>
      </c>
      <c r="J16" s="1">
        <f t="shared" si="4"/>
        <v>3.61</v>
      </c>
      <c r="K16" s="1">
        <f t="shared" si="5"/>
        <v>400</v>
      </c>
      <c r="L16" s="1">
        <f t="shared" si="0"/>
        <v>19.599530611536004</v>
      </c>
      <c r="M16" s="1">
        <f t="shared" si="6"/>
        <v>0.40046938846399627</v>
      </c>
      <c r="N16" s="1">
        <f t="shared" si="7"/>
        <v>0.16037573109672715</v>
      </c>
      <c r="O16" s="1">
        <f t="shared" si="8"/>
        <v>2.0023469423199814E-2</v>
      </c>
    </row>
    <row r="17" spans="1:17" x14ac:dyDescent="0.25">
      <c r="B17" s="3">
        <v>16</v>
      </c>
      <c r="C17" s="2">
        <v>13</v>
      </c>
      <c r="D17" s="2">
        <v>13.3</v>
      </c>
      <c r="E17" s="2">
        <v>1.6</v>
      </c>
      <c r="F17" s="1">
        <f t="shared" si="1"/>
        <v>172.9</v>
      </c>
      <c r="G17" s="1">
        <f t="shared" si="2"/>
        <v>20.8</v>
      </c>
      <c r="H17" s="1">
        <f t="shared" si="3"/>
        <v>21.28</v>
      </c>
      <c r="I17" s="1">
        <f t="shared" si="4"/>
        <v>176.89000000000001</v>
      </c>
      <c r="J17" s="1">
        <f t="shared" si="4"/>
        <v>2.5600000000000005</v>
      </c>
      <c r="K17" s="1">
        <f t="shared" si="5"/>
        <v>169</v>
      </c>
      <c r="L17" s="1">
        <f t="shared" si="0"/>
        <v>16.678160511487775</v>
      </c>
      <c r="M17" s="1">
        <f t="shared" si="6"/>
        <v>-3.6781605114877749</v>
      </c>
      <c r="N17" s="1">
        <f t="shared" si="7"/>
        <v>13.52886474826801</v>
      </c>
      <c r="O17" s="1">
        <f t="shared" si="8"/>
        <v>0.28293542396059806</v>
      </c>
    </row>
    <row r="18" spans="1:17" x14ac:dyDescent="0.25">
      <c r="B18" s="3">
        <v>17</v>
      </c>
      <c r="C18" s="2">
        <v>21</v>
      </c>
      <c r="D18" s="2">
        <v>15.1</v>
      </c>
      <c r="E18" s="2">
        <v>2.4</v>
      </c>
      <c r="F18" s="1">
        <f t="shared" si="1"/>
        <v>317.09999999999997</v>
      </c>
      <c r="G18" s="1">
        <f t="shared" si="2"/>
        <v>50.4</v>
      </c>
      <c r="H18" s="1">
        <f t="shared" si="3"/>
        <v>36.239999999999995</v>
      </c>
      <c r="I18" s="1">
        <f t="shared" si="4"/>
        <v>228.01</v>
      </c>
      <c r="J18" s="1">
        <f t="shared" si="4"/>
        <v>5.76</v>
      </c>
      <c r="K18" s="1">
        <f t="shared" si="5"/>
        <v>441</v>
      </c>
      <c r="L18" s="1">
        <f t="shared" si="0"/>
        <v>24.571556194007403</v>
      </c>
      <c r="M18" s="1">
        <f t="shared" si="6"/>
        <v>-3.5715561940074032</v>
      </c>
      <c r="N18" s="1">
        <f t="shared" si="7"/>
        <v>12.756013646952647</v>
      </c>
      <c r="O18" s="1">
        <f t="shared" si="8"/>
        <v>0.170074104476543</v>
      </c>
    </row>
    <row r="19" spans="1:17" x14ac:dyDescent="0.25">
      <c r="B19" s="3">
        <v>18</v>
      </c>
      <c r="C19" s="2">
        <v>31</v>
      </c>
      <c r="D19" s="2">
        <v>15</v>
      </c>
      <c r="E19" s="2">
        <v>3</v>
      </c>
      <c r="F19" s="1">
        <f t="shared" si="1"/>
        <v>465</v>
      </c>
      <c r="G19" s="1">
        <f t="shared" si="2"/>
        <v>93</v>
      </c>
      <c r="H19" s="1">
        <f t="shared" si="3"/>
        <v>45</v>
      </c>
      <c r="I19" s="1">
        <f t="shared" si="4"/>
        <v>225</v>
      </c>
      <c r="J19" s="1">
        <f t="shared" si="4"/>
        <v>9</v>
      </c>
      <c r="K19" s="1">
        <f t="shared" si="5"/>
        <v>961</v>
      </c>
      <c r="L19" s="1">
        <f t="shared" si="0"/>
        <v>30.287794747533081</v>
      </c>
      <c r="M19" s="1">
        <f t="shared" si="6"/>
        <v>0.71220525246691935</v>
      </c>
      <c r="N19" s="1">
        <f t="shared" si="7"/>
        <v>0.50723632164146837</v>
      </c>
      <c r="O19" s="1">
        <f t="shared" si="8"/>
        <v>2.297436298280385E-2</v>
      </c>
    </row>
    <row r="20" spans="1:17" x14ac:dyDescent="0.25">
      <c r="B20" s="3">
        <v>19</v>
      </c>
      <c r="C20" s="2">
        <v>26</v>
      </c>
      <c r="D20" s="2">
        <v>11.2</v>
      </c>
      <c r="E20" s="2">
        <v>2.1</v>
      </c>
      <c r="F20" s="1">
        <f t="shared" si="1"/>
        <v>291.2</v>
      </c>
      <c r="G20" s="1">
        <f t="shared" si="2"/>
        <v>54.6</v>
      </c>
      <c r="H20" s="1">
        <f t="shared" si="3"/>
        <v>23.52</v>
      </c>
      <c r="I20" s="1">
        <f t="shared" si="4"/>
        <v>125.43999999999998</v>
      </c>
      <c r="J20" s="1">
        <f t="shared" si="4"/>
        <v>4.41</v>
      </c>
      <c r="K20" s="1">
        <f t="shared" si="5"/>
        <v>676</v>
      </c>
      <c r="L20" s="1">
        <f t="shared" si="0"/>
        <v>21.158235246183878</v>
      </c>
      <c r="M20" s="1">
        <f t="shared" si="6"/>
        <v>4.8417647538161219</v>
      </c>
      <c r="N20" s="1">
        <f t="shared" si="7"/>
        <v>23.44268593129609</v>
      </c>
      <c r="O20" s="1">
        <f t="shared" si="8"/>
        <v>0.18622172130062006</v>
      </c>
    </row>
    <row r="21" spans="1:17" x14ac:dyDescent="0.25">
      <c r="B21" s="3">
        <v>20</v>
      </c>
      <c r="C21" s="2">
        <v>11</v>
      </c>
      <c r="D21" s="2">
        <v>12.1</v>
      </c>
      <c r="E21" s="2">
        <v>1</v>
      </c>
      <c r="F21" s="1">
        <f t="shared" si="1"/>
        <v>133.1</v>
      </c>
      <c r="G21" s="1">
        <f t="shared" si="2"/>
        <v>11</v>
      </c>
      <c r="H21" s="1">
        <f t="shared" si="3"/>
        <v>12.1</v>
      </c>
      <c r="I21" s="1">
        <f t="shared" si="4"/>
        <v>146.41</v>
      </c>
      <c r="J21" s="1">
        <f t="shared" si="4"/>
        <v>1</v>
      </c>
      <c r="K21" s="1">
        <f t="shared" si="5"/>
        <v>121</v>
      </c>
      <c r="L21" s="1">
        <f t="shared" si="0"/>
        <v>10.779197357359845</v>
      </c>
      <c r="M21" s="1">
        <f t="shared" si="6"/>
        <v>0.22080264264015526</v>
      </c>
      <c r="N21" s="1">
        <f t="shared" si="7"/>
        <v>4.8753806996876106E-2</v>
      </c>
      <c r="O21" s="1">
        <f t="shared" si="8"/>
        <v>2.0072967512741388E-2</v>
      </c>
    </row>
    <row r="22" spans="1:17" x14ac:dyDescent="0.25">
      <c r="B22" s="4" t="s">
        <v>2</v>
      </c>
      <c r="C22">
        <f t="shared" ref="C22:K22" si="9">SUM(C3:C21)</f>
        <v>441</v>
      </c>
      <c r="D22">
        <f t="shared" si="9"/>
        <v>259.2</v>
      </c>
      <c r="E22">
        <f t="shared" si="9"/>
        <v>43.3</v>
      </c>
      <c r="F22">
        <f t="shared" si="9"/>
        <v>6050.0999999999995</v>
      </c>
      <c r="G22">
        <f t="shared" si="9"/>
        <v>1051.3</v>
      </c>
      <c r="H22">
        <f t="shared" si="9"/>
        <v>593.06000000000006</v>
      </c>
      <c r="I22">
        <f t="shared" si="9"/>
        <v>3617.2999999999997</v>
      </c>
      <c r="J22">
        <f t="shared" si="9"/>
        <v>103.49000000000001</v>
      </c>
      <c r="K22">
        <f t="shared" si="9"/>
        <v>10929</v>
      </c>
    </row>
    <row r="23" spans="1:17" x14ac:dyDescent="0.25">
      <c r="B23" s="4" t="s">
        <v>3</v>
      </c>
      <c r="C23">
        <f>C22/19</f>
        <v>23.210526315789473</v>
      </c>
      <c r="D23">
        <f t="shared" ref="D23:K23" si="10">D22/19</f>
        <v>13.642105263157895</v>
      </c>
      <c r="E23">
        <f t="shared" si="10"/>
        <v>2.2789473684210524</v>
      </c>
      <c r="F23">
        <f>F22/19</f>
        <v>318.42631578947368</v>
      </c>
      <c r="G23">
        <f t="shared" si="10"/>
        <v>55.331578947368421</v>
      </c>
      <c r="H23">
        <f t="shared" si="10"/>
        <v>31.213684210526321</v>
      </c>
      <c r="I23">
        <f t="shared" si="10"/>
        <v>190.38421052631577</v>
      </c>
      <c r="J23">
        <f t="shared" si="10"/>
        <v>5.4468421052631584</v>
      </c>
      <c r="K23">
        <f t="shared" si="10"/>
        <v>575.21052631578948</v>
      </c>
      <c r="M23" s="4" t="s">
        <v>102</v>
      </c>
      <c r="N23">
        <f>SQRT(SUM(N3:N21))/19</f>
        <v>0.82608385684241559</v>
      </c>
    </row>
    <row r="24" spans="1:17" ht="15" customHeight="1" x14ac:dyDescent="0.25">
      <c r="M24" s="11" t="s">
        <v>10</v>
      </c>
      <c r="N24" s="11"/>
      <c r="O24" s="6">
        <f>SUM(O3:O21)/19</f>
        <v>0.10332899576959251</v>
      </c>
      <c r="P24" s="9" t="s">
        <v>12</v>
      </c>
      <c r="Q24" s="9"/>
    </row>
    <row r="25" spans="1:17" ht="15" customHeight="1" x14ac:dyDescent="0.25">
      <c r="P25" s="9"/>
      <c r="Q25" s="9"/>
    </row>
    <row r="26" spans="1:17" x14ac:dyDescent="0.25">
      <c r="B26" s="4" t="s">
        <v>44</v>
      </c>
      <c r="C26">
        <f>SQRT( I23-D23*D23)</f>
        <v>2.0681330990135596</v>
      </c>
      <c r="P26" s="9"/>
      <c r="Q26" s="9"/>
    </row>
    <row r="27" spans="1:17" x14ac:dyDescent="0.25">
      <c r="B27" s="4" t="s">
        <v>45</v>
      </c>
      <c r="C27">
        <f>SQRT( J23-E23*E23)</f>
        <v>0.50323056070743366</v>
      </c>
      <c r="P27" s="9"/>
      <c r="Q27" s="9"/>
    </row>
    <row r="28" spans="1:17" x14ac:dyDescent="0.25">
      <c r="B28" s="4" t="s">
        <v>4</v>
      </c>
      <c r="C28">
        <f>SQRT( K23-C23*C23)</f>
        <v>6.0400326538714841</v>
      </c>
      <c r="P28" s="9"/>
      <c r="Q28" s="9"/>
    </row>
    <row r="29" spans="1:17" x14ac:dyDescent="0.25">
      <c r="A29" s="13" t="s">
        <v>60</v>
      </c>
      <c r="B29" s="13"/>
      <c r="C29" s="13"/>
      <c r="D29" s="13"/>
      <c r="E29" s="13"/>
    </row>
    <row r="30" spans="1:17" ht="30" customHeight="1" x14ac:dyDescent="0.25">
      <c r="B30" s="4" t="s">
        <v>38</v>
      </c>
      <c r="C30">
        <f>(H23-E23*D23)/C26/C27</f>
        <v>0.1191876877650036</v>
      </c>
      <c r="D30" s="5" t="s">
        <v>5</v>
      </c>
      <c r="E30">
        <f>C30*C30</f>
        <v>1.420570491476799E-2</v>
      </c>
      <c r="G30" s="10" t="s">
        <v>61</v>
      </c>
      <c r="H30" s="10"/>
      <c r="I30" s="10"/>
      <c r="J30" s="10"/>
      <c r="K30" s="10"/>
      <c r="L30" s="10"/>
      <c r="M30" s="22" t="s">
        <v>28</v>
      </c>
      <c r="N30" s="23">
        <v>8</v>
      </c>
    </row>
    <row r="31" spans="1:17" x14ac:dyDescent="0.25">
      <c r="B31" s="4" t="s">
        <v>36</v>
      </c>
      <c r="C31">
        <f>(F23-D23*C23)/C26/C28</f>
        <v>0.14296597701266936</v>
      </c>
      <c r="M31" s="22" t="s">
        <v>29</v>
      </c>
      <c r="N31" s="23">
        <v>19</v>
      </c>
    </row>
    <row r="32" spans="1:17" x14ac:dyDescent="0.25">
      <c r="B32" s="4" t="s">
        <v>37</v>
      </c>
      <c r="C32">
        <f>(G23-C23*E23)/C28/C27</f>
        <v>0.80144360031626105</v>
      </c>
      <c r="M32" s="22" t="s">
        <v>30</v>
      </c>
      <c r="N32" s="24">
        <v>2.7E-2</v>
      </c>
    </row>
    <row r="33" spans="1:16" x14ac:dyDescent="0.25">
      <c r="A33" s="12" t="s">
        <v>62</v>
      </c>
      <c r="B33" s="12"/>
      <c r="C33" s="12"/>
      <c r="D33" s="12"/>
      <c r="E33" s="12"/>
    </row>
    <row r="34" spans="1:16" x14ac:dyDescent="0.25">
      <c r="B34" s="4" t="s">
        <v>46</v>
      </c>
      <c r="C34">
        <f>C28/C26*(C31-C32*C30)/(1-E30)</f>
        <v>0.14055738507865564</v>
      </c>
      <c r="D34" s="4" t="s">
        <v>48</v>
      </c>
      <c r="E34">
        <f>C34*C26/C28</f>
        <v>4.8127451795419961E-2</v>
      </c>
    </row>
    <row r="35" spans="1:16" x14ac:dyDescent="0.25">
      <c r="B35" s="4" t="s">
        <v>47</v>
      </c>
      <c r="C35">
        <f>C28/C27*(C32-C31*C30)/(1-E30)</f>
        <v>9.5504904867225662</v>
      </c>
      <c r="D35" s="4" t="s">
        <v>49</v>
      </c>
      <c r="E35">
        <f>C35*C27/C28</f>
        <v>0.79570740061874323</v>
      </c>
    </row>
    <row r="36" spans="1:16" x14ac:dyDescent="0.25">
      <c r="B36" s="4" t="s">
        <v>6</v>
      </c>
      <c r="C36">
        <f>C23-C34*D23-C35*E23</f>
        <v>-0.47203748881445406</v>
      </c>
      <c r="G36" s="25" t="s">
        <v>31</v>
      </c>
      <c r="H36" s="25"/>
      <c r="I36" s="25"/>
      <c r="J36" s="25"/>
      <c r="K36" s="25"/>
      <c r="L36" s="25"/>
      <c r="M36" s="25"/>
      <c r="N36" s="25"/>
      <c r="O36" s="25"/>
      <c r="P36" s="25"/>
    </row>
    <row r="38" spans="1:16" x14ac:dyDescent="0.25">
      <c r="C38" s="9" t="s">
        <v>32</v>
      </c>
      <c r="D38" s="9"/>
      <c r="E38" s="9"/>
    </row>
    <row r="39" spans="1:16" x14ac:dyDescent="0.25">
      <c r="C39" s="9"/>
      <c r="D39" s="9"/>
      <c r="E39" s="9"/>
    </row>
    <row r="40" spans="1:16" x14ac:dyDescent="0.25">
      <c r="C40" s="9"/>
      <c r="D40" s="9"/>
      <c r="E40" s="9"/>
    </row>
    <row r="41" spans="1:16" x14ac:dyDescent="0.25">
      <c r="C41" s="9"/>
      <c r="D41" s="9"/>
      <c r="E41" s="9"/>
    </row>
    <row r="42" spans="1:16" x14ac:dyDescent="0.25">
      <c r="C42" s="9"/>
      <c r="D42" s="9"/>
      <c r="E42" s="9"/>
    </row>
    <row r="43" spans="1:16" x14ac:dyDescent="0.25">
      <c r="C43" s="9"/>
      <c r="D43" s="9"/>
      <c r="E43" s="9"/>
    </row>
    <row r="45" spans="1:16" x14ac:dyDescent="0.25">
      <c r="B45" s="1"/>
      <c r="C45" s="1"/>
      <c r="D45" s="1"/>
      <c r="E45" s="1"/>
      <c r="F45" s="1"/>
    </row>
    <row r="46" spans="1:16" ht="15" customHeight="1" x14ac:dyDescent="0.25">
      <c r="A46" s="9" t="s">
        <v>33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6" x14ac:dyDescent="0.25">
      <c r="A47" s="1"/>
    </row>
    <row r="48" spans="1:16" x14ac:dyDescent="0.25">
      <c r="C48" s="9" t="s">
        <v>34</v>
      </c>
      <c r="D48" s="9"/>
      <c r="E48" s="9"/>
    </row>
    <row r="49" spans="1:10" x14ac:dyDescent="0.25">
      <c r="C49" s="9"/>
      <c r="D49" s="9"/>
      <c r="E49" s="9"/>
    </row>
    <row r="50" spans="1:10" x14ac:dyDescent="0.25">
      <c r="C50" s="9"/>
      <c r="D50" s="9"/>
      <c r="E50" s="9"/>
    </row>
    <row r="51" spans="1:10" x14ac:dyDescent="0.25">
      <c r="C51" s="9"/>
      <c r="D51" s="9"/>
      <c r="E51" s="9"/>
    </row>
    <row r="53" spans="1:10" x14ac:dyDescent="0.25">
      <c r="A53" s="8" t="s">
        <v>66</v>
      </c>
      <c r="B53" s="8"/>
      <c r="C53" s="8"/>
      <c r="D53" s="8"/>
    </row>
    <row r="54" spans="1:10" x14ac:dyDescent="0.25">
      <c r="B54" s="7" t="s">
        <v>50</v>
      </c>
      <c r="C54">
        <f>C34*D23/C23</f>
        <v>8.2613320209495564E-2</v>
      </c>
      <c r="E54" s="10" t="s">
        <v>35</v>
      </c>
      <c r="F54" s="10"/>
      <c r="G54" s="10"/>
      <c r="H54" s="10"/>
      <c r="I54" s="10"/>
      <c r="J54" s="10"/>
    </row>
    <row r="55" spans="1:10" x14ac:dyDescent="0.25">
      <c r="B55" s="7" t="s">
        <v>51</v>
      </c>
      <c r="C55">
        <f>C35*E23/C23</f>
        <v>0.93772389586187554</v>
      </c>
      <c r="E55" s="10"/>
      <c r="F55" s="10"/>
      <c r="G55" s="10"/>
      <c r="H55" s="10"/>
      <c r="I55" s="10"/>
      <c r="J55" s="10"/>
    </row>
    <row r="56" spans="1:10" x14ac:dyDescent="0.25">
      <c r="E56" s="10"/>
      <c r="F56" s="10"/>
      <c r="G56" s="10"/>
      <c r="H56" s="10"/>
      <c r="I56" s="10"/>
      <c r="J56" s="10"/>
    </row>
    <row r="57" spans="1:10" x14ac:dyDescent="0.25">
      <c r="A57" s="8" t="s">
        <v>67</v>
      </c>
      <c r="B57" s="8"/>
      <c r="C57" s="8"/>
      <c r="D57" s="8"/>
      <c r="E57" s="10"/>
      <c r="F57" s="10"/>
      <c r="G57" s="10"/>
      <c r="H57" s="10"/>
      <c r="I57" s="10"/>
      <c r="J57" s="10"/>
    </row>
    <row r="58" spans="1:10" x14ac:dyDescent="0.25">
      <c r="B58" s="4" t="s">
        <v>36</v>
      </c>
      <c r="C58">
        <f>(F23-C23*D23)/C28/C26</f>
        <v>0.14296597701266936</v>
      </c>
      <c r="D58" s="4" t="s">
        <v>38</v>
      </c>
      <c r="E58">
        <f>(H23-D23*E23)/C26/C27</f>
        <v>0.1191876877650036</v>
      </c>
    </row>
    <row r="59" spans="1:10" x14ac:dyDescent="0.25">
      <c r="B59" s="4" t="s">
        <v>37</v>
      </c>
      <c r="C59">
        <f>(G23-C23*E23)/C27/C28</f>
        <v>0.80144360031626105</v>
      </c>
    </row>
    <row r="60" spans="1:10" x14ac:dyDescent="0.25">
      <c r="B60" s="7" t="s">
        <v>41</v>
      </c>
      <c r="C60">
        <f>(C58-C59*E58)/SQRT((1-C59*C59)*(1-E58*E58))</f>
        <v>7.9897600807968358E-2</v>
      </c>
    </row>
    <row r="61" spans="1:10" x14ac:dyDescent="0.25">
      <c r="B61" s="7" t="s">
        <v>40</v>
      </c>
      <c r="C61">
        <f>(C59-C58*E58)/SQRT((1-C59*C59)*(1-E58*E58))</f>
        <v>1.3209739947343859</v>
      </c>
      <c r="E61" s="10" t="s">
        <v>39</v>
      </c>
      <c r="F61" s="10"/>
      <c r="G61" s="10"/>
      <c r="H61" s="10"/>
      <c r="I61" s="10"/>
    </row>
    <row r="62" spans="1:10" x14ac:dyDescent="0.25">
      <c r="E62" s="10"/>
      <c r="F62" s="10"/>
      <c r="G62" s="10"/>
      <c r="H62" s="10"/>
      <c r="I62" s="10"/>
    </row>
    <row r="63" spans="1:10" x14ac:dyDescent="0.25">
      <c r="E63" s="10"/>
      <c r="F63" s="10"/>
      <c r="G63" s="10"/>
      <c r="H63" s="10"/>
      <c r="I63" s="10"/>
    </row>
    <row r="64" spans="1:10" x14ac:dyDescent="0.25">
      <c r="E64" s="10"/>
      <c r="F64" s="10"/>
      <c r="G64" s="10"/>
      <c r="H64" s="10"/>
      <c r="I64" s="10"/>
    </row>
    <row r="66" spans="2:13" x14ac:dyDescent="0.25">
      <c r="B66" s="7" t="s">
        <v>13</v>
      </c>
      <c r="C66">
        <f>SQRT(E34*C58+E35*C59)</f>
        <v>0.80286685827554338</v>
      </c>
      <c r="E66" s="10" t="s">
        <v>42</v>
      </c>
      <c r="F66" s="10"/>
      <c r="G66" s="10"/>
      <c r="H66" s="10"/>
      <c r="I66" s="10"/>
    </row>
    <row r="67" spans="2:13" x14ac:dyDescent="0.25">
      <c r="E67" s="10"/>
      <c r="F67" s="10"/>
      <c r="G67" s="10"/>
      <c r="H67" s="10"/>
      <c r="I67" s="10"/>
    </row>
    <row r="68" spans="2:13" x14ac:dyDescent="0.25">
      <c r="E68" s="10"/>
      <c r="F68" s="10"/>
      <c r="G68" s="10"/>
      <c r="H68" s="10"/>
      <c r="I68" s="10"/>
    </row>
    <row r="69" spans="2:13" x14ac:dyDescent="0.25">
      <c r="E69" s="10"/>
      <c r="F69" s="10"/>
      <c r="G69" s="10"/>
      <c r="H69" s="10"/>
      <c r="I69" s="10"/>
    </row>
    <row r="72" spans="2:13" x14ac:dyDescent="0.25">
      <c r="B72" s="14" t="s">
        <v>14</v>
      </c>
      <c r="C72" s="14"/>
      <c r="D72" s="14"/>
    </row>
    <row r="73" spans="2:13" ht="15" customHeight="1" x14ac:dyDescent="0.25">
      <c r="B73" s="14"/>
      <c r="C73" s="14"/>
      <c r="D73" s="14"/>
      <c r="E73" s="15" t="s">
        <v>15</v>
      </c>
      <c r="H73" s="10" t="s">
        <v>64</v>
      </c>
      <c r="I73" s="10"/>
      <c r="J73" s="10"/>
      <c r="K73" s="10"/>
      <c r="L73" s="10"/>
      <c r="M73" s="10"/>
    </row>
    <row r="74" spans="2:13" x14ac:dyDescent="0.25">
      <c r="B74" s="14"/>
      <c r="C74" s="14"/>
      <c r="D74" s="14"/>
      <c r="E74" s="11"/>
      <c r="F74">
        <f>C66*C66</f>
        <v>0.64459519211724148</v>
      </c>
      <c r="H74" s="10"/>
      <c r="I74" s="10"/>
      <c r="J74" s="10"/>
      <c r="K74" s="10"/>
      <c r="L74" s="10"/>
      <c r="M74" s="10"/>
    </row>
    <row r="75" spans="2:13" x14ac:dyDescent="0.25">
      <c r="B75" s="14"/>
      <c r="C75" s="14"/>
      <c r="D75" s="14"/>
      <c r="E75" s="11"/>
      <c r="H75" s="10"/>
      <c r="I75" s="10"/>
      <c r="J75" s="10"/>
      <c r="K75" s="10"/>
      <c r="L75" s="10"/>
      <c r="M75" s="10"/>
    </row>
    <row r="76" spans="2:13" x14ac:dyDescent="0.25">
      <c r="B76" s="14"/>
      <c r="C76" s="14"/>
      <c r="D76" s="14"/>
    </row>
    <row r="78" spans="2:13" x14ac:dyDescent="0.25">
      <c r="B78" s="10" t="s">
        <v>63</v>
      </c>
      <c r="C78" s="10"/>
      <c r="D78" s="10"/>
      <c r="E78" s="8">
        <f>1-(1-F74)*(19-1)/(19-2-1)</f>
        <v>0.60016959113189672</v>
      </c>
      <c r="F78" s="8"/>
    </row>
    <row r="79" spans="2:13" x14ac:dyDescent="0.25">
      <c r="B79" s="10"/>
      <c r="C79" s="10"/>
      <c r="D79" s="10"/>
      <c r="E79" s="8"/>
      <c r="F79" s="8"/>
    </row>
    <row r="80" spans="2:13" x14ac:dyDescent="0.25">
      <c r="B80" s="10"/>
      <c r="C80" s="10"/>
      <c r="D80" s="10"/>
      <c r="E80" s="8"/>
      <c r="F80" s="8"/>
    </row>
    <row r="83" spans="2:15" x14ac:dyDescent="0.25">
      <c r="B83" s="4" t="s">
        <v>16</v>
      </c>
      <c r="C83">
        <f>F74/(1-F74)*(19-2-1)/2</f>
        <v>14.50954354742171</v>
      </c>
      <c r="E83" s="10" t="s">
        <v>18</v>
      </c>
      <c r="F83" s="10"/>
      <c r="G83" s="10"/>
      <c r="H83" s="10"/>
      <c r="I83" s="10"/>
    </row>
    <row r="84" spans="2:15" x14ac:dyDescent="0.25">
      <c r="B84" s="4" t="s">
        <v>17</v>
      </c>
      <c r="C84">
        <f>_xlfn.F.INV.RT(1-N32,2,16)</f>
        <v>2.7418074143810089E-2</v>
      </c>
      <c r="E84" s="10"/>
      <c r="F84" s="10"/>
      <c r="G84" s="10"/>
      <c r="H84" s="10"/>
      <c r="I84" s="10"/>
    </row>
    <row r="90" spans="2:15" x14ac:dyDescent="0.25">
      <c r="B90" t="s">
        <v>19</v>
      </c>
      <c r="C90">
        <f>C28*SQRT(1-F74)/SQRT(1-E58*E58)/SQRT(16)</f>
        <v>0.90666696923944978</v>
      </c>
    </row>
    <row r="92" spans="2:15" x14ac:dyDescent="0.25">
      <c r="B92" s="4" t="s">
        <v>20</v>
      </c>
      <c r="C92">
        <f>C90/C26</f>
        <v>0.43839875183657379</v>
      </c>
    </row>
    <row r="93" spans="2:15" x14ac:dyDescent="0.25">
      <c r="B93" s="4" t="s">
        <v>21</v>
      </c>
      <c r="C93">
        <f>C90/C27</f>
        <v>1.8016929813739284</v>
      </c>
    </row>
    <row r="95" spans="2:15" x14ac:dyDescent="0.25">
      <c r="B95" s="4" t="s">
        <v>22</v>
      </c>
      <c r="C95">
        <f>C34/C92</f>
        <v>0.32061538608360957</v>
      </c>
      <c r="E95" s="10" t="s">
        <v>43</v>
      </c>
      <c r="F95" s="10"/>
      <c r="G95" s="10"/>
      <c r="H95" s="10"/>
      <c r="I95" s="10"/>
      <c r="K95" s="8" t="s">
        <v>65</v>
      </c>
      <c r="L95" s="8"/>
      <c r="M95" s="8"/>
      <c r="N95">
        <f>C34-C92*C97</f>
        <v>0.12548557704821867</v>
      </c>
      <c r="O95">
        <f>C34+C92*C97</f>
        <v>0.15562919310909262</v>
      </c>
    </row>
    <row r="96" spans="2:15" x14ac:dyDescent="0.25">
      <c r="B96" s="4" t="s">
        <v>23</v>
      </c>
      <c r="C96">
        <f>C35/C93</f>
        <v>5.30084236629461</v>
      </c>
      <c r="E96" s="10"/>
      <c r="F96" s="10"/>
      <c r="G96" s="10"/>
      <c r="H96" s="10"/>
      <c r="I96" s="10"/>
      <c r="K96" s="8"/>
      <c r="L96" s="8"/>
      <c r="M96" s="8"/>
      <c r="N96">
        <f>C35-C92*C97</f>
        <v>9.53541867869213</v>
      </c>
      <c r="O96">
        <f>C35+C92*C97</f>
        <v>9.5655622947530023</v>
      </c>
    </row>
    <row r="97" spans="2:12" x14ac:dyDescent="0.25">
      <c r="B97" s="4" t="s">
        <v>24</v>
      </c>
      <c r="C97">
        <f>TINV(1-N32,16)</f>
        <v>3.4379222037692857E-2</v>
      </c>
      <c r="E97" s="10"/>
      <c r="F97" s="10"/>
      <c r="G97" s="10"/>
      <c r="H97" s="10"/>
      <c r="I97" s="10"/>
    </row>
    <row r="101" spans="2:12" x14ac:dyDescent="0.25">
      <c r="B101" s="4" t="s">
        <v>25</v>
      </c>
      <c r="C101">
        <f>C58*C58</f>
        <v>2.0439270583187105E-2</v>
      </c>
    </row>
    <row r="102" spans="2:12" x14ac:dyDescent="0.25">
      <c r="B102" s="4" t="s">
        <v>26</v>
      </c>
      <c r="C102">
        <f>C59*C59</f>
        <v>0.6423118444878908</v>
      </c>
    </row>
    <row r="103" spans="2:12" x14ac:dyDescent="0.25">
      <c r="B103" s="4" t="s">
        <v>27</v>
      </c>
      <c r="C103">
        <f>C66*C66</f>
        <v>0.64459519211724148</v>
      </c>
    </row>
    <row r="105" spans="2:12" ht="15" customHeight="1" x14ac:dyDescent="0.25">
      <c r="B105" s="8" t="s">
        <v>68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7" spans="2:12" x14ac:dyDescent="0.25">
      <c r="D107" t="s">
        <v>69</v>
      </c>
      <c r="E107">
        <f>(G23-C23*E23)/C27</f>
        <v>4.8407455161465434</v>
      </c>
    </row>
    <row r="108" spans="2:12" x14ac:dyDescent="0.25">
      <c r="D108" t="s">
        <v>70</v>
      </c>
      <c r="E108">
        <f>C23-E107*E23</f>
        <v>12.178722060571298</v>
      </c>
    </row>
    <row r="110" spans="2:12" x14ac:dyDescent="0.25">
      <c r="D110" s="8" t="s">
        <v>71</v>
      </c>
      <c r="E110" s="8"/>
      <c r="F110" s="8"/>
      <c r="G110" s="8"/>
      <c r="H110" s="8"/>
      <c r="I110" s="8"/>
      <c r="J110" s="8"/>
    </row>
  </sheetData>
  <mergeCells count="24">
    <mergeCell ref="C38:E43"/>
    <mergeCell ref="C48:E51"/>
    <mergeCell ref="E54:J57"/>
    <mergeCell ref="M24:N24"/>
    <mergeCell ref="A46:L46"/>
    <mergeCell ref="G36:P36"/>
    <mergeCell ref="G30:L30"/>
    <mergeCell ref="A29:E29"/>
    <mergeCell ref="A33:E33"/>
    <mergeCell ref="P24:Q28"/>
    <mergeCell ref="K95:M96"/>
    <mergeCell ref="A53:D53"/>
    <mergeCell ref="A57:D57"/>
    <mergeCell ref="B105:L105"/>
    <mergeCell ref="D110:J110"/>
    <mergeCell ref="E61:I64"/>
    <mergeCell ref="E66:I69"/>
    <mergeCell ref="B72:D76"/>
    <mergeCell ref="E73:E75"/>
    <mergeCell ref="H73:M75"/>
    <mergeCell ref="B78:D80"/>
    <mergeCell ref="E78:F80"/>
    <mergeCell ref="E83:I84"/>
    <mergeCell ref="E95:I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25.7109375" customWidth="1"/>
    <col min="2" max="2" width="27.28515625" customWidth="1"/>
  </cols>
  <sheetData>
    <row r="1" spans="1:9" x14ac:dyDescent="0.25">
      <c r="A1" t="s">
        <v>72</v>
      </c>
    </row>
    <row r="2" spans="1:9" ht="15.75" thickBot="1" x14ac:dyDescent="0.3"/>
    <row r="3" spans="1:9" x14ac:dyDescent="0.25">
      <c r="A3" s="19" t="s">
        <v>73</v>
      </c>
      <c r="B3" s="19"/>
    </row>
    <row r="4" spans="1:9" x14ac:dyDescent="0.25">
      <c r="A4" s="16" t="s">
        <v>74</v>
      </c>
      <c r="B4" s="16">
        <v>0.80286685827554216</v>
      </c>
    </row>
    <row r="5" spans="1:9" x14ac:dyDescent="0.25">
      <c r="A5" s="16" t="s">
        <v>75</v>
      </c>
      <c r="B5" s="16">
        <v>0.64459519211723959</v>
      </c>
    </row>
    <row r="6" spans="1:9" x14ac:dyDescent="0.25">
      <c r="A6" s="16" t="s">
        <v>76</v>
      </c>
      <c r="B6" s="16">
        <v>0.6001695911318945</v>
      </c>
    </row>
    <row r="7" spans="1:9" x14ac:dyDescent="0.25">
      <c r="A7" s="16" t="s">
        <v>77</v>
      </c>
      <c r="B7" s="16">
        <v>3.9238983200014723</v>
      </c>
    </row>
    <row r="8" spans="1:9" ht="15.75" thickBot="1" x14ac:dyDescent="0.3">
      <c r="A8" s="17" t="s">
        <v>78</v>
      </c>
      <c r="B8" s="17">
        <v>19</v>
      </c>
    </row>
    <row r="10" spans="1:9" ht="15.75" thickBot="1" x14ac:dyDescent="0.3">
      <c r="A10" t="s">
        <v>79</v>
      </c>
    </row>
    <row r="11" spans="1:9" x14ac:dyDescent="0.25">
      <c r="A11" s="18"/>
      <c r="B11" s="18" t="s">
        <v>84</v>
      </c>
      <c r="C11" s="18" t="s">
        <v>85</v>
      </c>
      <c r="D11" s="18" t="s">
        <v>86</v>
      </c>
      <c r="E11" s="18" t="s">
        <v>87</v>
      </c>
      <c r="F11" s="18" t="s">
        <v>88</v>
      </c>
    </row>
    <row r="12" spans="1:9" x14ac:dyDescent="0.25">
      <c r="A12" s="16" t="s">
        <v>80</v>
      </c>
      <c r="B12" s="16">
        <v>2</v>
      </c>
      <c r="C12" s="16">
        <v>446.80624632547602</v>
      </c>
      <c r="D12" s="16">
        <v>223.40312316273801</v>
      </c>
      <c r="E12" s="16">
        <v>14.509543547421588</v>
      </c>
      <c r="F12" s="16">
        <v>2.5455778820408195E-4</v>
      </c>
    </row>
    <row r="13" spans="1:9" x14ac:dyDescent="0.25">
      <c r="A13" s="16" t="s">
        <v>81</v>
      </c>
      <c r="B13" s="16">
        <v>16</v>
      </c>
      <c r="C13" s="16">
        <v>246.35164841136606</v>
      </c>
      <c r="D13" s="16">
        <v>15.396978025710379</v>
      </c>
      <c r="E13" s="16"/>
      <c r="F13" s="16"/>
    </row>
    <row r="14" spans="1:9" ht="15.75" thickBot="1" x14ac:dyDescent="0.3">
      <c r="A14" s="17" t="s">
        <v>82</v>
      </c>
      <c r="B14" s="17">
        <v>18</v>
      </c>
      <c r="C14" s="17">
        <v>693.15789473684208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89</v>
      </c>
      <c r="C16" s="18" t="s">
        <v>77</v>
      </c>
      <c r="D16" s="18" t="s">
        <v>90</v>
      </c>
      <c r="E16" s="18" t="s">
        <v>91</v>
      </c>
      <c r="F16" s="18" t="s">
        <v>92</v>
      </c>
      <c r="G16" s="18" t="s">
        <v>93</v>
      </c>
      <c r="H16" s="18" t="s">
        <v>94</v>
      </c>
      <c r="I16" s="18" t="s">
        <v>95</v>
      </c>
    </row>
    <row r="17" spans="1:9" x14ac:dyDescent="0.25">
      <c r="A17" s="16" t="s">
        <v>83</v>
      </c>
      <c r="B17" s="16">
        <v>-0.47203748881459617</v>
      </c>
      <c r="C17" s="16">
        <v>6.8981304595250919</v>
      </c>
      <c r="D17" s="16">
        <v>-6.8429771165431683E-2</v>
      </c>
      <c r="E17" s="16">
        <v>0.94629141357042679</v>
      </c>
      <c r="F17" s="16">
        <v>-15.095420804681389</v>
      </c>
      <c r="G17" s="16">
        <v>14.151345827052197</v>
      </c>
      <c r="H17" s="16">
        <v>-17.265109235991364</v>
      </c>
      <c r="I17" s="16">
        <v>16.321034258362172</v>
      </c>
    </row>
    <row r="18" spans="1:9" x14ac:dyDescent="0.25">
      <c r="A18" s="16" t="s">
        <v>96</v>
      </c>
      <c r="B18" s="16">
        <v>0.14055738507866516</v>
      </c>
      <c r="C18" s="16">
        <v>0.43839875183657301</v>
      </c>
      <c r="D18" s="16">
        <v>0.32061538608363188</v>
      </c>
      <c r="E18" s="16">
        <v>0.75265127187908976</v>
      </c>
      <c r="F18" s="16">
        <v>-0.78880645211166978</v>
      </c>
      <c r="G18" s="16">
        <v>1.0699212222690002</v>
      </c>
      <c r="H18" s="16">
        <v>-0.92669724813845744</v>
      </c>
      <c r="I18" s="16">
        <v>1.2078120182957879</v>
      </c>
    </row>
    <row r="19" spans="1:9" ht="15.75" thickBot="1" x14ac:dyDescent="0.3">
      <c r="A19" s="17" t="s">
        <v>97</v>
      </c>
      <c r="B19" s="17">
        <v>9.5504904867225715</v>
      </c>
      <c r="C19" s="17">
        <v>1.8016929813739353</v>
      </c>
      <c r="D19" s="17">
        <v>5.3008423662945932</v>
      </c>
      <c r="E19" s="17">
        <v>7.1716335724803903E-5</v>
      </c>
      <c r="F19" s="17">
        <v>5.7310719879382237</v>
      </c>
      <c r="G19" s="17">
        <v>13.369908985506919</v>
      </c>
      <c r="H19" s="17">
        <v>5.1643804123879793</v>
      </c>
      <c r="I19" s="17">
        <v>13.936600561057164</v>
      </c>
    </row>
    <row r="23" spans="1:9" x14ac:dyDescent="0.25">
      <c r="A23" t="s">
        <v>98</v>
      </c>
    </row>
    <row r="24" spans="1:9" ht="15.75" thickBot="1" x14ac:dyDescent="0.3"/>
    <row r="25" spans="1:9" x14ac:dyDescent="0.25">
      <c r="A25" s="18" t="s">
        <v>99</v>
      </c>
      <c r="B25" s="18" t="s">
        <v>100</v>
      </c>
      <c r="C25" s="18" t="s">
        <v>101</v>
      </c>
    </row>
    <row r="26" spans="1:9" x14ac:dyDescent="0.25">
      <c r="A26" s="16">
        <v>1</v>
      </c>
      <c r="B26" s="16">
        <v>26.495710029859801</v>
      </c>
      <c r="C26" s="16">
        <v>-1.4957100298598007</v>
      </c>
    </row>
    <row r="27" spans="1:9" x14ac:dyDescent="0.25">
      <c r="A27" s="16">
        <v>2</v>
      </c>
      <c r="B27" s="16">
        <v>21.537740185896251</v>
      </c>
      <c r="C27" s="16">
        <v>-1.5377401858962507</v>
      </c>
    </row>
    <row r="28" spans="1:9" x14ac:dyDescent="0.25">
      <c r="A28" s="16">
        <v>3</v>
      </c>
      <c r="B28" s="16">
        <v>16.074504925512169</v>
      </c>
      <c r="C28" s="16">
        <v>-1.0745049255121693</v>
      </c>
    </row>
    <row r="29" spans="1:9" x14ac:dyDescent="0.25">
      <c r="A29" s="16">
        <v>4</v>
      </c>
      <c r="B29" s="16">
        <v>23.293225159654231</v>
      </c>
      <c r="C29" s="16">
        <v>10.706774840345769</v>
      </c>
    </row>
    <row r="30" spans="1:9" x14ac:dyDescent="0.25">
      <c r="A30" s="16">
        <v>5</v>
      </c>
      <c r="B30" s="16">
        <v>24.374034685034623</v>
      </c>
      <c r="C30" s="16">
        <v>-4.3740346850346228</v>
      </c>
    </row>
    <row r="31" spans="1:9" x14ac:dyDescent="0.25">
      <c r="A31" s="16">
        <v>6</v>
      </c>
      <c r="B31" s="16">
        <v>26.411375598812604</v>
      </c>
      <c r="C31" s="16">
        <v>6.5886244011873956</v>
      </c>
    </row>
    <row r="32" spans="1:9" x14ac:dyDescent="0.25">
      <c r="A32" s="16">
        <v>7</v>
      </c>
      <c r="B32" s="16">
        <v>29.388968652892306</v>
      </c>
      <c r="C32" s="16">
        <v>-1.3889686528923058</v>
      </c>
    </row>
    <row r="33" spans="1:3" x14ac:dyDescent="0.25">
      <c r="A33" s="16">
        <v>8</v>
      </c>
      <c r="B33" s="16">
        <v>24.374775854897287</v>
      </c>
      <c r="C33" s="16">
        <v>-1.3747758548972868</v>
      </c>
    </row>
    <row r="34" spans="1:3" x14ac:dyDescent="0.25">
      <c r="A34" s="16">
        <v>9</v>
      </c>
      <c r="B34" s="16">
        <v>24.234218469818622</v>
      </c>
      <c r="C34" s="16">
        <v>-0.2342184698186216</v>
      </c>
    </row>
    <row r="35" spans="1:3" x14ac:dyDescent="0.25">
      <c r="A35" s="16">
        <v>10</v>
      </c>
      <c r="B35" s="16">
        <v>26.509765768367668</v>
      </c>
      <c r="C35" s="16">
        <v>-1.509765768367668</v>
      </c>
    </row>
    <row r="36" spans="1:3" x14ac:dyDescent="0.25">
      <c r="A36" s="16">
        <v>11</v>
      </c>
      <c r="B36" s="16">
        <v>28.405808127204313</v>
      </c>
      <c r="C36" s="16">
        <v>-2.4058081272043133</v>
      </c>
    </row>
    <row r="37" spans="1:3" x14ac:dyDescent="0.25">
      <c r="A37" s="16">
        <v>12</v>
      </c>
      <c r="B37" s="16">
        <v>27.000975446280332</v>
      </c>
      <c r="C37" s="16">
        <v>-1.0009754462803322</v>
      </c>
    </row>
    <row r="38" spans="1:3" x14ac:dyDescent="0.25">
      <c r="A38" s="16">
        <v>13</v>
      </c>
      <c r="B38" s="16">
        <v>19.824422427661865</v>
      </c>
      <c r="C38" s="16">
        <v>0.17557757233813476</v>
      </c>
    </row>
    <row r="39" spans="1:3" x14ac:dyDescent="0.25">
      <c r="A39" s="16">
        <v>14</v>
      </c>
      <c r="B39" s="16">
        <v>19.599530611536</v>
      </c>
      <c r="C39" s="16">
        <v>0.40046938846399982</v>
      </c>
    </row>
    <row r="40" spans="1:3" x14ac:dyDescent="0.25">
      <c r="A40" s="16">
        <v>15</v>
      </c>
      <c r="B40" s="16">
        <v>16.678160511487764</v>
      </c>
      <c r="C40" s="16">
        <v>-3.6781605114877642</v>
      </c>
    </row>
    <row r="41" spans="1:3" x14ac:dyDescent="0.25">
      <c r="A41" s="16">
        <v>16</v>
      </c>
      <c r="B41" s="16">
        <v>24.571556194007421</v>
      </c>
      <c r="C41" s="16">
        <v>-3.571556194007421</v>
      </c>
    </row>
    <row r="42" spans="1:3" x14ac:dyDescent="0.25">
      <c r="A42" s="16">
        <v>17</v>
      </c>
      <c r="B42" s="16">
        <v>30.287794747533095</v>
      </c>
      <c r="C42" s="16">
        <v>0.71220525246690514</v>
      </c>
    </row>
    <row r="43" spans="1:3" x14ac:dyDescent="0.25">
      <c r="A43" s="16">
        <v>18</v>
      </c>
      <c r="B43" s="16">
        <v>21.158235246183853</v>
      </c>
      <c r="C43" s="16">
        <v>4.8417647538161468</v>
      </c>
    </row>
    <row r="44" spans="1:3" ht="15.75" thickBot="1" x14ac:dyDescent="0.3">
      <c r="A44" s="17">
        <v>19</v>
      </c>
      <c r="B44" s="17">
        <v>10.779197357359823</v>
      </c>
      <c r="C44" s="17">
        <v>0.22080264264017657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Контрольная</vt:lpstr>
      <vt:lpstr>Анализ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Пасько</dc:creator>
  <cp:lastModifiedBy>Дмитрий Пасько</cp:lastModifiedBy>
  <dcterms:created xsi:type="dcterms:W3CDTF">2019-04-10T10:20:36Z</dcterms:created>
  <dcterms:modified xsi:type="dcterms:W3CDTF">2019-04-17T11:39:26Z</dcterms:modified>
</cp:coreProperties>
</file>