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ендель\Desktop\"/>
    </mc:Choice>
  </mc:AlternateContent>
  <xr:revisionPtr revIDLastSave="0" documentId="13_ncr:1_{02840708-E8A8-4626-A083-CE3956E9616F}" xr6:coauthVersionLast="43" xr6:coauthVersionMax="43" xr10:uidLastSave="{00000000-0000-0000-0000-000000000000}"/>
  <bookViews>
    <workbookView xWindow="-120" yWindow="-120" windowWidth="29040" windowHeight="15840" xr2:uid="{B5C482BF-A263-4B8D-8000-247813FE2338}"/>
  </bookViews>
  <sheets>
    <sheet name="Исходные данные" sheetId="1" r:id="rId1"/>
    <sheet name="Результат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7" i="1" l="1"/>
  <c r="J47" i="1"/>
  <c r="G17" i="1"/>
  <c r="G6" i="1"/>
  <c r="G7" i="1"/>
  <c r="G8" i="1"/>
  <c r="G9" i="1"/>
  <c r="G10" i="1"/>
  <c r="G11" i="1"/>
  <c r="G12" i="1"/>
  <c r="G13" i="1"/>
  <c r="G14" i="1"/>
  <c r="G15" i="1"/>
  <c r="G16" i="1"/>
  <c r="G5" i="1"/>
  <c r="D43" i="1" l="1"/>
  <c r="D41" i="1"/>
  <c r="J36" i="1" l="1"/>
  <c r="J18" i="1"/>
  <c r="J49" i="1"/>
  <c r="D38" i="1" l="1"/>
  <c r="D39" i="1"/>
  <c r="H39" i="1" s="1"/>
  <c r="H38" i="1"/>
  <c r="H36" i="1"/>
  <c r="L23" i="1"/>
  <c r="M17" i="1"/>
  <c r="M6" i="1"/>
  <c r="M7" i="1"/>
  <c r="M8" i="1"/>
  <c r="M9" i="1"/>
  <c r="M10" i="1"/>
  <c r="M11" i="1"/>
  <c r="M12" i="1"/>
  <c r="M13" i="1"/>
  <c r="M14" i="1"/>
  <c r="M15" i="1"/>
  <c r="M16" i="1"/>
  <c r="M5" i="1"/>
  <c r="C21" i="1"/>
  <c r="K49" i="1"/>
  <c r="C31" i="1"/>
  <c r="E45" i="1"/>
  <c r="C45" i="1"/>
  <c r="C36" i="1"/>
  <c r="C35" i="1"/>
  <c r="J6" i="1"/>
  <c r="J7" i="1"/>
  <c r="J8" i="1"/>
  <c r="J9" i="1"/>
  <c r="J10" i="1"/>
  <c r="J11" i="1"/>
  <c r="J12" i="1"/>
  <c r="J13" i="1"/>
  <c r="J14" i="1"/>
  <c r="J15" i="1"/>
  <c r="J16" i="1"/>
  <c r="J5" i="1"/>
  <c r="C29" i="1"/>
  <c r="I17" i="1"/>
  <c r="L21" i="1"/>
  <c r="L20" i="1"/>
  <c r="L17" i="1"/>
  <c r="K17" i="1"/>
  <c r="L6" i="1"/>
  <c r="L7" i="1"/>
  <c r="L8" i="1"/>
  <c r="L9" i="1"/>
  <c r="L10" i="1"/>
  <c r="L11" i="1"/>
  <c r="L12" i="1"/>
  <c r="L13" i="1"/>
  <c r="L14" i="1"/>
  <c r="L15" i="1"/>
  <c r="L16" i="1"/>
  <c r="L5" i="1"/>
  <c r="K6" i="1"/>
  <c r="K7" i="1"/>
  <c r="K8" i="1"/>
  <c r="K9" i="1"/>
  <c r="K10" i="1"/>
  <c r="K11" i="1"/>
  <c r="K12" i="1"/>
  <c r="K13" i="1"/>
  <c r="K14" i="1"/>
  <c r="K15" i="1"/>
  <c r="K16" i="1"/>
  <c r="K5" i="1"/>
  <c r="D18" i="1"/>
  <c r="C18" i="1"/>
  <c r="I6" i="1"/>
  <c r="I7" i="1"/>
  <c r="I8" i="1"/>
  <c r="I9" i="1"/>
  <c r="I10" i="1"/>
  <c r="I11" i="1"/>
  <c r="I12" i="1"/>
  <c r="I13" i="1"/>
  <c r="I14" i="1"/>
  <c r="I15" i="1"/>
  <c r="I16" i="1"/>
  <c r="I5" i="1"/>
  <c r="H6" i="1"/>
  <c r="H7" i="1"/>
  <c r="H8" i="1"/>
  <c r="H9" i="1"/>
  <c r="H10" i="1"/>
  <c r="H11" i="1"/>
  <c r="H12" i="1"/>
  <c r="H13" i="1"/>
  <c r="H14" i="1"/>
  <c r="H15" i="1"/>
  <c r="H16" i="1"/>
  <c r="H5" i="1"/>
  <c r="C22" i="1"/>
  <c r="D17" i="1"/>
  <c r="E17" i="1"/>
  <c r="F17" i="1"/>
  <c r="C17" i="1"/>
  <c r="F6" i="1"/>
  <c r="F7" i="1"/>
  <c r="F8" i="1"/>
  <c r="F9" i="1"/>
  <c r="F10" i="1"/>
  <c r="F11" i="1"/>
  <c r="F12" i="1"/>
  <c r="F13" i="1"/>
  <c r="F14" i="1"/>
  <c r="F15" i="1"/>
  <c r="F16" i="1"/>
  <c r="F5" i="1"/>
  <c r="E6" i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<sst xmlns="http://schemas.openxmlformats.org/spreadsheetml/2006/main" count="81" uniqueCount="73">
  <si>
    <t>Номер региона</t>
  </si>
  <si>
    <t>Прожиточный минимум</t>
  </si>
  <si>
    <t>Зарплата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</si>
  <si>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</si>
  <si>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</si>
  <si>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</si>
  <si>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</si>
  <si>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</si>
  <si>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</si>
  <si>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</si>
  <si>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</si>
  <si>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</si>
  <si>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</si>
  <si>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</si>
  <si>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</si>
  <si>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</si>
  <si>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</si>
  <si>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</si>
  <si>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</si>
  <si>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</si>
  <si>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</si>
  <si>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</si>
  <si>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</si>
  <si>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</si>
  <si>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</si>
  <si>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</si>
  <si>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</si>
  <si>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</si>
  <si>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</si>
  <si>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Остатки</t>
  </si>
  <si>
    <t>X_i*Y_i</t>
  </si>
  <si>
    <t>X_i^2</t>
  </si>
  <si>
    <t>Суммы</t>
  </si>
  <si>
    <t>Коэффициенты регрессии</t>
  </si>
  <si>
    <t>b</t>
  </si>
  <si>
    <t>a</t>
  </si>
  <si>
    <t>уравнение y = 76,08099903+0,890851387x</t>
  </si>
  <si>
    <t>Прогноз</t>
  </si>
  <si>
    <t>Ошибки</t>
  </si>
  <si>
    <t>Переменная X 1</t>
  </si>
  <si>
    <t>Предсказанное Y</t>
  </si>
  <si>
    <t>Средние</t>
  </si>
  <si>
    <t>Вариации</t>
  </si>
  <si>
    <t>Квадрат разности значений и среднего</t>
  </si>
  <si>
    <t>Коэффициент детерминации r^2</t>
  </si>
  <si>
    <t>Коэффициент корреляции Пирсона</t>
  </si>
  <si>
    <t>зависимость близка к линейной</t>
  </si>
  <si>
    <t>Предсказание</t>
  </si>
  <si>
    <t>Квадрат разности предсказания и среднего</t>
  </si>
  <si>
    <t>Средняя ошибка аппроксимации</t>
  </si>
  <si>
    <t>Число наблюдений n</t>
  </si>
  <si>
    <t>Статистика t</t>
  </si>
  <si>
    <t>Доверительная вероятность p</t>
  </si>
  <si>
    <t>Значение t-критерия</t>
  </si>
  <si>
    <t>Квадрат ошибок</t>
  </si>
  <si>
    <t>Дисперсия распределения остатков</t>
  </si>
  <si>
    <t>Стандартные ошибки коэффициентов</t>
  </si>
  <si>
    <t>t-Статистики</t>
  </si>
  <si>
    <t>107% от среднего по x</t>
  </si>
  <si>
    <t>Концы интервала</t>
  </si>
  <si>
    <t>(Значение-прогноз)/значение</t>
  </si>
  <si>
    <t>F-критерий</t>
  </si>
  <si>
    <t>Табличное значение</t>
  </si>
  <si>
    <t>Уравнение значимо</t>
  </si>
  <si>
    <t>при изменении x на 1 y меняется в среднем на 0,9</t>
  </si>
  <si>
    <t>модель более чем примлемая, переменная более-менее точно описывается этой моделью, в 68% случаев изменение х приводит к изменению у</t>
  </si>
  <si>
    <t>Если модуль t-статистики превосходит модуль t-критерия, то нулевая гипотеза отклоняется и принимается гипотеза H_1 на уровне значимости (1-p), то есть коэффициент корреляции не нулевой - статистически значим</t>
  </si>
  <si>
    <t>В данном случае статистическая значимость обоих коэффициентов подтверждается</t>
  </si>
  <si>
    <t>Качество модели приемлемое</t>
  </si>
  <si>
    <t>Доверительный интервал</t>
  </si>
  <si>
    <t>SS остаток</t>
  </si>
  <si>
    <t>Предельные ошибки коэффициентов</t>
  </si>
  <si>
    <t>(x- xсреднее)^2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</si>
</sst>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0" fillId="0" borderId="3" xfId="0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3" borderId="0" xfId="2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3" borderId="0" xfId="2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3" borderId="6" xfId="2" applyBorder="1" applyAlignment="1">
      <alignment horizontal="center" vertical="center" wrapText="1"/>
    </xf>
    <xf numFmtId="0" fontId="4" fillId="4" borderId="0" xfId="3"/>
    <xf numFmtId="0" fontId="1" fillId="5" borderId="0" xfId="4"/>
    <xf numFmtId="0" fontId="1" fillId="5" borderId="0" xfId="4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1" xfId="4" applyBorder="1"/>
    <xf numFmtId="9" fontId="0" fillId="0" borderId="0" xfId="5" applyFont="1" applyAlignment="1">
      <alignment horizontal="center"/>
    </xf>
    <xf numFmtId="9" fontId="1" fillId="5" borderId="0" xfId="5" applyFill="1" applyAlignment="1">
      <alignment horizontal="center" vertical="center"/>
    </xf>
    <xf numFmtId="9" fontId="0" fillId="0" borderId="0" xfId="5" applyFont="1" applyAlignment="1">
      <alignment horizontal="center" vertical="center"/>
    </xf>
    <xf numFmtId="0" fontId="3" fillId="3" borderId="0" xfId="2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2" applyAlignment="1">
      <alignment horizontal="center" vertical="center" wrapText="1"/>
    </xf>
    <xf numFmtId="0" fontId="2" fillId="2" borderId="0" xfId="1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Alignment="1">
      <alignment horizontal="center"/>
    </xf>
    <xf numFmtId="0" fontId="2" fillId="2" borderId="0" xfId="1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7" xfId="2" applyBorder="1" applyAlignment="1">
      <alignment horizontal="center" vertical="center" wrapText="1"/>
    </xf>
  </cellXfs>
  <cellStyles count="6">
    <cellStyle name="60% — акцент2" xfId="4" builtinId="36"/>
    <cellStyle name="Нейтральный" xfId="3" builtinId="28"/>
    <cellStyle name="Обычный" xfId="0" builtinId="0"/>
    <cellStyle name="Плохой" xfId="2" builtinId="27"/>
    <cellStyle name="Процентный" xfId="5" builtinId="5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'Исходные данные'!$C$5:$C$16</c:f>
              <c:numCache>
                <c:formatCode>General</c:formatCode>
                <c:ptCount val="12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79</c:v>
                </c:pt>
                <c:pt idx="4">
                  <c:v>106</c:v>
                </c:pt>
                <c:pt idx="5">
                  <c:v>113</c:v>
                </c:pt>
                <c:pt idx="6">
                  <c:v>67</c:v>
                </c:pt>
                <c:pt idx="7">
                  <c:v>98</c:v>
                </c:pt>
                <c:pt idx="8">
                  <c:v>79</c:v>
                </c:pt>
                <c:pt idx="9">
                  <c:v>87</c:v>
                </c:pt>
                <c:pt idx="10">
                  <c:v>86</c:v>
                </c:pt>
                <c:pt idx="11">
                  <c:v>117</c:v>
                </c:pt>
              </c:numCache>
            </c:numRef>
          </c:xVal>
          <c:yVal>
            <c:numRef>
              <c:f>'Исходные данные'!$D$5:$D$16</c:f>
              <c:numCache>
                <c:formatCode>General</c:formatCode>
                <c:ptCount val="12"/>
                <c:pt idx="0">
                  <c:v>139</c:v>
                </c:pt>
                <c:pt idx="1">
                  <c:v>148</c:v>
                </c:pt>
                <c:pt idx="2">
                  <c:v>142</c:v>
                </c:pt>
                <c:pt idx="3">
                  <c:v>154</c:v>
                </c:pt>
                <c:pt idx="4">
                  <c:v>164</c:v>
                </c:pt>
                <c:pt idx="5">
                  <c:v>195</c:v>
                </c:pt>
                <c:pt idx="6">
                  <c:v>139</c:v>
                </c:pt>
                <c:pt idx="7">
                  <c:v>164</c:v>
                </c:pt>
                <c:pt idx="8">
                  <c:v>152</c:v>
                </c:pt>
                <c:pt idx="9">
                  <c:v>162</c:v>
                </c:pt>
                <c:pt idx="10">
                  <c:v>152</c:v>
                </c:pt>
                <c:pt idx="11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8-4862-A93C-ED9550120A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'Исходные данные'!$C$5:$C$16</c:f>
              <c:numCache>
                <c:formatCode>General</c:formatCode>
                <c:ptCount val="12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79</c:v>
                </c:pt>
                <c:pt idx="4">
                  <c:v>106</c:v>
                </c:pt>
                <c:pt idx="5">
                  <c:v>113</c:v>
                </c:pt>
                <c:pt idx="6">
                  <c:v>67</c:v>
                </c:pt>
                <c:pt idx="7">
                  <c:v>98</c:v>
                </c:pt>
                <c:pt idx="8">
                  <c:v>79</c:v>
                </c:pt>
                <c:pt idx="9">
                  <c:v>87</c:v>
                </c:pt>
                <c:pt idx="10">
                  <c:v>86</c:v>
                </c:pt>
                <c:pt idx="11">
                  <c:v>117</c:v>
                </c:pt>
              </c:numCache>
            </c:numRef>
          </c:xVal>
          <c:yVal>
            <c:numRef>
              <c:f>'Исходные данные'!$H$5:$H$16</c:f>
              <c:numCache>
                <c:formatCode>General</c:formatCode>
                <c:ptCount val="12"/>
                <c:pt idx="0">
                  <c:v>151.80336691044567</c:v>
                </c:pt>
                <c:pt idx="1">
                  <c:v>152.69421829722643</c:v>
                </c:pt>
                <c:pt idx="2">
                  <c:v>153.58506968400718</c:v>
                </c:pt>
                <c:pt idx="3">
                  <c:v>146.45825858976127</c:v>
                </c:pt>
                <c:pt idx="4">
                  <c:v>170.51124603284117</c:v>
                </c:pt>
                <c:pt idx="5">
                  <c:v>176.74720574030633</c:v>
                </c:pt>
                <c:pt idx="6">
                  <c:v>135.76804194839244</c:v>
                </c:pt>
                <c:pt idx="7">
                  <c:v>163.38443493859529</c:v>
                </c:pt>
                <c:pt idx="8">
                  <c:v>146.45825858976127</c:v>
                </c:pt>
                <c:pt idx="9">
                  <c:v>153.58506968400718</c:v>
                </c:pt>
                <c:pt idx="10">
                  <c:v>152.69421829722643</c:v>
                </c:pt>
                <c:pt idx="11">
                  <c:v>180.31061128742925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8-4862-A93C-ED955012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64608"/>
        <c:axId val="699123648"/>
      </c:scatterChart>
      <c:valAx>
        <c:axId val="43506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123648"/>
        <c:crosses val="autoZero"/>
        <c:crossBetween val="midCat"/>
      </c:valAx>
      <c:valAx>
        <c:axId val="6991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06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'Исходные данные'!$C$5:$C$16</c:f>
              <c:numCache>
                <c:formatCode>General</c:formatCode>
                <c:ptCount val="12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79</c:v>
                </c:pt>
                <c:pt idx="4">
                  <c:v>106</c:v>
                </c:pt>
                <c:pt idx="5">
                  <c:v>113</c:v>
                </c:pt>
                <c:pt idx="6">
                  <c:v>67</c:v>
                </c:pt>
                <c:pt idx="7">
                  <c:v>98</c:v>
                </c:pt>
                <c:pt idx="8">
                  <c:v>79</c:v>
                </c:pt>
                <c:pt idx="9">
                  <c:v>87</c:v>
                </c:pt>
                <c:pt idx="10">
                  <c:v>86</c:v>
                </c:pt>
                <c:pt idx="11">
                  <c:v>117</c:v>
                </c:pt>
              </c:numCache>
            </c:numRef>
          </c:xVal>
          <c:yVal>
            <c:numRef>
              <c:f>'Исходные данные'!$D$5:$D$16</c:f>
              <c:numCache>
                <c:formatCode>General</c:formatCode>
                <c:ptCount val="12"/>
                <c:pt idx="0">
                  <c:v>139</c:v>
                </c:pt>
                <c:pt idx="1">
                  <c:v>148</c:v>
                </c:pt>
                <c:pt idx="2">
                  <c:v>142</c:v>
                </c:pt>
                <c:pt idx="3">
                  <c:v>154</c:v>
                </c:pt>
                <c:pt idx="4">
                  <c:v>164</c:v>
                </c:pt>
                <c:pt idx="5">
                  <c:v>195</c:v>
                </c:pt>
                <c:pt idx="6">
                  <c:v>139</c:v>
                </c:pt>
                <c:pt idx="7">
                  <c:v>164</c:v>
                </c:pt>
                <c:pt idx="8">
                  <c:v>152</c:v>
                </c:pt>
                <c:pt idx="9">
                  <c:v>162</c:v>
                </c:pt>
                <c:pt idx="10">
                  <c:v>152</c:v>
                </c:pt>
                <c:pt idx="11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B-459B-889D-625A25469257}"/>
            </c:ext>
          </c:extLst>
        </c:ser>
        <c:ser>
          <c:idx val="1"/>
          <c:order val="1"/>
          <c:tx>
            <c:v>Предсказанное Y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'Исходные данные'!$C$5:$C$16</c:f>
              <c:numCache>
                <c:formatCode>General</c:formatCode>
                <c:ptCount val="12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79</c:v>
                </c:pt>
                <c:pt idx="4">
                  <c:v>106</c:v>
                </c:pt>
                <c:pt idx="5">
                  <c:v>113</c:v>
                </c:pt>
                <c:pt idx="6">
                  <c:v>67</c:v>
                </c:pt>
                <c:pt idx="7">
                  <c:v>98</c:v>
                </c:pt>
                <c:pt idx="8">
                  <c:v>79</c:v>
                </c:pt>
                <c:pt idx="9">
                  <c:v>87</c:v>
                </c:pt>
                <c:pt idx="10">
                  <c:v>86</c:v>
                </c:pt>
                <c:pt idx="11">
                  <c:v>117</c:v>
                </c:pt>
              </c:numCache>
            </c:numRef>
          </c:xVal>
          <c:yVal>
            <c:numRef>
              <c:f>Результаты!$B$25:$B$36</c:f>
              <c:numCache>
                <c:formatCode>General</c:formatCode>
                <c:ptCount val="12"/>
                <c:pt idx="0">
                  <c:v>151.8033669104457</c:v>
                </c:pt>
                <c:pt idx="1">
                  <c:v>152.69421829722643</c:v>
                </c:pt>
                <c:pt idx="2">
                  <c:v>153.58506968400718</c:v>
                </c:pt>
                <c:pt idx="3">
                  <c:v>146.45825858976127</c:v>
                </c:pt>
                <c:pt idx="4">
                  <c:v>170.51124603284117</c:v>
                </c:pt>
                <c:pt idx="5">
                  <c:v>176.74720574030636</c:v>
                </c:pt>
                <c:pt idx="6">
                  <c:v>135.76804194839244</c:v>
                </c:pt>
                <c:pt idx="7">
                  <c:v>163.38443493859529</c:v>
                </c:pt>
                <c:pt idx="8">
                  <c:v>146.45825858976127</c:v>
                </c:pt>
                <c:pt idx="9">
                  <c:v>153.58506968400718</c:v>
                </c:pt>
                <c:pt idx="10">
                  <c:v>152.69421829722643</c:v>
                </c:pt>
                <c:pt idx="11">
                  <c:v>180.31061128742928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FB-459B-889D-625A2546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30896"/>
        <c:axId val="480206064"/>
      </c:scatterChart>
      <c:valAx>
        <c:axId val="4723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06064"/>
        <c:crosses val="autoZero"/>
        <c:crossBetween val="midCat"/>
      </c:valAx>
      <c:valAx>
        <c:axId val="480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33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27</xdr:row>
      <xdr:rowOff>19050</xdr:rowOff>
    </xdr:from>
    <xdr:to>
      <xdr:col>21</xdr:col>
      <xdr:colOff>19049</xdr:colOff>
      <xdr:row>38</xdr:row>
      <xdr:rowOff>252412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D681FC-8F46-4BEA-82E0-D537D4779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0.43645</cdr:x>
      <cdr:y>0.23529</cdr:y>
    </cdr:from>
    <cdr:to>
      <cdr:x>0.64214</cdr:x>
      <cdr:y>0.33292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534EB8-BD3E-4D31-9BED-CEB90E4DD250}"/>
            </a:ext>
          </a:extLst>
        </cdr:cNvPr>
        <cdr:cNvSpPr txBox="1"/>
      </cdr:nvSpPr>
      <cdr:spPr>
        <a:xfrm xmlns:a="http://schemas.openxmlformats.org/drawingml/2006/main">
          <a:off x="2486025" y="895350"/>
          <a:ext cx="11715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0.38294</cdr:x>
      <cdr:y>0.25782</cdr:y>
    </cdr:from>
    <cdr:to>
      <cdr:x>0.52508</cdr:x>
      <cdr:y>0.34293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BBA4A8-8818-4365-B6A2-AFA1C8B80BE9}"/>
            </a:ext>
          </a:extLst>
        </cdr:cNvPr>
        <cdr:cNvSpPr txBox="1"/>
      </cdr:nvSpPr>
      <cdr:spPr>
        <a:xfrm xmlns:a="http://schemas.openxmlformats.org/drawingml/2006/main">
          <a:off x="2181225" y="981075"/>
          <a:ext cx="809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0.40468</cdr:x>
      <cdr:y>0.27534</cdr:y>
    </cdr:from>
    <cdr:to>
      <cdr:x>0.90134</cdr:x>
      <cdr:y>0.34793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E82C579-5EBF-4839-98DD-3579696C2DED}"/>
            </a:ext>
          </a:extLst>
        </cdr:cNvPr>
        <cdr:cNvSpPr txBox="1"/>
      </cdr:nvSpPr>
      <cdr:spPr>
        <a:xfrm xmlns:a="http://schemas.openxmlformats.org/drawingml/2006/main">
          <a:off x="2305050" y="1047750"/>
          <a:ext cx="28289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y = 76,08099903+0,890851387x</a:t>
          </a:r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904875</xdr:colOff>
      <xdr:row>20</xdr:row>
      <xdr:rowOff>28575</xdr:rowOff>
    </xdr:from>
    <xdr:to>
      <xdr:col>15</xdr:col>
      <xdr:colOff>409575</xdr:colOff>
      <xdr:row>51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0B24FE-CA78-48F3-A248-DC39E65C6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A5EC-9E6C-4790-97BE-36D51ADFA72C}">
  <dimension ref="B4:U50"/>
  <sheetViews>
    <sheetView tabSelected="1" topLeftCell="A34" workbookViewId="0">
      <selection activeCell="L47" sqref="L47"/>
    </sheetView>
  </sheetViews>
  <sheetFormatPr defaultRowHeight="15" x14ac:dyDescent="0.25"/>
  <cols>
    <col min="2" max="2" width="16.7109375" customWidth="1"/>
    <col min="3" max="3" width="25.42578125" customWidth="1"/>
    <col min="4" max="4" width="12.140625" customWidth="1"/>
    <col min="7" max="7" width="10.42578125" customWidth="1"/>
    <col min="8" max="8" width="13.7109375" customWidth="1"/>
    <col min="9" max="9" width="10.85546875" customWidth="1"/>
    <col min="10" max="10" width="17.5703125" customWidth="1"/>
    <col min="11" max="11" width="18.42578125" customWidth="1"/>
    <col min="12" max="12" width="18.5703125" customWidth="1"/>
    <col min="13" max="13" width="13.42578125" customWidth="1"/>
    <col min="16" max="16" width="16.140625" customWidth="1"/>
  </cols>
  <sheetData>
    <row r="4" spans="2:13" ht="53.25" customHeight="1" x14ac:dyDescent="0.25">
      <c r="B4" s="6" t="s">
        <v>0</v>
      </c>
      <c r="C4" s="6" t="s">
        <v>1</v>
      </c>
      <c r="D4" s="6" t="s">
        <v>2</v>
      </c>
      <c r="E4" s="8" t="s">
        <v>30</v>
      </c>
      <c r="F4" s="8" t="s">
        <v>31</v>
      </c>
      <c r="G4" s="33" t="s">
        <v>72</v>
      </c>
      <c r="H4" s="9" t="s">
        <v>47</v>
      </c>
      <c r="I4" s="9" t="s">
        <v>38</v>
      </c>
      <c r="J4" s="9" t="s">
        <v>54</v>
      </c>
      <c r="K4" s="12" t="s">
        <v>43</v>
      </c>
      <c r="L4" s="12" t="s">
        <v>48</v>
      </c>
      <c r="M4" s="12" t="s">
        <v>60</v>
      </c>
    </row>
    <row r="5" spans="2:13" x14ac:dyDescent="0.25">
      <c r="B5" s="7">
        <v>1</v>
      </c>
      <c r="C5" s="5">
        <v>85</v>
      </c>
      <c r="D5" s="5">
        <v>139</v>
      </c>
      <c r="E5">
        <f>C5*D5</f>
        <v>11815</v>
      </c>
      <c r="F5">
        <f>C5*C5</f>
        <v>7225</v>
      </c>
      <c r="G5">
        <f>(C5-$C$18)*(C5-$C$18)</f>
        <v>34.027777777777722</v>
      </c>
      <c r="H5" s="17">
        <f>$C$22+$C$21*C5</f>
        <v>151.80336691044567</v>
      </c>
      <c r="I5" s="17">
        <f>D5-H5</f>
        <v>-12.803366910445675</v>
      </c>
      <c r="J5">
        <f>I5*I5</f>
        <v>163.92620424349522</v>
      </c>
      <c r="K5" s="1">
        <f>(D5-$D$18)*(D5-$D$18)</f>
        <v>324</v>
      </c>
      <c r="L5" s="1">
        <f>(H5-$D$18)*(H5-$D$18)</f>
        <v>27.004995467450929</v>
      </c>
      <c r="M5" s="20">
        <f>ABS((D5-H5)/D5)</f>
        <v>9.211055331255881E-2</v>
      </c>
    </row>
    <row r="6" spans="2:13" x14ac:dyDescent="0.25">
      <c r="B6" s="7">
        <v>2</v>
      </c>
      <c r="C6" s="5">
        <v>86</v>
      </c>
      <c r="D6" s="5">
        <v>148</v>
      </c>
      <c r="E6">
        <f t="shared" ref="E6:E16" si="0">C6*D6</f>
        <v>12728</v>
      </c>
      <c r="F6">
        <f t="shared" ref="F6:F16" si="1">C6*C6</f>
        <v>7396</v>
      </c>
      <c r="G6">
        <f t="shared" ref="G6:G16" si="2">(C6-$C$18)*(C6-$C$18)</f>
        <v>23.361111111111065</v>
      </c>
      <c r="H6" s="17">
        <f t="shared" ref="H6:H16" si="3">$C$22+$C$21*C6</f>
        <v>152.69421829722643</v>
      </c>
      <c r="I6" s="17">
        <f t="shared" ref="I6:I16" si="4">D6-H6</f>
        <v>-4.6942182972264277</v>
      </c>
      <c r="J6">
        <f t="shared" ref="J6:J16" si="5">I6*I6</f>
        <v>22.035685422015383</v>
      </c>
      <c r="K6" s="1">
        <f t="shared" ref="K6:K16" si="6">(D6-$D$18)*(D6-$D$18)</f>
        <v>81</v>
      </c>
      <c r="L6" s="1">
        <f t="shared" ref="L6:L16" si="7">(H6-$D$18)*(H6-$D$18)</f>
        <v>18.539756071939685</v>
      </c>
      <c r="M6" s="20">
        <f t="shared" ref="M6:M16" si="8">ABS((D6-H6)/D6)</f>
        <v>3.1717691197475861E-2</v>
      </c>
    </row>
    <row r="7" spans="2:13" x14ac:dyDescent="0.25">
      <c r="B7" s="7">
        <v>3</v>
      </c>
      <c r="C7" s="5">
        <v>87</v>
      </c>
      <c r="D7" s="5">
        <v>142</v>
      </c>
      <c r="E7">
        <f t="shared" si="0"/>
        <v>12354</v>
      </c>
      <c r="F7">
        <f t="shared" si="1"/>
        <v>7569</v>
      </c>
      <c r="G7">
        <f t="shared" si="2"/>
        <v>14.694444444444407</v>
      </c>
      <c r="H7" s="17">
        <f t="shared" si="3"/>
        <v>153.58506968400718</v>
      </c>
      <c r="I7" s="17">
        <f t="shared" si="4"/>
        <v>-11.585069684007181</v>
      </c>
      <c r="J7">
        <f t="shared" si="5"/>
        <v>134.21383958330225</v>
      </c>
      <c r="K7" s="1">
        <f t="shared" si="6"/>
        <v>225</v>
      </c>
      <c r="L7" s="1">
        <f t="shared" si="7"/>
        <v>11.661749063086818</v>
      </c>
      <c r="M7" s="20">
        <f t="shared" si="8"/>
        <v>8.1584997774698451E-2</v>
      </c>
    </row>
    <row r="8" spans="2:13" x14ac:dyDescent="0.25">
      <c r="B8" s="7">
        <v>4</v>
      </c>
      <c r="C8" s="5">
        <v>79</v>
      </c>
      <c r="D8" s="5">
        <v>154</v>
      </c>
      <c r="E8">
        <f t="shared" si="0"/>
        <v>12166</v>
      </c>
      <c r="F8">
        <f t="shared" si="1"/>
        <v>6241</v>
      </c>
      <c r="G8">
        <f t="shared" si="2"/>
        <v>140.02777777777766</v>
      </c>
      <c r="H8" s="17">
        <f t="shared" si="3"/>
        <v>146.45825858976127</v>
      </c>
      <c r="I8" s="17">
        <f t="shared" si="4"/>
        <v>7.5417414102387283</v>
      </c>
      <c r="J8">
        <f t="shared" si="5"/>
        <v>56.87786349890964</v>
      </c>
      <c r="K8" s="1">
        <f t="shared" si="6"/>
        <v>9</v>
      </c>
      <c r="L8" s="1">
        <f t="shared" si="7"/>
        <v>111.12831196034202</v>
      </c>
      <c r="M8" s="20">
        <f t="shared" si="8"/>
        <v>4.8972346819732004E-2</v>
      </c>
    </row>
    <row r="9" spans="2:13" x14ac:dyDescent="0.25">
      <c r="B9" s="7">
        <v>5</v>
      </c>
      <c r="C9" s="5">
        <v>106</v>
      </c>
      <c r="D9" s="5">
        <v>164</v>
      </c>
      <c r="E9">
        <f t="shared" si="0"/>
        <v>17384</v>
      </c>
      <c r="F9">
        <f t="shared" si="1"/>
        <v>11236</v>
      </c>
      <c r="G9">
        <f t="shared" si="2"/>
        <v>230.02777777777791</v>
      </c>
      <c r="H9" s="17">
        <f t="shared" si="3"/>
        <v>170.51124603284117</v>
      </c>
      <c r="I9" s="17">
        <f t="shared" si="4"/>
        <v>-6.5112460328411714</v>
      </c>
      <c r="J9">
        <f t="shared" si="5"/>
        <v>42.396324900189896</v>
      </c>
      <c r="K9" s="1">
        <f t="shared" si="6"/>
        <v>49</v>
      </c>
      <c r="L9" s="1">
        <f t="shared" si="7"/>
        <v>182.55376935996628</v>
      </c>
      <c r="M9" s="20">
        <f t="shared" si="8"/>
        <v>3.9702719712446169E-2</v>
      </c>
    </row>
    <row r="10" spans="2:13" x14ac:dyDescent="0.25">
      <c r="B10" s="7">
        <v>6</v>
      </c>
      <c r="C10" s="5">
        <v>113</v>
      </c>
      <c r="D10" s="5">
        <v>195</v>
      </c>
      <c r="E10">
        <f t="shared" si="0"/>
        <v>22035</v>
      </c>
      <c r="F10">
        <f t="shared" si="1"/>
        <v>12769</v>
      </c>
      <c r="G10">
        <f t="shared" si="2"/>
        <v>491.36111111111131</v>
      </c>
      <c r="H10" s="17">
        <f t="shared" si="3"/>
        <v>176.74720574030633</v>
      </c>
      <c r="I10" s="17">
        <f t="shared" si="4"/>
        <v>18.252794259693673</v>
      </c>
      <c r="J10">
        <f t="shared" si="5"/>
        <v>333.1644982867063</v>
      </c>
      <c r="K10" s="1">
        <f t="shared" si="6"/>
        <v>1444</v>
      </c>
      <c r="L10" s="1">
        <f t="shared" si="7"/>
        <v>389.95213454998719</v>
      </c>
      <c r="M10" s="20">
        <f t="shared" si="8"/>
        <v>9.3604073126634213E-2</v>
      </c>
    </row>
    <row r="11" spans="2:13" x14ac:dyDescent="0.25">
      <c r="B11" s="7">
        <v>7</v>
      </c>
      <c r="C11" s="5">
        <v>67</v>
      </c>
      <c r="D11" s="5">
        <v>139</v>
      </c>
      <c r="E11">
        <f t="shared" si="0"/>
        <v>9313</v>
      </c>
      <c r="F11">
        <f t="shared" si="1"/>
        <v>4489</v>
      </c>
      <c r="G11">
        <f t="shared" si="2"/>
        <v>568.0277777777776</v>
      </c>
      <c r="H11" s="17">
        <f t="shared" si="3"/>
        <v>135.76804194839244</v>
      </c>
      <c r="I11" s="17">
        <f t="shared" si="4"/>
        <v>3.2319580516075632</v>
      </c>
      <c r="J11">
        <f t="shared" si="5"/>
        <v>10.445552847350957</v>
      </c>
      <c r="K11" s="1">
        <f t="shared" si="6"/>
        <v>324</v>
      </c>
      <c r="L11" s="1">
        <f t="shared" si="7"/>
        <v>450.79604270522321</v>
      </c>
      <c r="M11" s="20">
        <f t="shared" si="8"/>
        <v>2.3251496774155132E-2</v>
      </c>
    </row>
    <row r="12" spans="2:13" x14ac:dyDescent="0.25">
      <c r="B12" s="7">
        <v>8</v>
      </c>
      <c r="C12" s="5">
        <v>98</v>
      </c>
      <c r="D12" s="5">
        <v>164</v>
      </c>
      <c r="E12">
        <f t="shared" si="0"/>
        <v>16072</v>
      </c>
      <c r="F12">
        <f t="shared" si="1"/>
        <v>9604</v>
      </c>
      <c r="G12">
        <f t="shared" si="2"/>
        <v>51.361111111111178</v>
      </c>
      <c r="H12" s="17">
        <f t="shared" si="3"/>
        <v>163.38443493859529</v>
      </c>
      <c r="I12" s="17">
        <f t="shared" si="4"/>
        <v>0.61556506140470901</v>
      </c>
      <c r="J12">
        <f t="shared" si="5"/>
        <v>0.37892034482218317</v>
      </c>
      <c r="K12" s="1">
        <f t="shared" si="6"/>
        <v>49</v>
      </c>
      <c r="L12" s="1">
        <f t="shared" si="7"/>
        <v>40.761009485156258</v>
      </c>
      <c r="M12" s="20">
        <f t="shared" si="8"/>
        <v>3.753445496370177E-3</v>
      </c>
    </row>
    <row r="13" spans="2:13" x14ac:dyDescent="0.25">
      <c r="B13" s="7">
        <v>9</v>
      </c>
      <c r="C13" s="5">
        <v>79</v>
      </c>
      <c r="D13" s="5">
        <v>152</v>
      </c>
      <c r="E13">
        <f t="shared" si="0"/>
        <v>12008</v>
      </c>
      <c r="F13">
        <f t="shared" si="1"/>
        <v>6241</v>
      </c>
      <c r="G13">
        <f t="shared" si="2"/>
        <v>140.02777777777766</v>
      </c>
      <c r="H13" s="17">
        <f t="shared" si="3"/>
        <v>146.45825858976127</v>
      </c>
      <c r="I13" s="17">
        <f t="shared" si="4"/>
        <v>5.5417414102387283</v>
      </c>
      <c r="J13">
        <f t="shared" si="5"/>
        <v>30.71089785795473</v>
      </c>
      <c r="K13" s="1">
        <f t="shared" si="6"/>
        <v>25</v>
      </c>
      <c r="L13" s="1">
        <f t="shared" si="7"/>
        <v>111.12831196034202</v>
      </c>
      <c r="M13" s="20">
        <f t="shared" si="8"/>
        <v>3.6458825067360055E-2</v>
      </c>
    </row>
    <row r="14" spans="2:13" x14ac:dyDescent="0.25">
      <c r="B14" s="7">
        <v>10</v>
      </c>
      <c r="C14" s="5">
        <v>87</v>
      </c>
      <c r="D14" s="5">
        <v>162</v>
      </c>
      <c r="E14">
        <f t="shared" si="0"/>
        <v>14094</v>
      </c>
      <c r="F14">
        <f t="shared" si="1"/>
        <v>7569</v>
      </c>
      <c r="G14">
        <f t="shared" si="2"/>
        <v>14.694444444444407</v>
      </c>
      <c r="H14" s="17">
        <f t="shared" si="3"/>
        <v>153.58506968400718</v>
      </c>
      <c r="I14" s="17">
        <f t="shared" si="4"/>
        <v>8.4149303159928195</v>
      </c>
      <c r="J14">
        <f t="shared" si="5"/>
        <v>70.811052223015011</v>
      </c>
      <c r="K14" s="1">
        <f t="shared" si="6"/>
        <v>25</v>
      </c>
      <c r="L14" s="1">
        <f t="shared" si="7"/>
        <v>11.661749063086818</v>
      </c>
      <c r="M14" s="20">
        <f t="shared" si="8"/>
        <v>5.1944014296251971E-2</v>
      </c>
    </row>
    <row r="15" spans="2:13" x14ac:dyDescent="0.25">
      <c r="B15" s="7">
        <v>11</v>
      </c>
      <c r="C15" s="5">
        <v>86</v>
      </c>
      <c r="D15" s="5">
        <v>152</v>
      </c>
      <c r="E15">
        <f t="shared" si="0"/>
        <v>13072</v>
      </c>
      <c r="F15">
        <f t="shared" si="1"/>
        <v>7396</v>
      </c>
      <c r="G15">
        <f t="shared" si="2"/>
        <v>23.361111111111065</v>
      </c>
      <c r="H15" s="17">
        <f t="shared" si="3"/>
        <v>152.69421829722643</v>
      </c>
      <c r="I15" s="17">
        <f t="shared" si="4"/>
        <v>-0.69421829722642769</v>
      </c>
      <c r="J15">
        <f t="shared" si="5"/>
        <v>0.48193904420396072</v>
      </c>
      <c r="K15" s="1">
        <f t="shared" si="6"/>
        <v>25</v>
      </c>
      <c r="L15" s="1">
        <f t="shared" si="7"/>
        <v>18.539756071939685</v>
      </c>
      <c r="M15" s="20">
        <f t="shared" si="8"/>
        <v>4.5672256396475505E-3</v>
      </c>
    </row>
    <row r="16" spans="2:13" x14ac:dyDescent="0.25">
      <c r="B16" s="7">
        <v>12</v>
      </c>
      <c r="C16" s="5">
        <v>117</v>
      </c>
      <c r="D16" s="5">
        <v>173</v>
      </c>
      <c r="E16" s="10">
        <f t="shared" si="0"/>
        <v>20241</v>
      </c>
      <c r="F16" s="11">
        <f t="shared" si="1"/>
        <v>13689</v>
      </c>
      <c r="G16">
        <f t="shared" si="2"/>
        <v>684.69444444444468</v>
      </c>
      <c r="H16" s="17">
        <f t="shared" si="3"/>
        <v>180.31061128742925</v>
      </c>
      <c r="I16" s="18">
        <f t="shared" si="4"/>
        <v>-7.3106112874292535</v>
      </c>
      <c r="J16">
        <f t="shared" si="5"/>
        <v>53.445037395888008</v>
      </c>
      <c r="K16" s="1">
        <f t="shared" si="6"/>
        <v>256</v>
      </c>
      <c r="L16" s="1">
        <f t="shared" si="7"/>
        <v>543.3845985936241</v>
      </c>
      <c r="M16" s="20">
        <f t="shared" si="8"/>
        <v>4.2257868713463896E-2</v>
      </c>
    </row>
    <row r="17" spans="2:21" x14ac:dyDescent="0.25">
      <c r="B17" s="9" t="s">
        <v>32</v>
      </c>
      <c r="C17">
        <f>SUM(C5:C16)</f>
        <v>1090</v>
      </c>
      <c r="D17">
        <f t="shared" ref="D17:G17" si="9">SUM(D5:D16)</f>
        <v>1884</v>
      </c>
      <c r="E17">
        <f t="shared" si="9"/>
        <v>173282</v>
      </c>
      <c r="F17">
        <f t="shared" si="9"/>
        <v>101424</v>
      </c>
      <c r="G17">
        <f t="shared" si="9"/>
        <v>2415.6666666666665</v>
      </c>
      <c r="H17" s="1"/>
      <c r="I17" s="1">
        <f>SUM(I5:I16)</f>
        <v>8.5265128291212022E-14</v>
      </c>
      <c r="J17" s="9" t="s">
        <v>42</v>
      </c>
      <c r="K17" s="1">
        <f>SUM(K5:K16)</f>
        <v>2836</v>
      </c>
      <c r="L17" s="17">
        <f>SUM(L5:L16)</f>
        <v>1917.1121843521453</v>
      </c>
      <c r="M17" s="20">
        <f>SUM(M5:M16)</f>
        <v>0.54992525793079428</v>
      </c>
    </row>
    <row r="18" spans="2:21" x14ac:dyDescent="0.25">
      <c r="B18" s="9" t="s">
        <v>41</v>
      </c>
      <c r="C18">
        <f>C17/12</f>
        <v>90.833333333333329</v>
      </c>
      <c r="D18">
        <f>D17/12</f>
        <v>157</v>
      </c>
      <c r="I18" s="23" t="s">
        <v>70</v>
      </c>
      <c r="J18" s="16">
        <f>SUM(J5:J16)</f>
        <v>918.88781564785347</v>
      </c>
    </row>
    <row r="19" spans="2:21" x14ac:dyDescent="0.25">
      <c r="B19" s="28" t="s">
        <v>33</v>
      </c>
      <c r="C19" s="28"/>
      <c r="D19" s="28"/>
      <c r="M19" s="31" t="s">
        <v>65</v>
      </c>
      <c r="N19" s="31"/>
      <c r="O19" s="31"/>
      <c r="P19" s="31"/>
      <c r="Q19" s="31"/>
      <c r="R19" s="31"/>
      <c r="S19" s="31"/>
      <c r="T19" s="31"/>
      <c r="U19" s="31"/>
    </row>
    <row r="20" spans="2:21" ht="15.75" customHeight="1" x14ac:dyDescent="0.25">
      <c r="B20" s="1"/>
      <c r="J20" s="29" t="s">
        <v>44</v>
      </c>
      <c r="K20" s="29"/>
      <c r="L20" s="21">
        <f>L17/K17</f>
        <v>0.67599160238086931</v>
      </c>
      <c r="M20" s="31"/>
      <c r="N20" s="31"/>
      <c r="O20" s="31"/>
      <c r="P20" s="31"/>
      <c r="Q20" s="31"/>
      <c r="R20" s="31"/>
      <c r="S20" s="31"/>
      <c r="T20" s="31"/>
      <c r="U20" s="31"/>
    </row>
    <row r="21" spans="2:21" x14ac:dyDescent="0.25">
      <c r="B21" s="9" t="s">
        <v>34</v>
      </c>
      <c r="C21" s="16">
        <f>(12*E17-C17*D17)/(12*F17-C17*C17)</f>
        <v>0.89085138678073683</v>
      </c>
      <c r="J21" s="28" t="s">
        <v>45</v>
      </c>
      <c r="K21" s="28"/>
      <c r="L21" s="21">
        <f>SQRT(L20)</f>
        <v>0.82218708478111557</v>
      </c>
      <c r="M21" s="27" t="s">
        <v>46</v>
      </c>
      <c r="N21" s="27"/>
      <c r="O21" s="27"/>
      <c r="P21" s="27"/>
    </row>
    <row r="22" spans="2:21" x14ac:dyDescent="0.25">
      <c r="B22" s="9" t="s">
        <v>35</v>
      </c>
      <c r="C22" s="16">
        <f>(D17-C21*C17)/12</f>
        <v>76.080999034083064</v>
      </c>
      <c r="L22" s="1"/>
    </row>
    <row r="23" spans="2:21" x14ac:dyDescent="0.25">
      <c r="J23" s="28" t="s">
        <v>49</v>
      </c>
      <c r="K23" s="28"/>
      <c r="L23" s="22">
        <f>M17/12</f>
        <v>4.582710482756619E-2</v>
      </c>
      <c r="M23" s="30" t="s">
        <v>68</v>
      </c>
      <c r="N23" s="30"/>
      <c r="O23" s="30"/>
      <c r="P23" s="30"/>
      <c r="Q23" s="30"/>
      <c r="R23" s="30"/>
    </row>
    <row r="24" spans="2:21" x14ac:dyDescent="0.25">
      <c r="B24" s="29" t="s">
        <v>36</v>
      </c>
      <c r="C24" s="29"/>
      <c r="D24" s="29"/>
      <c r="E24" s="30" t="s">
        <v>64</v>
      </c>
      <c r="F24" s="30"/>
      <c r="G24" s="30"/>
      <c r="H24" s="30"/>
      <c r="I24" s="30"/>
      <c r="J24" s="30"/>
      <c r="K24" s="30"/>
      <c r="L24" s="30"/>
      <c r="M24" s="30"/>
    </row>
    <row r="28" spans="2:21" ht="34.5" customHeight="1" x14ac:dyDescent="0.25">
      <c r="B28" s="14" t="s">
        <v>50</v>
      </c>
      <c r="C28" s="13">
        <v>12</v>
      </c>
      <c r="D28" s="28" t="s">
        <v>52</v>
      </c>
      <c r="E28" s="28"/>
      <c r="F28" s="28"/>
      <c r="G28" s="1">
        <v>0.95</v>
      </c>
    </row>
    <row r="29" spans="2:21" x14ac:dyDescent="0.25">
      <c r="B29" s="9" t="s">
        <v>51</v>
      </c>
      <c r="C29" s="1">
        <f>SQRT(L20*(C28-2)/(1-L20))</f>
        <v>4.5676468334909313</v>
      </c>
      <c r="D29" s="1"/>
      <c r="E29" s="1"/>
    </row>
    <row r="30" spans="2:21" x14ac:dyDescent="0.25">
      <c r="B30" s="1"/>
      <c r="C30" s="1"/>
      <c r="D30" s="1"/>
      <c r="E30" s="1"/>
    </row>
    <row r="31" spans="2:21" ht="31.5" customHeight="1" x14ac:dyDescent="0.25">
      <c r="B31" s="12" t="s">
        <v>53</v>
      </c>
      <c r="C31" s="1">
        <f>TINV(1-G28,C28-2)</f>
        <v>2.2281388519862744</v>
      </c>
      <c r="D31" s="1"/>
      <c r="E31" s="31" t="s">
        <v>66</v>
      </c>
      <c r="F31" s="31"/>
      <c r="G31" s="31"/>
      <c r="H31" s="31"/>
      <c r="I31" s="31"/>
      <c r="J31" s="31"/>
      <c r="K31" s="31"/>
    </row>
    <row r="32" spans="2:21" x14ac:dyDescent="0.25">
      <c r="B32" s="1"/>
      <c r="C32" s="1"/>
      <c r="D32" s="1"/>
      <c r="E32" s="31"/>
      <c r="F32" s="31"/>
      <c r="G32" s="31"/>
      <c r="H32" s="31"/>
      <c r="I32" s="31"/>
      <c r="J32" s="31"/>
      <c r="K32" s="31"/>
    </row>
    <row r="33" spans="2:12" x14ac:dyDescent="0.25">
      <c r="B33" s="1"/>
      <c r="C33" s="1"/>
      <c r="D33" s="1"/>
      <c r="E33" s="1"/>
    </row>
    <row r="34" spans="2:12" x14ac:dyDescent="0.25">
      <c r="B34" s="1"/>
      <c r="C34" s="1"/>
      <c r="D34" s="1"/>
      <c r="E34" s="1"/>
    </row>
    <row r="35" spans="2:12" ht="65.25" customHeight="1" x14ac:dyDescent="0.25">
      <c r="B35" s="12" t="s">
        <v>55</v>
      </c>
      <c r="C35" s="1">
        <f>SUM(J5:J16)/(C28-2)</f>
        <v>91.888781564785347</v>
      </c>
      <c r="D35" s="1"/>
      <c r="E35" s="1"/>
    </row>
    <row r="36" spans="2:12" ht="32.25" customHeight="1" x14ac:dyDescent="0.25">
      <c r="B36" s="12" t="s">
        <v>8</v>
      </c>
      <c r="C36" s="17">
        <f>SQRT(C35)</f>
        <v>9.5858636316601835</v>
      </c>
      <c r="D36" s="1"/>
      <c r="E36" s="1"/>
      <c r="F36" s="28" t="s">
        <v>61</v>
      </c>
      <c r="G36" s="28"/>
      <c r="H36" s="17">
        <f>L20/(1-L20)*(C28-2)</f>
        <v>20.863397595499734</v>
      </c>
      <c r="I36" s="12" t="s">
        <v>62</v>
      </c>
      <c r="J36" s="24">
        <f>FINV(1-G28,1,C28-2)</f>
        <v>4.9646027437307128</v>
      </c>
      <c r="K36" s="30" t="s">
        <v>63</v>
      </c>
      <c r="L36" s="30"/>
    </row>
    <row r="38" spans="2:12" ht="27.75" customHeight="1" x14ac:dyDescent="0.25">
      <c r="B38" s="26" t="s">
        <v>56</v>
      </c>
      <c r="C38" s="15" t="s">
        <v>34</v>
      </c>
      <c r="D38" s="16">
        <f>C36/SQRT((F17-C17*C17/C28))</f>
        <v>0.19503508464113922</v>
      </c>
      <c r="F38" s="26" t="s">
        <v>57</v>
      </c>
      <c r="G38" s="26"/>
      <c r="H38" s="16">
        <f>C21/D38</f>
        <v>4.5676468334909393</v>
      </c>
      <c r="I38" s="31" t="s">
        <v>67</v>
      </c>
      <c r="J38" s="31"/>
      <c r="K38" s="31"/>
      <c r="L38" s="31"/>
    </row>
    <row r="39" spans="2:12" ht="25.5" customHeight="1" x14ac:dyDescent="0.25">
      <c r="B39" s="26"/>
      <c r="C39" s="15" t="s">
        <v>35</v>
      </c>
      <c r="D39" s="16">
        <f>C36*SQRT(F17/C28/(F17-C17*C17/C28))</f>
        <v>17.93050359595993</v>
      </c>
      <c r="F39" s="26"/>
      <c r="G39" s="26"/>
      <c r="H39" s="16">
        <f>C22/D39</f>
        <v>4.2431044185075484</v>
      </c>
      <c r="I39" s="31"/>
      <c r="J39" s="31"/>
      <c r="K39" s="31"/>
      <c r="L39" s="31"/>
    </row>
    <row r="41" spans="2:12" x14ac:dyDescent="0.25">
      <c r="B41" s="26" t="s">
        <v>71</v>
      </c>
      <c r="C41" s="15" t="s">
        <v>34</v>
      </c>
      <c r="D41">
        <f>D38*C31</f>
        <v>0.43456524958935377</v>
      </c>
    </row>
    <row r="42" spans="2:12" x14ac:dyDescent="0.25">
      <c r="B42" s="26"/>
    </row>
    <row r="43" spans="2:12" x14ac:dyDescent="0.25">
      <c r="B43" s="26"/>
      <c r="C43" s="15" t="s">
        <v>35</v>
      </c>
      <c r="D43">
        <f>D39*C31</f>
        <v>39.951651697837924</v>
      </c>
    </row>
    <row r="45" spans="2:12" ht="34.5" customHeight="1" x14ac:dyDescent="0.25">
      <c r="B45" s="12" t="s">
        <v>58</v>
      </c>
      <c r="C45" s="1">
        <f>1.07*C18</f>
        <v>97.191666666666663</v>
      </c>
      <c r="D45" s="9" t="s">
        <v>37</v>
      </c>
      <c r="E45" s="1">
        <f>C22+C21*C45</f>
        <v>162.66433006761417</v>
      </c>
      <c r="G45" s="28" t="s">
        <v>52</v>
      </c>
      <c r="H45" s="28"/>
      <c r="I45" s="28"/>
      <c r="J45" s="1">
        <v>0.95</v>
      </c>
    </row>
    <row r="47" spans="2:12" ht="31.5" customHeight="1" x14ac:dyDescent="0.25">
      <c r="G47" s="26" t="s">
        <v>53</v>
      </c>
      <c r="H47" s="26"/>
      <c r="I47" s="26"/>
      <c r="J47" s="1">
        <f>TINV((1-J45),C28-2)</f>
        <v>2.2281388519862744</v>
      </c>
      <c r="K47" s="12" t="s">
        <v>69</v>
      </c>
      <c r="L47" s="25">
        <f>C36*J47*(1+1/C28+(C45-C18)*(C45-C18)/(G17))</f>
        <v>23.495977851467043</v>
      </c>
    </row>
    <row r="49" spans="7:11" x14ac:dyDescent="0.25">
      <c r="G49" s="28" t="s">
        <v>59</v>
      </c>
      <c r="H49" s="28"/>
      <c r="I49" s="28"/>
      <c r="J49" s="32">
        <f>E45-L47</f>
        <v>139.16835221614713</v>
      </c>
      <c r="K49" s="32">
        <f>E45+L47</f>
        <v>186.16030791908122</v>
      </c>
    </row>
    <row r="50" spans="7:11" x14ac:dyDescent="0.25">
      <c r="G50" s="28"/>
      <c r="H50" s="28"/>
      <c r="I50" s="28"/>
      <c r="J50" s="32"/>
      <c r="K50" s="32"/>
    </row>
  </sheetData>
  <mergeCells count="22">
    <mergeCell ref="I38:L39"/>
    <mergeCell ref="G45:I45"/>
    <mergeCell ref="G47:I47"/>
    <mergeCell ref="G49:I50"/>
    <mergeCell ref="J49:J50"/>
    <mergeCell ref="K49:K50"/>
    <mergeCell ref="B41:B43"/>
    <mergeCell ref="M21:P21"/>
    <mergeCell ref="B19:D19"/>
    <mergeCell ref="B24:D24"/>
    <mergeCell ref="J20:K20"/>
    <mergeCell ref="J21:K21"/>
    <mergeCell ref="J23:K23"/>
    <mergeCell ref="E24:M24"/>
    <mergeCell ref="M19:U20"/>
    <mergeCell ref="M23:R23"/>
    <mergeCell ref="F36:G36"/>
    <mergeCell ref="K36:L36"/>
    <mergeCell ref="D28:F28"/>
    <mergeCell ref="E31:K32"/>
    <mergeCell ref="B38:B39"/>
    <mergeCell ref="F38:G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4DFC-68EA-489B-BDB6-90C094663AF9}">
  <dimension ref="A1:I36"/>
  <sheetViews>
    <sheetView workbookViewId="0">
      <selection activeCell="F11" sqref="F11"/>
    </sheetView>
  </sheetViews>
  <sheetFormatPr defaultRowHeight="15" x14ac:dyDescent="0.25"/>
  <cols>
    <col min="1" max="1" width="31.140625" customWidth="1"/>
    <col min="2" max="2" width="23.140625" customWidth="1"/>
    <col min="3" max="3" width="24.42578125" customWidth="1"/>
    <col min="4" max="4" width="20.7109375" customWidth="1"/>
    <col min="5" max="5" width="19" customWidth="1"/>
    <col min="6" max="6" width="18.140625" customWidth="1"/>
    <col min="7" max="7" width="15.28515625" customWidth="1"/>
    <col min="8" max="8" width="16.42578125" customWidth="1"/>
    <col min="9" max="9" width="17.28515625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t="s">
        <v>5</v>
      </c>
      <c r="B4" s="16">
        <v>0.82218708478111557</v>
      </c>
    </row>
    <row r="5" spans="1:9" x14ac:dyDescent="0.25">
      <c r="A5" t="s">
        <v>6</v>
      </c>
      <c r="B5" s="16">
        <v>0.67599160238086931</v>
      </c>
    </row>
    <row r="6" spans="1:9" x14ac:dyDescent="0.25">
      <c r="A6" t="s">
        <v>7</v>
      </c>
      <c r="B6">
        <v>0.64359076261895631</v>
      </c>
    </row>
    <row r="7" spans="1:9" x14ac:dyDescent="0.25">
      <c r="A7" t="s">
        <v>8</v>
      </c>
      <c r="B7" s="16">
        <v>9.5858636316601871</v>
      </c>
    </row>
    <row r="8" spans="1:9" ht="15.75" thickBot="1" x14ac:dyDescent="0.3">
      <c r="A8" s="2" t="s">
        <v>9</v>
      </c>
      <c r="B8" s="2">
        <v>12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t="s">
        <v>11</v>
      </c>
      <c r="B12">
        <v>1</v>
      </c>
      <c r="C12" s="16">
        <v>1917.1121843521455</v>
      </c>
      <c r="D12">
        <v>1917.1121843521455</v>
      </c>
      <c r="E12" s="16">
        <v>20.863397595499741</v>
      </c>
      <c r="F12">
        <v>1.0299737339537431E-3</v>
      </c>
    </row>
    <row r="13" spans="1:9" x14ac:dyDescent="0.25">
      <c r="A13" t="s">
        <v>12</v>
      </c>
      <c r="B13">
        <v>10</v>
      </c>
      <c r="C13" s="16">
        <v>918.8878156478545</v>
      </c>
      <c r="D13">
        <v>91.888781564785447</v>
      </c>
    </row>
    <row r="14" spans="1:9" ht="15.75" thickBot="1" x14ac:dyDescent="0.3">
      <c r="A14" s="2" t="s">
        <v>13</v>
      </c>
      <c r="B14" s="2">
        <v>11</v>
      </c>
      <c r="C14" s="2">
        <v>2836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t="s">
        <v>14</v>
      </c>
      <c r="B17" s="16">
        <v>76.08099903408305</v>
      </c>
      <c r="C17" s="16">
        <v>17.930503595959955</v>
      </c>
      <c r="D17" s="16">
        <v>4.2431044185075413</v>
      </c>
      <c r="E17">
        <v>1.7080189161647321E-3</v>
      </c>
      <c r="F17">
        <v>36.129347336245068</v>
      </c>
      <c r="G17">
        <v>116.03265073192102</v>
      </c>
      <c r="H17">
        <v>36.129347336245068</v>
      </c>
      <c r="I17">
        <v>116.03265073192102</v>
      </c>
    </row>
    <row r="18" spans="1:9" ht="15.75" thickBot="1" x14ac:dyDescent="0.3">
      <c r="A18" s="2" t="s">
        <v>39</v>
      </c>
      <c r="B18" s="19">
        <v>0.89085138678073705</v>
      </c>
      <c r="C18" s="19">
        <v>0.19503508464113947</v>
      </c>
      <c r="D18" s="19">
        <v>4.5676468334909339</v>
      </c>
      <c r="E18" s="2">
        <v>1.029973733953742E-3</v>
      </c>
      <c r="F18" s="2">
        <v>0.45628613719138272</v>
      </c>
      <c r="G18" s="2">
        <v>1.3254166363700914</v>
      </c>
      <c r="H18" s="2">
        <v>0.45628613719138272</v>
      </c>
      <c r="I18" s="2">
        <v>1.3254166363700914</v>
      </c>
    </row>
    <row r="22" spans="1:9" x14ac:dyDescent="0.25">
      <c r="A22" t="s">
        <v>27</v>
      </c>
    </row>
    <row r="23" spans="1:9" ht="15.75" thickBot="1" x14ac:dyDescent="0.3"/>
    <row r="24" spans="1:9" x14ac:dyDescent="0.25">
      <c r="A24" s="3" t="s">
        <v>28</v>
      </c>
      <c r="B24" s="3" t="s">
        <v>40</v>
      </c>
      <c r="C24" s="3" t="s">
        <v>29</v>
      </c>
    </row>
    <row r="25" spans="1:9" x14ac:dyDescent="0.25">
      <c r="A25">
        <v>1</v>
      </c>
      <c r="B25" s="16">
        <v>151.8033669104457</v>
      </c>
      <c r="C25" s="16">
        <v>-12.803366910445703</v>
      </c>
    </row>
    <row r="26" spans="1:9" x14ac:dyDescent="0.25">
      <c r="A26">
        <v>2</v>
      </c>
      <c r="B26" s="16">
        <v>152.69421829722643</v>
      </c>
      <c r="C26" s="16">
        <v>-4.6942182972264277</v>
      </c>
    </row>
    <row r="27" spans="1:9" x14ac:dyDescent="0.25">
      <c r="A27">
        <v>3</v>
      </c>
      <c r="B27" s="16">
        <v>153.58506968400718</v>
      </c>
      <c r="C27" s="16">
        <v>-11.585069684007181</v>
      </c>
    </row>
    <row r="28" spans="1:9" x14ac:dyDescent="0.25">
      <c r="A28">
        <v>4</v>
      </c>
      <c r="B28" s="16">
        <v>146.45825858976127</v>
      </c>
      <c r="C28" s="16">
        <v>7.5417414102387283</v>
      </c>
    </row>
    <row r="29" spans="1:9" x14ac:dyDescent="0.25">
      <c r="A29">
        <v>5</v>
      </c>
      <c r="B29" s="16">
        <v>170.51124603284117</v>
      </c>
      <c r="C29" s="16">
        <v>-6.5112460328411714</v>
      </c>
    </row>
    <row r="30" spans="1:9" x14ac:dyDescent="0.25">
      <c r="A30">
        <v>6</v>
      </c>
      <c r="B30" s="16">
        <v>176.74720574030636</v>
      </c>
      <c r="C30" s="16">
        <v>18.252794259693644</v>
      </c>
    </row>
    <row r="31" spans="1:9" x14ac:dyDescent="0.25">
      <c r="A31">
        <v>7</v>
      </c>
      <c r="B31" s="16">
        <v>135.76804194839244</v>
      </c>
      <c r="C31" s="16">
        <v>3.2319580516075632</v>
      </c>
    </row>
    <row r="32" spans="1:9" x14ac:dyDescent="0.25">
      <c r="A32">
        <v>8</v>
      </c>
      <c r="B32" s="16">
        <v>163.38443493859529</v>
      </c>
      <c r="C32" s="16">
        <v>0.61556506140470901</v>
      </c>
    </row>
    <row r="33" spans="1:3" x14ac:dyDescent="0.25">
      <c r="A33">
        <v>9</v>
      </c>
      <c r="B33" s="16">
        <v>146.45825858976127</v>
      </c>
      <c r="C33" s="16">
        <v>5.5417414102387283</v>
      </c>
    </row>
    <row r="34" spans="1:3" x14ac:dyDescent="0.25">
      <c r="A34">
        <v>10</v>
      </c>
      <c r="B34" s="16">
        <v>153.58506968400718</v>
      </c>
      <c r="C34" s="16">
        <v>8.4149303159928195</v>
      </c>
    </row>
    <row r="35" spans="1:3" x14ac:dyDescent="0.25">
      <c r="A35">
        <v>11</v>
      </c>
      <c r="B35" s="16">
        <v>152.69421829722643</v>
      </c>
      <c r="C35" s="16">
        <v>-0.69421829722642769</v>
      </c>
    </row>
    <row r="36" spans="1:3" ht="15.75" thickBot="1" x14ac:dyDescent="0.3">
      <c r="A36" s="2">
        <v>12</v>
      </c>
      <c r="B36" s="19">
        <v>180.31061128742928</v>
      </c>
      <c r="C36" s="19">
        <v>-7.3106112874292819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крендель</dc:creator>
  <cp:lastModifiedBy>крендель</cp:lastModifiedBy>
  <dcterms:created xsi:type="dcterms:W3CDTF">2019-04-06T16:59:52Z</dcterms:created>
  <dcterms:modified xsi:type="dcterms:W3CDTF">2019-04-14T19:06:22Z</dcterms:modified>
</cp:coreProperties>
</file>