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510" yWindow="585" windowWidth="13095" windowHeight="1500"/>
  </bookViews>
  <sheets>
    <sheet name="Программа тренировок " sheetId="1" r:id="rId1"/>
    <sheet name="Формулы" sheetId="2" r:id="rId2"/>
    <sheet name="Коэффициенты" sheetId="3" r:id="rId3"/>
  </sheets>
  <definedNames>
    <definedName name="_xlnm._FilterDatabase" localSheetId="1" hidden="1">Формулы!$K$9:$AP$10</definedName>
    <definedName name="Нет">Коэффициенты!$C$2:$C$7</definedName>
    <definedName name="Подтягивания">Коэффициенты!$C$2:$C$7</definedName>
  </definedNames>
  <calcPr calcId="145621"/>
  <extLst>
    <ext uri="GoogleSheetsCustomDataVersion2">
      <go:sheetsCustomData xmlns:go="http://customooxmlschemas.google.com/" r:id="rId5" roundtripDataChecksum="yMdDqvDEDaIlDuvTqIwWL8qY3AAmC1sMHM1rr1TXPcc="/>
    </ext>
  </extLst>
</workbook>
</file>

<file path=xl/calcChain.xml><?xml version="1.0" encoding="utf-8"?>
<calcChain xmlns="http://schemas.openxmlformats.org/spreadsheetml/2006/main">
  <c r="N190" i="1" l="1"/>
  <c r="M190" i="1"/>
  <c r="L190" i="1"/>
  <c r="K190" i="1"/>
  <c r="J190" i="1"/>
  <c r="I190" i="1"/>
  <c r="H190" i="1"/>
  <c r="G190" i="1"/>
  <c r="F190" i="1"/>
  <c r="E190" i="1"/>
  <c r="D190" i="1"/>
  <c r="C190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I5" i="3" l="1"/>
  <c r="N7" i="3"/>
  <c r="O6" i="3"/>
  <c r="AB25" i="2"/>
  <c r="AP25" i="2"/>
  <c r="AB28" i="2"/>
  <c r="AP28" i="2"/>
  <c r="H3" i="3"/>
  <c r="N189" i="1"/>
  <c r="L189" i="1"/>
  <c r="J189" i="1"/>
  <c r="H189" i="1"/>
  <c r="F189" i="1"/>
  <c r="D189" i="1"/>
  <c r="N162" i="1"/>
  <c r="L162" i="1"/>
  <c r="J162" i="1"/>
  <c r="H162" i="1"/>
  <c r="D162" i="1"/>
  <c r="F162" i="1"/>
  <c r="P26" i="2"/>
  <c r="O26" i="2"/>
  <c r="N26" i="2"/>
  <c r="N24" i="2"/>
  <c r="D71" i="1" l="1"/>
  <c r="B201" i="1"/>
  <c r="B174" i="1"/>
  <c r="B136" i="1"/>
  <c r="B128" i="1" l="1"/>
  <c r="B166" i="1" s="1"/>
  <c r="B193" i="1" s="1"/>
  <c r="K87" i="1"/>
  <c r="K71" i="1"/>
  <c r="H71" i="1"/>
  <c r="E71" i="1"/>
  <c r="J87" i="1"/>
  <c r="H87" i="1"/>
  <c r="G87" i="1"/>
  <c r="D87" i="1"/>
  <c r="H79" i="1"/>
  <c r="J79" i="1"/>
  <c r="I87" i="1"/>
  <c r="F87" i="1"/>
  <c r="C87" i="1"/>
  <c r="I79" i="1"/>
  <c r="F79" i="1"/>
  <c r="K79" i="1"/>
  <c r="G79" i="1"/>
  <c r="I86" i="1"/>
  <c r="F86" i="1"/>
  <c r="C86" i="1"/>
  <c r="I68" i="1"/>
  <c r="F68" i="1"/>
  <c r="I78" i="1"/>
  <c r="F78" i="1"/>
  <c r="C78" i="1"/>
  <c r="C79" i="1"/>
  <c r="G71" i="1"/>
  <c r="F71" i="1"/>
  <c r="C71" i="1"/>
  <c r="C68" i="1"/>
  <c r="I71" i="1"/>
  <c r="E87" i="1"/>
  <c r="B116" i="1"/>
  <c r="B154" i="1" s="1"/>
  <c r="B181" i="1" s="1"/>
  <c r="B120" i="1"/>
  <c r="B158" i="1" s="1"/>
  <c r="B185" i="1" s="1"/>
  <c r="B118" i="1"/>
  <c r="B156" i="1" s="1"/>
  <c r="B183" i="1" s="1"/>
  <c r="B119" i="1"/>
  <c r="B157" i="1" s="1"/>
  <c r="B184" i="1" s="1"/>
  <c r="B124" i="1"/>
  <c r="B162" i="1" s="1"/>
  <c r="B189" i="1" s="1"/>
  <c r="B125" i="1"/>
  <c r="B163" i="1" s="1"/>
  <c r="B190" i="1" s="1"/>
  <c r="B126" i="1"/>
  <c r="B164" i="1" s="1"/>
  <c r="B191" i="1" s="1"/>
  <c r="B127" i="1"/>
  <c r="B165" i="1" s="1"/>
  <c r="B192" i="1" s="1"/>
  <c r="B132" i="1"/>
  <c r="B170" i="1" s="1"/>
  <c r="B197" i="1" s="1"/>
  <c r="B133" i="1"/>
  <c r="B171" i="1" s="1"/>
  <c r="B198" i="1" s="1"/>
  <c r="B134" i="1"/>
  <c r="B172" i="1" s="1"/>
  <c r="B199" i="1" s="1"/>
  <c r="B135" i="1"/>
  <c r="B173" i="1" s="1"/>
  <c r="B200" i="1" s="1"/>
  <c r="B117" i="1"/>
  <c r="B155" i="1" s="1"/>
  <c r="B182" i="1" s="1"/>
  <c r="N201" i="1"/>
  <c r="L201" i="1"/>
  <c r="J201" i="1"/>
  <c r="H201" i="1"/>
  <c r="F201" i="1"/>
  <c r="D201" i="1"/>
  <c r="M200" i="1"/>
  <c r="K200" i="1"/>
  <c r="I200" i="1"/>
  <c r="G200" i="1"/>
  <c r="E200" i="1"/>
  <c r="C200" i="1"/>
  <c r="C173" i="1"/>
  <c r="N199" i="1"/>
  <c r="L199" i="1"/>
  <c r="J199" i="1"/>
  <c r="H199" i="1"/>
  <c r="F199" i="1"/>
  <c r="D199" i="1"/>
  <c r="N198" i="1"/>
  <c r="L198" i="1"/>
  <c r="J198" i="1"/>
  <c r="H198" i="1"/>
  <c r="F198" i="1"/>
  <c r="D198" i="1"/>
  <c r="N197" i="1"/>
  <c r="L197" i="1"/>
  <c r="J197" i="1"/>
  <c r="H197" i="1"/>
  <c r="F197" i="1"/>
  <c r="D197" i="1"/>
  <c r="N193" i="1"/>
  <c r="L193" i="1"/>
  <c r="J193" i="1"/>
  <c r="H193" i="1"/>
  <c r="F193" i="1"/>
  <c r="D193" i="1"/>
  <c r="N192" i="1"/>
  <c r="L192" i="1"/>
  <c r="J192" i="1"/>
  <c r="H192" i="1"/>
  <c r="F192" i="1"/>
  <c r="D192" i="1"/>
  <c r="N191" i="1"/>
  <c r="L191" i="1"/>
  <c r="J191" i="1"/>
  <c r="H191" i="1"/>
  <c r="F191" i="1"/>
  <c r="D191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C158" i="1"/>
  <c r="N184" i="1"/>
  <c r="L184" i="1"/>
  <c r="J184" i="1"/>
  <c r="H184" i="1"/>
  <c r="F184" i="1"/>
  <c r="D184" i="1"/>
  <c r="N183" i="1"/>
  <c r="L183" i="1"/>
  <c r="J183" i="1"/>
  <c r="H183" i="1"/>
  <c r="F183" i="1"/>
  <c r="D183" i="1"/>
  <c r="E182" i="1"/>
  <c r="C182" i="1"/>
  <c r="C155" i="1"/>
  <c r="N181" i="1"/>
  <c r="L181" i="1"/>
  <c r="J181" i="1"/>
  <c r="H181" i="1"/>
  <c r="F181" i="1"/>
  <c r="D181" i="1"/>
  <c r="N158" i="1"/>
  <c r="M158" i="1"/>
  <c r="L158" i="1"/>
  <c r="K158" i="1"/>
  <c r="J158" i="1"/>
  <c r="I158" i="1"/>
  <c r="H158" i="1"/>
  <c r="G158" i="1"/>
  <c r="F158" i="1"/>
  <c r="E158" i="1"/>
  <c r="D158" i="1"/>
  <c r="P41" i="2"/>
  <c r="P40" i="2"/>
  <c r="O41" i="2"/>
  <c r="O40" i="2"/>
  <c r="N41" i="2"/>
  <c r="N40" i="2"/>
  <c r="N37" i="2"/>
  <c r="N166" i="1"/>
  <c r="L166" i="1"/>
  <c r="J166" i="1"/>
  <c r="H166" i="1"/>
  <c r="F166" i="1"/>
  <c r="D166" i="1"/>
  <c r="N165" i="1"/>
  <c r="L165" i="1"/>
  <c r="J165" i="1"/>
  <c r="H165" i="1"/>
  <c r="F165" i="1"/>
  <c r="D165" i="1"/>
  <c r="P38" i="2"/>
  <c r="O38" i="2"/>
  <c r="N38" i="2"/>
  <c r="P65" i="2"/>
  <c r="P64" i="2"/>
  <c r="O65" i="2"/>
  <c r="O64" i="2"/>
  <c r="N65" i="2"/>
  <c r="N64" i="2"/>
  <c r="N55" i="2"/>
  <c r="N174" i="1"/>
  <c r="L174" i="1"/>
  <c r="J174" i="1"/>
  <c r="H174" i="1"/>
  <c r="F174" i="1"/>
  <c r="D174" i="1"/>
  <c r="P60" i="2"/>
  <c r="P61" i="2"/>
  <c r="N61" i="2"/>
  <c r="N60" i="2"/>
  <c r="O61" i="2"/>
  <c r="O60" i="2"/>
  <c r="O56" i="2"/>
  <c r="P56" i="2"/>
  <c r="N56" i="2"/>
  <c r="N172" i="1"/>
  <c r="L172" i="1"/>
  <c r="J172" i="1"/>
  <c r="H172" i="1"/>
  <c r="F172" i="1"/>
  <c r="D172" i="1"/>
  <c r="P50" i="2"/>
  <c r="P49" i="2"/>
  <c r="P48" i="2"/>
  <c r="N50" i="2"/>
  <c r="N49" i="2"/>
  <c r="N48" i="2"/>
  <c r="O48" i="2"/>
  <c r="O49" i="2"/>
  <c r="O50" i="2"/>
  <c r="O45" i="2"/>
  <c r="N171" i="1"/>
  <c r="L171" i="1"/>
  <c r="J171" i="1"/>
  <c r="H171" i="1"/>
  <c r="F171" i="1"/>
  <c r="D171" i="1"/>
  <c r="N170" i="1"/>
  <c r="L170" i="1"/>
  <c r="J170" i="1"/>
  <c r="H170" i="1"/>
  <c r="F170" i="1"/>
  <c r="D170" i="1"/>
  <c r="P45" i="2"/>
  <c r="P44" i="2"/>
  <c r="O44" i="2"/>
  <c r="N45" i="2"/>
  <c r="N44" i="2"/>
  <c r="P55" i="2"/>
  <c r="O55" i="2"/>
  <c r="N157" i="1"/>
  <c r="L157" i="1"/>
  <c r="J157" i="1"/>
  <c r="H157" i="1"/>
  <c r="F157" i="1"/>
  <c r="D157" i="1"/>
  <c r="P22" i="2"/>
  <c r="P21" i="2"/>
  <c r="O22" i="2"/>
  <c r="O21" i="2"/>
  <c r="N21" i="2"/>
  <c r="N22" i="2"/>
  <c r="N34" i="2"/>
  <c r="O34" i="2"/>
  <c r="O33" i="2"/>
  <c r="P34" i="2"/>
  <c r="P33" i="2"/>
  <c r="O37" i="2"/>
  <c r="R10" i="2" s="1"/>
  <c r="P36" i="2"/>
  <c r="O36" i="2"/>
  <c r="N36" i="2"/>
  <c r="N33" i="2"/>
  <c r="N154" i="1"/>
  <c r="N164" i="1"/>
  <c r="L164" i="1"/>
  <c r="J164" i="1"/>
  <c r="H164" i="1"/>
  <c r="F164" i="1"/>
  <c r="D164" i="1"/>
  <c r="N30" i="2"/>
  <c r="P29" i="2"/>
  <c r="P30" i="2"/>
  <c r="O30" i="2"/>
  <c r="O29" i="2"/>
  <c r="N29" i="2"/>
  <c r="N15" i="2"/>
  <c r="P15" i="2"/>
  <c r="P14" i="2"/>
  <c r="P59" i="2" s="1"/>
  <c r="P13" i="2"/>
  <c r="P18" i="2"/>
  <c r="O18" i="2"/>
  <c r="N18" i="2"/>
  <c r="P10" i="2"/>
  <c r="AH10" i="2" s="1"/>
  <c r="P9" i="2"/>
  <c r="P28" i="2" s="1"/>
  <c r="O9" i="2"/>
  <c r="O28" i="2" s="1"/>
  <c r="N10" i="2"/>
  <c r="Y10" i="2" s="1"/>
  <c r="N9" i="2"/>
  <c r="P24" i="2"/>
  <c r="O24" i="2"/>
  <c r="AO24" i="2" s="1"/>
  <c r="N17" i="2"/>
  <c r="N25" i="2" s="1"/>
  <c r="O17" i="2"/>
  <c r="O25" i="2" s="1"/>
  <c r="P19" i="2"/>
  <c r="P17" i="2"/>
  <c r="O19" i="2"/>
  <c r="N19" i="2"/>
  <c r="N13" i="2"/>
  <c r="N156" i="1"/>
  <c r="L156" i="1"/>
  <c r="J156" i="1"/>
  <c r="H156" i="1"/>
  <c r="F156" i="1"/>
  <c r="D156" i="1"/>
  <c r="O13" i="2"/>
  <c r="O14" i="2"/>
  <c r="N14" i="2"/>
  <c r="N59" i="2" s="1"/>
  <c r="O15" i="2"/>
  <c r="P11" i="2"/>
  <c r="O11" i="2"/>
  <c r="N11" i="2"/>
  <c r="L154" i="1"/>
  <c r="J154" i="1"/>
  <c r="H154" i="1"/>
  <c r="F154" i="1"/>
  <c r="D154" i="1"/>
  <c r="AO11" i="2" l="1"/>
  <c r="AO29" i="2"/>
  <c r="AO33" i="2"/>
  <c r="N28" i="2"/>
  <c r="Q28" i="2" s="1"/>
  <c r="AO9" i="2"/>
  <c r="M181" i="1" s="1"/>
  <c r="AA33" i="2"/>
  <c r="AO44" i="2"/>
  <c r="AA44" i="2"/>
  <c r="AO28" i="2"/>
  <c r="AA28" i="2"/>
  <c r="O59" i="2"/>
  <c r="R13" i="2" s="1"/>
  <c r="V14" i="2"/>
  <c r="J71" i="1"/>
  <c r="AG41" i="2"/>
  <c r="E193" i="1" s="1"/>
  <c r="Y45" i="2"/>
  <c r="AF37" i="2"/>
  <c r="Q61" i="2"/>
  <c r="AF10" i="2"/>
  <c r="AF14" i="2"/>
  <c r="AA18" i="2"/>
  <c r="AK56" i="2"/>
  <c r="Y60" i="2"/>
  <c r="Q65" i="2"/>
  <c r="AA49" i="2"/>
  <c r="AM41" i="2"/>
  <c r="K193" i="1" s="1"/>
  <c r="AO45" i="2"/>
  <c r="AE41" i="2"/>
  <c r="C193" i="1" s="1"/>
  <c r="U41" i="2"/>
  <c r="AO41" i="2"/>
  <c r="M193" i="1" s="1"/>
  <c r="Y61" i="2"/>
  <c r="K173" i="1" s="1"/>
  <c r="AM18" i="2"/>
  <c r="Q34" i="2"/>
  <c r="AM60" i="2"/>
  <c r="S41" i="2"/>
  <c r="W45" i="2"/>
  <c r="W41" i="2"/>
  <c r="AO10" i="2"/>
  <c r="Y41" i="2"/>
  <c r="AA41" i="2"/>
  <c r="AI41" i="2"/>
  <c r="G193" i="1" s="1"/>
  <c r="AK41" i="2"/>
  <c r="I193" i="1" s="1"/>
  <c r="Q41" i="2"/>
  <c r="C166" i="1" s="1"/>
  <c r="AO18" i="2"/>
  <c r="AI18" i="2"/>
  <c r="Y38" i="2"/>
  <c r="AI56" i="2"/>
  <c r="U38" i="2"/>
  <c r="S38" i="2"/>
  <c r="W38" i="2"/>
  <c r="Q38" i="2"/>
  <c r="AK38" i="2"/>
  <c r="AE38" i="2"/>
  <c r="AI38" i="2"/>
  <c r="AO38" i="2"/>
  <c r="AM38" i="2"/>
  <c r="AA38" i="2"/>
  <c r="AG38" i="2"/>
  <c r="AO56" i="2"/>
  <c r="S56" i="2"/>
  <c r="U56" i="2"/>
  <c r="AA56" i="2"/>
  <c r="AE18" i="2"/>
  <c r="AM45" i="2"/>
  <c r="W56" i="2"/>
  <c r="W10" i="2"/>
  <c r="AG18" i="2"/>
  <c r="Q18" i="2"/>
  <c r="Y30" i="2"/>
  <c r="Y56" i="2"/>
  <c r="Y17" i="2"/>
  <c r="AK18" i="2"/>
  <c r="AE56" i="2"/>
  <c r="Q56" i="2"/>
  <c r="Q45" i="2"/>
  <c r="AG56" i="2"/>
  <c r="AM36" i="2"/>
  <c r="AM56" i="2"/>
  <c r="AE60" i="2"/>
  <c r="AG60" i="2"/>
  <c r="AI60" i="2"/>
  <c r="AK60" i="2"/>
  <c r="AO60" i="2"/>
  <c r="Q60" i="2"/>
  <c r="S60" i="2"/>
  <c r="S61" i="2"/>
  <c r="E173" i="1" s="1"/>
  <c r="U60" i="2"/>
  <c r="U61" i="2"/>
  <c r="G173" i="1" s="1"/>
  <c r="AK61" i="2"/>
  <c r="W60" i="2"/>
  <c r="W61" i="2"/>
  <c r="I173" i="1" s="1"/>
  <c r="AA60" i="2"/>
  <c r="AO61" i="2"/>
  <c r="AM61" i="2"/>
  <c r="AA61" i="2"/>
  <c r="M173" i="1" s="1"/>
  <c r="AE61" i="2"/>
  <c r="AG61" i="2"/>
  <c r="AI61" i="2"/>
  <c r="S18" i="2"/>
  <c r="AA29" i="2"/>
  <c r="S45" i="2"/>
  <c r="AA22" i="2"/>
  <c r="W18" i="2"/>
  <c r="U15" i="2"/>
  <c r="U18" i="2"/>
  <c r="Y18" i="2"/>
  <c r="U45" i="2"/>
  <c r="AA45" i="2"/>
  <c r="O54" i="2"/>
  <c r="AE45" i="2"/>
  <c r="AG45" i="2"/>
  <c r="Q17" i="2"/>
  <c r="C156" i="1" s="1"/>
  <c r="AI45" i="2"/>
  <c r="S17" i="2"/>
  <c r="E156" i="1" s="1"/>
  <c r="AK45" i="2"/>
  <c r="U17" i="2"/>
  <c r="G156" i="1" s="1"/>
  <c r="Q33" i="2"/>
  <c r="C164" i="1" s="1"/>
  <c r="W17" i="2"/>
  <c r="I156" i="1" s="1"/>
  <c r="Q21" i="2"/>
  <c r="C157" i="1" s="1"/>
  <c r="N54" i="2"/>
  <c r="Q29" i="2"/>
  <c r="P54" i="2"/>
  <c r="P25" i="2"/>
  <c r="AA25" i="2" s="1"/>
  <c r="Q49" i="2"/>
  <c r="Y22" i="2"/>
  <c r="AM22" i="2"/>
  <c r="AE22" i="2"/>
  <c r="AI22" i="2"/>
  <c r="U22" i="2"/>
  <c r="AG22" i="2"/>
  <c r="AK22" i="2"/>
  <c r="S22" i="2"/>
  <c r="W22" i="2"/>
  <c r="Q22" i="2"/>
  <c r="AO22" i="2"/>
  <c r="Q36" i="2"/>
  <c r="AE36" i="2"/>
  <c r="AG36" i="2"/>
  <c r="AA36" i="2"/>
  <c r="AI36" i="2"/>
  <c r="AK36" i="2"/>
  <c r="W36" i="2"/>
  <c r="Y36" i="2"/>
  <c r="AO36" i="2"/>
  <c r="S36" i="2"/>
  <c r="U36" i="2"/>
  <c r="AA30" i="2"/>
  <c r="AO30" i="2"/>
  <c r="AM30" i="2"/>
  <c r="W29" i="2"/>
  <c r="U29" i="2"/>
  <c r="W30" i="2"/>
  <c r="AM29" i="2"/>
  <c r="Y29" i="2"/>
  <c r="Q30" i="2"/>
  <c r="AE29" i="2"/>
  <c r="AI29" i="2"/>
  <c r="AK30" i="2"/>
  <c r="AI30" i="2"/>
  <c r="AE30" i="2"/>
  <c r="S30" i="2"/>
  <c r="AK29" i="2"/>
  <c r="AG30" i="2"/>
  <c r="U30" i="2"/>
  <c r="AG29" i="2"/>
  <c r="S29" i="2"/>
  <c r="Y15" i="2"/>
  <c r="W15" i="2"/>
  <c r="AO15" i="2"/>
  <c r="AA15" i="2"/>
  <c r="AG15" i="2"/>
  <c r="AI15" i="2"/>
  <c r="AM15" i="2"/>
  <c r="Q15" i="2"/>
  <c r="S15" i="2"/>
  <c r="AE15" i="2"/>
  <c r="AK15" i="2"/>
  <c r="AG19" i="2"/>
  <c r="AE19" i="2"/>
  <c r="Q25" i="2"/>
  <c r="Q19" i="2"/>
  <c r="S19" i="2"/>
  <c r="AI19" i="2"/>
  <c r="W25" i="2"/>
  <c r="AK19" i="2"/>
  <c r="Y25" i="2"/>
  <c r="U19" i="2"/>
  <c r="W19" i="2"/>
  <c r="AM19" i="2"/>
  <c r="Y19" i="2"/>
  <c r="AO19" i="2"/>
  <c r="AA19" i="2"/>
  <c r="S25" i="2"/>
  <c r="U25" i="2"/>
  <c r="V13" i="2" l="1"/>
  <c r="T13" i="2"/>
  <c r="AH13" i="2"/>
  <c r="AF13" i="2"/>
  <c r="D182" i="1" s="1"/>
  <c r="AO25" i="2"/>
  <c r="I165" i="1"/>
  <c r="E165" i="1"/>
  <c r="G165" i="1"/>
  <c r="E192" i="1"/>
  <c r="M165" i="1"/>
  <c r="K165" i="1"/>
  <c r="K192" i="1"/>
  <c r="M192" i="1"/>
  <c r="G192" i="1"/>
  <c r="C192" i="1"/>
  <c r="I192" i="1"/>
  <c r="C165" i="1"/>
  <c r="AO54" i="2"/>
  <c r="M199" i="1" s="1"/>
  <c r="K156" i="1"/>
  <c r="AK54" i="2"/>
  <c r="I199" i="1" s="1"/>
  <c r="AI54" i="2"/>
  <c r="G199" i="1" s="1"/>
  <c r="AG54" i="2"/>
  <c r="E199" i="1" s="1"/>
  <c r="AA54" i="2"/>
  <c r="Y54" i="2"/>
  <c r="W54" i="2"/>
  <c r="U54" i="2"/>
  <c r="S54" i="2"/>
  <c r="Q54" i="2"/>
  <c r="C172" i="1" s="1"/>
  <c r="AM54" i="2"/>
  <c r="K199" i="1" s="1"/>
  <c r="AE54" i="2"/>
  <c r="C199" i="1" s="1"/>
  <c r="AG25" i="2"/>
  <c r="AO17" i="2"/>
  <c r="M183" i="1" s="1"/>
  <c r="AM17" i="2"/>
  <c r="K183" i="1" s="1"/>
  <c r="AK17" i="2"/>
  <c r="I183" i="1" s="1"/>
  <c r="AI17" i="2"/>
  <c r="G183" i="1" s="1"/>
  <c r="AG17" i="2"/>
  <c r="E183" i="1" s="1"/>
  <c r="AE17" i="2"/>
  <c r="C183" i="1" s="1"/>
  <c r="AA17" i="2"/>
  <c r="M156" i="1" s="1"/>
  <c r="AE25" i="2"/>
  <c r="AI25" i="2"/>
  <c r="AK25" i="2"/>
  <c r="AM25" i="2"/>
  <c r="O11" i="3" l="1"/>
  <c r="O10" i="3"/>
  <c r="R73" i="2"/>
  <c r="T73" i="2"/>
  <c r="V73" i="2"/>
  <c r="X73" i="2"/>
  <c r="Z73" i="2"/>
  <c r="AB73" i="2"/>
  <c r="AF73" i="2"/>
  <c r="AH73" i="2"/>
  <c r="AJ73" i="2"/>
  <c r="AL73" i="2"/>
  <c r="AN73" i="2"/>
  <c r="AP73" i="2"/>
  <c r="N74" i="2"/>
  <c r="O74" i="2"/>
  <c r="P74" i="2"/>
  <c r="O8" i="3"/>
  <c r="O9" i="3"/>
  <c r="O7" i="3"/>
  <c r="AP59" i="2"/>
  <c r="N200" i="1" s="1"/>
  <c r="AN59" i="2"/>
  <c r="L200" i="1" s="1"/>
  <c r="AL59" i="2"/>
  <c r="J200" i="1" s="1"/>
  <c r="AJ59" i="2"/>
  <c r="H200" i="1" s="1"/>
  <c r="AH59" i="2"/>
  <c r="F200" i="1" s="1"/>
  <c r="AF59" i="2"/>
  <c r="D200" i="1" s="1"/>
  <c r="AB59" i="2"/>
  <c r="N173" i="1" s="1"/>
  <c r="Z59" i="2"/>
  <c r="L173" i="1" s="1"/>
  <c r="X59" i="2"/>
  <c r="J173" i="1" s="1"/>
  <c r="V59" i="2"/>
  <c r="H173" i="1" s="1"/>
  <c r="T59" i="2"/>
  <c r="F173" i="1" s="1"/>
  <c r="R59" i="2"/>
  <c r="D173" i="1" s="1"/>
  <c r="AP14" i="2"/>
  <c r="N182" i="1" s="1"/>
  <c r="AN14" i="2"/>
  <c r="L182" i="1" s="1"/>
  <c r="AL14" i="2"/>
  <c r="J182" i="1" s="1"/>
  <c r="AJ14" i="2"/>
  <c r="H182" i="1" s="1"/>
  <c r="AH14" i="2"/>
  <c r="F182" i="1" s="1"/>
  <c r="AB14" i="2"/>
  <c r="N155" i="1" s="1"/>
  <c r="Z14" i="2"/>
  <c r="L155" i="1" s="1"/>
  <c r="X14" i="2"/>
  <c r="J155" i="1" s="1"/>
  <c r="T14" i="2"/>
  <c r="R14" i="2"/>
  <c r="T10" i="2"/>
  <c r="AI10" i="2"/>
  <c r="AA10" i="2"/>
  <c r="AM10" i="2" s="1"/>
  <c r="AK10" i="2"/>
  <c r="V10" i="2"/>
  <c r="W21" i="2" l="1"/>
  <c r="I157" i="1" s="1"/>
  <c r="Y21" i="2"/>
  <c r="K157" i="1" s="1"/>
  <c r="AA21" i="2"/>
  <c r="M157" i="1" s="1"/>
  <c r="AE21" i="2"/>
  <c r="C184" i="1" s="1"/>
  <c r="AG21" i="2"/>
  <c r="E184" i="1" s="1"/>
  <c r="U21" i="2"/>
  <c r="G157" i="1" s="1"/>
  <c r="AI21" i="2"/>
  <c r="G184" i="1" s="1"/>
  <c r="AK21" i="2"/>
  <c r="I184" i="1" s="1"/>
  <c r="AM21" i="2"/>
  <c r="K184" i="1" s="1"/>
  <c r="AO21" i="2"/>
  <c r="M184" i="1" s="1"/>
  <c r="S21" i="2"/>
  <c r="E157" i="1" s="1"/>
  <c r="AP37" i="2" l="1"/>
  <c r="AN37" i="2"/>
  <c r="AL37" i="2"/>
  <c r="AJ37" i="2"/>
  <c r="AH37" i="2"/>
  <c r="AB37" i="2"/>
  <c r="Z37" i="2"/>
  <c r="X37" i="2"/>
  <c r="V37" i="2"/>
  <c r="T37" i="2"/>
  <c r="R37" i="2"/>
  <c r="AO13" i="2"/>
  <c r="M182" i="1" s="1"/>
  <c r="AA13" i="2"/>
  <c r="Y13" i="2"/>
  <c r="W13" i="2"/>
  <c r="AI13" i="2" s="1"/>
  <c r="H155" i="1"/>
  <c r="F155" i="1"/>
  <c r="D155" i="1"/>
  <c r="AK13" i="2" l="1"/>
  <c r="I182" i="1" s="1"/>
  <c r="AM13" i="2"/>
  <c r="K182" i="1" s="1"/>
  <c r="G182" i="1"/>
  <c r="O5" i="3"/>
  <c r="O4" i="3"/>
  <c r="O3" i="3"/>
  <c r="S34" i="2" l="1"/>
  <c r="U11" i="2"/>
  <c r="U40" i="2"/>
  <c r="G166" i="1" s="1"/>
  <c r="U50" i="2"/>
  <c r="W49" i="2"/>
  <c r="AE11" i="2"/>
  <c r="Y11" i="2"/>
  <c r="Y49" i="2"/>
  <c r="S11" i="2"/>
  <c r="S40" i="2"/>
  <c r="E166" i="1" s="1"/>
  <c r="S50" i="2"/>
  <c r="U49" i="2"/>
  <c r="AO34" i="2"/>
  <c r="Q11" i="2"/>
  <c r="Q40" i="2"/>
  <c r="Q50" i="2"/>
  <c r="S49" i="2"/>
  <c r="AE50" i="2"/>
  <c r="AA11" i="2"/>
  <c r="Y40" i="2"/>
  <c r="K166" i="1" s="1"/>
  <c r="AM34" i="2"/>
  <c r="AO40" i="2"/>
  <c r="AO50" i="2"/>
  <c r="AE40" i="2"/>
  <c r="W11" i="2"/>
  <c r="AK34" i="2"/>
  <c r="AM11" i="2"/>
  <c r="AM40" i="2"/>
  <c r="AM50" i="2"/>
  <c r="AO49" i="2"/>
  <c r="AG49" i="2"/>
  <c r="AA40" i="2"/>
  <c r="M166" i="1" s="1"/>
  <c r="AI34" i="2"/>
  <c r="AK11" i="2"/>
  <c r="AK40" i="2"/>
  <c r="AK50" i="2"/>
  <c r="AM49" i="2"/>
  <c r="W40" i="2"/>
  <c r="I166" i="1" s="1"/>
  <c r="AG34" i="2"/>
  <c r="AI11" i="2"/>
  <c r="AI40" i="2"/>
  <c r="AI50" i="2"/>
  <c r="AK49" i="2"/>
  <c r="AA50" i="2"/>
  <c r="Y50" i="2"/>
  <c r="W50" i="2"/>
  <c r="AE34" i="2"/>
  <c r="AG11" i="2"/>
  <c r="AG40" i="2"/>
  <c r="AG50" i="2"/>
  <c r="AI49" i="2"/>
  <c r="AE49" i="2"/>
  <c r="AA34" i="2"/>
  <c r="Y34" i="2"/>
  <c r="W34" i="2"/>
  <c r="U34" i="2"/>
  <c r="W65" i="2"/>
  <c r="W64" i="2"/>
  <c r="I174" i="1" s="1"/>
  <c r="W55" i="2"/>
  <c r="AG55" i="2"/>
  <c r="AA64" i="2"/>
  <c r="U65" i="2"/>
  <c r="U64" i="2"/>
  <c r="G174" i="1" s="1"/>
  <c r="U55" i="2"/>
  <c r="AA55" i="2"/>
  <c r="Y64" i="2"/>
  <c r="S65" i="2"/>
  <c r="S64" i="2"/>
  <c r="E174" i="1" s="1"/>
  <c r="S55" i="2"/>
  <c r="Y65" i="2"/>
  <c r="Q64" i="2"/>
  <c r="C174" i="1" s="1"/>
  <c r="Q55" i="2"/>
  <c r="AG65" i="2"/>
  <c r="AE64" i="2"/>
  <c r="AO65" i="2"/>
  <c r="AO64" i="2"/>
  <c r="AO55" i="2"/>
  <c r="AE65" i="2"/>
  <c r="Y55" i="2"/>
  <c r="AM65" i="2"/>
  <c r="AM64" i="2"/>
  <c r="AM55" i="2"/>
  <c r="AG64" i="2"/>
  <c r="E201" i="1" s="1"/>
  <c r="AK65" i="2"/>
  <c r="AK64" i="2"/>
  <c r="I201" i="1" s="1"/>
  <c r="AK55" i="2"/>
  <c r="AE55" i="2"/>
  <c r="AA65" i="2"/>
  <c r="AI65" i="2"/>
  <c r="AI64" i="2"/>
  <c r="G201" i="1" s="1"/>
  <c r="AI55" i="2"/>
  <c r="M201" i="1" l="1"/>
  <c r="C201" i="1"/>
  <c r="M174" i="1"/>
  <c r="K201" i="1"/>
  <c r="K174" i="1"/>
  <c r="L6" i="3"/>
  <c r="L5" i="3"/>
  <c r="L3" i="3"/>
  <c r="L4" i="3"/>
  <c r="AM33" i="2" l="1"/>
  <c r="K191" i="1" s="1"/>
  <c r="M191" i="1"/>
  <c r="AE33" i="2"/>
  <c r="C191" i="1" s="1"/>
  <c r="M164" i="1"/>
  <c r="Y33" i="2"/>
  <c r="K164" i="1" s="1"/>
  <c r="W33" i="2"/>
  <c r="I164" i="1" s="1"/>
  <c r="U33" i="2"/>
  <c r="G164" i="1" s="1"/>
  <c r="AI33" i="2"/>
  <c r="G191" i="1" s="1"/>
  <c r="AG33" i="2"/>
  <c r="E191" i="1" s="1"/>
  <c r="S33" i="2"/>
  <c r="E164" i="1" s="1"/>
  <c r="AK33" i="2"/>
  <c r="I191" i="1" s="1"/>
  <c r="AK44" i="2"/>
  <c r="I197" i="1" s="1"/>
  <c r="AM44" i="2"/>
  <c r="K197" i="1" s="1"/>
  <c r="AG44" i="2"/>
  <c r="E197" i="1" s="1"/>
  <c r="M197" i="1"/>
  <c r="AI44" i="2"/>
  <c r="G197" i="1" s="1"/>
  <c r="Q44" i="2"/>
  <c r="C170" i="1" s="1"/>
  <c r="Y44" i="2"/>
  <c r="K170" i="1" s="1"/>
  <c r="U44" i="2"/>
  <c r="G170" i="1" s="1"/>
  <c r="S44" i="2"/>
  <c r="E170" i="1" s="1"/>
  <c r="W44" i="2"/>
  <c r="I170" i="1" s="1"/>
  <c r="M170" i="1"/>
  <c r="AE44" i="2"/>
  <c r="C197" i="1" s="1"/>
  <c r="I3" i="3"/>
  <c r="I6" i="3"/>
  <c r="I4" i="3"/>
  <c r="S26" i="2" l="1"/>
  <c r="AE26" i="2"/>
  <c r="AM26" i="2"/>
  <c r="Y26" i="2"/>
  <c r="U26" i="2"/>
  <c r="W26" i="2"/>
  <c r="AG26" i="2"/>
  <c r="E189" i="1" s="1"/>
  <c r="AI26" i="2"/>
  <c r="G189" i="1" s="1"/>
  <c r="Q26" i="2"/>
  <c r="AA26" i="2"/>
  <c r="M162" i="1" s="1"/>
  <c r="AK26" i="2"/>
  <c r="AO26" i="2"/>
  <c r="M189" i="1" s="1"/>
  <c r="AA24" i="2"/>
  <c r="Y24" i="2"/>
  <c r="AG24" i="2"/>
  <c r="S24" i="2"/>
  <c r="AI24" i="2"/>
  <c r="AE24" i="2"/>
  <c r="W24" i="2"/>
  <c r="U24" i="2"/>
  <c r="Q24" i="2"/>
  <c r="AM24" i="2"/>
  <c r="AK24" i="2"/>
  <c r="M172" i="1"/>
  <c r="K172" i="1"/>
  <c r="I172" i="1"/>
  <c r="G172" i="1"/>
  <c r="E172" i="1"/>
  <c r="Q9" i="2"/>
  <c r="C154" i="1" s="1"/>
  <c r="AG83" i="2"/>
  <c r="Y76" i="2"/>
  <c r="S28" i="2"/>
  <c r="Y28" i="2"/>
  <c r="AI83" i="2"/>
  <c r="AA76" i="2"/>
  <c r="AK83" i="2"/>
  <c r="AE76" i="2"/>
  <c r="AM28" i="2"/>
  <c r="AM83" i="2"/>
  <c r="AG76" i="2"/>
  <c r="Q76" i="2"/>
  <c r="U76" i="2"/>
  <c r="AO83" i="2"/>
  <c r="AI76" i="2"/>
  <c r="AK28" i="2"/>
  <c r="U28" i="2"/>
  <c r="Q83" i="2"/>
  <c r="AK76" i="2"/>
  <c r="AI28" i="2"/>
  <c r="AM76" i="2"/>
  <c r="Y83" i="2"/>
  <c r="AE83" i="2"/>
  <c r="S83" i="2"/>
  <c r="AG28" i="2"/>
  <c r="AE28" i="2"/>
  <c r="W83" i="2"/>
  <c r="Q48" i="2"/>
  <c r="C171" i="1" s="1"/>
  <c r="W76" i="2"/>
  <c r="U83" i="2"/>
  <c r="AO76" i="2"/>
  <c r="S76" i="2"/>
  <c r="AA83" i="2"/>
  <c r="W28" i="2"/>
  <c r="AM74" i="2"/>
  <c r="Q74" i="2"/>
  <c r="S74" i="2"/>
  <c r="AI74" i="2"/>
  <c r="AG74" i="2"/>
  <c r="Y74" i="2"/>
  <c r="AK74" i="2"/>
  <c r="U74" i="2"/>
  <c r="AE74" i="2"/>
  <c r="AA74" i="2"/>
  <c r="W74" i="2"/>
  <c r="AO74" i="2"/>
  <c r="AA48" i="2"/>
  <c r="M171" i="1" s="1"/>
  <c r="Y48" i="2"/>
  <c r="K171" i="1" s="1"/>
  <c r="AE9" i="2"/>
  <c r="AM48" i="2"/>
  <c r="K198" i="1" s="1"/>
  <c r="AI48" i="2"/>
  <c r="G198" i="1" s="1"/>
  <c r="S9" i="2"/>
  <c r="E154" i="1" s="1"/>
  <c r="W48" i="2"/>
  <c r="I171" i="1" s="1"/>
  <c r="AA9" i="2"/>
  <c r="M154" i="1" s="1"/>
  <c r="Y9" i="2"/>
  <c r="K154" i="1" s="1"/>
  <c r="W9" i="2"/>
  <c r="I154" i="1" s="1"/>
  <c r="AI9" i="2"/>
  <c r="G181" i="1" s="1"/>
  <c r="U48" i="2"/>
  <c r="G171" i="1" s="1"/>
  <c r="S48" i="2"/>
  <c r="E171" i="1" s="1"/>
  <c r="AK9" i="2"/>
  <c r="I181" i="1" s="1"/>
  <c r="U9" i="2"/>
  <c r="G154" i="1" s="1"/>
  <c r="AG9" i="2"/>
  <c r="E181" i="1" s="1"/>
  <c r="AM9" i="2"/>
  <c r="K181" i="1" s="1"/>
  <c r="AO48" i="2"/>
  <c r="M198" i="1" s="1"/>
  <c r="AK48" i="2"/>
  <c r="I198" i="1" s="1"/>
  <c r="AG48" i="2"/>
  <c r="E198" i="1" s="1"/>
  <c r="AE48" i="2"/>
  <c r="C198" i="1" s="1"/>
  <c r="K162" i="1" l="1"/>
  <c r="C162" i="1"/>
  <c r="I162" i="1"/>
  <c r="G162" i="1"/>
  <c r="K189" i="1"/>
  <c r="C189" i="1"/>
  <c r="I189" i="1"/>
  <c r="E162" i="1"/>
  <c r="C181" i="1"/>
  <c r="G155" i="1"/>
  <c r="K155" i="1"/>
  <c r="M155" i="1"/>
  <c r="I155" i="1"/>
  <c r="E155" i="1"/>
</calcChain>
</file>

<file path=xl/sharedStrings.xml><?xml version="1.0" encoding="utf-8"?>
<sst xmlns="http://schemas.openxmlformats.org/spreadsheetml/2006/main" count="928" uniqueCount="208">
  <si>
    <t>Каждая тренировка начинается с суставной гимнастики - необходимо в течение 5-10 минут разогреть все суставы (выполнить вращательные, сгибательные и разгибательные движения всеми доступными частями тела) - уделить особое внимание плечевому суставу, позвоночнику, коленям</t>
  </si>
  <si>
    <t xml:space="preserve">В каждом упражнении делаем от 1 до 4,5 или даже 6 разминочных подходов перед рабочим весом (чем больше рабочий вес - тем больше подходов необходимо чтобы подготовить тело). </t>
  </si>
  <si>
    <t>В упражнениях с маленьким весом в качестве разминки достаточно взять 50% от рабочего веса и медленно поработать на 8-10 повторений в одном подходе (не закисляясь)</t>
  </si>
  <si>
    <t>Чем больше рабочий вес, тем больше требуется разминочных подходов перед рабочим весом, при этом во время разминки не делать большого кол-ва повторений, чтобы не закисляться (1х8, 1х6, 1х4, 1х2, 1х1)</t>
  </si>
  <si>
    <t xml:space="preserve">Например если приседания 120 кг, то понадобится сделать 20*8, 50*6, 70*4, 90*2, 110*1, а только затем рабочий вес (делать большие шаги в увеличении веса после 50%ПМ травмоопасно - 10-20 кг оптимальный шаг) </t>
  </si>
  <si>
    <t>ПОДГОТОВИТЕЛЬНЫЙ ПЕРИОД</t>
  </si>
  <si>
    <t>ТЕСТОВАЯ НЕДЕЛЯ</t>
  </si>
  <si>
    <t>Подх x повт</t>
  </si>
  <si>
    <t>Жим штанги лёжа</t>
  </si>
  <si>
    <t>12ПМ</t>
  </si>
  <si>
    <t>10ПМ</t>
  </si>
  <si>
    <t>3х8</t>
  </si>
  <si>
    <t>4х6</t>
  </si>
  <si>
    <t>4х5</t>
  </si>
  <si>
    <t>4х8</t>
  </si>
  <si>
    <t>4х4</t>
  </si>
  <si>
    <t>Становая тяга</t>
  </si>
  <si>
    <t>3х3</t>
  </si>
  <si>
    <t>Жим платформы ногами</t>
  </si>
  <si>
    <t>3х6</t>
  </si>
  <si>
    <t>Подъём штанги на бицепс</t>
  </si>
  <si>
    <t>Разгибания рук на блоке</t>
  </si>
  <si>
    <t>Сгибания ног в тренажёре (сидя/лёжа)</t>
  </si>
  <si>
    <t>Приседания со штангой</t>
  </si>
  <si>
    <t>Подтягивания</t>
  </si>
  <si>
    <t>Жим штанги лёжа на наклонной скамье</t>
  </si>
  <si>
    <t>Махи с гантелями в стороны</t>
  </si>
  <si>
    <t>3х12</t>
  </si>
  <si>
    <t>3х10</t>
  </si>
  <si>
    <t>Разгибания ног сидя</t>
  </si>
  <si>
    <t>Скручивания для пресса</t>
  </si>
  <si>
    <t>Армейский жим</t>
  </si>
  <si>
    <t>Тяга штанги в наклоне</t>
  </si>
  <si>
    <t>Тяга горизонтального блока к поясу</t>
  </si>
  <si>
    <t>Неделя 1</t>
  </si>
  <si>
    <t>Неделя 2</t>
  </si>
  <si>
    <t>Неделя 3</t>
  </si>
  <si>
    <t>Неделя 4</t>
  </si>
  <si>
    <t>Неделя 5</t>
  </si>
  <si>
    <t>Неделя 6</t>
  </si>
  <si>
    <t>4х12</t>
  </si>
  <si>
    <t>4х10</t>
  </si>
  <si>
    <t>5x5</t>
  </si>
  <si>
    <t>4x5</t>
  </si>
  <si>
    <t>3x4</t>
  </si>
  <si>
    <t>Выпады с гантелями</t>
  </si>
  <si>
    <t>Вес</t>
  </si>
  <si>
    <t>5х5</t>
  </si>
  <si>
    <t>3х4</t>
  </si>
  <si>
    <t>2х3</t>
  </si>
  <si>
    <t>Введите свой 4-7ПМ в ячейки:</t>
  </si>
  <si>
    <t>1ПМ:</t>
  </si>
  <si>
    <t>Шаг:</t>
  </si>
  <si>
    <t>НЕДЕЛЯ ОТДЫХА</t>
  </si>
  <si>
    <t>1х5</t>
  </si>
  <si>
    <t>4x4</t>
  </si>
  <si>
    <t>2x3</t>
  </si>
  <si>
    <t>Жим лёжа узким хватом</t>
  </si>
  <si>
    <t xml:space="preserve">Жим гантелей лёжа </t>
  </si>
  <si>
    <t>2х4</t>
  </si>
  <si>
    <t>5х8</t>
  </si>
  <si>
    <t>Жим гантелей сидя</t>
  </si>
  <si>
    <t>Ягодичный мост</t>
  </si>
  <si>
    <t>Прогрессия (кг) ↓</t>
  </si>
  <si>
    <t>вес (кг) ↓</t>
  </si>
  <si>
    <t>ПМ (повт до отказа)↓</t>
  </si>
  <si>
    <t>Подтягивания (собственный вес)</t>
  </si>
  <si>
    <t>Подтягивания (с отягощением)</t>
  </si>
  <si>
    <t>6 подходов</t>
  </si>
  <si>
    <t>5 подходов</t>
  </si>
  <si>
    <t>4 подхода</t>
  </si>
  <si>
    <t>3 подхода</t>
  </si>
  <si>
    <t>2 подхода</t>
  </si>
  <si>
    <t>1 подход</t>
  </si>
  <si>
    <t xml:space="preserve">1 подход </t>
  </si>
  <si>
    <t>Отжимания на брусьях (с доп весом)</t>
  </si>
  <si>
    <t>3х5</t>
  </si>
  <si>
    <t>2х5</t>
  </si>
  <si>
    <t>Отжимания на брусьях (собственный вес)</t>
  </si>
  <si>
    <t>5х10</t>
  </si>
  <si>
    <t>4x10</t>
  </si>
  <si>
    <t>5х12</t>
  </si>
  <si>
    <t>2х6</t>
  </si>
  <si>
    <t>Молот</t>
  </si>
  <si>
    <t>Махи с гантелями</t>
  </si>
  <si>
    <t>Шраги</t>
  </si>
  <si>
    <t>Тяга гантели в наклоне</t>
  </si>
  <si>
    <t xml:space="preserve">Сгибания ног </t>
  </si>
  <si>
    <t xml:space="preserve">Разгибания ног </t>
  </si>
  <si>
    <t>Тяга в хаммере</t>
  </si>
  <si>
    <t>Тяга вертикального блока</t>
  </si>
  <si>
    <t>Приседания в колодец</t>
  </si>
  <si>
    <t xml:space="preserve">Тяга к подбородку </t>
  </si>
  <si>
    <t>Фронтальные приседания</t>
  </si>
  <si>
    <t>Пуловер</t>
  </si>
  <si>
    <t>+</t>
  </si>
  <si>
    <t xml:space="preserve">Скручивания </t>
  </si>
  <si>
    <t>Планка</t>
  </si>
  <si>
    <t>Подъёмы на носки</t>
  </si>
  <si>
    <t xml:space="preserve">собственный </t>
  </si>
  <si>
    <t>3х20 сек</t>
  </si>
  <si>
    <t>3х30 сек</t>
  </si>
  <si>
    <t>4х30 сек</t>
  </si>
  <si>
    <t>4х20 сек</t>
  </si>
  <si>
    <t>5х20 сек</t>
  </si>
  <si>
    <t>3х25 сек</t>
  </si>
  <si>
    <t>4х25 сек</t>
  </si>
  <si>
    <t>5х25 сек</t>
  </si>
  <si>
    <t>3х35 сек</t>
  </si>
  <si>
    <t>2х15</t>
  </si>
  <si>
    <t>День 1:</t>
  </si>
  <si>
    <t>День 2:</t>
  </si>
  <si>
    <t>День 3:</t>
  </si>
  <si>
    <t xml:space="preserve">Неделя 1 </t>
  </si>
  <si>
    <t>Одна неделя полного отдыха</t>
  </si>
  <si>
    <t>МЕЗОЦИКЛ 1</t>
  </si>
  <si>
    <t>МЕЗОЦИКЛ 2</t>
  </si>
  <si>
    <t>ПМ ↓</t>
  </si>
  <si>
    <t>Шаг за цикл (кг) ↓</t>
  </si>
  <si>
    <t>ПМ</t>
  </si>
  <si>
    <t>Подх</t>
  </si>
  <si>
    <t>RIR (повт в запасе)</t>
  </si>
  <si>
    <t>8ПМ</t>
  </si>
  <si>
    <t>6ПМ</t>
  </si>
  <si>
    <t>1. Выберите упражнения, которые наиболее точно соответствуют вашему уровню физической подготовки, состоянию здоровья и личным предпочтениям</t>
  </si>
  <si>
    <t>Для этого нажмите на название упражнения в списке подготовительного периода и программа выдаст доступные варианты на замену каждого упражнения</t>
  </si>
  <si>
    <t xml:space="preserve">Если вы хотите добавить в программу тренировок отжимания на брусьях с дополнительным весом </t>
  </si>
  <si>
    <t xml:space="preserve">или подтягивания с дополнительным весом, то в ней обязательно должны присутствовать подтягивания </t>
  </si>
  <si>
    <t xml:space="preserve">В остальным набор упражнений может быть абсолютно любым </t>
  </si>
  <si>
    <r>
      <rPr>
        <b/>
        <sz val="14"/>
        <color theme="1"/>
        <rFont val="Calibri"/>
        <family val="2"/>
        <charset val="204"/>
      </rPr>
      <t>ПМ - это</t>
    </r>
    <r>
      <rPr>
        <sz val="14"/>
        <color theme="1"/>
        <rFont val="Calibri"/>
        <family val="2"/>
        <charset val="204"/>
      </rPr>
      <t xml:space="preserve"> обозначение повторного максимума (например если вы можете пожать 100 кг только на 1 повторение, а 80 кг на 8 повторений, то 100 кг = 1ПМ, а 80 кг = 8ПМ)</t>
    </r>
  </si>
  <si>
    <r>
      <t xml:space="preserve">В данном случае </t>
    </r>
    <r>
      <rPr>
        <b/>
        <sz val="14"/>
        <color theme="1"/>
        <rFont val="Calibri"/>
        <family val="2"/>
        <charset val="204"/>
        <scheme val="minor"/>
      </rPr>
      <t>10ПМ 1 ПОДХ 2RIR</t>
    </r>
    <r>
      <rPr>
        <sz val="14"/>
        <color theme="1"/>
        <rFont val="Calibri"/>
        <family val="2"/>
        <charset val="204"/>
        <scheme val="minor"/>
      </rPr>
      <t xml:space="preserve">  означает что вам нужно выполнить 1 подход с весом, который вы можете пожать максимум на 10 повторений </t>
    </r>
  </si>
  <si>
    <t>и остановиться за 2 повторения до отказа (то есть выполнить всего 8 повторений)</t>
  </si>
  <si>
    <t xml:space="preserve">Если нажать на "+", то в программу добавится ещё одно упражнение на выбор </t>
  </si>
  <si>
    <r>
      <t xml:space="preserve">Для этого нам необходимо протестировать все упражнения по 1 подходу в отказ и вписать результаты </t>
    </r>
    <r>
      <rPr>
        <b/>
        <sz val="14"/>
        <color theme="1"/>
        <rFont val="Calibri"/>
        <family val="2"/>
        <charset val="204"/>
      </rPr>
      <t>рабочего веса</t>
    </r>
    <r>
      <rPr>
        <sz val="14"/>
        <color theme="1"/>
        <rFont val="Calibri"/>
        <family val="2"/>
        <charset val="204"/>
      </rPr>
      <t xml:space="preserve"> и </t>
    </r>
    <r>
      <rPr>
        <b/>
        <sz val="14"/>
        <color theme="1"/>
        <rFont val="Calibri"/>
        <family val="2"/>
        <charset val="204"/>
      </rPr>
      <t>количества повторений</t>
    </r>
    <r>
      <rPr>
        <sz val="14"/>
        <color theme="1"/>
        <rFont val="Calibri"/>
        <family val="2"/>
        <charset val="204"/>
      </rPr>
      <t xml:space="preserve"> на тренировках </t>
    </r>
  </si>
  <si>
    <r>
      <t xml:space="preserve">в пустые колонки 4-ой недели по таблице обозначенные </t>
    </r>
    <r>
      <rPr>
        <sz val="14"/>
        <color theme="4" tint="-0.249977111117893"/>
        <rFont val="Calibri"/>
        <family val="2"/>
        <charset val="204"/>
        <scheme val="minor"/>
      </rPr>
      <t>синим цветом</t>
    </r>
    <r>
      <rPr>
        <sz val="14"/>
        <color theme="1"/>
        <rFont val="Calibri"/>
        <family val="2"/>
        <charset val="204"/>
        <scheme val="minor"/>
      </rPr>
      <t xml:space="preserve"> </t>
    </r>
  </si>
  <si>
    <t>Нам необходимо оценить свои силовые показатели, чтобы программа рассчитала рабочие веса для следующего периода</t>
  </si>
  <si>
    <t>ВНИМАНИЕ!</t>
  </si>
  <si>
    <t>Поэтому перед тем как пойти на тренировку выполнять подходы в отказ рассмотрите все ячейки и оцените какой должен быть рабочий вес</t>
  </si>
  <si>
    <t xml:space="preserve">В упражнениях с "собственным весом" необходимо в колонку "вес (кг) подставить вес собственного тела, </t>
  </si>
  <si>
    <t xml:space="preserve">а за "Шаг" выбрать количество повторений, которое вы планируете прибавить за 6 недель </t>
  </si>
  <si>
    <r>
      <rPr>
        <b/>
        <sz val="14"/>
        <color rgb="FFFF0000"/>
        <rFont val="Calibri"/>
        <family val="2"/>
        <charset val="204"/>
        <scheme val="minor"/>
      </rPr>
      <t>ВНИМАНИЕ!</t>
    </r>
    <r>
      <rPr>
        <sz val="14"/>
        <color rgb="FFFF0000"/>
        <rFont val="Calibri"/>
        <family val="2"/>
        <charset val="204"/>
        <scheme val="minor"/>
      </rPr>
      <t xml:space="preserve"> </t>
    </r>
    <r>
      <rPr>
        <sz val="14"/>
        <color theme="1"/>
        <rFont val="Calibri"/>
        <family val="2"/>
        <charset val="204"/>
        <scheme val="minor"/>
      </rPr>
      <t>Если вы подставите туда значения не попадающие в нужный диапазон, то программа не рассчитает веса</t>
    </r>
  </si>
  <si>
    <t>Вес (кг) ↓</t>
  </si>
  <si>
    <t>Вес (кг) - вес отягощения (это гантели, штанга, блоки, собственный вес тела)</t>
  </si>
  <si>
    <t>ПМ - количество повторений, которое вы смогли выполнить за подход с данным весом (до отказа)</t>
  </si>
  <si>
    <t>Вы подставляете в эту колокну вес снаряда, с которым вы выполняли конкретное упражнение</t>
  </si>
  <si>
    <t xml:space="preserve">В подтягиваниях и отжиманиях "с дополнительным весом", подставляем только вес отягощения </t>
  </si>
  <si>
    <t>Шаг за цикл (кг) - это прибавка в рабочем весе (в кг), на которую вы рассчитываете за 6 недель ("исключение упражнения с собственным весом" - в них выбираем прибавку в кол-ве повторений)</t>
  </si>
  <si>
    <t>Адекватный размер прибавки в силе, на который вы можете рассчитывать за 6 недель для крупных мышечных групп и базовых упражнений это 5 кг, для мелких мышечных групп 2,5-3 кг</t>
  </si>
  <si>
    <t xml:space="preserve">Опять же исходите из того что при становой тяге 200 кг (5 кг это всего-лишь 2,5%), а для подъёма штанги на бицепс это 10%. </t>
  </si>
  <si>
    <t>Инструкция к подготовительному периоду:</t>
  </si>
  <si>
    <r>
      <rPr>
        <b/>
        <sz val="14"/>
        <color theme="1"/>
        <rFont val="Calibri"/>
        <family val="2"/>
        <charset val="204"/>
        <scheme val="minor"/>
      </rPr>
      <t>Средняя прибавка силы</t>
    </r>
    <r>
      <rPr>
        <sz val="14"/>
        <color theme="1"/>
        <rFont val="Calibri"/>
        <family val="2"/>
        <charset val="204"/>
        <scheme val="minor"/>
      </rPr>
      <t xml:space="preserve">, которая может происходить в упражнениях за данный период составляет 2,5-3,5%. </t>
    </r>
  </si>
  <si>
    <r>
      <rPr>
        <b/>
        <sz val="14"/>
        <color theme="1"/>
        <rFont val="Calibri"/>
        <family val="2"/>
        <charset val="204"/>
        <scheme val="minor"/>
      </rPr>
      <t>Не переоценивайте собственные возможности!</t>
    </r>
    <r>
      <rPr>
        <sz val="14"/>
        <color theme="1"/>
        <rFont val="Calibri"/>
        <family val="2"/>
        <charset val="204"/>
        <scheme val="minor"/>
      </rPr>
      <t xml:space="preserve"> Лучше поставить шаг поменьше и пройти программу тренировок с запасом, чем завысить "Шаг" и перетренироваться </t>
    </r>
  </si>
  <si>
    <t>Инструкция к "ТЕСТОВОЙ НЕДЕЛЕ":</t>
  </si>
  <si>
    <t>Прибавить по 10 кг за цикл смогут скорее всего только новички или те кто осваивает новое движение</t>
  </si>
  <si>
    <t>Чтобы проверить его нужно провести разминку, постепенно подведясь к данному весу, выполнив 4-5 разминочных подходов, но так чтобы не терять силы (не делайте более 5 повт)</t>
  </si>
  <si>
    <r>
      <t xml:space="preserve">Для того чтобы понять с каким весом выполнить подход вы должны сориентироваться по значениям </t>
    </r>
    <r>
      <rPr>
        <b/>
        <sz val="14"/>
        <color theme="1"/>
        <rFont val="Calibri"/>
        <family val="2"/>
        <charset val="204"/>
        <scheme val="minor"/>
      </rPr>
      <t>ПМ</t>
    </r>
    <r>
      <rPr>
        <sz val="14"/>
        <color theme="1"/>
        <rFont val="Calibri"/>
        <family val="2"/>
        <charset val="204"/>
        <scheme val="minor"/>
      </rPr>
      <t xml:space="preserve">, </t>
    </r>
  </si>
  <si>
    <t>которые выводятся при нажатии на ячейку для конкретного упражнения</t>
  </si>
  <si>
    <t xml:space="preserve">Для большинства упражнений самый точный диапазон повторений 4-7, поэтому программа требует выполнять данное количество повторений, </t>
  </si>
  <si>
    <t>но в некоторых упражнениях (например в подтягиваниях с собственным весом или в лёгких изолирующих упражнения указан другой диапазон)</t>
  </si>
  <si>
    <t>Затем перед итоговым подходом отдохните 6-8 минут и выложитесь на максимум (без нарушений техники)</t>
  </si>
  <si>
    <t xml:space="preserve">Поэтому будте внимательны при подборе рабочего веса </t>
  </si>
  <si>
    <t>Сразу после подготовительного периода мы проводим тестовую неделю</t>
  </si>
  <si>
    <t xml:space="preserve">Если вы всё сделали правильно и ввели вручную результаты в синие ячейки, то программа рассчитает для вас рабочие веса, количество подходов и повторений, с которыми нужно заниматься в последующий период </t>
  </si>
  <si>
    <r>
      <t>Если же в таблице присутствует</t>
    </r>
    <r>
      <rPr>
        <b/>
        <sz val="14"/>
        <color theme="1"/>
        <rFont val="Calibri"/>
        <family val="2"/>
        <charset val="204"/>
        <scheme val="minor"/>
      </rPr>
      <t xml:space="preserve"> #Н/Д, </t>
    </r>
    <r>
      <rPr>
        <sz val="14"/>
        <color theme="1"/>
        <rFont val="Calibri"/>
        <family val="2"/>
        <charset val="204"/>
        <scheme val="minor"/>
      </rPr>
      <t xml:space="preserve">то это говорит о том что вы где-то допустили ошибку (чаще всего вы ввели неверное значение ПМ, которое не попадает в указанный диапазон) </t>
    </r>
  </si>
  <si>
    <t xml:space="preserve">Перепроверьте правильно ли вы заполнили упражнения "с собственным весом" (если они присутствуют) - в них нам необходимо вместо шага подставить желаемую прибавку в количестве повторений  </t>
  </si>
  <si>
    <t>Разминочные подходы:</t>
  </si>
  <si>
    <t>Разминка:</t>
  </si>
  <si>
    <t>Отдых между подходами:</t>
  </si>
  <si>
    <t xml:space="preserve">Во время силовой тренировки на 3-6 повторений с субмаксимальными весами используются большие интервалы времени отдыха 5-10 минут </t>
  </si>
  <si>
    <t xml:space="preserve">Во время лёгких недель при работе со средними весами на 5-12 повторений можно выполнять по 3-5 минут отдыха между подходами </t>
  </si>
  <si>
    <t xml:space="preserve">Лучшим индикатором является ваше самочувствие - вы должны отдыхать настолько долго, насколько вам требуется чтобы не чувствовать утомление во время подхода </t>
  </si>
  <si>
    <t xml:space="preserve">ВИДЕО-ИНСТРУКЦИЯ К ДАННОЙ ПРОГРАММЕ ТРЕНИРОВОК </t>
  </si>
  <si>
    <t>ПРАВИЛА СИЛОВОЙ ТРЕНИРОВКИ:</t>
  </si>
  <si>
    <t xml:space="preserve">Если вам кажется что вы слишком легко поднимаете указанный вес, то выполняйте его с акцентом на скорость </t>
  </si>
  <si>
    <t>Частота тренировок:</t>
  </si>
  <si>
    <t xml:space="preserve">Оптимальная частота тренировок 2-3 тренировочных дня в неделю </t>
  </si>
  <si>
    <t xml:space="preserve">Тренировочные дни при этом выполняются в указанном порядке </t>
  </si>
  <si>
    <t>После первого мезоцикла рекомендую взять отдых 1 неделю для полного восстановления</t>
  </si>
  <si>
    <t>Подтягивания в гравитроне и тяга вертикального блока</t>
  </si>
  <si>
    <t>Жим гантелей лёжа</t>
  </si>
  <si>
    <t>Шраги со штангой или гантелями</t>
  </si>
  <si>
    <t>Сгибания рук на скамье Скотта с гантелями</t>
  </si>
  <si>
    <t>Пуловер у верхнего блока</t>
  </si>
  <si>
    <t>Разгибания рук у верхнего блока</t>
  </si>
  <si>
    <t>Французский жим с гантелями </t>
  </si>
  <si>
    <t>Разведения рук </t>
  </si>
  <si>
    <t>Фронтальные приседания со штангой</t>
  </si>
  <si>
    <t>Жим платформы</t>
  </si>
  <si>
    <t>Мёртвая тяга</t>
  </si>
  <si>
    <t>Сгибания ног стоя на нижнем блоке</t>
  </si>
  <si>
    <t>Разгибание бедра</t>
  </si>
  <si>
    <t>Экстензия и Гудмонинг</t>
  </si>
  <si>
    <t>Подъёмы на носки стоя/сидя</t>
  </si>
  <si>
    <t>boosty.to/yetiblog</t>
  </si>
  <si>
    <t>УМНАЯ ПРОГА 1.0  - САМАЯ ПОДРОБНАЯ ПРОГРАММА ДЛЯ НОВИЧКОВ</t>
  </si>
  <si>
    <t>УМНАЯ ПРОГА 2.0 - С АКЦЕНТОМ НА СИЛУ</t>
  </si>
  <si>
    <t>УМНАЯ ПРОГА 2.1 - С БОЛЬШИМ АКЦЕНТОМ НА СИЛУ</t>
  </si>
  <si>
    <t>УМНАЯ ПРОГА 3.0 - С АКЦЕНТОМ НА ГИПЕРТРОФИЮ</t>
  </si>
  <si>
    <t>УМНАЯ ПРОГА 4.0 - БЕЗ ОСЕВЫХ НАГРУЗОК  </t>
  </si>
  <si>
    <t>УМНАЯ ПРОГА 5.0 - ДЛЯ БОЛЕЕ ОПЫТНЫХ (БЛОКОВАЯ ПЕРИОДИЗАЦИЯ)</t>
  </si>
  <si>
    <t xml:space="preserve">Авторские видео-гайды по упражнениям и другие программы тренировок доступны подписчикам на Boosty </t>
  </si>
  <si>
    <t>8</t>
  </si>
  <si>
    <t xml:space="preserve">Если у вас возникнут вопросы, то у меня есть постоянная поддержка к программам тренировок для всех подписчиков Boosty </t>
  </si>
  <si>
    <r>
      <t xml:space="preserve">Колонка </t>
    </r>
    <r>
      <rPr>
        <b/>
        <sz val="14"/>
        <color theme="1"/>
        <rFont val="Calibri"/>
        <family val="2"/>
        <charset val="204"/>
        <scheme val="minor"/>
      </rPr>
      <t>RIR - это</t>
    </r>
    <r>
      <rPr>
        <sz val="14"/>
        <color theme="1"/>
        <rFont val="Calibri"/>
        <family val="2"/>
        <charset val="204"/>
        <scheme val="minor"/>
      </rPr>
      <t xml:space="preserve"> количество повторений в запасе перед тем как наступит отказ. </t>
    </r>
  </si>
  <si>
    <r>
      <t xml:space="preserve">В таблице подготовительного периода указаны </t>
    </r>
    <r>
      <rPr>
        <b/>
        <sz val="14"/>
        <color theme="1"/>
        <rFont val="Calibri"/>
        <family val="2"/>
        <charset val="204"/>
      </rPr>
      <t>ПМ</t>
    </r>
    <r>
      <rPr>
        <sz val="14"/>
        <color theme="1"/>
        <rFont val="Calibri"/>
        <family val="2"/>
        <charset val="204"/>
      </rPr>
      <t>, с которыми вам необходимо выполнять упражнения</t>
    </r>
  </si>
  <si>
    <r>
      <t xml:space="preserve">Колонка </t>
    </r>
    <r>
      <rPr>
        <b/>
        <sz val="14"/>
        <color theme="1"/>
        <rFont val="Calibri"/>
        <family val="2"/>
        <charset val="204"/>
        <scheme val="minor"/>
      </rPr>
      <t>Подх - это</t>
    </r>
    <r>
      <rPr>
        <sz val="14"/>
        <color theme="1"/>
        <rFont val="Calibri"/>
        <family val="2"/>
        <charset val="204"/>
        <scheme val="minor"/>
      </rPr>
      <t xml:space="preserve"> количество подходов с данным рабочим весом</t>
    </r>
  </si>
  <si>
    <t>2. Подберите рабочие веса, которые соответствуют "ПМ" указанным в таблице и проведите с ними тренировку</t>
  </si>
  <si>
    <t xml:space="preserve">и/или отжимания с обственным весом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</si>
</sst>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4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i/>
      <sz val="14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4"/>
      <color rgb="FF000000"/>
      <name val="Arial"/>
      <family val="2"/>
      <charset val="204"/>
    </font>
    <font>
      <u/>
      <sz val="14"/>
      <color theme="10"/>
      <name val="Calibri"/>
      <family val="2"/>
      <charset val="204"/>
    </font>
    <font>
      <u/>
      <sz val="14"/>
      <color theme="10"/>
      <name val="Calibri"/>
      <family val="2"/>
      <charset val="204"/>
    </font>
    <font>
      <u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4" tint="-0.249977111117893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4"/>
      <name val="Calibri"/>
      <family val="2"/>
      <charset val="204"/>
    </font>
    <font>
      <sz val="14"/>
      <name val="Calibri"/>
      <family val="2"/>
      <charset val="204"/>
    </font>
    <font>
      <u/>
      <sz val="18"/>
      <color theme="1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8"/>
      </left>
      <right style="medium">
        <color theme="8"/>
      </right>
      <top/>
      <bottom style="medium">
        <color theme="4"/>
      </bottom>
      <diagonal/>
    </border>
    <border>
      <left style="medium">
        <color theme="8"/>
      </left>
      <right style="medium">
        <color theme="8"/>
      </right>
      <top style="medium">
        <color theme="4"/>
      </top>
      <bottom style="medium">
        <color theme="4"/>
      </bottom>
      <diagonal/>
    </border>
    <border>
      <left style="medium">
        <color theme="8"/>
      </left>
      <right style="medium">
        <color theme="8"/>
      </right>
      <top style="medium">
        <color theme="4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 style="medium">
        <color theme="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/>
      <top/>
      <bottom style="medium">
        <color theme="4"/>
      </bottom>
      <diagonal/>
    </border>
    <border>
      <left style="medium">
        <color theme="8"/>
      </left>
      <right/>
      <top style="medium">
        <color theme="4"/>
      </top>
      <bottom style="medium">
        <color theme="8"/>
      </bottom>
      <diagonal/>
    </border>
    <border>
      <left style="medium">
        <color theme="8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8"/>
      </right>
      <top style="medium">
        <color theme="4"/>
      </top>
      <bottom style="medium">
        <color theme="4"/>
      </bottom>
      <diagonal/>
    </border>
    <border>
      <left/>
      <right style="medium">
        <color theme="8"/>
      </right>
      <top/>
      <bottom style="medium">
        <color theme="4"/>
      </bottom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 style="medium">
        <color theme="4"/>
      </top>
      <bottom style="medium">
        <color theme="8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60">
    <xf numFmtId="0" fontId="0" fillId="0" borderId="0" xfId="0" applyFont="1" applyAlignment="1"/>
    <xf numFmtId="0" fontId="13" fillId="0" borderId="0" xfId="0" applyFont="1"/>
    <xf numFmtId="0" fontId="6" fillId="0" borderId="3" xfId="0" applyFont="1" applyBorder="1"/>
    <xf numFmtId="0" fontId="16" fillId="0" borderId="3" xfId="0" applyFont="1" applyBorder="1" applyAlignment="1"/>
    <xf numFmtId="0" fontId="0" fillId="0" borderId="3" xfId="0" applyFont="1" applyBorder="1" applyAlignment="1"/>
    <xf numFmtId="0" fontId="0" fillId="0" borderId="0" xfId="0" applyBorder="1"/>
    <xf numFmtId="0" fontId="16" fillId="0" borderId="0" xfId="0" applyFont="1" applyBorder="1"/>
    <xf numFmtId="0" fontId="0" fillId="0" borderId="7" xfId="0" applyBorder="1"/>
    <xf numFmtId="0" fontId="0" fillId="0" borderId="0" xfId="0"/>
    <xf numFmtId="0" fontId="16" fillId="0" borderId="0" xfId="0" applyFont="1" applyAlignment="1"/>
    <xf numFmtId="0" fontId="0" fillId="0" borderId="8" xfId="0" applyBorder="1"/>
    <xf numFmtId="0" fontId="2" fillId="0" borderId="3" xfId="0" applyFont="1" applyBorder="1" applyAlignment="1"/>
    <xf numFmtId="0" fontId="14" fillId="0" borderId="0" xfId="0" applyFont="1" applyBorder="1"/>
    <xf numFmtId="0" fontId="0" fillId="0" borderId="2" xfId="0" applyFont="1" applyBorder="1" applyAlignment="1"/>
    <xf numFmtId="0" fontId="18" fillId="0" borderId="0" xfId="1" applyFont="1"/>
    <xf numFmtId="0" fontId="13" fillId="0" borderId="0" xfId="0" applyFont="1" applyBorder="1"/>
    <xf numFmtId="0" fontId="18" fillId="0" borderId="0" xfId="1" applyFont="1" applyBorder="1"/>
    <xf numFmtId="0" fontId="1" fillId="0" borderId="3" xfId="0" applyFont="1" applyBorder="1" applyAlignment="1"/>
    <xf numFmtId="0" fontId="0" fillId="0" borderId="7" xfId="0" applyFont="1" applyBorder="1" applyAlignment="1"/>
    <xf numFmtId="1" fontId="0" fillId="0" borderId="3" xfId="0" applyNumberFormat="1" applyFont="1" applyBorder="1" applyAlignment="1"/>
    <xf numFmtId="1" fontId="0" fillId="0" borderId="5" xfId="0" applyNumberFormat="1" applyFont="1" applyBorder="1" applyAlignment="1"/>
    <xf numFmtId="1" fontId="1" fillId="0" borderId="3" xfId="0" applyNumberFormat="1" applyFont="1" applyBorder="1" applyAlignment="1"/>
    <xf numFmtId="0" fontId="0" fillId="0" borderId="9" xfId="0" applyBorder="1"/>
    <xf numFmtId="1" fontId="1" fillId="0" borderId="4" xfId="0" applyNumberFormat="1" applyFont="1" applyBorder="1" applyAlignment="1"/>
    <xf numFmtId="0" fontId="1" fillId="0" borderId="8" xfId="0" applyFont="1" applyBorder="1"/>
    <xf numFmtId="0" fontId="18" fillId="0" borderId="3" xfId="1" applyFont="1" applyFill="1" applyBorder="1"/>
    <xf numFmtId="1" fontId="1" fillId="0" borderId="7" xfId="0" applyNumberFormat="1" applyFont="1" applyBorder="1" applyAlignment="1"/>
    <xf numFmtId="0" fontId="18" fillId="0" borderId="0" xfId="1" applyFont="1" applyFill="1" applyBorder="1"/>
    <xf numFmtId="0" fontId="1" fillId="0" borderId="0" xfId="0" applyFont="1" applyAlignment="1"/>
    <xf numFmtId="0" fontId="18" fillId="0" borderId="0" xfId="1" applyFont="1" applyAlignment="1"/>
    <xf numFmtId="0" fontId="19" fillId="0" borderId="0" xfId="0" applyFont="1" applyAlignment="1"/>
    <xf numFmtId="0" fontId="0" fillId="0" borderId="0" xfId="0" applyFont="1" applyAlignment="1" applyProtection="1">
      <protection locked="0"/>
    </xf>
    <xf numFmtId="0" fontId="30" fillId="0" borderId="0" xfId="0" applyFont="1" applyAlignment="1" applyProtection="1">
      <protection locked="0"/>
    </xf>
    <xf numFmtId="0" fontId="0" fillId="0" borderId="0" xfId="0" applyFont="1" applyAlignment="1" applyProtection="1"/>
    <xf numFmtId="0" fontId="30" fillId="0" borderId="0" xfId="0" applyFont="1" applyAlignment="1" applyProtection="1"/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5" fillId="0" borderId="0" xfId="0" applyFont="1" applyAlignment="1" applyProtection="1">
      <protection locked="0"/>
    </xf>
    <xf numFmtId="0" fontId="8" fillId="0" borderId="0" xfId="0" applyFont="1" applyProtection="1">
      <protection locked="0"/>
    </xf>
    <xf numFmtId="0" fontId="19" fillId="0" borderId="0" xfId="0" applyFont="1" applyAlignme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6" fillId="0" borderId="0" xfId="0" applyFont="1" applyBorder="1" applyAlignment="1" applyProtection="1"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0" xfId="0" applyFont="1" applyBorder="1" applyProtection="1">
      <protection locked="0"/>
    </xf>
    <xf numFmtId="0" fontId="16" fillId="0" borderId="0" xfId="0" applyFont="1" applyFill="1" applyBorder="1" applyAlignment="1" applyProtection="1">
      <protection locked="0"/>
    </xf>
    <xf numFmtId="0" fontId="6" fillId="0" borderId="0" xfId="0" applyFont="1" applyFill="1" applyBorder="1" applyProtection="1">
      <protection locked="0"/>
    </xf>
    <xf numFmtId="0" fontId="9" fillId="0" borderId="0" xfId="0" applyFont="1" applyBorder="1" applyProtection="1">
      <protection locked="0"/>
    </xf>
    <xf numFmtId="0" fontId="8" fillId="0" borderId="0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0" fillId="0" borderId="0" xfId="0" applyFont="1" applyBorder="1" applyAlignment="1" applyProtection="1">
      <protection locked="0"/>
    </xf>
    <xf numFmtId="0" fontId="13" fillId="0" borderId="0" xfId="0" applyFont="1" applyBorder="1" applyProtection="1">
      <protection locked="0"/>
    </xf>
    <xf numFmtId="0" fontId="0" fillId="0" borderId="0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0" fillId="0" borderId="0" xfId="0" applyFont="1" applyFill="1" applyBorder="1" applyAlignment="1" applyProtection="1">
      <protection locked="0"/>
    </xf>
    <xf numFmtId="0" fontId="16" fillId="0" borderId="0" xfId="0" applyFont="1" applyFill="1" applyBorder="1" applyProtection="1">
      <protection locked="0"/>
    </xf>
    <xf numFmtId="0" fontId="14" fillId="0" borderId="0" xfId="0" applyFont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11" fillId="0" borderId="0" xfId="0" applyFont="1" applyBorder="1" applyProtection="1">
      <protection locked="0"/>
    </xf>
    <xf numFmtId="0" fontId="15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0" fillId="2" borderId="0" xfId="0" applyFill="1" applyBorder="1" applyProtection="1">
      <protection locked="0"/>
    </xf>
    <xf numFmtId="0" fontId="18" fillId="0" borderId="0" xfId="1" applyFont="1" applyBorder="1" applyProtection="1">
      <protection locked="0"/>
    </xf>
    <xf numFmtId="0" fontId="1" fillId="0" borderId="0" xfId="0" applyFont="1" applyAlignment="1" applyProtection="1">
      <protection locked="0"/>
    </xf>
    <xf numFmtId="0" fontId="6" fillId="0" borderId="2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19" fillId="0" borderId="12" xfId="0" applyFont="1" applyBorder="1" applyAlignment="1" applyProtection="1">
      <protection locked="0"/>
    </xf>
    <xf numFmtId="0" fontId="19" fillId="0" borderId="7" xfId="0" applyFont="1" applyBorder="1" applyAlignment="1" applyProtection="1">
      <protection locked="0"/>
    </xf>
    <xf numFmtId="0" fontId="19" fillId="0" borderId="11" xfId="0" applyFont="1" applyBorder="1" applyAlignment="1" applyProtection="1">
      <protection locked="0"/>
    </xf>
    <xf numFmtId="0" fontId="5" fillId="0" borderId="10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22" fillId="0" borderId="0" xfId="0" applyFont="1" applyBorder="1" applyAlignment="1" applyProtection="1">
      <protection locked="0"/>
    </xf>
    <xf numFmtId="0" fontId="5" fillId="0" borderId="12" xfId="0" applyFont="1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Alignment="1" applyProtection="1">
      <protection locked="0"/>
    </xf>
    <xf numFmtId="0" fontId="23" fillId="0" borderId="0" xfId="0" applyFont="1" applyAlignment="1" applyProtection="1">
      <protection locked="0"/>
    </xf>
    <xf numFmtId="0" fontId="5" fillId="0" borderId="16" xfId="0" applyFont="1" applyBorder="1" applyProtection="1">
      <protection locked="0"/>
    </xf>
    <xf numFmtId="0" fontId="22" fillId="0" borderId="0" xfId="0" applyFont="1" applyAlignment="1" applyProtection="1">
      <protection locked="0"/>
    </xf>
    <xf numFmtId="0" fontId="5" fillId="0" borderId="14" xfId="0" applyFont="1" applyBorder="1" applyProtection="1">
      <protection locked="0"/>
    </xf>
    <xf numFmtId="0" fontId="0" fillId="0" borderId="38" xfId="0" applyFont="1" applyBorder="1" applyAlignment="1" applyProtection="1">
      <protection locked="0"/>
    </xf>
    <xf numFmtId="0" fontId="0" fillId="0" borderId="31" xfId="0" applyBorder="1" applyProtection="1">
      <protection locked="0"/>
    </xf>
    <xf numFmtId="0" fontId="0" fillId="0" borderId="30" xfId="0" applyFont="1" applyBorder="1" applyAlignment="1" applyProtection="1">
      <protection locked="0"/>
    </xf>
    <xf numFmtId="0" fontId="0" fillId="0" borderId="36" xfId="0" applyFont="1" applyBorder="1" applyAlignment="1" applyProtection="1">
      <protection locked="0"/>
    </xf>
    <xf numFmtId="0" fontId="0" fillId="0" borderId="31" xfId="0" applyFont="1" applyBorder="1" applyAlignment="1" applyProtection="1">
      <protection locked="0"/>
    </xf>
    <xf numFmtId="0" fontId="0" fillId="0" borderId="37" xfId="0" applyFont="1" applyBorder="1" applyAlignment="1" applyProtection="1">
      <protection locked="0"/>
    </xf>
    <xf numFmtId="0" fontId="0" fillId="0" borderId="32" xfId="0" applyFont="1" applyBorder="1" applyAlignment="1" applyProtection="1">
      <protection locked="0"/>
    </xf>
    <xf numFmtId="0" fontId="22" fillId="0" borderId="0" xfId="0" applyFont="1" applyBorder="1" applyProtection="1">
      <protection locked="0"/>
    </xf>
    <xf numFmtId="0" fontId="22" fillId="0" borderId="0" xfId="0" applyFont="1" applyFill="1" applyBorder="1" applyProtection="1">
      <protection locked="0"/>
    </xf>
    <xf numFmtId="0" fontId="19" fillId="0" borderId="0" xfId="0" applyFont="1" applyFill="1" applyBorder="1" applyProtection="1">
      <protection locked="0"/>
    </xf>
    <xf numFmtId="0" fontId="8" fillId="0" borderId="33" xfId="0" applyFont="1" applyBorder="1" applyProtection="1">
      <protection locked="0"/>
    </xf>
    <xf numFmtId="0" fontId="0" fillId="0" borderId="33" xfId="0" applyFont="1" applyBorder="1" applyAlignment="1" applyProtection="1">
      <protection locked="0"/>
    </xf>
    <xf numFmtId="0" fontId="8" fillId="0" borderId="31" xfId="0" applyFont="1" applyBorder="1" applyProtection="1">
      <protection locked="0"/>
    </xf>
    <xf numFmtId="0" fontId="8" fillId="0" borderId="30" xfId="0" applyFont="1" applyBorder="1" applyProtection="1">
      <protection locked="0"/>
    </xf>
    <xf numFmtId="0" fontId="8" fillId="0" borderId="35" xfId="0" applyFont="1" applyBorder="1" applyProtection="1">
      <protection locked="0"/>
    </xf>
    <xf numFmtId="0" fontId="13" fillId="0" borderId="0" xfId="0" applyFont="1" applyProtection="1">
      <protection locked="0"/>
    </xf>
    <xf numFmtId="0" fontId="8" fillId="0" borderId="38" xfId="0" applyFont="1" applyBorder="1" applyProtection="1">
      <protection locked="0"/>
    </xf>
    <xf numFmtId="0" fontId="0" fillId="0" borderId="39" xfId="0" applyFont="1" applyBorder="1" applyAlignment="1" applyProtection="1">
      <protection locked="0"/>
    </xf>
    <xf numFmtId="0" fontId="8" fillId="0" borderId="36" xfId="0" applyFont="1" applyBorder="1" applyProtection="1">
      <protection locked="0"/>
    </xf>
    <xf numFmtId="0" fontId="0" fillId="0" borderId="40" xfId="0" applyFont="1" applyBorder="1" applyAlignment="1" applyProtection="1">
      <protection locked="0"/>
    </xf>
    <xf numFmtId="0" fontId="8" fillId="0" borderId="41" xfId="0" applyFont="1" applyBorder="1" applyProtection="1">
      <protection locked="0"/>
    </xf>
    <xf numFmtId="0" fontId="0" fillId="0" borderId="42" xfId="0" applyFont="1" applyBorder="1" applyAlignment="1" applyProtection="1">
      <protection locked="0"/>
    </xf>
    <xf numFmtId="0" fontId="6" fillId="0" borderId="1" xfId="0" applyFont="1" applyBorder="1" applyProtection="1"/>
    <xf numFmtId="0" fontId="6" fillId="0" borderId="2" xfId="0" applyFont="1" applyBorder="1" applyProtection="1"/>
    <xf numFmtId="0" fontId="6" fillId="0" borderId="50" xfId="0" applyFont="1" applyBorder="1" applyProtection="1"/>
    <xf numFmtId="0" fontId="6" fillId="0" borderId="47" xfId="0" applyFont="1" applyBorder="1" applyProtection="1"/>
    <xf numFmtId="0" fontId="6" fillId="0" borderId="48" xfId="0" applyFont="1" applyBorder="1" applyProtection="1"/>
    <xf numFmtId="0" fontId="8" fillId="0" borderId="0" xfId="0" applyFont="1" applyProtection="1"/>
    <xf numFmtId="0" fontId="16" fillId="0" borderId="25" xfId="0" applyFont="1" applyBorder="1" applyAlignment="1" applyProtection="1"/>
    <xf numFmtId="0" fontId="0" fillId="0" borderId="18" xfId="0" applyFont="1" applyBorder="1" applyAlignment="1" applyProtection="1">
      <alignment horizontal="left"/>
    </xf>
    <xf numFmtId="0" fontId="16" fillId="0" borderId="18" xfId="0" applyFont="1" applyBorder="1" applyAlignment="1" applyProtection="1"/>
    <xf numFmtId="0" fontId="16" fillId="0" borderId="15" xfId="0" applyFont="1" applyBorder="1" applyAlignment="1" applyProtection="1"/>
    <xf numFmtId="0" fontId="0" fillId="0" borderId="13" xfId="0" applyFont="1" applyBorder="1" applyAlignment="1" applyProtection="1">
      <alignment horizontal="left"/>
    </xf>
    <xf numFmtId="0" fontId="16" fillId="0" borderId="13" xfId="0" applyFont="1" applyBorder="1" applyAlignment="1" applyProtection="1"/>
    <xf numFmtId="0" fontId="0" fillId="0" borderId="13" xfId="0" applyFont="1" applyFill="1" applyBorder="1" applyAlignment="1" applyProtection="1">
      <alignment horizontal="left"/>
    </xf>
    <xf numFmtId="0" fontId="6" fillId="0" borderId="0" xfId="0" applyFont="1" applyProtection="1"/>
    <xf numFmtId="0" fontId="0" fillId="0" borderId="13" xfId="0" applyFont="1" applyBorder="1" applyAlignment="1" applyProtection="1"/>
    <xf numFmtId="0" fontId="0" fillId="0" borderId="0" xfId="0" applyFont="1" applyBorder="1" applyAlignment="1" applyProtection="1"/>
    <xf numFmtId="0" fontId="8" fillId="0" borderId="0" xfId="0" applyFont="1" applyBorder="1" applyProtection="1"/>
    <xf numFmtId="0" fontId="4" fillId="0" borderId="0" xfId="0" applyFont="1" applyBorder="1" applyProtection="1"/>
    <xf numFmtId="0" fontId="5" fillId="0" borderId="0" xfId="0" applyFont="1" applyBorder="1" applyProtection="1"/>
    <xf numFmtId="0" fontId="22" fillId="0" borderId="0" xfId="0" applyFont="1" applyBorder="1" applyAlignment="1" applyProtection="1"/>
    <xf numFmtId="0" fontId="6" fillId="0" borderId="0" xfId="0" applyFont="1" applyBorder="1" applyProtection="1"/>
    <xf numFmtId="0" fontId="5" fillId="0" borderId="16" xfId="0" applyFont="1" applyBorder="1" applyProtection="1"/>
    <xf numFmtId="0" fontId="5" fillId="0" borderId="14" xfId="0" applyFont="1" applyBorder="1" applyProtection="1"/>
    <xf numFmtId="0" fontId="5" fillId="0" borderId="13" xfId="0" applyFont="1" applyBorder="1" applyProtection="1"/>
    <xf numFmtId="0" fontId="0" fillId="0" borderId="18" xfId="0" applyFont="1" applyBorder="1" applyAlignment="1" applyProtection="1"/>
    <xf numFmtId="0" fontId="0" fillId="0" borderId="16" xfId="0" applyFont="1" applyBorder="1" applyAlignment="1" applyProtection="1"/>
    <xf numFmtId="0" fontId="0" fillId="0" borderId="14" xfId="0" applyFont="1" applyBorder="1" applyAlignment="1" applyProtection="1"/>
    <xf numFmtId="0" fontId="5" fillId="0" borderId="0" xfId="0" applyFont="1" applyProtection="1"/>
    <xf numFmtId="0" fontId="1" fillId="0" borderId="0" xfId="0" applyFont="1" applyBorder="1" applyAlignment="1" applyProtection="1">
      <alignment horizontal="center"/>
    </xf>
    <xf numFmtId="0" fontId="8" fillId="0" borderId="13" xfId="0" applyFont="1" applyBorder="1" applyProtection="1"/>
    <xf numFmtId="0" fontId="19" fillId="0" borderId="13" xfId="0" applyFont="1" applyBorder="1" applyAlignment="1" applyProtection="1"/>
    <xf numFmtId="0" fontId="35" fillId="0" borderId="0" xfId="1" applyFont="1" applyAlignment="1" applyProtection="1"/>
    <xf numFmtId="0" fontId="0" fillId="0" borderId="0" xfId="0" applyFont="1" applyAlignment="1">
      <alignment horizontal="right"/>
    </xf>
    <xf numFmtId="0" fontId="27" fillId="0" borderId="19" xfId="0" applyFont="1" applyFill="1" applyBorder="1" applyAlignment="1" applyProtection="1">
      <protection locked="0"/>
    </xf>
    <xf numFmtId="0" fontId="20" fillId="0" borderId="20" xfId="0" applyFont="1" applyFill="1" applyBorder="1" applyAlignment="1" applyProtection="1">
      <protection locked="0"/>
    </xf>
    <xf numFmtId="0" fontId="29" fillId="0" borderId="20" xfId="0" applyFont="1" applyFill="1" applyBorder="1" applyProtection="1">
      <protection locked="0"/>
    </xf>
    <xf numFmtId="0" fontId="31" fillId="0" borderId="20" xfId="0" applyFont="1" applyFill="1" applyBorder="1" applyProtection="1">
      <protection locked="0"/>
    </xf>
    <xf numFmtId="0" fontId="31" fillId="0" borderId="21" xfId="0" applyFont="1" applyFill="1" applyBorder="1" applyProtection="1">
      <protection locked="0"/>
    </xf>
    <xf numFmtId="0" fontId="24" fillId="0" borderId="28" xfId="0" applyFont="1" applyFill="1" applyBorder="1" applyAlignment="1" applyProtection="1">
      <protection locked="0"/>
    </xf>
    <xf numFmtId="0" fontId="20" fillId="0" borderId="0" xfId="0" applyFont="1" applyFill="1" applyBorder="1" applyAlignment="1" applyProtection="1">
      <protection locked="0"/>
    </xf>
    <xf numFmtId="0" fontId="29" fillId="0" borderId="0" xfId="0" applyFont="1" applyFill="1" applyBorder="1" applyProtection="1">
      <protection locked="0"/>
    </xf>
    <xf numFmtId="0" fontId="31" fillId="0" borderId="0" xfId="0" applyFont="1" applyFill="1" applyBorder="1" applyProtection="1">
      <protection locked="0"/>
    </xf>
    <xf numFmtId="0" fontId="31" fillId="0" borderId="29" xfId="0" applyFont="1" applyFill="1" applyBorder="1" applyProtection="1">
      <protection locked="0"/>
    </xf>
    <xf numFmtId="0" fontId="20" fillId="0" borderId="28" xfId="0" applyFont="1" applyFill="1" applyBorder="1" applyAlignment="1" applyProtection="1">
      <protection locked="0"/>
    </xf>
    <xf numFmtId="0" fontId="28" fillId="0" borderId="0" xfId="0" applyFont="1" applyFill="1" applyBorder="1" applyAlignment="1" applyProtection="1">
      <protection locked="0"/>
    </xf>
    <xf numFmtId="0" fontId="29" fillId="0" borderId="0" xfId="0" applyFont="1" applyFill="1" applyBorder="1" applyAlignment="1" applyProtection="1">
      <alignment vertical="center"/>
      <protection locked="0"/>
    </xf>
    <xf numFmtId="0" fontId="31" fillId="0" borderId="0" xfId="0" applyFont="1" applyFill="1" applyBorder="1" applyAlignment="1" applyProtection="1">
      <alignment vertical="center"/>
      <protection locked="0"/>
    </xf>
    <xf numFmtId="0" fontId="20" fillId="0" borderId="0" xfId="0" applyFont="1" applyFill="1" applyBorder="1" applyAlignment="1" applyProtection="1">
      <alignment vertical="center"/>
      <protection locked="0"/>
    </xf>
    <xf numFmtId="0" fontId="20" fillId="0" borderId="29" xfId="0" applyFont="1" applyFill="1" applyBorder="1" applyProtection="1">
      <protection locked="0"/>
    </xf>
    <xf numFmtId="0" fontId="32" fillId="0" borderId="0" xfId="0" applyFont="1" applyFill="1" applyBorder="1" applyAlignment="1" applyProtection="1">
      <alignment vertical="center"/>
      <protection locked="0"/>
    </xf>
    <xf numFmtId="0" fontId="20" fillId="0" borderId="29" xfId="0" applyFont="1" applyFill="1" applyBorder="1" applyAlignment="1" applyProtection="1">
      <protection locked="0"/>
    </xf>
    <xf numFmtId="0" fontId="32" fillId="0" borderId="0" xfId="0" applyFont="1" applyFill="1" applyBorder="1" applyAlignment="1" applyProtection="1">
      <protection locked="0"/>
    </xf>
    <xf numFmtId="0" fontId="32" fillId="0" borderId="29" xfId="0" applyFont="1" applyFill="1" applyBorder="1" applyAlignment="1" applyProtection="1">
      <protection locked="0"/>
    </xf>
    <xf numFmtId="0" fontId="33" fillId="0" borderId="0" xfId="0" applyFont="1" applyFill="1" applyBorder="1" applyProtection="1">
      <protection locked="0"/>
    </xf>
    <xf numFmtId="0" fontId="29" fillId="0" borderId="29" xfId="0" applyFont="1" applyFill="1" applyBorder="1" applyProtection="1">
      <protection locked="0"/>
    </xf>
    <xf numFmtId="0" fontId="34" fillId="0" borderId="22" xfId="0" applyFont="1" applyFill="1" applyBorder="1" applyProtection="1">
      <protection locked="0"/>
    </xf>
    <xf numFmtId="0" fontId="34" fillId="0" borderId="23" xfId="0" applyFont="1" applyFill="1" applyBorder="1" applyProtection="1">
      <protection locked="0"/>
    </xf>
    <xf numFmtId="0" fontId="31" fillId="0" borderId="23" xfId="0" applyFont="1" applyFill="1" applyBorder="1" applyProtection="1">
      <protection locked="0"/>
    </xf>
    <xf numFmtId="0" fontId="29" fillId="0" borderId="23" xfId="0" applyFont="1" applyFill="1" applyBorder="1" applyProtection="1">
      <protection locked="0"/>
    </xf>
    <xf numFmtId="0" fontId="31" fillId="0" borderId="24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" fillId="0" borderId="0" xfId="0" applyFont="1" applyFill="1" applyBorder="1" applyAlignment="1" applyProtection="1">
      <protection locked="0"/>
    </xf>
    <xf numFmtId="0" fontId="19" fillId="0" borderId="53" xfId="0" applyFont="1" applyFill="1" applyBorder="1" applyAlignment="1" applyProtection="1">
      <protection locked="0"/>
    </xf>
    <xf numFmtId="0" fontId="0" fillId="0" borderId="54" xfId="0" applyFont="1" applyFill="1" applyBorder="1" applyAlignment="1" applyProtection="1">
      <protection locked="0"/>
    </xf>
    <xf numFmtId="0" fontId="8" fillId="0" borderId="54" xfId="0" applyFont="1" applyFill="1" applyBorder="1" applyProtection="1">
      <protection locked="0"/>
    </xf>
    <xf numFmtId="0" fontId="0" fillId="0" borderId="55" xfId="0" applyFont="1" applyFill="1" applyBorder="1" applyAlignment="1" applyProtection="1">
      <protection locked="0"/>
    </xf>
    <xf numFmtId="0" fontId="7" fillId="0" borderId="56" xfId="0" applyFont="1" applyFill="1" applyBorder="1" applyProtection="1">
      <protection locked="0"/>
    </xf>
    <xf numFmtId="0" fontId="0" fillId="0" borderId="57" xfId="0" applyFont="1" applyFill="1" applyBorder="1" applyAlignment="1" applyProtection="1">
      <protection locked="0"/>
    </xf>
    <xf numFmtId="0" fontId="5" fillId="0" borderId="56" xfId="0" applyFont="1" applyFill="1" applyBorder="1" applyProtection="1">
      <protection locked="0"/>
    </xf>
    <xf numFmtId="0" fontId="19" fillId="0" borderId="56" xfId="0" applyFont="1" applyFill="1" applyBorder="1" applyAlignment="1" applyProtection="1">
      <protection locked="0"/>
    </xf>
    <xf numFmtId="0" fontId="0" fillId="0" borderId="56" xfId="0" applyFont="1" applyFill="1" applyBorder="1" applyAlignment="1" applyProtection="1">
      <protection locked="0"/>
    </xf>
    <xf numFmtId="0" fontId="26" fillId="0" borderId="0" xfId="0" applyFont="1" applyFill="1" applyBorder="1" applyAlignment="1" applyProtection="1">
      <protection locked="0"/>
    </xf>
    <xf numFmtId="0" fontId="22" fillId="0" borderId="0" xfId="0" applyFont="1" applyFill="1" applyBorder="1" applyAlignment="1" applyProtection="1">
      <protection locked="0"/>
    </xf>
    <xf numFmtId="0" fontId="0" fillId="0" borderId="58" xfId="0" applyFont="1" applyFill="1" applyBorder="1" applyAlignment="1" applyProtection="1">
      <protection locked="0"/>
    </xf>
    <xf numFmtId="0" fontId="0" fillId="0" borderId="59" xfId="0" applyFont="1" applyFill="1" applyBorder="1" applyAlignment="1" applyProtection="1">
      <protection locked="0"/>
    </xf>
    <xf numFmtId="0" fontId="0" fillId="0" borderId="60" xfId="0" applyFont="1" applyFill="1" applyBorder="1" applyAlignment="1" applyProtection="1">
      <protection locked="0"/>
    </xf>
    <xf numFmtId="0" fontId="0" fillId="0" borderId="61" xfId="0" applyFont="1" applyBorder="1" applyAlignment="1" applyProtection="1">
      <protection locked="0"/>
    </xf>
    <xf numFmtId="0" fontId="8" fillId="0" borderId="63" xfId="0" applyFont="1" applyBorder="1" applyProtection="1">
      <protection locked="0"/>
    </xf>
    <xf numFmtId="0" fontId="0" fillId="0" borderId="64" xfId="0" applyFont="1" applyBorder="1" applyAlignment="1" applyProtection="1">
      <protection locked="0"/>
    </xf>
    <xf numFmtId="0" fontId="6" fillId="3" borderId="26" xfId="0" applyFont="1" applyFill="1" applyBorder="1" applyAlignment="1" applyProtection="1">
      <alignment horizontal="center"/>
      <protection locked="0"/>
    </xf>
    <xf numFmtId="0" fontId="0" fillId="0" borderId="63" xfId="0" applyFont="1" applyBorder="1" applyAlignment="1" applyProtection="1">
      <protection locked="0"/>
    </xf>
    <xf numFmtId="0" fontId="0" fillId="0" borderId="30" xfId="0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16" fillId="3" borderId="62" xfId="0" applyFont="1" applyFill="1" applyBorder="1" applyProtection="1">
      <protection locked="0"/>
    </xf>
    <xf numFmtId="0" fontId="16" fillId="3" borderId="48" xfId="0" applyFont="1" applyFill="1" applyBorder="1" applyProtection="1">
      <protection locked="0"/>
    </xf>
    <xf numFmtId="0" fontId="6" fillId="3" borderId="26" xfId="0" applyFont="1" applyFill="1" applyBorder="1" applyAlignment="1" applyProtection="1">
      <alignment horizontal="center"/>
    </xf>
    <xf numFmtId="0" fontId="6" fillId="3" borderId="45" xfId="0" applyFont="1" applyFill="1" applyBorder="1" applyProtection="1"/>
    <xf numFmtId="0" fontId="6" fillId="3" borderId="51" xfId="0" applyFont="1" applyFill="1" applyBorder="1" applyProtection="1"/>
    <xf numFmtId="0" fontId="6" fillId="3" borderId="52" xfId="0" applyFont="1" applyFill="1" applyBorder="1" applyProtection="1"/>
    <xf numFmtId="0" fontId="6" fillId="3" borderId="49" xfId="0" applyFont="1" applyFill="1" applyBorder="1" applyProtection="1"/>
    <xf numFmtId="0" fontId="6" fillId="3" borderId="46" xfId="0" applyFont="1" applyFill="1" applyBorder="1" applyProtection="1"/>
    <xf numFmtId="0" fontId="6" fillId="3" borderId="47" xfId="0" applyFont="1" applyFill="1" applyBorder="1" applyProtection="1"/>
    <xf numFmtId="0" fontId="6" fillId="3" borderId="15" xfId="0" applyFont="1" applyFill="1" applyBorder="1" applyProtection="1"/>
    <xf numFmtId="0" fontId="6" fillId="3" borderId="13" xfId="0" applyFont="1" applyFill="1" applyBorder="1" applyProtection="1"/>
    <xf numFmtId="0" fontId="6" fillId="3" borderId="14" xfId="0" applyFont="1" applyFill="1" applyBorder="1" applyProtection="1"/>
    <xf numFmtId="0" fontId="6" fillId="3" borderId="6" xfId="0" applyFont="1" applyFill="1" applyBorder="1" applyProtection="1"/>
    <xf numFmtId="0" fontId="6" fillId="3" borderId="17" xfId="0" applyFont="1" applyFill="1" applyBorder="1" applyAlignment="1" applyProtection="1">
      <alignment horizontal="center"/>
    </xf>
    <xf numFmtId="0" fontId="18" fillId="0" borderId="0" xfId="1" applyFont="1" applyAlignment="1" applyProtection="1"/>
    <xf numFmtId="0" fontId="36" fillId="0" borderId="0" xfId="0" applyFont="1" applyFill="1" applyBorder="1" applyAlignment="1" applyProtection="1">
      <alignment vertical="center"/>
      <protection locked="0"/>
    </xf>
    <xf numFmtId="0" fontId="22" fillId="0" borderId="53" xfId="0" applyFont="1" applyFill="1" applyBorder="1" applyAlignment="1" applyProtection="1">
      <protection locked="0"/>
    </xf>
    <xf numFmtId="0" fontId="5" fillId="0" borderId="54" xfId="0" applyFont="1" applyFill="1" applyBorder="1" applyProtection="1">
      <protection locked="0"/>
    </xf>
    <xf numFmtId="0" fontId="6" fillId="0" borderId="54" xfId="0" applyFont="1" applyFill="1" applyBorder="1" applyProtection="1">
      <protection locked="0"/>
    </xf>
    <xf numFmtId="0" fontId="8" fillId="0" borderId="55" xfId="0" applyFont="1" applyFill="1" applyBorder="1" applyProtection="1">
      <protection locked="0"/>
    </xf>
    <xf numFmtId="0" fontId="3" fillId="0" borderId="57" xfId="0" applyFont="1" applyFill="1" applyBorder="1" applyProtection="1">
      <protection locked="0"/>
    </xf>
    <xf numFmtId="0" fontId="16" fillId="0" borderId="57" xfId="0" applyFont="1" applyFill="1" applyBorder="1" applyAlignment="1" applyProtection="1">
      <protection locked="0"/>
    </xf>
    <xf numFmtId="0" fontId="6" fillId="0" borderId="57" xfId="0" applyFont="1" applyFill="1" applyBorder="1" applyProtection="1">
      <protection locked="0"/>
    </xf>
    <xf numFmtId="0" fontId="0" fillId="0" borderId="56" xfId="0" applyFont="1" applyBorder="1" applyAlignment="1" applyProtection="1">
      <protection locked="0"/>
    </xf>
    <xf numFmtId="0" fontId="8" fillId="0" borderId="57" xfId="0" applyFont="1" applyFill="1" applyBorder="1" applyProtection="1">
      <protection locked="0"/>
    </xf>
    <xf numFmtId="0" fontId="19" fillId="0" borderId="58" xfId="0" applyFont="1" applyFill="1" applyBorder="1" applyAlignment="1" applyProtection="1">
      <protection locked="0"/>
    </xf>
    <xf numFmtId="0" fontId="16" fillId="0" borderId="59" xfId="0" applyFont="1" applyFill="1" applyBorder="1" applyProtection="1">
      <protection locked="0"/>
    </xf>
    <xf numFmtId="0" fontId="3" fillId="0" borderId="60" xfId="0" applyFont="1" applyFill="1" applyBorder="1" applyProtection="1">
      <protection locked="0"/>
    </xf>
    <xf numFmtId="0" fontId="16" fillId="0" borderId="0" xfId="0" applyFont="1" applyFill="1" applyBorder="1" applyAlignment="1" applyProtection="1">
      <alignment vertical="center" wrapText="1"/>
    </xf>
    <xf numFmtId="1" fontId="0" fillId="0" borderId="0" xfId="0" applyNumberFormat="1" applyFont="1" applyAlignment="1">
      <alignment horizontal="right"/>
    </xf>
    <xf numFmtId="0" fontId="0" fillId="0" borderId="30" xfId="0" applyFont="1" applyBorder="1" applyAlignment="1" applyProtection="1">
      <alignment horizontal="right"/>
      <protection locked="0"/>
    </xf>
    <xf numFmtId="0" fontId="37" fillId="0" borderId="0" xfId="1" applyFont="1" applyProtection="1">
      <protection locked="0"/>
    </xf>
    <xf numFmtId="0" fontId="23" fillId="0" borderId="53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3" fillId="0" borderId="55" xfId="0" applyFont="1" applyFill="1" applyBorder="1" applyAlignment="1" applyProtection="1">
      <alignment horizontal="center" vertical="center"/>
      <protection locked="0"/>
    </xf>
    <xf numFmtId="0" fontId="23" fillId="0" borderId="58" xfId="0" applyFont="1" applyFill="1" applyBorder="1" applyAlignment="1" applyProtection="1">
      <alignment horizontal="center" vertical="center"/>
      <protection locked="0"/>
    </xf>
    <xf numFmtId="0" fontId="23" fillId="0" borderId="59" xfId="0" applyFont="1" applyFill="1" applyBorder="1" applyAlignment="1" applyProtection="1">
      <alignment horizontal="center" vertical="center"/>
      <protection locked="0"/>
    </xf>
    <xf numFmtId="0" fontId="23" fillId="0" borderId="60" xfId="0" applyFont="1" applyFill="1" applyBorder="1" applyAlignment="1" applyProtection="1">
      <alignment horizontal="center" vertical="center"/>
      <protection locked="0"/>
    </xf>
    <xf numFmtId="0" fontId="16" fillId="3" borderId="65" xfId="0" applyFont="1" applyFill="1" applyBorder="1" applyAlignment="1" applyProtection="1">
      <alignment horizontal="center" vertical="center" wrapText="1"/>
    </xf>
    <xf numFmtId="0" fontId="16" fillId="3" borderId="66" xfId="0" applyFont="1" applyFill="1" applyBorder="1" applyAlignment="1" applyProtection="1">
      <alignment horizontal="center" vertical="center" wrapText="1"/>
    </xf>
    <xf numFmtId="0" fontId="16" fillId="3" borderId="67" xfId="0" applyFont="1" applyFill="1" applyBorder="1" applyAlignment="1" applyProtection="1">
      <alignment horizontal="center" vertical="center" wrapText="1"/>
    </xf>
    <xf numFmtId="0" fontId="16" fillId="3" borderId="34" xfId="0" applyFont="1" applyFill="1" applyBorder="1" applyAlignment="1" applyProtection="1">
      <alignment horizontal="center" vertical="center" wrapText="1"/>
    </xf>
    <xf numFmtId="0" fontId="16" fillId="3" borderId="29" xfId="0" applyFont="1" applyFill="1" applyBorder="1" applyAlignment="1" applyProtection="1">
      <alignment horizontal="center" vertical="center" wrapText="1"/>
    </xf>
    <xf numFmtId="0" fontId="16" fillId="3" borderId="43" xfId="0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 applyProtection="1">
      <alignment horizontal="center" vertical="center" wrapText="1"/>
    </xf>
    <xf numFmtId="0" fontId="21" fillId="3" borderId="19" xfId="0" applyFont="1" applyFill="1" applyBorder="1" applyAlignment="1" applyProtection="1">
      <alignment horizontal="center"/>
    </xf>
    <xf numFmtId="0" fontId="21" fillId="3" borderId="21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  <protection locked="0"/>
    </xf>
    <xf numFmtId="0" fontId="22" fillId="3" borderId="19" xfId="0" applyFont="1" applyFill="1" applyBorder="1" applyAlignment="1" applyProtection="1">
      <alignment horizontal="center" vertical="center"/>
      <protection locked="0"/>
    </xf>
    <xf numFmtId="0" fontId="22" fillId="3" borderId="20" xfId="0" applyFont="1" applyFill="1" applyBorder="1" applyAlignment="1" applyProtection="1">
      <alignment horizontal="center" vertical="center"/>
      <protection locked="0"/>
    </xf>
    <xf numFmtId="0" fontId="22" fillId="3" borderId="21" xfId="0" applyFont="1" applyFill="1" applyBorder="1" applyAlignment="1" applyProtection="1">
      <alignment horizontal="center" vertical="center"/>
      <protection locked="0"/>
    </xf>
    <xf numFmtId="0" fontId="22" fillId="3" borderId="22" xfId="0" applyFont="1" applyFill="1" applyBorder="1" applyAlignment="1" applyProtection="1">
      <alignment horizontal="center" vertical="center"/>
      <protection locked="0"/>
    </xf>
    <xf numFmtId="0" fontId="22" fillId="3" borderId="23" xfId="0" applyFont="1" applyFill="1" applyBorder="1" applyAlignment="1" applyProtection="1">
      <alignment horizontal="center" vertical="center"/>
      <protection locked="0"/>
    </xf>
    <xf numFmtId="0" fontId="22" fillId="3" borderId="24" xfId="0" applyFont="1" applyFill="1" applyBorder="1" applyAlignment="1" applyProtection="1">
      <alignment horizontal="center" vertical="center"/>
      <protection locked="0"/>
    </xf>
    <xf numFmtId="0" fontId="21" fillId="3" borderId="19" xfId="0" applyFont="1" applyFill="1" applyBorder="1" applyAlignment="1" applyProtection="1">
      <alignment horizontal="center"/>
      <protection locked="0"/>
    </xf>
    <xf numFmtId="0" fontId="21" fillId="3" borderId="20" xfId="0" applyFont="1" applyFill="1" applyBorder="1" applyAlignment="1" applyProtection="1">
      <alignment horizontal="center"/>
      <protection locked="0"/>
    </xf>
    <xf numFmtId="0" fontId="21" fillId="3" borderId="21" xfId="0" applyFont="1" applyFill="1" applyBorder="1" applyAlignment="1" applyProtection="1">
      <alignment horizontal="center"/>
      <protection locked="0"/>
    </xf>
    <xf numFmtId="0" fontId="22" fillId="3" borderId="19" xfId="0" applyFont="1" applyFill="1" applyBorder="1" applyAlignment="1" applyProtection="1">
      <alignment horizontal="center" vertical="center"/>
    </xf>
    <xf numFmtId="0" fontId="22" fillId="3" borderId="20" xfId="0" applyFont="1" applyFill="1" applyBorder="1" applyAlignment="1" applyProtection="1">
      <alignment horizontal="center" vertical="center"/>
    </xf>
    <xf numFmtId="0" fontId="22" fillId="3" borderId="21" xfId="0" applyFont="1" applyFill="1" applyBorder="1" applyAlignment="1" applyProtection="1">
      <alignment horizontal="center" vertical="center"/>
    </xf>
    <xf numFmtId="0" fontId="22" fillId="3" borderId="22" xfId="0" applyFont="1" applyFill="1" applyBorder="1" applyAlignment="1" applyProtection="1">
      <alignment horizontal="center" vertical="center"/>
    </xf>
    <xf numFmtId="0" fontId="22" fillId="3" borderId="23" xfId="0" applyFont="1" applyFill="1" applyBorder="1" applyAlignment="1" applyProtection="1">
      <alignment horizontal="center" vertical="center"/>
    </xf>
    <xf numFmtId="0" fontId="22" fillId="3" borderId="24" xfId="0" applyFont="1" applyFill="1" applyBorder="1" applyAlignment="1" applyProtection="1">
      <alignment horizontal="center" vertical="center"/>
    </xf>
    <xf numFmtId="0" fontId="21" fillId="3" borderId="26" xfId="0" applyFont="1" applyFill="1" applyBorder="1" applyAlignment="1" applyProtection="1">
      <alignment horizontal="center"/>
    </xf>
    <xf numFmtId="0" fontId="21" fillId="3" borderId="27" xfId="0" applyFont="1" applyFill="1" applyBorder="1" applyAlignment="1" applyProtection="1">
      <alignment horizontal="center"/>
    </xf>
    <xf numFmtId="0" fontId="21" fillId="3" borderId="19" xfId="0" applyFont="1" applyFill="1" applyBorder="1" applyAlignment="1" applyProtection="1">
      <alignment horizontal="center" vertical="center"/>
      <protection locked="0"/>
    </xf>
    <xf numFmtId="0" fontId="21" fillId="3" borderId="20" xfId="0" applyFont="1" applyFill="1" applyBorder="1" applyAlignment="1" applyProtection="1">
      <alignment horizontal="center" vertical="center"/>
      <protection locked="0"/>
    </xf>
    <xf numFmtId="0" fontId="21" fillId="3" borderId="21" xfId="0" applyFont="1" applyFill="1" applyBorder="1" applyAlignment="1" applyProtection="1">
      <alignment horizontal="center" vertical="center"/>
      <protection locked="0"/>
    </xf>
    <xf numFmtId="0" fontId="21" fillId="3" borderId="28" xfId="0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Border="1" applyAlignment="1" applyProtection="1">
      <alignment horizontal="center" vertical="center"/>
      <protection locked="0"/>
    </xf>
    <xf numFmtId="0" fontId="21" fillId="3" borderId="29" xfId="0" applyFont="1" applyFill="1" applyBorder="1" applyAlignment="1" applyProtection="1">
      <alignment horizontal="center" vertical="center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209</xdr:row>
      <xdr:rowOff>0</xdr:rowOff>
    </xdr:from>
    <xdr:to>
      <xdr:col>8</xdr:col>
      <xdr:colOff>348234</xdr:colOff>
      <xdr:row>259</xdr:row>
      <xdr:rowOff>57150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42443400"/>
          <a:ext cx="5444109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37598</xdr:colOff>
      <xdr:row>35</xdr:row>
      <xdr:rowOff>26939</xdr:rowOff>
    </xdr:from>
    <xdr:to>
      <xdr:col>3</xdr:col>
      <xdr:colOff>180975</xdr:colOff>
      <xdr:row>42</xdr:row>
      <xdr:rowOff>191944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848" y="10142489"/>
          <a:ext cx="4077202" cy="156518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48</xdr:row>
      <xdr:rowOff>38100</xdr:rowOff>
    </xdr:from>
    <xdr:to>
      <xdr:col>5</xdr:col>
      <xdr:colOff>227856</xdr:colOff>
      <xdr:row>51</xdr:row>
      <xdr:rowOff>85644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10144125"/>
          <a:ext cx="5952381" cy="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123082</xdr:colOff>
      <xdr:row>98</xdr:row>
      <xdr:rowOff>28651</xdr:rowOff>
    </xdr:from>
    <xdr:to>
      <xdr:col>4</xdr:col>
      <xdr:colOff>771526</xdr:colOff>
      <xdr:row>104</xdr:row>
      <xdr:rowOff>180700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0332" y="20145451"/>
          <a:ext cx="5372844" cy="14379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7</xdr:col>
      <xdr:colOff>171450</xdr:colOff>
      <xdr:row>229</xdr:row>
      <xdr:rowOff>190500</xdr:rowOff>
    </xdr:to>
    <xdr:pic>
      <xdr:nvPicPr>
        <xdr:cNvPr id="8" name="Рисунок 7" descr="https://images.boosty.to/image/4cbf1734-1384-4de6-a51a-f563b461147c?change_time=169658456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46243875"/>
          <a:ext cx="7810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207</xdr:row>
      <xdr:rowOff>142875</xdr:rowOff>
    </xdr:from>
    <xdr:to>
      <xdr:col>7</xdr:col>
      <xdr:colOff>200025</xdr:colOff>
      <xdr:row>209</xdr:row>
      <xdr:rowOff>133350</xdr:rowOff>
    </xdr:to>
    <xdr:pic>
      <xdr:nvPicPr>
        <xdr:cNvPr id="9" name="Рисунок 8" descr="https://images.boosty.to/image/d7e49e19-1e36-429a-a07b-48d3c7f60467?change_time=169658456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2186225"/>
          <a:ext cx="7810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847725</xdr:colOff>
      <xdr:row>243</xdr:row>
      <xdr:rowOff>104775</xdr:rowOff>
    </xdr:from>
    <xdr:to>
      <xdr:col>7</xdr:col>
      <xdr:colOff>161925</xdr:colOff>
      <xdr:row>245</xdr:row>
      <xdr:rowOff>95250</xdr:rowOff>
    </xdr:to>
    <xdr:pic>
      <xdr:nvPicPr>
        <xdr:cNvPr id="10" name="Рисунок 9" descr="https://images.boosty.to/image/1ada9b80-faad-4035-b3f8-4907971dbaa9?change_time=169658456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49349025"/>
          <a:ext cx="7810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123826</xdr:colOff>
      <xdr:row>204</xdr:row>
      <xdr:rowOff>161580</xdr:rowOff>
    </xdr:from>
    <xdr:to>
      <xdr:col>2</xdr:col>
      <xdr:colOff>800100</xdr:colOff>
      <xdr:row>206</xdr:row>
      <xdr:rowOff>95248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1" y="41557230"/>
          <a:ext cx="676274" cy="381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1085850</xdr:colOff>
      <xdr:row>204</xdr:row>
      <xdr:rowOff>161925</xdr:rowOff>
    </xdr:from>
    <xdr:to>
      <xdr:col>5</xdr:col>
      <xdr:colOff>552449</xdr:colOff>
      <xdr:row>206</xdr:row>
      <xdr:rowOff>95593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667500" y="41557575"/>
          <a:ext cx="676274" cy="381343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0</xdr:row>
      <xdr:rowOff>0</xdr:rowOff>
    </xdr:from>
    <xdr:to>
      <xdr:col>14</xdr:col>
      <xdr:colOff>581025</xdr:colOff>
      <xdr:row>11</xdr:row>
      <xdr:rowOff>45924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0" y="0"/>
          <a:ext cx="4229100" cy="2341449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2095501</xdr:colOff>
      <xdr:row>0</xdr:row>
      <xdr:rowOff>104775</xdr:rowOff>
    </xdr:from>
    <xdr:to>
      <xdr:col>9</xdr:col>
      <xdr:colOff>429987</xdr:colOff>
      <xdr:row>13</xdr:row>
      <xdr:rowOff>38100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1" y="104775"/>
          <a:ext cx="7592786" cy="2657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147</xdr:row>
      <xdr:rowOff>0</xdr:rowOff>
    </xdr:from>
    <xdr:to>
      <xdr:col>30</xdr:col>
      <xdr:colOff>304800</xdr:colOff>
      <xdr:row>176</xdr:row>
      <xdr:rowOff>130977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28003500"/>
          <a:ext cx="10058400" cy="5655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osty.to/yetiblog/posts/bf078f4d-242c-4592-b7f1-ea9b213db3d4?share=post_link" TargetMode="External"/><Relationship Id="rId13" Type="http://schemas.openxmlformats.org/officeDocument/2006/relationships/hyperlink" Target="https://boosty.to/yetiblog/posts/7bebc374-39f7-47d2-a4e6-52d5bf73c839?share=post_link" TargetMode="External"/><Relationship Id="rId18" Type="http://schemas.openxmlformats.org/officeDocument/2006/relationships/hyperlink" Target="https://boosty.to/yetiblog/posts/f4eab4fc-a452-475f-abd1-7b5f13209e7a" TargetMode="External"/><Relationship Id="rId26" Type="http://schemas.openxmlformats.org/officeDocument/2006/relationships/hyperlink" Target="https://boosty.to/yetiblog/posts/3d89fedb-3c2a-425b-80b5-4ad5fc30607a?share=post_link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https://boosty.to/yetiblog/posts/2610ef2e-73b9-40b2-b1d0-48e75ee74be9?share=post_link" TargetMode="External"/><Relationship Id="rId21" Type="http://schemas.openxmlformats.org/officeDocument/2006/relationships/hyperlink" Target="https://boosty.to/yetiblog/posts/8b2ab7cc-ae59-4f56-887f-318c04a28b84?share=post_link" TargetMode="External"/><Relationship Id="rId34" Type="http://schemas.openxmlformats.org/officeDocument/2006/relationships/hyperlink" Target="https://boosty.to/yetiblog/posts/35665ccb-2137-412f-bc9b-6fddb212d07f?share=post_link" TargetMode="External"/><Relationship Id="rId7" Type="http://schemas.openxmlformats.org/officeDocument/2006/relationships/hyperlink" Target="https://boosty.to/yetiblog/posts/478c3920-1b7b-4e73-ad8e-26c7d45f4814?share=post_link" TargetMode="External"/><Relationship Id="rId12" Type="http://schemas.openxmlformats.org/officeDocument/2006/relationships/hyperlink" Target="https://boosty.to/yetiblog/posts/6abb5600-a62b-4085-aa37-bc3b8634b367?share=post_link" TargetMode="External"/><Relationship Id="rId17" Type="http://schemas.openxmlformats.org/officeDocument/2006/relationships/hyperlink" Target="https://boosty.to/yetiblog/posts/92c0e29f-339c-4893-91ea-8124e17e2721?share=post_link" TargetMode="External"/><Relationship Id="rId25" Type="http://schemas.openxmlformats.org/officeDocument/2006/relationships/hyperlink" Target="https://boosty.to/yetiblog/posts/fb94df9d-afad-4995-94e2-03ce44ad4c17?share=post_link" TargetMode="External"/><Relationship Id="rId33" Type="http://schemas.openxmlformats.org/officeDocument/2006/relationships/hyperlink" Target="https://boosty.to/yetiblog/posts/79934210-0bc9-47f4-b9bf-959b0a3fd875?share=post_link" TargetMode="External"/><Relationship Id="rId38" Type="http://schemas.openxmlformats.org/officeDocument/2006/relationships/hyperlink" Target="https://boosty.to/yetiblog/posts/89c5d40a-4894-4524-b070-7d307abc85e9?share=post_link" TargetMode="External"/><Relationship Id="rId2" Type="http://schemas.openxmlformats.org/officeDocument/2006/relationships/hyperlink" Target="https://boosty.to/yetiblog/posts/c47444c0-6e25-48df-8510-8c4e7a64c973?share=post_link" TargetMode="External"/><Relationship Id="rId16" Type="http://schemas.openxmlformats.org/officeDocument/2006/relationships/hyperlink" Target="https://boosty.to/yetiblog/posts/effaebd1-f017-40f9-929c-4ac462634ad0?share=post_link" TargetMode="External"/><Relationship Id="rId20" Type="http://schemas.openxmlformats.org/officeDocument/2006/relationships/hyperlink" Target="https://boosty.to/yetiblog/posts/1133be33-0ded-4e25-b874-986b4f44888a?share=post_link" TargetMode="External"/><Relationship Id="rId29" Type="http://schemas.openxmlformats.org/officeDocument/2006/relationships/hyperlink" Target="https://boosty.to/yetiblog/posts/7437ec41-5ca1-4d7b-90d3-424eaa6eeb41?share=post_link" TargetMode="External"/><Relationship Id="rId1" Type="http://schemas.openxmlformats.org/officeDocument/2006/relationships/hyperlink" Target="https://boosty.to/yetiblog/posts/f74d3c31-1da4-4cd5-a8c8-39e9e6dd8081?share=post_link" TargetMode="External"/><Relationship Id="rId6" Type="http://schemas.openxmlformats.org/officeDocument/2006/relationships/hyperlink" Target="https://boosty.to/yetiblog/posts/088b5631-cab6-4b5c-b163-cba3bbec512d?share=post_link" TargetMode="External"/><Relationship Id="rId11" Type="http://schemas.openxmlformats.org/officeDocument/2006/relationships/hyperlink" Target="https://boosty.to/yetiblog/posts/98ec8354-1fe5-4150-87ef-78fd464a27d1?share=post_link" TargetMode="External"/><Relationship Id="rId24" Type="http://schemas.openxmlformats.org/officeDocument/2006/relationships/hyperlink" Target="https://boosty.to/yetiblog/posts/7f4113d3-c740-427f-a7f3-fe0bc846a758?share=post_link" TargetMode="External"/><Relationship Id="rId32" Type="http://schemas.openxmlformats.org/officeDocument/2006/relationships/hyperlink" Target="https://boosty.to/yetiblog/posts/619a9daa-b55d-40ef-b531-72f2acbfd7b0?share=post_link" TargetMode="External"/><Relationship Id="rId37" Type="http://schemas.openxmlformats.org/officeDocument/2006/relationships/hyperlink" Target="https://boosty.to/yetiblog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s://boosty.to/yetiblog/posts/483887e1-4039-4652-8b67-29a1ec04321c?share=post_link" TargetMode="External"/><Relationship Id="rId15" Type="http://schemas.openxmlformats.org/officeDocument/2006/relationships/hyperlink" Target="https://boosty.to/yetiblog/posts/30ea2e5f-1151-40dc-9cad-fc4c1ed7b2ac?share=post_link" TargetMode="External"/><Relationship Id="rId23" Type="http://schemas.openxmlformats.org/officeDocument/2006/relationships/hyperlink" Target="https://boosty.to/yetiblog/posts/9cb76d93-13c3-4bd7-ba87-0112dcf276cf?share=post_link" TargetMode="External"/><Relationship Id="rId28" Type="http://schemas.openxmlformats.org/officeDocument/2006/relationships/hyperlink" Target="https://boosty.to/yetiblog/posts/978677d6-0937-479b-91a4-36e8fff139cb?share=post_link" TargetMode="External"/><Relationship Id="rId36" Type="http://schemas.openxmlformats.org/officeDocument/2006/relationships/hyperlink" Target="https://boosty.to/yetiblog/posts/6009bcd8-9ef8-4b6f-96b6-d263bd26dc38?share=post_link" TargetMode="External"/><Relationship Id="rId10" Type="http://schemas.openxmlformats.org/officeDocument/2006/relationships/hyperlink" Target="https://boosty.to/yetiblog/posts/27920553-8831-48fb-a9f3-9db8710de97e?share=post_link" TargetMode="External"/><Relationship Id="rId19" Type="http://schemas.openxmlformats.org/officeDocument/2006/relationships/hyperlink" Target="https://boosty.to/yetiblog/posts/31b0c7c9-8a65-4d69-a61b-e7b52acad96b?share=post_link" TargetMode="External"/><Relationship Id="rId31" Type="http://schemas.openxmlformats.org/officeDocument/2006/relationships/hyperlink" Target="https://boosty.to/yetiblog/posts/cb9dc094-8498-4fea-ae9c-59444b24937c?share=post_link" TargetMode="External"/><Relationship Id="rId4" Type="http://schemas.openxmlformats.org/officeDocument/2006/relationships/hyperlink" Target="https://boosty.to/yetiblog/posts/971e14fa-f43e-4b17-9a17-6ebf921eca89?share=post_link" TargetMode="External"/><Relationship Id="rId9" Type="http://schemas.openxmlformats.org/officeDocument/2006/relationships/hyperlink" Target="https://boosty.to/yetiblog/posts/1ade2eed-06c6-4b46-9105-9c28bbfeeda7?share=post_link" TargetMode="External"/><Relationship Id="rId14" Type="http://schemas.openxmlformats.org/officeDocument/2006/relationships/hyperlink" Target="https://boosty.to/yetiblog/posts/81382241-e99b-4410-ab93-9119ffb8bb27?share=post_link" TargetMode="External"/><Relationship Id="rId22" Type="http://schemas.openxmlformats.org/officeDocument/2006/relationships/hyperlink" Target="https://boosty.to/yetiblog/posts/cf196b35-5c75-423b-8470-99fd876e45d8?share=post_link" TargetMode="External"/><Relationship Id="rId27" Type="http://schemas.openxmlformats.org/officeDocument/2006/relationships/hyperlink" Target="https://boosty.to/yetiblog/posts/9d4bbf5c-74c2-4da2-8570-8b7921fa56b7?share=post_link" TargetMode="External"/><Relationship Id="rId30" Type="http://schemas.openxmlformats.org/officeDocument/2006/relationships/hyperlink" Target="https://boosty.to/yetiblog/posts/08744dcd-d1aa-4606-921c-5848e1682bad?share=post_link" TargetMode="External"/><Relationship Id="rId35" Type="http://schemas.openxmlformats.org/officeDocument/2006/relationships/hyperlink" Target="https://boosty.to/yetiblog/posts/74130f39-1700-414a-b115-6e49fde83738?share=post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oosty.to/yetiblog/posts/2610ef2e-73b9-40b2-b1d0-48e75ee74be9?share=post_link" TargetMode="External"/><Relationship Id="rId13" Type="http://schemas.openxmlformats.org/officeDocument/2006/relationships/hyperlink" Target="https://drive.google.com/file/d/1upDgeI6CbES1MQqXFdvVyBuCdC9YZ5q7/view?usp=sharing" TargetMode="External"/><Relationship Id="rId18" Type="http://schemas.openxmlformats.org/officeDocument/2006/relationships/hyperlink" Target="https://boosty.to/yetiblog/posts/6009bcd8-9ef8-4b6f-96b6-d263bd26dc38?share=post_link" TargetMode="External"/><Relationship Id="rId26" Type="http://schemas.openxmlformats.org/officeDocument/2006/relationships/hyperlink" Target="https://boosty.to/yetiblog/posts/98ec8354-1fe5-4150-87ef-78fd464a27d1?share=post_link" TargetMode="External"/><Relationship Id="rId39" Type="http://schemas.openxmlformats.org/officeDocument/2006/relationships/printerSettings" Target="../printerSettings/printerSettings2.bin"/><Relationship Id="rId3" Type="http://schemas.openxmlformats.org/officeDocument/2006/relationships/hyperlink" Target="https://boosty.to/yetiblog/posts/92c0e29f-339c-4893-91ea-8124e17e2721?share=post_link" TargetMode="External"/><Relationship Id="rId21" Type="http://schemas.openxmlformats.org/officeDocument/2006/relationships/hyperlink" Target="https://boosty.to/yetiblog/posts/cf196b35-5c75-423b-8470-99fd876e45d8?share=post_link" TargetMode="External"/><Relationship Id="rId34" Type="http://schemas.openxmlformats.org/officeDocument/2006/relationships/hyperlink" Target="https://boosty.to/yetiblog/posts/30ea2e5f-1151-40dc-9cad-fc4c1ed7b2ac?share=post_link" TargetMode="External"/><Relationship Id="rId7" Type="http://schemas.openxmlformats.org/officeDocument/2006/relationships/hyperlink" Target="https://boosty.to/yetiblog/posts/6009bcd8-9ef8-4b6f-96b6-d263bd26dc38?share=post_link" TargetMode="External"/><Relationship Id="rId12" Type="http://schemas.openxmlformats.org/officeDocument/2006/relationships/hyperlink" Target="https://boosty.to/yetiblog/posts/8b2ab7cc-ae59-4f56-887f-318c04a28b84?share=post_link" TargetMode="External"/><Relationship Id="rId17" Type="http://schemas.openxmlformats.org/officeDocument/2006/relationships/hyperlink" Target="https://boosty.to/yetiblog/posts/2610ef2e-73b9-40b2-b1d0-48e75ee74be9?share=post_link" TargetMode="External"/><Relationship Id="rId25" Type="http://schemas.openxmlformats.org/officeDocument/2006/relationships/hyperlink" Target="https://boosty.to/yetiblog/posts/2610ef2e-73b9-40b2-b1d0-48e75ee74be9?share=post_link" TargetMode="External"/><Relationship Id="rId33" Type="http://schemas.openxmlformats.org/officeDocument/2006/relationships/hyperlink" Target="https://boosty.to/yetiblog/posts/478c3920-1b7b-4e73-ad8e-26c7d45f4814?share=post_link" TargetMode="External"/><Relationship Id="rId38" Type="http://schemas.openxmlformats.org/officeDocument/2006/relationships/hyperlink" Target="https://boosty.to/yetiblog/posts/8b2ab7cc-ae59-4f56-887f-318c04a28b84?share=post_link" TargetMode="External"/><Relationship Id="rId2" Type="http://schemas.openxmlformats.org/officeDocument/2006/relationships/hyperlink" Target="https://boosty.to/yetiblog/posts/c47444c0-6e25-48df-8510-8c4e7a64c973?share=post_link" TargetMode="External"/><Relationship Id="rId16" Type="http://schemas.openxmlformats.org/officeDocument/2006/relationships/hyperlink" Target="https://boosty.to/yetiblog/posts/92c0e29f-339c-4893-91ea-8124e17e2721?share=post_link" TargetMode="External"/><Relationship Id="rId20" Type="http://schemas.openxmlformats.org/officeDocument/2006/relationships/hyperlink" Target="https://boosty.to/yetiblog/posts/92c0e29f-339c-4893-91ea-8124e17e2721?share=post_link" TargetMode="External"/><Relationship Id="rId29" Type="http://schemas.openxmlformats.org/officeDocument/2006/relationships/hyperlink" Target="https://boosty.to/yetiblog/posts/9d4bbf5c-74c2-4da2-8570-8b7921fa56b7?share=post_link" TargetMode="External"/><Relationship Id="rId1" Type="http://schemas.openxmlformats.org/officeDocument/2006/relationships/hyperlink" Target="https://boosty.to/yetiblog/posts/2610ef2e-73b9-40b2-b1d0-48e75ee74be9?share=post_link" TargetMode="External"/><Relationship Id="rId6" Type="http://schemas.openxmlformats.org/officeDocument/2006/relationships/hyperlink" Target="https://boosty.to/yetiblog/posts/31b0c7c9-8a65-4d69-a61b-e7b52acad96b?share=post_link" TargetMode="External"/><Relationship Id="rId11" Type="http://schemas.openxmlformats.org/officeDocument/2006/relationships/hyperlink" Target="https://boosty.to/yetiblog/posts/971e14fa-f43e-4b17-9a17-6ebf921eca89?share=post_link" TargetMode="External"/><Relationship Id="rId24" Type="http://schemas.openxmlformats.org/officeDocument/2006/relationships/hyperlink" Target="https://boosty.to/yetiblog/posts/6009bcd8-9ef8-4b6f-96b6-d263bd26dc38?share=post_link" TargetMode="External"/><Relationship Id="rId32" Type="http://schemas.openxmlformats.org/officeDocument/2006/relationships/hyperlink" Target="https://boosty.to/yetiblog/posts/1ade2eed-06c6-4b46-9105-9c28bbfeeda7?share=post_link" TargetMode="External"/><Relationship Id="rId37" Type="http://schemas.openxmlformats.org/officeDocument/2006/relationships/hyperlink" Target="https://boosty.to/yetiblog/posts/7437ec41-5ca1-4d7b-90d3-424eaa6eeb41?share=post_link" TargetMode="External"/><Relationship Id="rId5" Type="http://schemas.openxmlformats.org/officeDocument/2006/relationships/hyperlink" Target="https://boosty.to/yetiblog/posts/483887e1-4039-4652-8b67-29a1ec04321c?share=post_link" TargetMode="External"/><Relationship Id="rId15" Type="http://schemas.openxmlformats.org/officeDocument/2006/relationships/hyperlink" Target="https://boosty.to/yetiblog/posts/2610ef2e-73b9-40b2-b1d0-48e75ee74be9?share=post_link" TargetMode="External"/><Relationship Id="rId23" Type="http://schemas.openxmlformats.org/officeDocument/2006/relationships/hyperlink" Target="https://boosty.to/yetiblog/posts/c47444c0-6e25-48df-8510-8c4e7a64c973?share=post_link" TargetMode="External"/><Relationship Id="rId28" Type="http://schemas.openxmlformats.org/officeDocument/2006/relationships/hyperlink" Target="https://boosty.to/yetiblog/posts/7f4113d3-c740-427f-a7f3-fe0bc846a758?share=post_link" TargetMode="External"/><Relationship Id="rId36" Type="http://schemas.openxmlformats.org/officeDocument/2006/relationships/hyperlink" Target="https://boosty.to/yetiblog/posts/27920553-8831-48fb-a9f3-9db8710de97e?share=post_link" TargetMode="External"/><Relationship Id="rId10" Type="http://schemas.openxmlformats.org/officeDocument/2006/relationships/hyperlink" Target="https://boosty.to/yetiblog/posts/971e14fa-f43e-4b17-9a17-6ebf921eca89?share=post_link" TargetMode="External"/><Relationship Id="rId19" Type="http://schemas.openxmlformats.org/officeDocument/2006/relationships/hyperlink" Target="https://boosty.to/yetiblog/posts/6009bcd8-9ef8-4b6f-96b6-d263bd26dc38?share=post_link" TargetMode="External"/><Relationship Id="rId31" Type="http://schemas.openxmlformats.org/officeDocument/2006/relationships/hyperlink" Target="https://boosty.to/yetiblog/posts/92c0e29f-339c-4893-91ea-8124e17e2721?share=post_link" TargetMode="External"/><Relationship Id="rId4" Type="http://schemas.openxmlformats.org/officeDocument/2006/relationships/hyperlink" Target="https://boosty.to/yetiblog/posts/81382241-e99b-4410-ab93-9119ffb8bb27?share=post_link" TargetMode="External"/><Relationship Id="rId9" Type="http://schemas.openxmlformats.org/officeDocument/2006/relationships/hyperlink" Target="https://boosty.to/yetiblog/posts/2610ef2e-73b9-40b2-b1d0-48e75ee74be9?share=post_link" TargetMode="External"/><Relationship Id="rId14" Type="http://schemas.openxmlformats.org/officeDocument/2006/relationships/hyperlink" Target="https://drive.google.com/file/d/1upDgeI6CbES1MQqXFdvVyBuCdC9YZ5q7/view?usp=sharing" TargetMode="External"/><Relationship Id="rId22" Type="http://schemas.openxmlformats.org/officeDocument/2006/relationships/hyperlink" Target="https://boosty.to/yetiblog/posts/c47444c0-6e25-48df-8510-8c4e7a64c973?share=post_link" TargetMode="External"/><Relationship Id="rId27" Type="http://schemas.openxmlformats.org/officeDocument/2006/relationships/hyperlink" Target="https://boosty.to/yetiblog/posts/088b5631-cab6-4b5c-b163-cba3bbec512d?share=post_link" TargetMode="External"/><Relationship Id="rId30" Type="http://schemas.openxmlformats.org/officeDocument/2006/relationships/hyperlink" Target="https://boosty.to/yetiblog/posts/f74d3c31-1da4-4cd5-a8c8-39e9e6dd8081?share=post_link" TargetMode="External"/><Relationship Id="rId35" Type="http://schemas.openxmlformats.org/officeDocument/2006/relationships/hyperlink" Target="https://boosty.to/yetiblog/posts/effaebd1-f017-40f9-929c-4ac462634ad0?share=post_li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AV1000"/>
  <sheetViews>
    <sheetView tabSelected="1" topLeftCell="A184" workbookViewId="0">
      <selection activeCell="N191" sqref="N191"/>
    </sheetView>
  </sheetViews>
  <sheetFormatPr defaultColWidth="14.42578125" defaultRowHeight="15" customHeight="1" x14ac:dyDescent="0.25"/>
  <cols>
    <col min="1" max="1" width="12.85546875" style="31" customWidth="1"/>
    <col min="2" max="2" width="45.5703125" style="31" customWidth="1"/>
    <col min="3" max="3" width="13.42578125" style="31" customWidth="1"/>
    <col min="4" max="4" width="11.85546875" style="31" customWidth="1"/>
    <col min="5" max="5" width="18.140625" style="31" customWidth="1"/>
    <col min="6" max="6" width="13.85546875" style="31" customWidth="1"/>
    <col min="7" max="7" width="11.7109375" style="31" customWidth="1"/>
    <col min="8" max="8" width="10.5703125" style="31" customWidth="1"/>
    <col min="9" max="9" width="13.7109375" style="31" customWidth="1"/>
    <col min="10" max="10" width="11.28515625" style="31" customWidth="1"/>
    <col min="11" max="11" width="12.140625" style="31" customWidth="1"/>
    <col min="12" max="13" width="11.7109375" style="31" customWidth="1"/>
    <col min="14" max="14" width="11.85546875" style="31" customWidth="1"/>
    <col min="15" max="16" width="11.42578125" style="31" customWidth="1"/>
    <col min="17" max="17" width="12" style="31" customWidth="1"/>
    <col min="18" max="18" width="11.5703125" style="31" customWidth="1"/>
    <col min="19" max="20" width="11.42578125" style="31" customWidth="1"/>
    <col min="21" max="21" width="12.42578125" style="31" customWidth="1"/>
    <col min="22" max="22" width="19" style="31" customWidth="1"/>
    <col min="23" max="23" width="19.28515625" style="31" customWidth="1"/>
    <col min="24" max="24" width="19.42578125" style="31" customWidth="1"/>
    <col min="25" max="25" width="16.140625" style="31" customWidth="1"/>
    <col min="26" max="26" width="18.42578125" style="31" customWidth="1"/>
    <col min="27" max="27" width="24.85546875" style="31" customWidth="1"/>
    <col min="28" max="28" width="18.140625" style="31" customWidth="1"/>
    <col min="29" max="29" width="19.28515625" style="31" customWidth="1"/>
    <col min="30" max="30" width="18.28515625" style="31" customWidth="1"/>
    <col min="31" max="31" width="20.42578125" style="31" customWidth="1"/>
    <col min="32" max="32" width="17.5703125" style="31" customWidth="1"/>
    <col min="33" max="33" width="19.140625" style="31" customWidth="1"/>
    <col min="34" max="34" width="18.28515625" style="31" customWidth="1"/>
    <col min="35" max="35" width="22.5703125" style="31" customWidth="1"/>
    <col min="36" max="36" width="16.7109375" style="31" customWidth="1"/>
    <col min="37" max="37" width="25" style="31" customWidth="1"/>
    <col min="38" max="38" width="18.7109375" style="31" customWidth="1"/>
    <col min="39" max="39" width="23.5703125" style="31" customWidth="1"/>
    <col min="40" max="40" width="13.42578125" style="31" customWidth="1"/>
    <col min="41" max="48" width="8.7109375" style="31" customWidth="1"/>
    <col min="49" max="16384" width="14.42578125" style="31"/>
  </cols>
  <sheetData>
    <row r="2" spans="2:48" ht="23.25" x14ac:dyDescent="0.35">
      <c r="F2" s="32"/>
    </row>
    <row r="6" spans="2:48" x14ac:dyDescent="0.25">
      <c r="B6" s="220" t="s">
        <v>171</v>
      </c>
    </row>
    <row r="7" spans="2:48" ht="15" customHeight="1" x14ac:dyDescent="0.3">
      <c r="B7" s="35" t="s">
        <v>202</v>
      </c>
    </row>
    <row r="10" spans="2:48" ht="18.75" x14ac:dyDescent="0.3">
      <c r="B10" s="35" t="s">
        <v>172</v>
      </c>
    </row>
    <row r="11" spans="2:48" ht="18.75" x14ac:dyDescent="0.3">
      <c r="B11" s="35" t="s">
        <v>166</v>
      </c>
    </row>
    <row r="12" spans="2:48" ht="18.75" x14ac:dyDescent="0.3">
      <c r="B12" s="36" t="s">
        <v>0</v>
      </c>
    </row>
    <row r="14" spans="2:48" ht="18.75" x14ac:dyDescent="0.3">
      <c r="B14" s="35" t="s">
        <v>165</v>
      </c>
    </row>
    <row r="15" spans="2:48" ht="18.75" x14ac:dyDescent="0.3">
      <c r="B15" s="36" t="s">
        <v>1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</row>
    <row r="16" spans="2:48" ht="18.75" x14ac:dyDescent="0.3">
      <c r="B16" s="36" t="s">
        <v>2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 spans="1:37" ht="18.75" x14ac:dyDescent="0.3">
      <c r="B17" s="38" t="s">
        <v>3</v>
      </c>
    </row>
    <row r="18" spans="1:37" ht="18.75" x14ac:dyDescent="0.3">
      <c r="B18" s="38" t="s">
        <v>4</v>
      </c>
    </row>
    <row r="19" spans="1:37" x14ac:dyDescent="0.25">
      <c r="AK19" s="37"/>
    </row>
    <row r="20" spans="1:37" ht="18.75" x14ac:dyDescent="0.3">
      <c r="B20" s="35" t="s">
        <v>167</v>
      </c>
      <c r="AI20" s="37"/>
      <c r="AJ20" s="37"/>
    </row>
    <row r="21" spans="1:37" ht="15.75" customHeight="1" x14ac:dyDescent="0.3">
      <c r="B21" s="36" t="s">
        <v>168</v>
      </c>
      <c r="AD21" s="37"/>
      <c r="AE21" s="37"/>
      <c r="AF21" s="37"/>
      <c r="AG21" s="37"/>
      <c r="AH21" s="37"/>
    </row>
    <row r="22" spans="1:37" ht="15.75" customHeight="1" x14ac:dyDescent="0.3">
      <c r="B22" s="36" t="s">
        <v>169</v>
      </c>
    </row>
    <row r="23" spans="1:37" ht="15.75" customHeight="1" x14ac:dyDescent="0.3">
      <c r="A23" s="36"/>
      <c r="B23" s="36" t="s">
        <v>170</v>
      </c>
      <c r="C23" s="39"/>
      <c r="D23" s="39"/>
      <c r="S23" s="37"/>
      <c r="T23" s="37"/>
      <c r="U23" s="37"/>
      <c r="V23" s="37"/>
      <c r="W23" s="37"/>
      <c r="AB23" s="37"/>
      <c r="AC23" s="37"/>
    </row>
    <row r="24" spans="1:37" ht="15.75" customHeight="1" x14ac:dyDescent="0.3">
      <c r="A24" s="36"/>
      <c r="B24" s="36" t="s">
        <v>173</v>
      </c>
    </row>
    <row r="25" spans="1:37" ht="15.75" customHeight="1" x14ac:dyDescent="0.3">
      <c r="A25" s="36"/>
      <c r="E25" s="39"/>
      <c r="F25" s="39"/>
      <c r="G25" s="39"/>
      <c r="H25" s="39"/>
      <c r="I25" s="39"/>
      <c r="J25" s="39"/>
    </row>
    <row r="26" spans="1:37" ht="15.75" customHeight="1" x14ac:dyDescent="0.3">
      <c r="A26" s="36"/>
      <c r="B26" s="35" t="s">
        <v>174</v>
      </c>
    </row>
    <row r="27" spans="1:37" ht="15.75" customHeight="1" x14ac:dyDescent="0.3">
      <c r="A27" s="36"/>
      <c r="B27" s="40" t="s">
        <v>175</v>
      </c>
    </row>
    <row r="28" spans="1:37" ht="15.75" customHeight="1" x14ac:dyDescent="0.3">
      <c r="A28" s="36"/>
      <c r="B28" s="40" t="s">
        <v>176</v>
      </c>
      <c r="O28" s="37"/>
      <c r="P28" s="37"/>
      <c r="Q28" s="37"/>
      <c r="R28" s="37"/>
      <c r="S28" s="37"/>
      <c r="T28" s="37"/>
      <c r="U28" s="37"/>
      <c r="V28" s="37"/>
    </row>
    <row r="29" spans="1:37" ht="15.75" customHeight="1" x14ac:dyDescent="0.3">
      <c r="A29" s="36"/>
      <c r="B29" s="40" t="s">
        <v>177</v>
      </c>
    </row>
    <row r="30" spans="1:37" ht="15.75" customHeight="1" thickBot="1" x14ac:dyDescent="0.4">
      <c r="A30" s="41"/>
    </row>
    <row r="31" spans="1:37" ht="15.75" customHeight="1" x14ac:dyDescent="0.3">
      <c r="A31" s="36"/>
      <c r="B31" s="221" t="s">
        <v>149</v>
      </c>
      <c r="C31" s="222"/>
      <c r="D31" s="222"/>
      <c r="E31" s="223"/>
    </row>
    <row r="32" spans="1:37" ht="21" customHeight="1" thickBot="1" x14ac:dyDescent="0.35">
      <c r="A32" s="42"/>
      <c r="B32" s="224"/>
      <c r="C32" s="225"/>
      <c r="D32" s="225"/>
      <c r="E32" s="226"/>
      <c r="F32" s="43"/>
      <c r="G32" s="43"/>
      <c r="H32" s="43"/>
      <c r="I32" s="43"/>
      <c r="J32" s="43"/>
      <c r="K32" s="43"/>
      <c r="L32" s="43"/>
      <c r="M32" s="43"/>
      <c r="N32" s="44"/>
      <c r="O32" s="44"/>
      <c r="P32" s="44"/>
      <c r="Q32" s="44"/>
    </row>
    <row r="33" spans="1:42" ht="15.75" customHeight="1" thickBot="1" x14ac:dyDescent="0.35">
      <c r="A33" s="42"/>
      <c r="F33" s="45"/>
      <c r="G33" s="45"/>
      <c r="H33" s="45"/>
      <c r="I33" s="45"/>
      <c r="J33" s="45"/>
      <c r="K33" s="45"/>
      <c r="L33" s="45"/>
      <c r="M33" s="45"/>
      <c r="N33" s="46"/>
      <c r="O33" s="46"/>
      <c r="P33" s="46"/>
      <c r="Q33" s="46"/>
    </row>
    <row r="34" spans="1:42" ht="15.75" customHeight="1" x14ac:dyDescent="0.3">
      <c r="B34" s="137" t="s">
        <v>124</v>
      </c>
      <c r="C34" s="138"/>
      <c r="D34" s="138"/>
      <c r="E34" s="138"/>
      <c r="F34" s="139"/>
      <c r="G34" s="140"/>
      <c r="H34" s="139"/>
      <c r="I34" s="140"/>
      <c r="J34" s="139"/>
      <c r="K34" s="140"/>
      <c r="L34" s="140"/>
      <c r="M34" s="141"/>
      <c r="N34" s="47"/>
      <c r="O34" s="47"/>
      <c r="P34" s="47"/>
      <c r="Q34" s="47"/>
    </row>
    <row r="35" spans="1:42" ht="15.75" customHeight="1" x14ac:dyDescent="0.35">
      <c r="A35" s="48"/>
      <c r="B35" s="142" t="s">
        <v>125</v>
      </c>
      <c r="C35" s="143"/>
      <c r="D35" s="143"/>
      <c r="E35" s="143"/>
      <c r="F35" s="144"/>
      <c r="G35" s="145"/>
      <c r="H35" s="144"/>
      <c r="I35" s="145"/>
      <c r="J35" s="144"/>
      <c r="K35" s="145"/>
      <c r="L35" s="145"/>
      <c r="M35" s="146"/>
      <c r="N35" s="49"/>
      <c r="O35" s="49"/>
      <c r="P35" s="49"/>
      <c r="Q35" s="49"/>
    </row>
    <row r="36" spans="1:42" ht="15.75" customHeight="1" x14ac:dyDescent="0.25">
      <c r="A36" s="49"/>
      <c r="B36" s="147"/>
      <c r="C36" s="143"/>
      <c r="D36" s="143"/>
      <c r="E36" s="143"/>
      <c r="F36" s="144"/>
      <c r="G36" s="145"/>
      <c r="H36" s="144"/>
      <c r="I36" s="145"/>
      <c r="J36" s="144"/>
      <c r="K36" s="145"/>
      <c r="L36" s="145"/>
      <c r="M36" s="146"/>
      <c r="N36" s="49"/>
      <c r="O36" s="49"/>
      <c r="P36" s="49"/>
      <c r="Q36" s="49"/>
    </row>
    <row r="37" spans="1:42" ht="15.75" customHeight="1" x14ac:dyDescent="0.3">
      <c r="A37" s="50"/>
      <c r="B37" s="147"/>
      <c r="C37" s="143"/>
      <c r="D37" s="143"/>
      <c r="E37" s="148" t="s">
        <v>136</v>
      </c>
      <c r="F37" s="144"/>
      <c r="G37" s="145"/>
      <c r="H37" s="144"/>
      <c r="I37" s="145"/>
      <c r="J37" s="144"/>
      <c r="K37" s="145"/>
      <c r="L37" s="145"/>
      <c r="M37" s="146"/>
      <c r="N37" s="49"/>
      <c r="O37" s="49"/>
      <c r="P37" s="49"/>
      <c r="Q37" s="49"/>
      <c r="R37" s="51"/>
    </row>
    <row r="38" spans="1:42" ht="15.75" customHeight="1" x14ac:dyDescent="0.3">
      <c r="A38" s="52"/>
      <c r="B38" s="147"/>
      <c r="C38" s="143"/>
      <c r="D38" s="143"/>
      <c r="E38" s="204" t="s">
        <v>126</v>
      </c>
      <c r="F38" s="149"/>
      <c r="G38" s="150"/>
      <c r="H38" s="149"/>
      <c r="I38" s="150"/>
      <c r="J38" s="149"/>
      <c r="K38" s="150"/>
      <c r="L38" s="151"/>
      <c r="M38" s="152"/>
      <c r="N38" s="49"/>
      <c r="O38" s="49"/>
      <c r="P38" s="49"/>
      <c r="Q38" s="49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</row>
    <row r="39" spans="1:42" ht="15.75" customHeight="1" x14ac:dyDescent="0.3">
      <c r="A39" s="52"/>
      <c r="B39" s="147"/>
      <c r="C39" s="143"/>
      <c r="D39" s="143"/>
      <c r="E39" s="204" t="s">
        <v>127</v>
      </c>
      <c r="F39" s="149"/>
      <c r="G39" s="150"/>
      <c r="H39" s="149"/>
      <c r="I39" s="150"/>
      <c r="J39" s="149"/>
      <c r="K39" s="150"/>
      <c r="L39" s="153"/>
      <c r="M39" s="152"/>
      <c r="N39" s="53"/>
      <c r="O39" s="54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</row>
    <row r="40" spans="1:42" ht="15.75" customHeight="1" x14ac:dyDescent="0.3">
      <c r="A40" s="52"/>
      <c r="B40" s="147"/>
      <c r="C40" s="143"/>
      <c r="D40" s="143"/>
      <c r="E40" s="204" t="s">
        <v>207</v>
      </c>
      <c r="F40" s="151"/>
      <c r="G40" s="151"/>
      <c r="H40" s="151"/>
      <c r="I40" s="151"/>
      <c r="J40" s="151"/>
      <c r="K40" s="151"/>
      <c r="L40" s="151"/>
      <c r="M40" s="154"/>
      <c r="N40" s="56"/>
      <c r="O40" s="54"/>
      <c r="P40" s="56"/>
      <c r="Q40" s="5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 spans="1:42" ht="15.75" customHeight="1" x14ac:dyDescent="0.3">
      <c r="A41" s="57"/>
      <c r="B41" s="147"/>
      <c r="C41" s="143"/>
      <c r="D41" s="143"/>
      <c r="E41" s="151"/>
      <c r="F41" s="151"/>
      <c r="G41" s="151"/>
      <c r="H41" s="151"/>
      <c r="I41" s="151"/>
      <c r="J41" s="151"/>
      <c r="K41" s="151"/>
      <c r="L41" s="151"/>
      <c r="M41" s="154"/>
      <c r="N41" s="51"/>
      <c r="O41" s="51"/>
      <c r="P41" s="51"/>
      <c r="Q41" s="51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</row>
    <row r="42" spans="1:42" ht="15.75" customHeight="1" x14ac:dyDescent="0.3">
      <c r="A42" s="52"/>
      <c r="B42" s="147"/>
      <c r="C42" s="143"/>
      <c r="D42" s="143"/>
      <c r="E42" s="153" t="s">
        <v>128</v>
      </c>
      <c r="F42" s="151"/>
      <c r="G42" s="151"/>
      <c r="H42" s="151"/>
      <c r="I42" s="151"/>
      <c r="J42" s="151"/>
      <c r="K42" s="151"/>
      <c r="L42" s="151"/>
      <c r="M42" s="154"/>
      <c r="N42" s="51"/>
      <c r="O42" s="51"/>
      <c r="P42" s="51"/>
      <c r="Q42" s="51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</row>
    <row r="43" spans="1:42" ht="15.75" customHeight="1" x14ac:dyDescent="0.3">
      <c r="A43" s="52"/>
      <c r="B43" s="147"/>
      <c r="C43" s="143"/>
      <c r="D43" s="143"/>
      <c r="E43" s="155" t="s">
        <v>132</v>
      </c>
      <c r="F43" s="155"/>
      <c r="G43" s="155"/>
      <c r="H43" s="155"/>
      <c r="I43" s="155"/>
      <c r="J43" s="155"/>
      <c r="K43" s="155"/>
      <c r="L43" s="155"/>
      <c r="M43" s="156"/>
      <c r="N43" s="43"/>
      <c r="O43" s="43"/>
      <c r="P43" s="43"/>
      <c r="Q43" s="43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58"/>
      <c r="AO43" s="55"/>
      <c r="AP43" s="55"/>
    </row>
    <row r="44" spans="1:42" ht="15.75" customHeight="1" x14ac:dyDescent="0.3">
      <c r="A44" s="51"/>
      <c r="B44" s="147"/>
      <c r="C44" s="157"/>
      <c r="D44" s="143"/>
      <c r="E44" s="144"/>
      <c r="F44" s="144"/>
      <c r="G44" s="144"/>
      <c r="H44" s="144"/>
      <c r="I44" s="144"/>
      <c r="J44" s="144"/>
      <c r="K44" s="144"/>
      <c r="L44" s="144"/>
      <c r="M44" s="158"/>
      <c r="N44" s="45"/>
      <c r="O44" s="45"/>
      <c r="P44" s="45"/>
      <c r="Q44" s="45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236"/>
      <c r="AE44" s="236"/>
      <c r="AF44" s="236"/>
      <c r="AG44" s="236"/>
      <c r="AH44" s="236"/>
      <c r="AI44" s="236"/>
      <c r="AJ44" s="236"/>
      <c r="AK44" s="236"/>
      <c r="AL44" s="236"/>
      <c r="AM44" s="236"/>
      <c r="AN44" s="44"/>
      <c r="AO44" s="44"/>
      <c r="AP44" s="44"/>
    </row>
    <row r="45" spans="1:42" ht="15.75" customHeight="1" thickBot="1" x14ac:dyDescent="0.35">
      <c r="A45" s="59"/>
      <c r="B45" s="159"/>
      <c r="C45" s="160"/>
      <c r="D45" s="161"/>
      <c r="E45" s="162"/>
      <c r="F45" s="162"/>
      <c r="G45" s="161"/>
      <c r="H45" s="162"/>
      <c r="I45" s="161"/>
      <c r="J45" s="162"/>
      <c r="K45" s="161"/>
      <c r="L45" s="161"/>
      <c r="M45" s="163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6"/>
      <c r="AE45" s="46"/>
      <c r="AF45" s="46"/>
      <c r="AG45" s="46"/>
      <c r="AH45" s="46"/>
      <c r="AI45" s="46"/>
      <c r="AJ45" s="46"/>
      <c r="AK45" s="55"/>
      <c r="AL45" s="46"/>
      <c r="AM45" s="55"/>
      <c r="AN45" s="44"/>
      <c r="AO45" s="44"/>
      <c r="AP45" s="44"/>
    </row>
    <row r="46" spans="1:42" ht="15.75" customHeight="1" x14ac:dyDescent="0.3">
      <c r="A46" s="59"/>
      <c r="B46" s="60"/>
      <c r="C46" s="52"/>
      <c r="D46" s="49"/>
      <c r="E46" s="45"/>
      <c r="F46" s="45"/>
      <c r="G46" s="49"/>
      <c r="H46" s="45"/>
      <c r="I46" s="49"/>
      <c r="J46" s="45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</row>
    <row r="47" spans="1:42" ht="15.75" customHeight="1" thickBot="1" x14ac:dyDescent="0.35">
      <c r="A47" s="50"/>
      <c r="B47" s="61"/>
      <c r="C47" s="61"/>
      <c r="D47" s="49"/>
      <c r="E47" s="45"/>
      <c r="F47" s="45"/>
      <c r="G47" s="49"/>
      <c r="H47" s="45"/>
      <c r="I47" s="49"/>
      <c r="J47" s="45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62"/>
      <c r="AK47" s="62"/>
      <c r="AL47" s="62"/>
      <c r="AM47" s="62"/>
      <c r="AN47" s="49"/>
      <c r="AO47" s="49"/>
      <c r="AP47" s="49"/>
    </row>
    <row r="48" spans="1:42" ht="15.75" customHeight="1" x14ac:dyDescent="0.3">
      <c r="A48" s="52"/>
      <c r="B48" s="205" t="s">
        <v>206</v>
      </c>
      <c r="C48" s="206"/>
      <c r="D48" s="170"/>
      <c r="E48" s="207"/>
      <c r="F48" s="207"/>
      <c r="G48" s="170"/>
      <c r="H48" s="207"/>
      <c r="I48" s="170"/>
      <c r="J48" s="207"/>
      <c r="K48" s="170"/>
      <c r="L48" s="170"/>
      <c r="M48" s="170"/>
      <c r="N48" s="170"/>
      <c r="O48" s="208"/>
      <c r="P48" s="49"/>
      <c r="Q48" s="49"/>
      <c r="R48" s="53"/>
      <c r="S48" s="54"/>
      <c r="T48" s="49"/>
      <c r="U48" s="54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62"/>
      <c r="AK48" s="62"/>
      <c r="AL48" s="62"/>
      <c r="AM48" s="62"/>
      <c r="AN48" s="49"/>
      <c r="AO48" s="49"/>
      <c r="AP48" s="49"/>
    </row>
    <row r="49" spans="1:44" ht="15.75" customHeight="1" x14ac:dyDescent="0.3">
      <c r="A49" s="52"/>
      <c r="B49" s="174"/>
      <c r="C49" s="164"/>
      <c r="D49" s="58"/>
      <c r="E49" s="47"/>
      <c r="F49" s="47"/>
      <c r="G49" s="58"/>
      <c r="H49" s="47"/>
      <c r="I49" s="58"/>
      <c r="J49" s="47"/>
      <c r="K49" s="58"/>
      <c r="L49" s="165"/>
      <c r="M49" s="165"/>
      <c r="N49" s="53"/>
      <c r="O49" s="209"/>
      <c r="P49" s="53"/>
      <c r="Q49" s="53"/>
      <c r="R49" s="56"/>
      <c r="S49" s="54"/>
      <c r="T49" s="56"/>
      <c r="U49" s="54"/>
      <c r="V49" s="49"/>
      <c r="W49" s="49"/>
      <c r="X49" s="49"/>
      <c r="Y49" s="49"/>
      <c r="Z49" s="49"/>
      <c r="AA49" s="51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62"/>
      <c r="AM49" s="62"/>
      <c r="AN49" s="49"/>
      <c r="AO49" s="49"/>
      <c r="AP49" s="49"/>
    </row>
    <row r="50" spans="1:44" ht="15.75" customHeight="1" x14ac:dyDescent="0.3">
      <c r="A50" s="52"/>
      <c r="B50" s="174"/>
      <c r="C50" s="58"/>
      <c r="D50" s="58"/>
      <c r="E50" s="47"/>
      <c r="F50" s="47"/>
      <c r="G50" s="166"/>
      <c r="H50" s="47"/>
      <c r="I50" s="58"/>
      <c r="J50" s="47"/>
      <c r="K50" s="58"/>
      <c r="L50" s="165"/>
      <c r="M50" s="165"/>
      <c r="N50" s="53"/>
      <c r="O50" s="209"/>
      <c r="P50" s="53"/>
      <c r="Q50" s="53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</row>
    <row r="51" spans="1:44" ht="15.75" customHeight="1" x14ac:dyDescent="0.3">
      <c r="A51" s="52"/>
      <c r="B51" s="176"/>
      <c r="C51" s="55"/>
      <c r="D51" s="55"/>
      <c r="E51" s="55"/>
      <c r="F51" s="55"/>
      <c r="H51" s="55"/>
      <c r="I51" s="55"/>
      <c r="J51" s="55"/>
      <c r="K51" s="55"/>
      <c r="L51" s="55"/>
      <c r="M51" s="55"/>
      <c r="N51" s="55"/>
      <c r="O51" s="173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51"/>
      <c r="AO51" s="51"/>
      <c r="AP51" s="51"/>
    </row>
    <row r="52" spans="1:44" ht="15.75" customHeight="1" x14ac:dyDescent="0.3">
      <c r="A52" s="52"/>
      <c r="B52" s="176"/>
      <c r="C52" s="55"/>
      <c r="D52" s="55"/>
      <c r="E52" s="55"/>
      <c r="F52" s="55"/>
      <c r="G52" s="51"/>
      <c r="H52" s="55"/>
      <c r="I52" s="55"/>
      <c r="J52" s="55"/>
      <c r="K52" s="55"/>
      <c r="L52" s="55"/>
      <c r="M52" s="55"/>
      <c r="N52" s="55"/>
      <c r="O52" s="17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</row>
    <row r="53" spans="1:44" ht="15.75" customHeight="1" x14ac:dyDescent="0.3">
      <c r="A53" s="52"/>
      <c r="B53" s="174" t="s">
        <v>129</v>
      </c>
      <c r="C53" s="55"/>
      <c r="D53" s="55"/>
      <c r="E53" s="55"/>
      <c r="F53" s="167"/>
      <c r="G53" s="55"/>
      <c r="H53" s="55"/>
      <c r="I53" s="55"/>
      <c r="J53" s="55"/>
      <c r="K53" s="55"/>
      <c r="L53" s="55"/>
      <c r="M53" s="55"/>
      <c r="N53" s="46"/>
      <c r="O53" s="210"/>
      <c r="P53" s="43"/>
      <c r="Q53" s="43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51"/>
      <c r="AE53" s="51"/>
      <c r="AF53" s="51"/>
      <c r="AG53" s="51"/>
      <c r="AH53" s="51"/>
      <c r="AI53" s="49"/>
      <c r="AJ53" s="49"/>
      <c r="AK53" s="49"/>
      <c r="AL53" s="49"/>
      <c r="AM53" s="49"/>
      <c r="AN53" s="49"/>
      <c r="AO53" s="49"/>
      <c r="AP53" s="49"/>
    </row>
    <row r="54" spans="1:44" ht="15.75" customHeight="1" x14ac:dyDescent="0.3">
      <c r="B54" s="174" t="s">
        <v>204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47"/>
      <c r="O54" s="211"/>
      <c r="P54" s="45"/>
      <c r="Q54" s="45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1"/>
      <c r="AE54" s="51"/>
      <c r="AF54" s="51"/>
      <c r="AG54" s="51"/>
      <c r="AH54" s="51"/>
      <c r="AI54" s="51"/>
      <c r="AJ54" s="51"/>
      <c r="AK54" s="51"/>
      <c r="AL54" s="51"/>
      <c r="AM54" s="49"/>
      <c r="AN54" s="49"/>
      <c r="AO54" s="49"/>
      <c r="AP54" s="49"/>
    </row>
    <row r="55" spans="1:44" ht="15.75" customHeight="1" x14ac:dyDescent="0.25">
      <c r="B55" s="212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8"/>
      <c r="O55" s="213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3"/>
      <c r="AE55" s="43"/>
      <c r="AF55" s="43"/>
      <c r="AG55" s="43"/>
      <c r="AH55" s="43"/>
      <c r="AI55" s="43"/>
      <c r="AJ55" s="43"/>
      <c r="AK55" s="51"/>
      <c r="AL55" s="43"/>
      <c r="AM55" s="51"/>
      <c r="AN55" s="49"/>
      <c r="AO55" s="49"/>
      <c r="AP55" s="49"/>
      <c r="AQ55" s="39"/>
      <c r="AR55" s="39"/>
    </row>
    <row r="56" spans="1:44" ht="15.75" customHeight="1" x14ac:dyDescent="0.3">
      <c r="A56" s="51"/>
      <c r="B56" s="175" t="s">
        <v>205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/>
      <c r="O56" s="213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9"/>
      <c r="AO56" s="49"/>
      <c r="AP56" s="49"/>
      <c r="AQ56" s="39"/>
      <c r="AR56" s="39"/>
    </row>
    <row r="57" spans="1:44" ht="15.75" customHeight="1" x14ac:dyDescent="0.25">
      <c r="A57" s="50"/>
      <c r="B57" s="212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8"/>
      <c r="O57" s="213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62"/>
      <c r="AK57" s="62"/>
      <c r="AL57" s="62"/>
      <c r="AM57" s="62"/>
      <c r="AN57" s="49"/>
      <c r="AO57" s="49"/>
      <c r="AP57" s="49"/>
      <c r="AQ57" s="39"/>
      <c r="AR57" s="39"/>
    </row>
    <row r="58" spans="1:44" ht="15.75" customHeight="1" x14ac:dyDescent="0.3">
      <c r="A58" s="52"/>
      <c r="B58" s="175" t="s">
        <v>203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8"/>
      <c r="O58" s="213"/>
      <c r="P58" s="49"/>
      <c r="Q58" s="49"/>
      <c r="R58" s="53"/>
      <c r="S58" s="54"/>
      <c r="T58" s="49"/>
      <c r="U58" s="54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62"/>
      <c r="AK58" s="62"/>
      <c r="AL58" s="62"/>
      <c r="AM58" s="62"/>
      <c r="AN58" s="49"/>
      <c r="AO58" s="49"/>
      <c r="AP58" s="49"/>
      <c r="AQ58" s="39"/>
      <c r="AR58" s="39"/>
    </row>
    <row r="59" spans="1:44" ht="15.75" customHeight="1" x14ac:dyDescent="0.3">
      <c r="A59" s="52"/>
      <c r="B59" s="175" t="s">
        <v>130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3"/>
      <c r="O59" s="209"/>
      <c r="P59" s="53"/>
      <c r="Q59" s="54"/>
      <c r="R59" s="53"/>
      <c r="S59" s="54"/>
      <c r="T59" s="49"/>
      <c r="U59" s="54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62"/>
      <c r="AN59" s="49"/>
      <c r="AO59" s="49"/>
      <c r="AP59" s="49"/>
      <c r="AQ59" s="39"/>
      <c r="AR59" s="39"/>
    </row>
    <row r="60" spans="1:44" ht="15.75" customHeight="1" thickBot="1" x14ac:dyDescent="0.35">
      <c r="A60" s="63"/>
      <c r="B60" s="214" t="s">
        <v>131</v>
      </c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215"/>
      <c r="O60" s="216"/>
      <c r="P60" s="56"/>
      <c r="Q60" s="54"/>
      <c r="AD60" s="49"/>
      <c r="AE60" s="49"/>
      <c r="AF60" s="49"/>
      <c r="AG60" s="49"/>
      <c r="AH60" s="49"/>
      <c r="AI60" s="49"/>
      <c r="AJ60" s="49"/>
      <c r="AK60" s="49"/>
      <c r="AL60" s="51"/>
      <c r="AM60" s="51"/>
      <c r="AN60" s="51"/>
      <c r="AO60" s="45"/>
      <c r="AP60" s="49"/>
      <c r="AQ60" s="39"/>
      <c r="AR60" s="39"/>
    </row>
    <row r="61" spans="1:44" ht="15.75" customHeight="1" x14ac:dyDescent="0.3">
      <c r="A61" s="52"/>
      <c r="N61" s="39"/>
      <c r="O61" s="39"/>
      <c r="P61" s="39"/>
      <c r="Q61" s="39"/>
      <c r="AD61" s="49"/>
      <c r="AE61" s="49"/>
      <c r="AF61" s="49"/>
      <c r="AG61" s="49"/>
      <c r="AH61" s="49"/>
      <c r="AI61" s="49"/>
      <c r="AJ61" s="49"/>
      <c r="AK61" s="49"/>
      <c r="AL61" s="49"/>
      <c r="AM61" s="45"/>
      <c r="AN61" s="49"/>
      <c r="AO61" s="49"/>
      <c r="AP61" s="49"/>
      <c r="AQ61" s="39"/>
      <c r="AR61" s="39"/>
    </row>
    <row r="62" spans="1:44" ht="15.75" customHeight="1" thickBot="1" x14ac:dyDescent="0.35">
      <c r="A62" s="52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51"/>
      <c r="AP62" s="51"/>
      <c r="AQ62" s="39"/>
      <c r="AR62" s="39"/>
    </row>
    <row r="63" spans="1:44" ht="15.75" customHeight="1" x14ac:dyDescent="0.3">
      <c r="A63" s="52"/>
      <c r="B63" s="61"/>
      <c r="C63" s="237" t="s">
        <v>5</v>
      </c>
      <c r="D63" s="238"/>
      <c r="E63" s="238"/>
      <c r="F63" s="238"/>
      <c r="G63" s="238"/>
      <c r="H63" s="238"/>
      <c r="I63" s="238"/>
      <c r="J63" s="238"/>
      <c r="K63" s="239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H63" s="37"/>
      <c r="AI63" s="39"/>
      <c r="AJ63" s="37"/>
      <c r="AK63" s="39"/>
      <c r="AL63" s="39"/>
      <c r="AO63" s="39"/>
      <c r="AP63" s="39"/>
      <c r="AQ63" s="39"/>
      <c r="AR63" s="39"/>
    </row>
    <row r="64" spans="1:44" ht="15.75" customHeight="1" thickBot="1" x14ac:dyDescent="0.3">
      <c r="B64" s="51"/>
      <c r="C64" s="240"/>
      <c r="D64" s="241"/>
      <c r="E64" s="241"/>
      <c r="F64" s="241"/>
      <c r="G64" s="241"/>
      <c r="H64" s="241"/>
      <c r="I64" s="241"/>
      <c r="J64" s="241"/>
      <c r="K64" s="242"/>
      <c r="O64" s="39"/>
      <c r="P64" s="3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L64" s="39"/>
      <c r="AM64" s="39"/>
      <c r="AN64" s="39"/>
    </row>
    <row r="65" spans="1:48" ht="15.75" customHeight="1" thickBot="1" x14ac:dyDescent="0.3">
      <c r="B65" s="51"/>
      <c r="C65" s="243" t="s">
        <v>34</v>
      </c>
      <c r="D65" s="244"/>
      <c r="E65" s="245"/>
      <c r="F65" s="243" t="s">
        <v>35</v>
      </c>
      <c r="G65" s="244"/>
      <c r="H65" s="245"/>
      <c r="I65" s="243" t="s">
        <v>36</v>
      </c>
      <c r="J65" s="244"/>
      <c r="K65" s="245"/>
      <c r="O65" s="39"/>
      <c r="P65" s="3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3"/>
      <c r="AE65" s="43"/>
      <c r="AF65" s="43"/>
      <c r="AG65" s="43"/>
      <c r="AH65" s="43"/>
      <c r="AI65" s="43"/>
      <c r="AJ65" s="43"/>
      <c r="AK65" s="51"/>
      <c r="AL65" s="43"/>
      <c r="AM65" s="51"/>
      <c r="AN65" s="51"/>
      <c r="AO65" s="49"/>
      <c r="AP65" s="49"/>
      <c r="AQ65" s="49"/>
      <c r="AR65" s="49"/>
    </row>
    <row r="66" spans="1:48" ht="15.75" customHeight="1" thickBot="1" x14ac:dyDescent="0.3">
      <c r="A66" s="64"/>
      <c r="B66" s="65" t="s">
        <v>110</v>
      </c>
      <c r="C66" s="104" t="s">
        <v>119</v>
      </c>
      <c r="D66" s="104" t="s">
        <v>120</v>
      </c>
      <c r="E66" s="104" t="s">
        <v>121</v>
      </c>
      <c r="F66" s="104" t="s">
        <v>119</v>
      </c>
      <c r="G66" s="105" t="s">
        <v>120</v>
      </c>
      <c r="H66" s="104" t="s">
        <v>121</v>
      </c>
      <c r="I66" s="107" t="s">
        <v>119</v>
      </c>
      <c r="J66" s="108" t="s">
        <v>120</v>
      </c>
      <c r="K66" s="104" t="s">
        <v>121</v>
      </c>
      <c r="L66" s="109"/>
      <c r="M66" s="39"/>
      <c r="N66" s="39"/>
      <c r="O66" s="39"/>
      <c r="P66" s="3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9"/>
      <c r="AO66" s="49"/>
      <c r="AP66" s="49"/>
      <c r="AQ66" s="51"/>
      <c r="AR66" s="51"/>
      <c r="AU66" s="39"/>
      <c r="AV66" s="39"/>
    </row>
    <row r="67" spans="1:48" ht="15.75" customHeight="1" thickBot="1" x14ac:dyDescent="0.35">
      <c r="A67" s="35"/>
      <c r="B67" s="67" t="s">
        <v>8</v>
      </c>
      <c r="C67" s="110" t="s">
        <v>10</v>
      </c>
      <c r="D67" s="111">
        <v>1</v>
      </c>
      <c r="E67" s="111">
        <v>2</v>
      </c>
      <c r="F67" s="112" t="s">
        <v>122</v>
      </c>
      <c r="G67" s="111">
        <v>2</v>
      </c>
      <c r="H67" s="111">
        <v>2</v>
      </c>
      <c r="I67" s="112" t="s">
        <v>123</v>
      </c>
      <c r="J67" s="111">
        <v>3</v>
      </c>
      <c r="K67" s="111">
        <v>2</v>
      </c>
      <c r="L67" s="109"/>
      <c r="M67" s="39"/>
      <c r="N67" s="3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62"/>
      <c r="AK67" s="62"/>
      <c r="AL67" s="62"/>
      <c r="AM67" s="62"/>
      <c r="AN67" s="49"/>
      <c r="AO67" s="49"/>
      <c r="AP67" s="49"/>
      <c r="AQ67" s="51"/>
      <c r="AR67" s="51"/>
      <c r="AS67" s="39"/>
      <c r="AT67" s="39"/>
      <c r="AU67" s="39"/>
      <c r="AV67" s="39"/>
    </row>
    <row r="68" spans="1:48" ht="15.75" customHeight="1" thickBot="1" x14ac:dyDescent="0.35">
      <c r="A68" s="36"/>
      <c r="B68" s="68" t="s">
        <v>67</v>
      </c>
      <c r="C68" s="113" t="str">
        <f>IF(B68=Формулы!L14, "собственный", "10ПМ")</f>
        <v>10ПМ</v>
      </c>
      <c r="D68" s="114">
        <v>1</v>
      </c>
      <c r="E68" s="114">
        <v>2</v>
      </c>
      <c r="F68" s="115" t="str">
        <f>IF(B68=Формулы!L14, "собственный", "8ПМ")</f>
        <v>8ПМ</v>
      </c>
      <c r="G68" s="114">
        <v>2</v>
      </c>
      <c r="H68" s="116">
        <v>2</v>
      </c>
      <c r="I68" s="115" t="str">
        <f>IF(B68=Формулы!L14, "собственный", "6ПМ")</f>
        <v>6ПМ</v>
      </c>
      <c r="J68" s="114">
        <v>3</v>
      </c>
      <c r="K68" s="114">
        <v>2</v>
      </c>
      <c r="L68" s="109"/>
      <c r="M68" s="39"/>
      <c r="N68" s="39"/>
      <c r="R68" s="53"/>
      <c r="S68" s="54"/>
      <c r="T68" s="49"/>
      <c r="U68" s="54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62"/>
      <c r="AK68" s="62"/>
      <c r="AL68" s="62"/>
      <c r="AM68" s="62"/>
      <c r="AN68" s="49"/>
      <c r="AO68" s="49"/>
      <c r="AP68" s="49"/>
      <c r="AQ68" s="51"/>
      <c r="AR68" s="51"/>
      <c r="AS68" s="39"/>
      <c r="AT68" s="39"/>
      <c r="AU68" s="39"/>
      <c r="AV68" s="39"/>
    </row>
    <row r="69" spans="1:48" ht="15.75" customHeight="1" thickBot="1" x14ac:dyDescent="0.35">
      <c r="A69" s="36"/>
      <c r="B69" s="69" t="s">
        <v>23</v>
      </c>
      <c r="C69" s="113" t="s">
        <v>10</v>
      </c>
      <c r="D69" s="114">
        <v>1</v>
      </c>
      <c r="E69" s="114">
        <v>2</v>
      </c>
      <c r="F69" s="115" t="s">
        <v>122</v>
      </c>
      <c r="G69" s="114">
        <v>2</v>
      </c>
      <c r="H69" s="116">
        <v>2</v>
      </c>
      <c r="I69" s="115" t="s">
        <v>123</v>
      </c>
      <c r="J69" s="114">
        <v>3</v>
      </c>
      <c r="K69" s="114">
        <v>2</v>
      </c>
      <c r="L69" s="33"/>
      <c r="R69" s="56"/>
      <c r="S69" s="54"/>
      <c r="T69" s="56"/>
      <c r="U69" s="54"/>
      <c r="V69" s="45"/>
      <c r="W69" s="49"/>
      <c r="X69" s="45"/>
      <c r="Y69" s="49"/>
      <c r="Z69" s="45"/>
      <c r="AA69" s="49"/>
      <c r="AB69" s="45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51"/>
      <c r="AR69" s="51"/>
      <c r="AS69" s="39"/>
      <c r="AT69" s="39"/>
      <c r="AU69" s="39"/>
      <c r="AV69" s="39"/>
    </row>
    <row r="70" spans="1:48" ht="15.75" customHeight="1" thickBot="1" x14ac:dyDescent="0.35">
      <c r="A70" s="35"/>
      <c r="B70" s="69" t="s">
        <v>26</v>
      </c>
      <c r="C70" s="113" t="s">
        <v>9</v>
      </c>
      <c r="D70" s="114">
        <v>1</v>
      </c>
      <c r="E70" s="114">
        <v>2</v>
      </c>
      <c r="F70" s="115" t="s">
        <v>10</v>
      </c>
      <c r="G70" s="114">
        <v>2</v>
      </c>
      <c r="H70" s="116">
        <v>2</v>
      </c>
      <c r="I70" s="115" t="s">
        <v>122</v>
      </c>
      <c r="J70" s="114">
        <v>3</v>
      </c>
      <c r="K70" s="114">
        <v>2</v>
      </c>
      <c r="L70" s="117"/>
      <c r="M70" s="39"/>
      <c r="N70" s="37"/>
      <c r="R70" s="39"/>
      <c r="S70" s="39"/>
      <c r="T70" s="39"/>
      <c r="AA70" s="39"/>
      <c r="AB70" s="39"/>
      <c r="AC70" s="3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51"/>
      <c r="AR70" s="51"/>
      <c r="AS70" s="39"/>
      <c r="AT70" s="39"/>
      <c r="AU70" s="39"/>
      <c r="AV70" s="39"/>
    </row>
    <row r="71" spans="1:48" ht="15.75" customHeight="1" thickBot="1" x14ac:dyDescent="0.35">
      <c r="A71" s="35"/>
      <c r="B71" s="69" t="s">
        <v>95</v>
      </c>
      <c r="C71" s="113" t="str">
        <f>IF(B71=Формулы!L39, "", "собственный")</f>
        <v/>
      </c>
      <c r="D71" s="118" t="str">
        <f>IF(B71=Формулы!L39, "", "1")</f>
        <v/>
      </c>
      <c r="E71" s="118" t="str">
        <f>IF(B71=Формулы!L39,"",IF(B71=Формулы!L68,"2","30 сек"))</f>
        <v/>
      </c>
      <c r="F71" s="115" t="str">
        <f>IF(B71=Формулы!L39, "", "собственный")</f>
        <v/>
      </c>
      <c r="G71" s="114" t="str">
        <f>IF(B71=Формулы!L39, "", "2")</f>
        <v/>
      </c>
      <c r="H71" s="114" t="str">
        <f>IF(B71=Формулы!L39,"",IF(B71=Формулы!L68,"2","30 сек"))</f>
        <v/>
      </c>
      <c r="I71" s="115" t="str">
        <f>IF(B71=Формулы!L39, "", "собственный")</f>
        <v/>
      </c>
      <c r="J71" s="114" t="str">
        <f>IF(E71=Формулы!O39, "", "3")</f>
        <v/>
      </c>
      <c r="K71" s="114" t="str">
        <f>IF(B71=Формулы!L39,"",IF(B71=Формулы!L68,"2","30 сек"))</f>
        <v/>
      </c>
      <c r="L71" s="33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51"/>
      <c r="AR71" s="51"/>
      <c r="AS71" s="39"/>
      <c r="AT71" s="39"/>
      <c r="AU71" s="39"/>
      <c r="AV71" s="39"/>
    </row>
    <row r="72" spans="1:48" ht="15.75" customHeight="1" x14ac:dyDescent="0.3">
      <c r="A72" s="36"/>
      <c r="C72" s="33"/>
      <c r="D72" s="33"/>
      <c r="E72" s="33"/>
      <c r="F72" s="33"/>
      <c r="G72" s="33"/>
      <c r="H72" s="33"/>
      <c r="I72" s="33"/>
      <c r="J72" s="33"/>
      <c r="K72" s="33"/>
      <c r="L72" s="119"/>
      <c r="M72" s="51"/>
      <c r="N72" s="51"/>
      <c r="O72" s="49"/>
      <c r="P72" s="39"/>
      <c r="AD72" s="45"/>
      <c r="AE72" s="49"/>
      <c r="AF72" s="45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51"/>
      <c r="AR72" s="51"/>
      <c r="AS72" s="39"/>
      <c r="AT72" s="39"/>
      <c r="AU72" s="39"/>
      <c r="AV72" s="39"/>
    </row>
    <row r="73" spans="1:48" ht="15.75" customHeight="1" thickBot="1" x14ac:dyDescent="0.3">
      <c r="C73" s="33"/>
      <c r="D73" s="33"/>
      <c r="E73" s="33"/>
      <c r="F73" s="33"/>
      <c r="G73" s="33"/>
      <c r="H73" s="33"/>
      <c r="I73" s="33"/>
      <c r="J73" s="33"/>
      <c r="K73" s="33"/>
      <c r="L73" s="119"/>
      <c r="M73" s="51"/>
      <c r="N73" s="51"/>
      <c r="O73" s="49"/>
      <c r="P73" s="39"/>
      <c r="AD73" s="39"/>
      <c r="AE73" s="39"/>
      <c r="AF73" s="39"/>
      <c r="AG73" s="39"/>
      <c r="AH73" s="39"/>
      <c r="AI73" s="39"/>
      <c r="AJ73" s="39"/>
      <c r="AK73" s="39"/>
      <c r="AS73" s="39"/>
      <c r="AT73" s="39"/>
      <c r="AU73" s="39"/>
      <c r="AV73" s="39"/>
    </row>
    <row r="74" spans="1:48" ht="15.75" customHeight="1" thickBot="1" x14ac:dyDescent="0.35">
      <c r="A74" s="61"/>
      <c r="B74" s="65" t="s">
        <v>111</v>
      </c>
      <c r="C74" s="104" t="s">
        <v>119</v>
      </c>
      <c r="D74" s="104" t="s">
        <v>120</v>
      </c>
      <c r="E74" s="104" t="s">
        <v>121</v>
      </c>
      <c r="F74" s="104" t="s">
        <v>119</v>
      </c>
      <c r="G74" s="105" t="s">
        <v>120</v>
      </c>
      <c r="H74" s="104" t="s">
        <v>121</v>
      </c>
      <c r="I74" s="107" t="s">
        <v>119</v>
      </c>
      <c r="J74" s="108" t="s">
        <v>120</v>
      </c>
      <c r="K74" s="104" t="s">
        <v>121</v>
      </c>
      <c r="L74" s="120"/>
      <c r="M74" s="49"/>
      <c r="N74" s="51"/>
      <c r="O74" s="49"/>
      <c r="P74" s="39"/>
      <c r="R74" s="39"/>
      <c r="AS74" s="39"/>
      <c r="AT74" s="39"/>
      <c r="AU74" s="39"/>
      <c r="AV74" s="39"/>
    </row>
    <row r="75" spans="1:48" ht="15.75" customHeight="1" thickBot="1" x14ac:dyDescent="0.4">
      <c r="A75" s="48"/>
      <c r="B75" s="67" t="s">
        <v>16</v>
      </c>
      <c r="C75" s="110" t="s">
        <v>10</v>
      </c>
      <c r="D75" s="111">
        <v>1</v>
      </c>
      <c r="E75" s="111">
        <v>2</v>
      </c>
      <c r="F75" s="112" t="s">
        <v>122</v>
      </c>
      <c r="G75" s="111">
        <v>2</v>
      </c>
      <c r="H75" s="111">
        <v>2</v>
      </c>
      <c r="I75" s="112" t="s">
        <v>123</v>
      </c>
      <c r="J75" s="111">
        <v>3</v>
      </c>
      <c r="K75" s="111">
        <v>2</v>
      </c>
      <c r="L75" s="120"/>
      <c r="M75" s="49"/>
      <c r="N75" s="51"/>
      <c r="O75" s="51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S75" s="39"/>
      <c r="AT75" s="39"/>
      <c r="AU75" s="39"/>
      <c r="AV75" s="39"/>
    </row>
    <row r="76" spans="1:48" ht="15.75" customHeight="1" thickBot="1" x14ac:dyDescent="0.4">
      <c r="A76" s="48"/>
      <c r="B76" s="70" t="s">
        <v>8</v>
      </c>
      <c r="C76" s="113" t="s">
        <v>10</v>
      </c>
      <c r="D76" s="114">
        <v>1</v>
      </c>
      <c r="E76" s="114">
        <v>2</v>
      </c>
      <c r="F76" s="115" t="s">
        <v>122</v>
      </c>
      <c r="G76" s="114">
        <v>2</v>
      </c>
      <c r="H76" s="114">
        <v>2</v>
      </c>
      <c r="I76" s="115" t="s">
        <v>123</v>
      </c>
      <c r="J76" s="114">
        <v>3</v>
      </c>
      <c r="K76" s="114">
        <v>2</v>
      </c>
      <c r="L76" s="121"/>
      <c r="M76" s="71"/>
      <c r="N76" s="71"/>
      <c r="O76" s="71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S76" s="39"/>
      <c r="AT76" s="39"/>
    </row>
    <row r="77" spans="1:48" ht="15.75" customHeight="1" thickBot="1" x14ac:dyDescent="0.4">
      <c r="A77" s="48"/>
      <c r="B77" s="72" t="s">
        <v>20</v>
      </c>
      <c r="C77" s="113" t="s">
        <v>10</v>
      </c>
      <c r="D77" s="114">
        <v>1</v>
      </c>
      <c r="E77" s="114">
        <v>2</v>
      </c>
      <c r="F77" s="115" t="s">
        <v>122</v>
      </c>
      <c r="G77" s="114">
        <v>2</v>
      </c>
      <c r="H77" s="114">
        <v>2</v>
      </c>
      <c r="I77" s="115" t="s">
        <v>123</v>
      </c>
      <c r="J77" s="114">
        <v>3</v>
      </c>
      <c r="K77" s="114">
        <v>2</v>
      </c>
      <c r="L77" s="122"/>
      <c r="M77" s="61"/>
      <c r="N77" s="61"/>
      <c r="O77" s="61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L77" s="39"/>
      <c r="AM77" s="39"/>
      <c r="AN77" s="39"/>
      <c r="AO77" s="39"/>
      <c r="AP77" s="39"/>
    </row>
    <row r="78" spans="1:48" ht="15.75" customHeight="1" thickBot="1" x14ac:dyDescent="0.35">
      <c r="A78" s="51"/>
      <c r="B78" s="73" t="s">
        <v>57</v>
      </c>
      <c r="C78" s="113" t="str">
        <f>IF(B78=Формулы!L37, "собственный", "12ПМ")</f>
        <v>12ПМ</v>
      </c>
      <c r="D78" s="114">
        <v>1</v>
      </c>
      <c r="E78" s="114">
        <v>2</v>
      </c>
      <c r="F78" s="115" t="str">
        <f>IF(B78=Формулы!L37, "собственный", "10ПМ")</f>
        <v>10ПМ</v>
      </c>
      <c r="G78" s="114">
        <v>2</v>
      </c>
      <c r="H78" s="114">
        <v>2</v>
      </c>
      <c r="I78" s="115" t="str">
        <f>IF(B78=Формулы!L37, "собственный", "8ПМ")</f>
        <v>8ПМ</v>
      </c>
      <c r="J78" s="114">
        <v>3</v>
      </c>
      <c r="K78" s="114">
        <v>2</v>
      </c>
      <c r="L78" s="122"/>
      <c r="M78" s="61"/>
      <c r="N78" s="61"/>
      <c r="O78" s="61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spans="1:48" ht="15.75" customHeight="1" thickBot="1" x14ac:dyDescent="0.35">
      <c r="A79" s="71"/>
      <c r="B79" s="73" t="s">
        <v>95</v>
      </c>
      <c r="C79" s="113" t="str">
        <f>IF(B79=Формулы!L39, "", "12ПМ")</f>
        <v/>
      </c>
      <c r="D79" s="114">
        <v>1</v>
      </c>
      <c r="E79" s="114">
        <v>2</v>
      </c>
      <c r="F79" s="115" t="str">
        <f>IF(B79=Формулы!L39, "", "10ПМ")</f>
        <v/>
      </c>
      <c r="G79" s="114" t="str">
        <f>IF(B79=Формулы!L39, "", "2")</f>
        <v/>
      </c>
      <c r="H79" s="114" t="str">
        <f>IF(B79=Формулы!L39, "", "2")</f>
        <v/>
      </c>
      <c r="I79" s="115" t="str">
        <f>IF(B79=Формулы!L39, "", "8ПМ")</f>
        <v/>
      </c>
      <c r="J79" s="114" t="str">
        <f>IF(B79=Формулы!L39, "", "3")</f>
        <v/>
      </c>
      <c r="K79" s="118" t="str">
        <f>IF(B79=Формулы!L39, "", "2")</f>
        <v/>
      </c>
      <c r="L79" s="122"/>
      <c r="M79" s="61"/>
      <c r="N79" s="61"/>
      <c r="O79" s="61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spans="1:48" ht="15.75" customHeight="1" x14ac:dyDescent="0.3">
      <c r="A80" s="71"/>
      <c r="C80" s="109"/>
      <c r="D80" s="109"/>
      <c r="E80" s="109"/>
      <c r="F80" s="109"/>
      <c r="G80" s="109"/>
      <c r="H80" s="109"/>
      <c r="I80" s="109"/>
      <c r="J80" s="109"/>
      <c r="K80" s="109"/>
      <c r="L80" s="123"/>
      <c r="M80" s="74"/>
      <c r="N80" s="74"/>
      <c r="O80" s="74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spans="1:40" ht="15.75" customHeight="1" thickBot="1" x14ac:dyDescent="0.35">
      <c r="A81" s="71"/>
      <c r="C81" s="33"/>
      <c r="D81" s="33"/>
      <c r="E81" s="33"/>
      <c r="F81" s="33"/>
      <c r="G81" s="33"/>
      <c r="H81" s="33"/>
      <c r="I81" s="33"/>
      <c r="J81" s="33"/>
      <c r="K81" s="33"/>
      <c r="L81" s="33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</row>
    <row r="82" spans="1:40" ht="15.75" customHeight="1" thickBot="1" x14ac:dyDescent="0.35">
      <c r="A82" s="71"/>
      <c r="B82" s="66" t="s">
        <v>112</v>
      </c>
      <c r="C82" s="104" t="s">
        <v>119</v>
      </c>
      <c r="D82" s="104" t="s">
        <v>120</v>
      </c>
      <c r="E82" s="104" t="s">
        <v>121</v>
      </c>
      <c r="F82" s="105" t="s">
        <v>119</v>
      </c>
      <c r="G82" s="108" t="s">
        <v>120</v>
      </c>
      <c r="H82" s="104" t="s">
        <v>121</v>
      </c>
      <c r="I82" s="106" t="s">
        <v>119</v>
      </c>
      <c r="J82" s="107" t="s">
        <v>120</v>
      </c>
      <c r="K82" s="104" t="s">
        <v>121</v>
      </c>
      <c r="L82" s="124"/>
      <c r="M82" s="45"/>
      <c r="N82" s="45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</row>
    <row r="83" spans="1:40" ht="15.75" customHeight="1" thickBot="1" x14ac:dyDescent="0.35">
      <c r="A83" s="51"/>
      <c r="B83" s="75" t="s">
        <v>31</v>
      </c>
      <c r="C83" s="110" t="s">
        <v>10</v>
      </c>
      <c r="D83" s="111">
        <v>1</v>
      </c>
      <c r="E83" s="111">
        <v>2</v>
      </c>
      <c r="F83" s="112" t="s">
        <v>122</v>
      </c>
      <c r="G83" s="111">
        <v>2</v>
      </c>
      <c r="H83" s="111">
        <v>2</v>
      </c>
      <c r="I83" s="112" t="s">
        <v>123</v>
      </c>
      <c r="J83" s="111">
        <v>3</v>
      </c>
      <c r="K83" s="111">
        <v>2</v>
      </c>
      <c r="L83" s="33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</row>
    <row r="84" spans="1:40" ht="15.75" customHeight="1" thickBot="1" x14ac:dyDescent="0.4">
      <c r="A84" s="48"/>
      <c r="B84" s="70" t="s">
        <v>32</v>
      </c>
      <c r="C84" s="113" t="s">
        <v>10</v>
      </c>
      <c r="D84" s="114">
        <v>1</v>
      </c>
      <c r="E84" s="114">
        <v>2</v>
      </c>
      <c r="F84" s="115" t="s">
        <v>122</v>
      </c>
      <c r="G84" s="114">
        <v>2</v>
      </c>
      <c r="H84" s="114">
        <v>2</v>
      </c>
      <c r="I84" s="115" t="s">
        <v>123</v>
      </c>
      <c r="J84" s="114">
        <v>3</v>
      </c>
      <c r="K84" s="114">
        <v>2</v>
      </c>
      <c r="L84" s="33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</row>
    <row r="85" spans="1:40" ht="15.75" customHeight="1" thickBot="1" x14ac:dyDescent="0.35">
      <c r="B85" s="72" t="s">
        <v>23</v>
      </c>
      <c r="C85" s="113" t="s">
        <v>10</v>
      </c>
      <c r="D85" s="114">
        <v>1</v>
      </c>
      <c r="E85" s="114">
        <v>2</v>
      </c>
      <c r="F85" s="115" t="s">
        <v>122</v>
      </c>
      <c r="G85" s="114">
        <v>2</v>
      </c>
      <c r="H85" s="114">
        <v>2</v>
      </c>
      <c r="I85" s="115" t="s">
        <v>123</v>
      </c>
      <c r="J85" s="114">
        <v>3</v>
      </c>
      <c r="K85" s="114">
        <v>2</v>
      </c>
      <c r="L85" s="33"/>
      <c r="Q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</row>
    <row r="86" spans="1:40" ht="15.75" customHeight="1" thickBot="1" x14ac:dyDescent="0.35">
      <c r="B86" s="73" t="s">
        <v>66</v>
      </c>
      <c r="C86" s="113" t="str">
        <f>IF(B86=Формулы!L14, "собственный", "12ПМ")</f>
        <v>собственный</v>
      </c>
      <c r="D86" s="114">
        <v>1</v>
      </c>
      <c r="E86" s="114">
        <v>2</v>
      </c>
      <c r="F86" s="115" t="str">
        <f>IF(B86=Формулы!L14, "собственный", "10ПМ")</f>
        <v>собственный</v>
      </c>
      <c r="G86" s="114">
        <v>2</v>
      </c>
      <c r="H86" s="114">
        <v>2</v>
      </c>
      <c r="I86" s="115" t="str">
        <f>IF(B86=Формулы!L14, "собственный", "8ПМ")</f>
        <v>собственный</v>
      </c>
      <c r="J86" s="114">
        <v>3</v>
      </c>
      <c r="K86" s="114">
        <v>2</v>
      </c>
      <c r="L86" s="33"/>
      <c r="N86" s="39"/>
      <c r="O86" s="39"/>
      <c r="P86" s="39"/>
      <c r="Q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</row>
    <row r="87" spans="1:40" ht="15.75" customHeight="1" thickBot="1" x14ac:dyDescent="0.35">
      <c r="B87" s="73" t="s">
        <v>95</v>
      </c>
      <c r="C87" s="113" t="str">
        <f>IF(B87=Формулы!L39, "", "12ПМ")</f>
        <v/>
      </c>
      <c r="D87" s="118" t="str">
        <f>IF(B87=Формулы!L39, "", "1")</f>
        <v/>
      </c>
      <c r="E87" s="114" t="str">
        <f>IF(B87=Формулы!L39, "", "2")</f>
        <v/>
      </c>
      <c r="F87" s="115" t="str">
        <f>IF(B87=Формулы!L39, "", "10ПМ")</f>
        <v/>
      </c>
      <c r="G87" s="114" t="str">
        <f>IF(B87=Формулы!L39, "", "2")</f>
        <v/>
      </c>
      <c r="H87" s="118" t="str">
        <f>IF(B87=Формулы!L39, "", "2")</f>
        <v/>
      </c>
      <c r="I87" s="115" t="str">
        <f>IF(B87=Формулы!L39, "", "8ПМ")</f>
        <v/>
      </c>
      <c r="J87" s="114" t="str">
        <f>IF(B87=Формулы!L39, "", "3")</f>
        <v/>
      </c>
      <c r="K87" s="114" t="str">
        <f>IF(B87=Формулы!L39, "", "2")</f>
        <v/>
      </c>
      <c r="L87" s="33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</row>
    <row r="88" spans="1:40" ht="15.75" customHeight="1" x14ac:dyDescent="0.25">
      <c r="C88" s="33"/>
      <c r="D88" s="33"/>
      <c r="E88" s="33"/>
      <c r="F88" s="33"/>
      <c r="G88" s="33"/>
      <c r="H88" s="33"/>
      <c r="I88" s="33"/>
      <c r="J88" s="33"/>
      <c r="K88" s="33"/>
      <c r="L88" s="33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</row>
    <row r="89" spans="1:40" ht="15.75" customHeight="1" x14ac:dyDescent="0.25">
      <c r="N89" s="39"/>
      <c r="O89" s="39"/>
      <c r="P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</row>
    <row r="90" spans="1:40" ht="15.75" customHeight="1" x14ac:dyDescent="0.25"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</row>
    <row r="91" spans="1:40" ht="15.75" customHeight="1" thickBot="1" x14ac:dyDescent="0.3"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</row>
    <row r="92" spans="1:40" ht="15.75" customHeight="1" x14ac:dyDescent="0.25">
      <c r="B92" s="221" t="s">
        <v>152</v>
      </c>
      <c r="C92" s="223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</row>
    <row r="93" spans="1:40" ht="15.75" customHeight="1" thickBot="1" x14ac:dyDescent="0.3">
      <c r="B93" s="224"/>
      <c r="C93" s="226"/>
    </row>
    <row r="94" spans="1:40" ht="15.75" customHeight="1" thickBot="1" x14ac:dyDescent="0.3">
      <c r="N94" s="39"/>
      <c r="O94" s="39"/>
      <c r="P94" s="39"/>
    </row>
    <row r="95" spans="1:40" ht="15.75" customHeight="1" x14ac:dyDescent="0.3">
      <c r="B95" s="168" t="s">
        <v>161</v>
      </c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70"/>
      <c r="O95" s="170"/>
      <c r="P95" s="170"/>
      <c r="Q95" s="169"/>
      <c r="R95" s="169"/>
      <c r="S95" s="171"/>
    </row>
    <row r="96" spans="1:40" ht="15.75" customHeight="1" x14ac:dyDescent="0.3">
      <c r="B96" s="172" t="s">
        <v>135</v>
      </c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8"/>
      <c r="O96" s="47"/>
      <c r="P96" s="58"/>
      <c r="Q96" s="55"/>
      <c r="R96" s="55"/>
      <c r="S96" s="173"/>
    </row>
    <row r="97" spans="1:19" ht="15.75" customHeight="1" x14ac:dyDescent="0.3">
      <c r="B97" s="174" t="s">
        <v>133</v>
      </c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8"/>
      <c r="O97" s="58"/>
      <c r="P97" s="55"/>
      <c r="Q97" s="55"/>
      <c r="R97" s="55"/>
      <c r="S97" s="173"/>
    </row>
    <row r="98" spans="1:19" ht="15.75" customHeight="1" x14ac:dyDescent="0.3">
      <c r="B98" s="175" t="s">
        <v>134</v>
      </c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173"/>
    </row>
    <row r="99" spans="1:19" ht="15.75" customHeight="1" x14ac:dyDescent="0.35">
      <c r="A99" s="41"/>
      <c r="B99" s="17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173"/>
    </row>
    <row r="100" spans="1:19" ht="22.5" customHeight="1" x14ac:dyDescent="0.3">
      <c r="B100" s="176"/>
      <c r="C100" s="55"/>
      <c r="D100" s="55"/>
      <c r="E100" s="55"/>
      <c r="F100" s="177" t="s">
        <v>140</v>
      </c>
      <c r="G100" s="55"/>
      <c r="H100" s="55"/>
      <c r="I100" s="55"/>
      <c r="J100" s="55"/>
      <c r="K100" s="55"/>
      <c r="L100" s="58"/>
      <c r="M100" s="58"/>
      <c r="N100" s="58"/>
      <c r="O100" s="58"/>
      <c r="P100" s="58"/>
      <c r="Q100" s="55"/>
      <c r="R100" s="55"/>
      <c r="S100" s="173"/>
    </row>
    <row r="101" spans="1:19" ht="15.75" customHeight="1" x14ac:dyDescent="0.3">
      <c r="B101" s="176"/>
      <c r="C101" s="55"/>
      <c r="D101" s="55"/>
      <c r="E101" s="55"/>
      <c r="F101" s="166" t="s">
        <v>137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173"/>
    </row>
    <row r="102" spans="1:19" ht="15.75" customHeight="1" x14ac:dyDescent="0.3">
      <c r="B102" s="176"/>
      <c r="C102" s="55"/>
      <c r="D102" s="55"/>
      <c r="E102" s="55"/>
      <c r="F102" s="177" t="s">
        <v>138</v>
      </c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173"/>
    </row>
    <row r="103" spans="1:19" ht="15.75" customHeight="1" x14ac:dyDescent="0.3">
      <c r="B103" s="176"/>
      <c r="C103" s="55"/>
      <c r="D103" s="55"/>
      <c r="E103" s="55"/>
      <c r="F103" s="177" t="s">
        <v>139</v>
      </c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173"/>
    </row>
    <row r="104" spans="1:19" ht="15.75" customHeight="1" x14ac:dyDescent="0.3">
      <c r="B104" s="176"/>
      <c r="C104" s="55"/>
      <c r="D104" s="55"/>
      <c r="E104" s="55"/>
      <c r="F104" s="178" t="s">
        <v>145</v>
      </c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173"/>
    </row>
    <row r="105" spans="1:19" ht="15.75" customHeight="1" x14ac:dyDescent="0.25">
      <c r="B105" s="17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173"/>
    </row>
    <row r="106" spans="1:19" ht="15.75" customHeight="1" x14ac:dyDescent="0.25">
      <c r="B106" s="17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173"/>
    </row>
    <row r="107" spans="1:19" ht="15.75" customHeight="1" thickBot="1" x14ac:dyDescent="0.3">
      <c r="B107" s="179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1"/>
    </row>
    <row r="108" spans="1:19" ht="15.75" customHeight="1" x14ac:dyDescent="0.25"/>
    <row r="109" spans="1:19" ht="15.75" customHeight="1" x14ac:dyDescent="0.25"/>
    <row r="110" spans="1:19" ht="15.75" customHeight="1" x14ac:dyDescent="0.25"/>
    <row r="111" spans="1:19" ht="15.75" customHeight="1" thickBot="1" x14ac:dyDescent="0.3">
      <c r="G111" s="76"/>
    </row>
    <row r="112" spans="1:19" ht="15.75" customHeight="1" x14ac:dyDescent="0.25">
      <c r="C112" s="254" t="s">
        <v>6</v>
      </c>
      <c r="D112" s="255"/>
      <c r="E112" s="256"/>
      <c r="G112" s="77"/>
    </row>
    <row r="113" spans="1:7" ht="15.75" customHeight="1" x14ac:dyDescent="0.35">
      <c r="C113" s="257"/>
      <c r="D113" s="258"/>
      <c r="E113" s="259"/>
      <c r="G113" s="78"/>
    </row>
    <row r="114" spans="1:7" ht="15.75" customHeight="1" thickBot="1" x14ac:dyDescent="0.3">
      <c r="B114" s="64"/>
      <c r="C114" s="257"/>
      <c r="D114" s="258"/>
      <c r="E114" s="259"/>
    </row>
    <row r="115" spans="1:7" ht="15.75" customHeight="1" thickBot="1" x14ac:dyDescent="0.3">
      <c r="B115" s="185" t="s">
        <v>110</v>
      </c>
      <c r="C115" s="188" t="s">
        <v>141</v>
      </c>
      <c r="D115" s="189" t="s">
        <v>117</v>
      </c>
      <c r="E115" s="190" t="s">
        <v>118</v>
      </c>
    </row>
    <row r="116" spans="1:7" ht="15.75" customHeight="1" thickBot="1" x14ac:dyDescent="0.35">
      <c r="B116" s="79" t="str">
        <f>B67</f>
        <v>Жим штанги лёжа</v>
      </c>
      <c r="C116" s="186">
        <v>117.5</v>
      </c>
      <c r="D116" s="187">
        <v>4</v>
      </c>
      <c r="E116" s="84">
        <v>5</v>
      </c>
      <c r="G116" s="80" t="s">
        <v>142</v>
      </c>
    </row>
    <row r="117" spans="1:7" ht="15.75" customHeight="1" thickBot="1" x14ac:dyDescent="0.35">
      <c r="B117" s="81" t="str">
        <f>B68</f>
        <v>Подтягивания (с отягощением)</v>
      </c>
      <c r="C117" s="82">
        <v>15</v>
      </c>
      <c r="D117" s="83">
        <v>4</v>
      </c>
      <c r="E117" s="84">
        <v>2.5</v>
      </c>
      <c r="G117" s="40" t="s">
        <v>144</v>
      </c>
    </row>
    <row r="118" spans="1:7" ht="15.75" customHeight="1" thickBot="1" x14ac:dyDescent="0.35">
      <c r="B118" s="81" t="str">
        <f>B69</f>
        <v>Приседания со штангой</v>
      </c>
      <c r="C118" s="85">
        <v>150</v>
      </c>
      <c r="D118" s="86">
        <v>4</v>
      </c>
      <c r="E118" s="86">
        <v>5</v>
      </c>
      <c r="G118" s="40" t="s">
        <v>155</v>
      </c>
    </row>
    <row r="119" spans="1:7" ht="15.75" customHeight="1" thickBot="1" x14ac:dyDescent="0.35">
      <c r="B119" s="81" t="str">
        <f>B70</f>
        <v>Махи с гантелями в стороны</v>
      </c>
      <c r="C119" s="85">
        <v>20</v>
      </c>
      <c r="D119" s="219" t="s">
        <v>201</v>
      </c>
      <c r="E119" s="84">
        <v>2</v>
      </c>
      <c r="G119" s="40" t="s">
        <v>156</v>
      </c>
    </row>
    <row r="120" spans="1:7" ht="15.75" customHeight="1" thickBot="1" x14ac:dyDescent="0.35">
      <c r="B120" s="81" t="str">
        <f>IF(B71="+", "", B71)</f>
        <v/>
      </c>
      <c r="C120" s="87"/>
      <c r="D120" s="88"/>
      <c r="E120" s="88"/>
    </row>
    <row r="121" spans="1:7" ht="15.75" customHeight="1" x14ac:dyDescent="0.3">
      <c r="B121" s="36"/>
      <c r="G121" s="89" t="s">
        <v>143</v>
      </c>
    </row>
    <row r="122" spans="1:7" ht="15.75" customHeight="1" thickBot="1" x14ac:dyDescent="0.35">
      <c r="B122" s="33"/>
      <c r="G122" s="90" t="s">
        <v>154</v>
      </c>
    </row>
    <row r="123" spans="1:7" ht="15.75" customHeight="1" thickBot="1" x14ac:dyDescent="0.35">
      <c r="B123" s="191" t="s">
        <v>111</v>
      </c>
      <c r="C123" s="188" t="s">
        <v>141</v>
      </c>
      <c r="D123" s="189" t="s">
        <v>117</v>
      </c>
      <c r="E123" s="190" t="s">
        <v>118</v>
      </c>
      <c r="G123" s="91" t="s">
        <v>159</v>
      </c>
    </row>
    <row r="124" spans="1:7" ht="15.75" customHeight="1" thickBot="1" x14ac:dyDescent="0.35">
      <c r="B124" s="125" t="str">
        <f>B75</f>
        <v>Становая тяга</v>
      </c>
      <c r="C124" s="182">
        <v>195</v>
      </c>
      <c r="D124" s="182">
        <v>5</v>
      </c>
      <c r="E124" s="182">
        <v>5</v>
      </c>
      <c r="G124" s="80" t="s">
        <v>157</v>
      </c>
    </row>
    <row r="125" spans="1:7" ht="15.75" customHeight="1" thickBot="1" x14ac:dyDescent="0.35">
      <c r="B125" s="126" t="str">
        <f>B76</f>
        <v>Жим штанги лёжа</v>
      </c>
      <c r="C125" s="92"/>
      <c r="D125" s="93"/>
      <c r="E125" s="93"/>
      <c r="G125" s="80" t="s">
        <v>158</v>
      </c>
    </row>
    <row r="126" spans="1:7" ht="15.75" customHeight="1" thickBot="1" x14ac:dyDescent="0.35">
      <c r="B126" s="126" t="str">
        <f>B77</f>
        <v>Подъём штанги на бицепс</v>
      </c>
      <c r="C126" s="94">
        <v>57.5</v>
      </c>
      <c r="D126" s="86">
        <v>4</v>
      </c>
      <c r="E126" s="86">
        <v>2.5</v>
      </c>
      <c r="G126" s="40" t="s">
        <v>160</v>
      </c>
    </row>
    <row r="127" spans="1:7" ht="15.75" customHeight="1" thickBot="1" x14ac:dyDescent="0.35">
      <c r="B127" s="126" t="str">
        <f>B78</f>
        <v>Жим лёжа узким хватом</v>
      </c>
      <c r="C127" s="95">
        <v>80</v>
      </c>
      <c r="D127" s="84">
        <v>6</v>
      </c>
      <c r="E127" s="84">
        <v>5</v>
      </c>
    </row>
    <row r="128" spans="1:7" ht="15.75" customHeight="1" thickBot="1" x14ac:dyDescent="0.35">
      <c r="A128" s="39"/>
      <c r="B128" s="126" t="str">
        <f>IF(B79="+", "", B79)</f>
        <v/>
      </c>
      <c r="C128" s="96"/>
      <c r="D128" s="88"/>
      <c r="E128" s="88"/>
      <c r="G128" s="89" t="s">
        <v>146</v>
      </c>
    </row>
    <row r="129" spans="1:7" ht="15.75" customHeight="1" x14ac:dyDescent="0.3">
      <c r="B129" s="33"/>
      <c r="C129" s="97"/>
      <c r="G129" s="40" t="s">
        <v>147</v>
      </c>
    </row>
    <row r="130" spans="1:7" ht="15.75" customHeight="1" thickBot="1" x14ac:dyDescent="0.35">
      <c r="B130" s="33"/>
      <c r="G130" s="40" t="s">
        <v>148</v>
      </c>
    </row>
    <row r="131" spans="1:7" ht="15.75" customHeight="1" thickBot="1" x14ac:dyDescent="0.35">
      <c r="B131" s="191" t="s">
        <v>112</v>
      </c>
      <c r="C131" s="188" t="s">
        <v>141</v>
      </c>
      <c r="D131" s="189" t="s">
        <v>117</v>
      </c>
      <c r="E131" s="190" t="s">
        <v>118</v>
      </c>
      <c r="G131" s="40" t="s">
        <v>153</v>
      </c>
    </row>
    <row r="132" spans="1:7" ht="15.75" customHeight="1" thickBot="1" x14ac:dyDescent="0.35">
      <c r="B132" s="125" t="str">
        <f>B83</f>
        <v>Армейский жим</v>
      </c>
      <c r="C132" s="183">
        <v>72.5</v>
      </c>
      <c r="D132" s="182">
        <v>4</v>
      </c>
      <c r="E132" s="184">
        <v>2.5</v>
      </c>
      <c r="G132" s="40" t="s">
        <v>150</v>
      </c>
    </row>
    <row r="133" spans="1:7" ht="15.75" customHeight="1" thickBot="1" x14ac:dyDescent="0.35">
      <c r="A133" s="36"/>
      <c r="B133" s="126" t="str">
        <f>B84</f>
        <v>Тяга штанги в наклоне</v>
      </c>
      <c r="C133" s="98">
        <v>150</v>
      </c>
      <c r="D133" s="86">
        <v>4</v>
      </c>
      <c r="E133" s="99">
        <v>5</v>
      </c>
      <c r="G133" s="40" t="s">
        <v>151</v>
      </c>
    </row>
    <row r="134" spans="1:7" ht="15.75" customHeight="1" thickBot="1" x14ac:dyDescent="0.35">
      <c r="B134" s="126" t="str">
        <f>B85</f>
        <v>Приседания со штангой</v>
      </c>
      <c r="C134" s="100"/>
      <c r="D134" s="84"/>
      <c r="E134" s="101"/>
    </row>
    <row r="135" spans="1:7" ht="15.75" customHeight="1" thickBot="1" x14ac:dyDescent="0.35">
      <c r="B135" s="126" t="str">
        <f>B86</f>
        <v>Подтягивания (собственный вес)</v>
      </c>
      <c r="C135" s="98">
        <v>120</v>
      </c>
      <c r="D135" s="86">
        <v>8</v>
      </c>
      <c r="E135" s="99">
        <v>2</v>
      </c>
    </row>
    <row r="136" spans="1:7" ht="15.75" customHeight="1" thickBot="1" x14ac:dyDescent="0.35">
      <c r="B136" s="126" t="str">
        <f>IF(B87="+", "", B87)</f>
        <v/>
      </c>
      <c r="C136" s="102"/>
      <c r="D136" s="88"/>
      <c r="E136" s="103"/>
    </row>
    <row r="137" spans="1:7" ht="15.75" customHeight="1" x14ac:dyDescent="0.25">
      <c r="B137" s="33"/>
    </row>
    <row r="138" spans="1:7" ht="15.75" customHeight="1" x14ac:dyDescent="0.25"/>
    <row r="139" spans="1:7" ht="15.75" customHeight="1" x14ac:dyDescent="0.25"/>
    <row r="140" spans="1:7" ht="15.75" customHeight="1" x14ac:dyDescent="0.25"/>
    <row r="141" spans="1:7" ht="15.75" customHeight="1" x14ac:dyDescent="0.3">
      <c r="B141" s="80" t="s">
        <v>162</v>
      </c>
    </row>
    <row r="142" spans="1:7" ht="15.75" customHeight="1" x14ac:dyDescent="0.3">
      <c r="B142" s="40" t="s">
        <v>163</v>
      </c>
    </row>
    <row r="143" spans="1:7" ht="15.75" customHeight="1" x14ac:dyDescent="0.3">
      <c r="B143" s="40" t="s">
        <v>164</v>
      </c>
      <c r="C143" s="97"/>
      <c r="D143" s="36"/>
      <c r="E143" s="36"/>
      <c r="F143" s="36"/>
      <c r="G143" s="97"/>
    </row>
    <row r="144" spans="1:7" ht="15.75" customHeight="1" x14ac:dyDescent="0.25"/>
    <row r="145" spans="2:15" ht="15.75" customHeight="1" x14ac:dyDescent="0.25"/>
    <row r="146" spans="2:15" ht="15.75" customHeight="1" x14ac:dyDescent="0.25"/>
    <row r="147" spans="2:15" ht="15.75" customHeight="1" x14ac:dyDescent="0.25"/>
    <row r="148" spans="2:15" ht="15.75" customHeight="1" x14ac:dyDescent="0.25"/>
    <row r="149" spans="2:15" ht="15.75" customHeight="1" thickBot="1" x14ac:dyDescent="0.3"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</row>
    <row r="150" spans="2:15" ht="15.75" customHeight="1" x14ac:dyDescent="0.25">
      <c r="B150" s="33"/>
      <c r="C150" s="246" t="s">
        <v>115</v>
      </c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8"/>
    </row>
    <row r="151" spans="2:15" ht="15.75" customHeight="1" thickBot="1" x14ac:dyDescent="0.3">
      <c r="B151" s="33"/>
      <c r="C151" s="249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1"/>
    </row>
    <row r="152" spans="2:15" ht="15.75" customHeight="1" thickBot="1" x14ac:dyDescent="0.3">
      <c r="B152" s="33"/>
      <c r="C152" s="234" t="s">
        <v>113</v>
      </c>
      <c r="D152" s="235"/>
      <c r="E152" s="234" t="s">
        <v>35</v>
      </c>
      <c r="F152" s="235"/>
      <c r="G152" s="234" t="s">
        <v>36</v>
      </c>
      <c r="H152" s="235"/>
      <c r="I152" s="234" t="s">
        <v>37</v>
      </c>
      <c r="J152" s="235"/>
      <c r="K152" s="234" t="s">
        <v>38</v>
      </c>
      <c r="L152" s="235"/>
      <c r="M152" s="234" t="s">
        <v>39</v>
      </c>
      <c r="N152" s="235"/>
      <c r="O152" s="230" t="s">
        <v>114</v>
      </c>
    </row>
    <row r="153" spans="2:15" ht="15.75" customHeight="1" thickBot="1" x14ac:dyDescent="0.3">
      <c r="B153" s="191" t="s">
        <v>110</v>
      </c>
      <c r="C153" s="192" t="s">
        <v>46</v>
      </c>
      <c r="D153" s="193" t="s">
        <v>7</v>
      </c>
      <c r="E153" s="193" t="s">
        <v>46</v>
      </c>
      <c r="F153" s="193" t="s">
        <v>7</v>
      </c>
      <c r="G153" s="193" t="s">
        <v>46</v>
      </c>
      <c r="H153" s="193" t="s">
        <v>7</v>
      </c>
      <c r="I153" s="193" t="s">
        <v>46</v>
      </c>
      <c r="J153" s="193" t="s">
        <v>7</v>
      </c>
      <c r="K153" s="193" t="s">
        <v>46</v>
      </c>
      <c r="L153" s="193" t="s">
        <v>7</v>
      </c>
      <c r="M153" s="193" t="s">
        <v>46</v>
      </c>
      <c r="N153" s="194" t="s">
        <v>7</v>
      </c>
      <c r="O153" s="231"/>
    </row>
    <row r="154" spans="2:15" ht="15.75" customHeight="1" x14ac:dyDescent="0.3">
      <c r="B154" s="127" t="str">
        <f>B116</f>
        <v>Жим штанги лёжа</v>
      </c>
      <c r="C154" s="128" t="str">
        <f>VLOOKUP(B67, Формулы!L9:AP11, 6,FALSE)</f>
        <v>90 кг</v>
      </c>
      <c r="D154" s="128" t="str">
        <f>VLOOKUP(B67, Формулы!L9:AP11, 7,FALSE)</f>
        <v>5х5</v>
      </c>
      <c r="E154" s="128" t="str">
        <f>VLOOKUP(B67, Формулы!L9:AP11, 8,FALSE)</f>
        <v>97,5 кг</v>
      </c>
      <c r="F154" s="128" t="str">
        <f>VLOOKUP(B67, Формулы!L9:AP11, 9,FALSE)</f>
        <v>4х5</v>
      </c>
      <c r="G154" s="128" t="str">
        <f>VLOOKUP(B67, Формулы!L9:AP11, 10,FALSE)</f>
        <v>102,5 кг</v>
      </c>
      <c r="H154" s="128" t="str">
        <f>VLOOKUP(B67, Формулы!L9:AP11, 11,FALSE)</f>
        <v>4х4</v>
      </c>
      <c r="I154" s="128" t="str">
        <f>VLOOKUP(B67, Формулы!L9:AP11, 12,FALSE)</f>
        <v>110 кг</v>
      </c>
      <c r="J154" s="128" t="str">
        <f>VLOOKUP(B67, Формулы!L9:AP11, 13,FALSE)</f>
        <v>3х4</v>
      </c>
      <c r="K154" s="128" t="str">
        <f>VLOOKUP(B67, Формулы!L9:AP11, 14,FALSE)</f>
        <v>115 кг</v>
      </c>
      <c r="L154" s="128" t="str">
        <f>VLOOKUP(B67, Формулы!L9:AP11, 15,FALSE)</f>
        <v>3х3</v>
      </c>
      <c r="M154" s="128" t="str">
        <f>VLOOKUP(B67, Формулы!L9:AP11, 16,FALSE)</f>
        <v>120 кг</v>
      </c>
      <c r="N154" s="129" t="str">
        <f>VLOOKUP(B67, Формулы!L9:AP11, 17,FALSE)</f>
        <v>2х3</v>
      </c>
      <c r="O154" s="232"/>
    </row>
    <row r="155" spans="2:15" ht="15.75" customHeight="1" x14ac:dyDescent="0.3">
      <c r="B155" s="127" t="str">
        <f>B117</f>
        <v>Подтягивания (с отягощением)</v>
      </c>
      <c r="C155" s="118" t="str">
        <f>VLOOKUP(B68, Формулы!L13:AP15, 6,FALSE)</f>
        <v>6 подходов</v>
      </c>
      <c r="D155" s="118" t="str">
        <f>VLOOKUP(B68, Формулы!L13:AP15, 7,FALSE)</f>
        <v>3 повт</v>
      </c>
      <c r="E155" s="118" t="str">
        <f>VLOOKUP(B68, Формулы!L13:AP15, 8,FALSE)</f>
        <v>5 подходов</v>
      </c>
      <c r="F155" s="118" t="str">
        <f>VLOOKUP(B68, Формулы!L13:AP15, 9,FALSE)</f>
        <v>4 повт</v>
      </c>
      <c r="G155" s="118" t="str">
        <f>VLOOKUP(B68, Формулы!L13:AP15, 10,FALSE)</f>
        <v>4 подхода</v>
      </c>
      <c r="H155" s="118" t="str">
        <f>VLOOKUP(B68, Формулы!L13:AP15, 11,FALSE)</f>
        <v>5 повт</v>
      </c>
      <c r="I155" s="118" t="str">
        <f>VLOOKUP(B68, Формулы!L13:AP15, 12,FALSE)</f>
        <v>7,5 кг</v>
      </c>
      <c r="J155" s="118" t="str">
        <f>VLOOKUP(B68, Формулы!L13:AP15, 13,FALSE)</f>
        <v>3x4</v>
      </c>
      <c r="K155" s="118" t="str">
        <f>VLOOKUP(B68, Формулы!L13:AP15, 14,FALSE)</f>
        <v>15 кг</v>
      </c>
      <c r="L155" s="118" t="str">
        <f>VLOOKUP(B68, Формулы!L13:AP15, 15,FALSE)</f>
        <v>3х3</v>
      </c>
      <c r="M155" s="118" t="str">
        <f>VLOOKUP(B68, Формулы!L13:AP15, 16,FALSE)</f>
        <v>17,5 кг</v>
      </c>
      <c r="N155" s="130" t="str">
        <f>VLOOKUP(B68, Формулы!L13:AP15, 17,FALSE)</f>
        <v>2x3</v>
      </c>
      <c r="O155" s="232"/>
    </row>
    <row r="156" spans="2:15" ht="15.75" customHeight="1" x14ac:dyDescent="0.3">
      <c r="B156" s="127" t="str">
        <f>B118</f>
        <v>Приседания со штангой</v>
      </c>
      <c r="C156" s="118" t="str">
        <f>VLOOKUP(B69, Формулы!L17:AP19, 6,FALSE)</f>
        <v>112,5 кг</v>
      </c>
      <c r="D156" s="118" t="str">
        <f>VLOOKUP(B69, Формулы!L17:AP19, 7,FALSE)</f>
        <v>3х5</v>
      </c>
      <c r="E156" s="118" t="str">
        <f>VLOOKUP(B69, Формулы!L17:AP19, 8,FALSE)</f>
        <v>120 кг</v>
      </c>
      <c r="F156" s="118" t="str">
        <f>VLOOKUP(B69, Формулы!L17:AP19, 9,FALSE)</f>
        <v>3х5</v>
      </c>
      <c r="G156" s="118" t="str">
        <f>VLOOKUP(B69, Формулы!L17:AP19, 10,FALSE)</f>
        <v>127,5 кг</v>
      </c>
      <c r="H156" s="118" t="str">
        <f>VLOOKUP(B69, Формулы!L17:AP19, 11,FALSE)</f>
        <v>2х5</v>
      </c>
      <c r="I156" s="118" t="str">
        <f>VLOOKUP(B69, Формулы!L17:AP19, 12,FALSE)</f>
        <v>135 кг</v>
      </c>
      <c r="J156" s="118" t="str">
        <f>VLOOKUP(B69, Формулы!L17:AP19, 13,FALSE)</f>
        <v>2х5</v>
      </c>
      <c r="K156" s="118" t="str">
        <f>VLOOKUP(B69, Формулы!L17:AP19, 14,FALSE)</f>
        <v>142,5 кг</v>
      </c>
      <c r="L156" s="118" t="str">
        <f>VLOOKUP(B69, Формулы!L17:AP19, 15,FALSE)</f>
        <v>1х5</v>
      </c>
      <c r="M156" s="118" t="str">
        <f>VLOOKUP(B69, Формулы!L17:AP19, 16,FALSE)</f>
        <v>150 кг</v>
      </c>
      <c r="N156" s="130" t="str">
        <f>VLOOKUP(B69, Формулы!L17:AP19, 17,FALSE)</f>
        <v>1х5</v>
      </c>
      <c r="O156" s="232"/>
    </row>
    <row r="157" spans="2:15" ht="15.75" customHeight="1" x14ac:dyDescent="0.3">
      <c r="B157" s="127" t="str">
        <f>B119</f>
        <v>Махи с гантелями в стороны</v>
      </c>
      <c r="C157" s="118" t="str">
        <f>VLOOKUP(B70, Формулы!L21:AP22, 6,FALSE)</f>
        <v>10 кг</v>
      </c>
      <c r="D157" s="118" t="str">
        <f>VLOOKUP(B70, Формулы!L21:AP22, 7,FALSE)</f>
        <v>5х12</v>
      </c>
      <c r="E157" s="118" t="str">
        <f>VLOOKUP(B70, Формулы!L21:AP22, 8,FALSE)</f>
        <v>12 кг</v>
      </c>
      <c r="F157" s="118" t="str">
        <f>VLOOKUP(B70, Формулы!L21:AP22, 9,FALSE)</f>
        <v>5х12</v>
      </c>
      <c r="G157" s="118" t="str">
        <f>VLOOKUP(B70, Формулы!L21:AP22, 10,FALSE)</f>
        <v>14 кг</v>
      </c>
      <c r="H157" s="118" t="str">
        <f>VLOOKUP(B70, Формулы!L21:AP22, 11,FALSE)</f>
        <v>4х10</v>
      </c>
      <c r="I157" s="118" t="str">
        <f>VLOOKUP(B70, Формулы!L21:AP22, 12,FALSE)</f>
        <v>18 кг</v>
      </c>
      <c r="J157" s="118" t="str">
        <f>VLOOKUP(B70, Формулы!L21:AP22, 13,FALSE)</f>
        <v>4х10</v>
      </c>
      <c r="K157" s="118" t="str">
        <f>VLOOKUP(B70, Формулы!L21:AP22, 14,FALSE)</f>
        <v>20 кг</v>
      </c>
      <c r="L157" s="118" t="str">
        <f>VLOOKUP(B70, Формулы!L21:AP22, 15,FALSE)</f>
        <v>3х8</v>
      </c>
      <c r="M157" s="118" t="str">
        <f>VLOOKUP(B70, Формулы!L21:AP22, 16,FALSE)</f>
        <v>22 кг</v>
      </c>
      <c r="N157" s="130" t="str">
        <f>VLOOKUP(B70, Формулы!L21:AP22, 17,FALSE)</f>
        <v>3х8</v>
      </c>
      <c r="O157" s="232"/>
    </row>
    <row r="158" spans="2:15" ht="15.75" customHeight="1" thickBot="1" x14ac:dyDescent="0.35">
      <c r="B158" s="127" t="str">
        <f>IF(B120="+", "", B120)</f>
        <v/>
      </c>
      <c r="C158" s="118" t="str">
        <f>IF(B71=Формулы!L67,"",VLOOKUP(B71,Формулы!L67:AP69,6,FALSE))</f>
        <v/>
      </c>
      <c r="D158" s="118" t="str">
        <f>IF(B71=Формулы!L67,"",VLOOKUP(B71,Формулы!L67:AP69,7,FALSE))</f>
        <v/>
      </c>
      <c r="E158" s="118" t="str">
        <f>IF(B71=Формулы!L67,"",VLOOKUP(B71,Формулы!L67:AP69,8,FALSE))</f>
        <v/>
      </c>
      <c r="F158" s="118" t="str">
        <f>IF(B71=Формулы!L67,"",VLOOKUP(B71,Формулы!L67:AP69,9,FALSE))</f>
        <v/>
      </c>
      <c r="G158" s="118" t="str">
        <f>IF(B71=Формулы!L67,"",VLOOKUP(B71,Формулы!L67:AP69,10,FALSE))</f>
        <v/>
      </c>
      <c r="H158" s="118" t="str">
        <f>IF(B71=Формулы!L67,"",VLOOKUP(B71,Формулы!L67:AP69,11,FALSE))</f>
        <v/>
      </c>
      <c r="I158" s="118" t="str">
        <f>IF(B71=Формулы!L67,"",VLOOKUP(B71,Формулы!L67:AP69,12,FALSE))</f>
        <v/>
      </c>
      <c r="J158" s="118" t="str">
        <f>IF(B71=Формулы!L67,"",VLOOKUP(B71,Формулы!L67:AP69,13,FALSE))</f>
        <v/>
      </c>
      <c r="K158" s="118" t="str">
        <f>IF(B71=Формулы!L67,"",VLOOKUP(B71,Формулы!L67:AP69,14,FALSE))</f>
        <v/>
      </c>
      <c r="L158" s="118" t="str">
        <f>IF(B71=Формулы!L67,"",VLOOKUP(B71,Формулы!L67:AP69,15,FALSE))</f>
        <v/>
      </c>
      <c r="M158" s="118" t="str">
        <f>IF(B71=Формулы!L67,"",VLOOKUP(B71,Формулы!L67:AP69,16,FALSE))</f>
        <v/>
      </c>
      <c r="N158" s="130" t="str">
        <f>IF(B71=Формулы!L67,"",VLOOKUP(B71,Формулы!L67:AP69,17,FALSE))</f>
        <v/>
      </c>
      <c r="O158" s="233"/>
    </row>
    <row r="159" spans="2:15" ht="15.75" customHeight="1" x14ac:dyDescent="0.3">
      <c r="B159" s="131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</row>
    <row r="160" spans="2:15" ht="15.75" customHeight="1" thickBot="1" x14ac:dyDescent="0.3">
      <c r="B160" s="33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217"/>
    </row>
    <row r="161" spans="2:15" ht="15.75" customHeight="1" thickBot="1" x14ac:dyDescent="0.3">
      <c r="B161" s="191" t="s">
        <v>111</v>
      </c>
      <c r="C161" s="195" t="s">
        <v>46</v>
      </c>
      <c r="D161" s="196" t="s">
        <v>7</v>
      </c>
      <c r="E161" s="196" t="s">
        <v>46</v>
      </c>
      <c r="F161" s="196" t="s">
        <v>7</v>
      </c>
      <c r="G161" s="196" t="s">
        <v>46</v>
      </c>
      <c r="H161" s="196" t="s">
        <v>7</v>
      </c>
      <c r="I161" s="196" t="s">
        <v>46</v>
      </c>
      <c r="J161" s="196" t="s">
        <v>7</v>
      </c>
      <c r="K161" s="196" t="s">
        <v>46</v>
      </c>
      <c r="L161" s="196" t="s">
        <v>7</v>
      </c>
      <c r="M161" s="196" t="s">
        <v>46</v>
      </c>
      <c r="N161" s="197" t="s">
        <v>7</v>
      </c>
      <c r="O161" s="227" t="s">
        <v>114</v>
      </c>
    </row>
    <row r="162" spans="2:15" ht="15.75" customHeight="1" x14ac:dyDescent="0.3">
      <c r="B162" s="127" t="str">
        <f>B124</f>
        <v>Становая тяга</v>
      </c>
      <c r="C162" s="128" t="str">
        <f>VLOOKUP(B75, Формулы!L24:AP26, 6,FALSE)</f>
        <v>150 кг</v>
      </c>
      <c r="D162" s="128" t="str">
        <f>VLOOKUP(B75, Формулы!L24:AP26, 7,FALSE)</f>
        <v>3х5</v>
      </c>
      <c r="E162" s="128" t="str">
        <f>VLOOKUP(B75, Формулы!L24:AP26, 8,FALSE)</f>
        <v>160 кг</v>
      </c>
      <c r="F162" s="128" t="str">
        <f>VLOOKUP(B75, Формулы!L24:AP26, 9,FALSE)</f>
        <v>3х5</v>
      </c>
      <c r="G162" s="128" t="str">
        <f>VLOOKUP(B75, Формулы!L24:AP26, 10,FALSE)</f>
        <v>170 кг</v>
      </c>
      <c r="H162" s="128" t="str">
        <f>VLOOKUP(B75, Формулы!L24:AP26, 11,FALSE)</f>
        <v>2х5</v>
      </c>
      <c r="I162" s="128" t="str">
        <f>VLOOKUP(B75, Формулы!L24:AP26, 12,FALSE)</f>
        <v>182,5 кг</v>
      </c>
      <c r="J162" s="128" t="str">
        <f>VLOOKUP(B75, Формулы!L24:AP26, 13,FALSE)</f>
        <v>2х5</v>
      </c>
      <c r="K162" s="128" t="str">
        <f>VLOOKUP(B75, Формулы!L24:AP26, 14,FALSE)</f>
        <v>190 кг</v>
      </c>
      <c r="L162" s="128" t="str">
        <f>VLOOKUP(B75, Формулы!L24:AP26, 15,FALSE)</f>
        <v>1х5</v>
      </c>
      <c r="M162" s="128" t="str">
        <f>VLOOKUP(B75, Формулы!L24:AP26, 16,FALSE)</f>
        <v>200 кг</v>
      </c>
      <c r="N162" s="129" t="str">
        <f>VLOOKUP(B75, Формулы!L24:AP26, 17,FALSE)</f>
        <v>1х5</v>
      </c>
      <c r="O162" s="228"/>
    </row>
    <row r="163" spans="2:15" ht="15.75" customHeight="1" x14ac:dyDescent="0.3">
      <c r="B163" s="127" t="str">
        <f>B125</f>
        <v>Жим штанги лёжа</v>
      </c>
      <c r="C163" s="118" t="str">
        <f>VLOOKUP(B76, Формулы!L28:AP30, 6,FALSE)</f>
        <v>90 кг</v>
      </c>
      <c r="D163" s="118" t="str">
        <f>VLOOKUP(B76, Формулы!L28:AP30, 7,FALSE)</f>
        <v>5х5</v>
      </c>
      <c r="E163" s="118" t="str">
        <f>VLOOKUP(B76, Формулы!L28:AP30, 8,FALSE)</f>
        <v>97,5 кг</v>
      </c>
      <c r="F163" s="118" t="str">
        <f>VLOOKUP(B76, Формулы!L28:AP30, 9,FALSE)</f>
        <v>4х5</v>
      </c>
      <c r="G163" s="118" t="str">
        <f>VLOOKUP(B76, Формулы!L28:AP30, 10,FALSE)</f>
        <v>102,5 кг</v>
      </c>
      <c r="H163" s="118" t="str">
        <f>VLOOKUP(B76, Формулы!L28:AP30, 11,FALSE)</f>
        <v>4х4</v>
      </c>
      <c r="I163" s="133" t="str">
        <f>VLOOKUP(B76, Формулы!L28:AP30, 12,FALSE)</f>
        <v>110 кг</v>
      </c>
      <c r="J163" s="118" t="str">
        <f>VLOOKUP(B76, Формулы!L28:AP30, 13,FALSE)</f>
        <v>3х4</v>
      </c>
      <c r="K163" s="118" t="str">
        <f>VLOOKUP(B76, Формулы!L28:AP30, 14,FALSE)</f>
        <v>115 кг</v>
      </c>
      <c r="L163" s="118" t="str">
        <f>VLOOKUP(B76, Формулы!L28:AP30, 15,FALSE)</f>
        <v>3х3</v>
      </c>
      <c r="M163" s="118" t="str">
        <f>VLOOKUP(B76, Формулы!L28:AP30, 16,FALSE)</f>
        <v>отдых</v>
      </c>
      <c r="N163" s="130" t="str">
        <f>VLOOKUP(B76, Формулы!L28:AP30, 17,FALSE)</f>
        <v>отдых</v>
      </c>
      <c r="O163" s="228"/>
    </row>
    <row r="164" spans="2:15" ht="15.75" customHeight="1" x14ac:dyDescent="0.3">
      <c r="B164" s="127" t="str">
        <f>B126</f>
        <v>Подъём штанги на бицепс</v>
      </c>
      <c r="C164" s="118" t="str">
        <f>VLOOKUP(B77, Формулы!L33:AP34, 6,FALSE)</f>
        <v>37,5 кг</v>
      </c>
      <c r="D164" s="118" t="str">
        <f>VLOOKUP(B77, Формулы!L33:AP34, 7,FALSE)</f>
        <v>5x5</v>
      </c>
      <c r="E164" s="118" t="str">
        <f>VLOOKUP(B77, Формулы!L33:AP34, 8,FALSE)</f>
        <v>42,5 кг</v>
      </c>
      <c r="F164" s="118" t="str">
        <f>VLOOKUP(B77, Формулы!L33:AP34, 9,FALSE)</f>
        <v>4x5</v>
      </c>
      <c r="G164" s="118" t="str">
        <f>VLOOKUP(B77, Формулы!L33:AP34, 10,FALSE)</f>
        <v>47,5 кг</v>
      </c>
      <c r="H164" s="118" t="str">
        <f>VLOOKUP(B77, Формулы!L33:AP34, 11,FALSE)</f>
        <v>4x4</v>
      </c>
      <c r="I164" s="118" t="str">
        <f>VLOOKUP(B77, Формулы!L33:AP34, 12,FALSE)</f>
        <v>52,5 кг</v>
      </c>
      <c r="J164" s="118" t="str">
        <f>VLOOKUP(B77, Формулы!L33:AP34, 13,FALSE)</f>
        <v>3x4</v>
      </c>
      <c r="K164" s="118" t="str">
        <f>VLOOKUP(B77, Формулы!L33:AP34, 14,FALSE)</f>
        <v>55 кг</v>
      </c>
      <c r="L164" s="118" t="str">
        <f>VLOOKUP(B77, Формулы!L33:AP34, 15,FALSE)</f>
        <v>3х3</v>
      </c>
      <c r="M164" s="118" t="str">
        <f>VLOOKUP(B77, Формулы!L33:AP34, 16,FALSE)</f>
        <v>60 кг</v>
      </c>
      <c r="N164" s="130" t="str">
        <f>VLOOKUP(B77, Формулы!L33:AP34, 17,FALSE)</f>
        <v>2x3</v>
      </c>
      <c r="O164" s="228"/>
    </row>
    <row r="165" spans="2:15" ht="15.75" customHeight="1" x14ac:dyDescent="0.3">
      <c r="B165" s="127" t="str">
        <f>B127</f>
        <v>Жим лёжа узким хватом</v>
      </c>
      <c r="C165" s="118" t="str">
        <f>VLOOKUP(B78, Формулы!L36:AP38, 6,FALSE)</f>
        <v>60 кг</v>
      </c>
      <c r="D165" s="118" t="str">
        <f>VLOOKUP(B78, Формулы!L36:AP38, 7,FALSE)</f>
        <v>4х5</v>
      </c>
      <c r="E165" s="118" t="str">
        <f>VLOOKUP(B78, Формулы!L36:AP38, 8,FALSE)</f>
        <v>65 кг</v>
      </c>
      <c r="F165" s="118" t="str">
        <f>VLOOKUP(B78, Формулы!L36:AP38, 9,FALSE)</f>
        <v>4х5</v>
      </c>
      <c r="G165" s="118" t="str">
        <f>VLOOKUP(B78, Формулы!L36:AP38, 10,FALSE)</f>
        <v>70 кг</v>
      </c>
      <c r="H165" s="118" t="str">
        <f>VLOOKUP(B78, Формулы!L36:AP38, 11,FALSE)</f>
        <v>3х5</v>
      </c>
      <c r="I165" s="133" t="str">
        <f>VLOOKUP(B78, Формулы!L36:AP38, 12,FALSE)</f>
        <v>75 кг</v>
      </c>
      <c r="J165" s="118" t="str">
        <f>VLOOKUP(B78, Формулы!L36:AP38, 13,FALSE)</f>
        <v>3х5</v>
      </c>
      <c r="K165" s="118" t="str">
        <f>VLOOKUP(B78, Формулы!L36:AP38, 14,FALSE)</f>
        <v>80 кг</v>
      </c>
      <c r="L165" s="118" t="str">
        <f>VLOOKUP(B78, Формулы!L36:AP38, 15,FALSE)</f>
        <v>2х5</v>
      </c>
      <c r="M165" s="118" t="str">
        <f>VLOOKUP(B78, Формулы!L36:AP38, 16,FALSE)</f>
        <v>85 кг</v>
      </c>
      <c r="N165" s="130" t="str">
        <f>VLOOKUP(B78, Формулы!L36:AP38, 17,FALSE)</f>
        <v>1х5</v>
      </c>
      <c r="O165" s="228"/>
    </row>
    <row r="166" spans="2:15" ht="15.75" customHeight="1" thickBot="1" x14ac:dyDescent="0.35">
      <c r="B166" s="127" t="str">
        <f>IF(B128="+", "", B128)</f>
        <v/>
      </c>
      <c r="C166" s="118" t="str">
        <f>IF(B79=Формулы!L63,"",VLOOKUP(B79,Формулы!L39:AP41,6,FALSE))</f>
        <v/>
      </c>
      <c r="D166" s="118" t="str">
        <f>IF(B79=Формулы!L63,"",VLOOKUP(B79,Формулы!L39:AP41,7,FALSE))</f>
        <v/>
      </c>
      <c r="E166" s="118" t="str">
        <f>IF(B79=Формулы!L63,"",VLOOKUP(B79,Формулы!L39:AP41,8,FALSE))</f>
        <v/>
      </c>
      <c r="F166" s="118" t="str">
        <f>IF(B79=Формулы!L63,"",VLOOKUP(B79,Формулы!L39:AP41,9,FALSE))</f>
        <v/>
      </c>
      <c r="G166" s="118" t="str">
        <f>IF(B79=Формулы!L63,"",VLOOKUP(B79,Формулы!L39:AP41,10,FALSE))</f>
        <v/>
      </c>
      <c r="H166" s="118" t="str">
        <f>IF(B79=Формулы!L63,"",VLOOKUP(B79,Формулы!L39:AP41,11,FALSE))</f>
        <v/>
      </c>
      <c r="I166" s="118" t="str">
        <f>IF(B79=Формулы!L63,"",VLOOKUP(B79,Формулы!L39:AP41,12,FALSE))</f>
        <v/>
      </c>
      <c r="J166" s="118" t="str">
        <f>IF(B79=Формулы!L63,"",VLOOKUP(B79,Формулы!L39:AP41,13,FALSE))</f>
        <v/>
      </c>
      <c r="K166" s="118" t="str">
        <f>IF(B79=Формулы!L63,"",VLOOKUP(B79,Формулы!L39:AP41,14,FALSE))</f>
        <v/>
      </c>
      <c r="L166" s="118" t="str">
        <f>IF(B79=Формулы!L63,"",VLOOKUP(B79,Формулы!L39:AP41,15,FALSE))</f>
        <v/>
      </c>
      <c r="M166" s="118" t="str">
        <f>IF(B79=Формулы!L63,"",VLOOKUP(B79,Формулы!L39:AP41,16,FALSE))</f>
        <v/>
      </c>
      <c r="N166" s="130" t="str">
        <f>IF(B79=Формулы!L63,"",VLOOKUP(B79,Формулы!L39:AP41,17,FALSE))</f>
        <v/>
      </c>
      <c r="O166" s="229"/>
    </row>
    <row r="167" spans="2:15" ht="15.75" customHeight="1" x14ac:dyDescent="0.25"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</row>
    <row r="168" spans="2:15" ht="15.75" customHeight="1" thickBot="1" x14ac:dyDescent="0.3">
      <c r="B168" s="33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217"/>
    </row>
    <row r="169" spans="2:15" ht="15.75" customHeight="1" thickBot="1" x14ac:dyDescent="0.3">
      <c r="B169" s="202" t="s">
        <v>112</v>
      </c>
      <c r="C169" s="198" t="s">
        <v>46</v>
      </c>
      <c r="D169" s="199" t="s">
        <v>7</v>
      </c>
      <c r="E169" s="199" t="s">
        <v>46</v>
      </c>
      <c r="F169" s="199" t="s">
        <v>7</v>
      </c>
      <c r="G169" s="199" t="s">
        <v>46</v>
      </c>
      <c r="H169" s="199" t="s">
        <v>7</v>
      </c>
      <c r="I169" s="199" t="s">
        <v>46</v>
      </c>
      <c r="J169" s="199" t="s">
        <v>7</v>
      </c>
      <c r="K169" s="199" t="s">
        <v>46</v>
      </c>
      <c r="L169" s="199" t="s">
        <v>7</v>
      </c>
      <c r="M169" s="199" t="s">
        <v>46</v>
      </c>
      <c r="N169" s="200" t="s">
        <v>7</v>
      </c>
      <c r="O169" s="227" t="s">
        <v>114</v>
      </c>
    </row>
    <row r="170" spans="2:15" ht="15.75" customHeight="1" x14ac:dyDescent="0.3">
      <c r="B170" s="127" t="str">
        <f>B132</f>
        <v>Армейский жим</v>
      </c>
      <c r="C170" s="118" t="str">
        <f>VLOOKUP(B83, Формулы!L44:AP45, 6,FALSE)</f>
        <v>47,5 кг</v>
      </c>
      <c r="D170" s="118" t="str">
        <f>VLOOKUP(B83, Формулы!L44:AP45, 7,FALSE)</f>
        <v>5x5</v>
      </c>
      <c r="E170" s="118" t="str">
        <f>VLOOKUP(B83, Формулы!L44:AP45, 8,FALSE)</f>
        <v>55 кг</v>
      </c>
      <c r="F170" s="118" t="str">
        <f>VLOOKUP(B83, Формулы!L44:AP45, 9,FALSE)</f>
        <v>4x5</v>
      </c>
      <c r="G170" s="118" t="str">
        <f>VLOOKUP(B83, Формулы!L44:AP45, 10,FALSE)</f>
        <v>60 кг</v>
      </c>
      <c r="H170" s="118" t="str">
        <f>VLOOKUP(B83, Формулы!L44:AP45, 11,FALSE)</f>
        <v>4x4</v>
      </c>
      <c r="I170" s="118" t="str">
        <f>VLOOKUP(B83, Формулы!L44:AP45, 12,FALSE)</f>
        <v>65 кг</v>
      </c>
      <c r="J170" s="118" t="str">
        <f>VLOOKUP(B83, Формулы!L44:AP45, 13,FALSE)</f>
        <v>3x4</v>
      </c>
      <c r="K170" s="118" t="str">
        <f>VLOOKUP(B83, Формулы!L44:AP45, 14,FALSE)</f>
        <v>70 кг</v>
      </c>
      <c r="L170" s="118" t="str">
        <f>VLOOKUP(B83, Формулы!L44:AP45, 15,FALSE)</f>
        <v>3х3</v>
      </c>
      <c r="M170" s="118" t="str">
        <f>VLOOKUP(B83, Формулы!L44:AP45, 16,FALSE)</f>
        <v>72,5 кг</v>
      </c>
      <c r="N170" s="130" t="str">
        <f>VLOOKUP(B83, Формулы!L44:AP45, 17,FALSE)</f>
        <v>2x3</v>
      </c>
      <c r="O170" s="228"/>
    </row>
    <row r="171" spans="2:15" ht="15.75" customHeight="1" x14ac:dyDescent="0.3">
      <c r="B171" s="127" t="str">
        <f>B133</f>
        <v>Тяга штанги в наклоне</v>
      </c>
      <c r="C171" s="118" t="str">
        <f>VLOOKUP(B84, Формулы!L48:AP50, 6,FALSE)</f>
        <v>115 кг</v>
      </c>
      <c r="D171" s="118" t="str">
        <f>VLOOKUP(B84, Формулы!L48:AP50, 7,FALSE)</f>
        <v>5х5</v>
      </c>
      <c r="E171" s="118" t="str">
        <f>VLOOKUP(B84, Формулы!L48:AP50, 8,FALSE)</f>
        <v>122,5 кг</v>
      </c>
      <c r="F171" s="118" t="str">
        <f>VLOOKUP(B84, Формулы!L48:AP50, 9,FALSE)</f>
        <v>4х5</v>
      </c>
      <c r="G171" s="118" t="str">
        <f>VLOOKUP(B84, Формулы!L48:AP50, 10,FALSE)</f>
        <v>132,5 кг</v>
      </c>
      <c r="H171" s="118" t="str">
        <f>VLOOKUP(B84, Формулы!L48:AP50, 11,FALSE)</f>
        <v>4х4</v>
      </c>
      <c r="I171" s="118" t="str">
        <f>VLOOKUP(B84, Формулы!L48:AP50, 12,FALSE)</f>
        <v>140 кг</v>
      </c>
      <c r="J171" s="118" t="str">
        <f>VLOOKUP(B84, Формулы!L48:AP50, 13,FALSE)</f>
        <v>3х4</v>
      </c>
      <c r="K171" s="118" t="str">
        <f>VLOOKUP(B84, Формулы!L48:AP50, 14,FALSE)</f>
        <v>147,5 кг</v>
      </c>
      <c r="L171" s="118" t="str">
        <f>VLOOKUP(B84, Формулы!L48:AP50, 15,FALSE)</f>
        <v>3х3</v>
      </c>
      <c r="M171" s="118" t="str">
        <f>VLOOKUP(B84, Формулы!L48:AP50, 16,FALSE)</f>
        <v>152,5 кг</v>
      </c>
      <c r="N171" s="130" t="str">
        <f>VLOOKUP(B84, Формулы!L48:AP50, 17,FALSE)</f>
        <v>2х3</v>
      </c>
      <c r="O171" s="228"/>
    </row>
    <row r="172" spans="2:15" ht="15.75" customHeight="1" x14ac:dyDescent="0.3">
      <c r="B172" s="127" t="str">
        <f>B134</f>
        <v>Приседания со штангой</v>
      </c>
      <c r="C172" s="118" t="str">
        <f>VLOOKUP(B85, Формулы!L54:AP56, 6,FALSE)</f>
        <v>82,5 кг</v>
      </c>
      <c r="D172" s="118" t="str">
        <f>VLOOKUP(B85, Формулы!L54:AP56, 7,FALSE)</f>
        <v>5х5</v>
      </c>
      <c r="E172" s="118" t="str">
        <f>VLOOKUP(B85, Формулы!L54:AP56, 8,FALSE)</f>
        <v>90 кг</v>
      </c>
      <c r="F172" s="118" t="str">
        <f>VLOOKUP(B85, Формулы!L54:AP56, 9,FALSE)</f>
        <v>4х5</v>
      </c>
      <c r="G172" s="118" t="str">
        <f>VLOOKUP(B85, Формулы!L54:AP56, 10,FALSE)</f>
        <v>100 кг</v>
      </c>
      <c r="H172" s="118" t="str">
        <f>VLOOKUP(B85, Формулы!L54:AP56, 11,FALSE)</f>
        <v>4х4</v>
      </c>
      <c r="I172" s="118" t="str">
        <f>VLOOKUP(B85, Формулы!L54:AP56, 12,FALSE)</f>
        <v>107,5 кг</v>
      </c>
      <c r="J172" s="118" t="str">
        <f>VLOOKUP(B85, Формулы!L54:AP56, 13,FALSE)</f>
        <v>3х4</v>
      </c>
      <c r="K172" s="118" t="str">
        <f>VLOOKUP(B85, Формулы!L54:AP56, 14,FALSE)</f>
        <v>115 кг</v>
      </c>
      <c r="L172" s="118" t="str">
        <f>VLOOKUP(B85, Формулы!L54:AP56, 15,FALSE)</f>
        <v>3х3</v>
      </c>
      <c r="M172" s="118" t="str">
        <f>VLOOKUP(B85, Формулы!L54:AP56, 16,FALSE)</f>
        <v>122,5 кг</v>
      </c>
      <c r="N172" s="130" t="str">
        <f>VLOOKUP(B85, Формулы!L54:AP56, 17,FALSE)</f>
        <v>2х3</v>
      </c>
      <c r="O172" s="228"/>
    </row>
    <row r="173" spans="2:15" ht="15.75" customHeight="1" x14ac:dyDescent="0.3">
      <c r="B173" s="127" t="str">
        <f>B135</f>
        <v>Подтягивания (собственный вес)</v>
      </c>
      <c r="C173" s="118" t="str">
        <f>VLOOKUP(B86, Формулы!L59:AP61, 6,FALSE)</f>
        <v>6 подходов</v>
      </c>
      <c r="D173" s="118" t="str">
        <f>VLOOKUP(B86, Формулы!L59:AP61, 7,FALSE)</f>
        <v>3 повт</v>
      </c>
      <c r="E173" s="118" t="str">
        <f>VLOOKUP(B86, Формулы!L59:AP61, 8,FALSE)</f>
        <v>5 подходов</v>
      </c>
      <c r="F173" s="118" t="str">
        <f>VLOOKUP(B86, Формулы!L59:AP61, 9,FALSE)</f>
        <v>4 повт</v>
      </c>
      <c r="G173" s="118" t="str">
        <f>VLOOKUP(B86, Формулы!L59:AP61, 10,FALSE)</f>
        <v>4 подхода</v>
      </c>
      <c r="H173" s="118" t="str">
        <f>VLOOKUP(B86, Формулы!L59:AP61, 11,FALSE)</f>
        <v>4 повт</v>
      </c>
      <c r="I173" s="118" t="str">
        <f>VLOOKUP(B86, Формулы!L59:AP61, 12,FALSE)</f>
        <v>3 подхода</v>
      </c>
      <c r="J173" s="118" t="str">
        <f>VLOOKUP(B86, Формулы!L59:AP61, 13,FALSE)</f>
        <v>6 повт</v>
      </c>
      <c r="K173" s="118" t="str">
        <f>VLOOKUP(B86, Формулы!L59:AP61, 14,FALSE)</f>
        <v>2 подхода</v>
      </c>
      <c r="L173" s="118" t="str">
        <f>VLOOKUP(B86, Формулы!L59:AP61, 15,FALSE)</f>
        <v>7 повт</v>
      </c>
      <c r="M173" s="118" t="str">
        <f>VLOOKUP(B86, Формулы!L59:AP61, 16,FALSE)</f>
        <v xml:space="preserve">1 подход </v>
      </c>
      <c r="N173" s="130" t="str">
        <f>VLOOKUP(B86, Формулы!L59:AP61, 17,FALSE)</f>
        <v>10 повт</v>
      </c>
      <c r="O173" s="228"/>
    </row>
    <row r="174" spans="2:15" ht="15.75" customHeight="1" thickBot="1" x14ac:dyDescent="0.35">
      <c r="B174" s="134" t="str">
        <f>IF(B87="+", "", B87)</f>
        <v/>
      </c>
      <c r="C174" s="118" t="str">
        <f>IF(B87=Формулы!L63,"",VLOOKUP(B87,Формулы!L63:AP65,6,FALSE))</f>
        <v/>
      </c>
      <c r="D174" s="118" t="str">
        <f>IF(B87=Формулы!L63,"",VLOOKUP(B87,Формулы!L63:AP65,7,FALSE))</f>
        <v/>
      </c>
      <c r="E174" s="118" t="str">
        <f>IF(B87=Формулы!L63,"",VLOOKUP(B87,Формулы!L63:AP65,8,FALSE))</f>
        <v/>
      </c>
      <c r="F174" s="118" t="str">
        <f>IF(B87=Формулы!L63,"",VLOOKUP(B87,Формулы!L63:AP65,9,FALSE))</f>
        <v/>
      </c>
      <c r="G174" s="118" t="str">
        <f>IF(B87=Формулы!L63,"",VLOOKUP(B87,Формулы!L63:AP65,10,FALSE))</f>
        <v/>
      </c>
      <c r="H174" s="118" t="str">
        <f>IF(B87=Формулы!L63,"",VLOOKUP(B87,Формулы!L63:AP65,11,FALSE))</f>
        <v/>
      </c>
      <c r="I174" s="118" t="str">
        <f>IF(B87=Формулы!L63,"",VLOOKUP(B87,Формулы!L63:AP65,12,FALSE))</f>
        <v/>
      </c>
      <c r="J174" s="118" t="str">
        <f>IF(B87=Формулы!L63,"",VLOOKUP(B87,Формулы!L63:AP65,13,FALSE))</f>
        <v/>
      </c>
      <c r="K174" s="118" t="str">
        <f>IF(B87=Формулы!L63,"",VLOOKUP(B87,Формулы!L63:AP65,14,FALSE))</f>
        <v/>
      </c>
      <c r="L174" s="118" t="str">
        <f>IF(B87=Формулы!L63,"",VLOOKUP(B87,Формулы!L63:AP65,15,FALSE))</f>
        <v/>
      </c>
      <c r="M174" s="118" t="str">
        <f>IF(B87=Формулы!L63,"",VLOOKUP(B87,Формулы!L63:AP65,16,FALSE))</f>
        <v/>
      </c>
      <c r="N174" s="130" t="str">
        <f>IF(B87=Формулы!L63,"",VLOOKUP(B87,Формулы!L63:AP65,17,FALSE))</f>
        <v/>
      </c>
      <c r="O174" s="229"/>
    </row>
    <row r="175" spans="2:15" ht="15.75" customHeight="1" x14ac:dyDescent="0.25"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</row>
    <row r="176" spans="2:15" ht="15.75" customHeight="1" thickBot="1" x14ac:dyDescent="0.3"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</row>
    <row r="177" spans="2:20" ht="15.75" customHeight="1" x14ac:dyDescent="0.25">
      <c r="B177" s="33"/>
      <c r="C177" s="246" t="s">
        <v>116</v>
      </c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8"/>
      <c r="O177" s="33"/>
      <c r="T177" s="39"/>
    </row>
    <row r="178" spans="2:20" ht="15.75" customHeight="1" thickBot="1" x14ac:dyDescent="0.3">
      <c r="B178" s="33"/>
      <c r="C178" s="249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1"/>
      <c r="O178" s="33"/>
    </row>
    <row r="179" spans="2:20" ht="15.75" customHeight="1" thickBot="1" x14ac:dyDescent="0.3">
      <c r="B179" s="33"/>
      <c r="C179" s="252" t="s">
        <v>113</v>
      </c>
      <c r="D179" s="253"/>
      <c r="E179" s="252" t="s">
        <v>35</v>
      </c>
      <c r="F179" s="253"/>
      <c r="G179" s="252" t="s">
        <v>36</v>
      </c>
      <c r="H179" s="253"/>
      <c r="I179" s="252" t="s">
        <v>37</v>
      </c>
      <c r="J179" s="253"/>
      <c r="K179" s="252" t="s">
        <v>38</v>
      </c>
      <c r="L179" s="253"/>
      <c r="M179" s="252" t="s">
        <v>39</v>
      </c>
      <c r="N179" s="253"/>
      <c r="O179" s="33"/>
    </row>
    <row r="180" spans="2:20" ht="15.75" customHeight="1" thickBot="1" x14ac:dyDescent="0.3">
      <c r="B180" s="202" t="s">
        <v>110</v>
      </c>
      <c r="C180" s="201" t="s">
        <v>46</v>
      </c>
      <c r="D180" s="201" t="s">
        <v>7</v>
      </c>
      <c r="E180" s="201" t="s">
        <v>46</v>
      </c>
      <c r="F180" s="201" t="s">
        <v>7</v>
      </c>
      <c r="G180" s="201" t="s">
        <v>46</v>
      </c>
      <c r="H180" s="201" t="s">
        <v>7</v>
      </c>
      <c r="I180" s="201" t="s">
        <v>46</v>
      </c>
      <c r="J180" s="201" t="s">
        <v>7</v>
      </c>
      <c r="K180" s="201" t="s">
        <v>46</v>
      </c>
      <c r="L180" s="201" t="s">
        <v>7</v>
      </c>
      <c r="M180" s="201" t="s">
        <v>46</v>
      </c>
      <c r="N180" s="201" t="s">
        <v>7</v>
      </c>
      <c r="O180" s="33"/>
    </row>
    <row r="181" spans="2:20" ht="15.75" customHeight="1" x14ac:dyDescent="0.3">
      <c r="B181" s="127" t="str">
        <f>B154</f>
        <v>Жим штанги лёжа</v>
      </c>
      <c r="C181" s="118" t="str">
        <f>VLOOKUP(B67, Формулы!L9:AP11, 20,FALSE)</f>
        <v>95 кг</v>
      </c>
      <c r="D181" s="118" t="str">
        <f>VLOOKUP(B67, Формулы!L9:AP11, 21,FALSE)</f>
        <v>5х5</v>
      </c>
      <c r="E181" s="118" t="str">
        <f>VLOOKUP(B67, Формулы!L9:AP11, 22,FALSE)</f>
        <v>100 кг</v>
      </c>
      <c r="F181" s="118" t="str">
        <f>VLOOKUP(B67, Формулы!L9:AP11, 23,FALSE)</f>
        <v>4х5</v>
      </c>
      <c r="G181" s="118" t="str">
        <f>VLOOKUP(B67, Формулы!L9:AP11, 24,FALSE)</f>
        <v>107,5 кг</v>
      </c>
      <c r="H181" s="118" t="str">
        <f>VLOOKUP(B67, Формулы!L9:AP11, 25,FALSE)</f>
        <v>4х4</v>
      </c>
      <c r="I181" s="118" t="str">
        <f>VLOOKUP(B67, Формулы!L9:AP11, 26,FALSE)</f>
        <v>115 кг</v>
      </c>
      <c r="J181" s="118" t="str">
        <f>VLOOKUP(B67, Формулы!L9:AP11, 27,FALSE)</f>
        <v>3х4</v>
      </c>
      <c r="K181" s="118" t="str">
        <f>VLOOKUP(B67, Формулы!L9:AP11, 28,FALSE)</f>
        <v>120 кг</v>
      </c>
      <c r="L181" s="118" t="str">
        <f>VLOOKUP(B67, Формулы!L9:AP11, 29,FALSE)</f>
        <v>3х3</v>
      </c>
      <c r="M181" s="118" t="str">
        <f>VLOOKUP(B67, Формулы!L9:AP11, 30,FALSE)</f>
        <v>122,5 кг</v>
      </c>
      <c r="N181" s="118" t="str">
        <f>VLOOKUP(B67, Формулы!L9:AP11, 31,FALSE)</f>
        <v>2х3</v>
      </c>
      <c r="O181" s="33"/>
    </row>
    <row r="182" spans="2:20" ht="15.75" customHeight="1" x14ac:dyDescent="0.3">
      <c r="B182" s="127" t="str">
        <f>B155</f>
        <v>Подтягивания (с отягощением)</v>
      </c>
      <c r="C182" s="118" t="str">
        <f>VLOOKUP(B68, Формулы!L13:AP15, 20,FALSE)</f>
        <v>5 подходов</v>
      </c>
      <c r="D182" s="118" t="str">
        <f>VLOOKUP(B68, Формулы!L13:AP15, 21,FALSE)</f>
        <v>5 повт</v>
      </c>
      <c r="E182" s="118" t="str">
        <f>VLOOKUP(B68, Формулы!L13:AP15, 22,FALSE)</f>
        <v>4 подхода</v>
      </c>
      <c r="F182" s="118" t="str">
        <f>VLOOKUP(B68, Формулы!L13:AP15, 23,FALSE)</f>
        <v>6 повт</v>
      </c>
      <c r="G182" s="118" t="str">
        <f>VLOOKUP(B68, Формулы!L13:AP15, 24,FALSE)</f>
        <v>7,5 кг</v>
      </c>
      <c r="H182" s="118" t="str">
        <f>VLOOKUP(B68, Формулы!L13:AP15, 25,FALSE)</f>
        <v>4х4</v>
      </c>
      <c r="I182" s="118" t="str">
        <f>VLOOKUP(B68, Формулы!L13:AP15, 26,FALSE)</f>
        <v>15 кг</v>
      </c>
      <c r="J182" s="118" t="str">
        <f>VLOOKUP(B68, Формулы!L13:AP15, 27,FALSE)</f>
        <v>3х4</v>
      </c>
      <c r="K182" s="118" t="str">
        <f>VLOOKUP(B68, Формулы!L13:AP15, 28,FALSE)</f>
        <v>17,5 кг</v>
      </c>
      <c r="L182" s="118" t="str">
        <f>VLOOKUP(B68, Формулы!L13:AP15, 29,FALSE)</f>
        <v>3х3</v>
      </c>
      <c r="M182" s="118" t="str">
        <f>VLOOKUP(B68, Формулы!L13:AP15, 30,FALSE)</f>
        <v>20 кг</v>
      </c>
      <c r="N182" s="118" t="str">
        <f>VLOOKUP(B68, Формулы!L13:AP15, 31,FALSE)</f>
        <v>2х3</v>
      </c>
      <c r="O182" s="33"/>
    </row>
    <row r="183" spans="2:20" ht="15.75" customHeight="1" x14ac:dyDescent="0.3">
      <c r="B183" s="127" t="str">
        <f>B156</f>
        <v>Приседания со штангой</v>
      </c>
      <c r="C183" s="118" t="str">
        <f>VLOOKUP(B69, Формулы!L17:AP19, 20,FALSE)</f>
        <v>115 кг</v>
      </c>
      <c r="D183" s="118" t="str">
        <f>VLOOKUP(B69, Формулы!L17:AP19, 21,FALSE)</f>
        <v>3х5</v>
      </c>
      <c r="E183" s="118" t="str">
        <f>VLOOKUP(B69, Формулы!L17:AP19, 22,FALSE)</f>
        <v>122,5 кг</v>
      </c>
      <c r="F183" s="118" t="str">
        <f>VLOOKUP(B69, Формулы!L17:AP19, 23,FALSE)</f>
        <v>3х5</v>
      </c>
      <c r="G183" s="118" t="str">
        <f>VLOOKUP(B69, Формулы!L17:AP19, 24,FALSE)</f>
        <v>132,5 кг</v>
      </c>
      <c r="H183" s="118" t="str">
        <f>VLOOKUP(B69, Формулы!L17:AP19, 25,FALSE)</f>
        <v>2х5</v>
      </c>
      <c r="I183" s="118" t="str">
        <f>VLOOKUP(B69, Формулы!L17:AP19, 26,FALSE)</f>
        <v>140 кг</v>
      </c>
      <c r="J183" s="118" t="str">
        <f>VLOOKUP(B69, Формулы!L17:AP19, 27,FALSE)</f>
        <v>2х5</v>
      </c>
      <c r="K183" s="118" t="str">
        <f>VLOOKUP(B69, Формулы!L17:AP19, 28,FALSE)</f>
        <v>147,5 кг</v>
      </c>
      <c r="L183" s="118" t="str">
        <f>VLOOKUP(B69, Формулы!L17:AP19, 29,FALSE)</f>
        <v>1х5</v>
      </c>
      <c r="M183" s="118" t="str">
        <f>VLOOKUP(B69, Формулы!L17:AP19, 30,FALSE)</f>
        <v>155 кг</v>
      </c>
      <c r="N183" s="118" t="str">
        <f>VLOOKUP(B69, Формулы!L17:AP19, 31,FALSE)</f>
        <v>1х5</v>
      </c>
      <c r="O183" s="33"/>
    </row>
    <row r="184" spans="2:20" ht="15.75" customHeight="1" x14ac:dyDescent="0.3">
      <c r="B184" s="127" t="str">
        <f>B157</f>
        <v>Махи с гантелями в стороны</v>
      </c>
      <c r="C184" s="118" t="str">
        <f>VLOOKUP(B70, Формулы!L21:AP22, 20,FALSE)</f>
        <v>10 кг</v>
      </c>
      <c r="D184" s="118" t="str">
        <f>VLOOKUP(B70, Формулы!L21:AP22, 21,FALSE)</f>
        <v>5х12</v>
      </c>
      <c r="E184" s="118" t="str">
        <f>VLOOKUP(B70, Формулы!L21:AP22, 22,FALSE)</f>
        <v>14 кг</v>
      </c>
      <c r="F184" s="118" t="str">
        <f>VLOOKUP(B70, Формулы!L21:AP22, 23,FALSE)</f>
        <v>5х12</v>
      </c>
      <c r="G184" s="118" t="str">
        <f>VLOOKUP(B70, Формулы!L21:AP22, 24,FALSE)</f>
        <v>16 кг</v>
      </c>
      <c r="H184" s="118" t="str">
        <f>VLOOKUP(B70, Формулы!L21:AP22, 25,FALSE)</f>
        <v>4х10</v>
      </c>
      <c r="I184" s="118" t="str">
        <f>VLOOKUP(B70, Формулы!L21:AP22, 26,FALSE)</f>
        <v>18 кг</v>
      </c>
      <c r="J184" s="118" t="str">
        <f>VLOOKUP(B70, Формулы!L21:AP22, 27,FALSE)</f>
        <v>4х10</v>
      </c>
      <c r="K184" s="118" t="str">
        <f>VLOOKUP(B70, Формулы!L21:AP22, 28,FALSE)</f>
        <v>20 кг</v>
      </c>
      <c r="L184" s="118" t="str">
        <f>VLOOKUP(B70, Формулы!L21:AP22, 29,FALSE)</f>
        <v>3х8</v>
      </c>
      <c r="M184" s="118" t="str">
        <f>VLOOKUP(B70, Формулы!L21:AP22, 30,FALSE)</f>
        <v>26 кг</v>
      </c>
      <c r="N184" s="118" t="str">
        <f>VLOOKUP(B70, Формулы!L21:AP22, 31,FALSE)</f>
        <v>3х8</v>
      </c>
      <c r="O184" s="33"/>
    </row>
    <row r="185" spans="2:20" ht="15.75" customHeight="1" x14ac:dyDescent="0.3">
      <c r="B185" s="127" t="str">
        <f>IF(B158="+", "", B158)</f>
        <v/>
      </c>
      <c r="C185" s="118" t="str">
        <f>IF(B71=Формулы!L67,"",VLOOKUP(B71,Формулы!L67:AP69,20,FALSE))</f>
        <v/>
      </c>
      <c r="D185" s="118" t="str">
        <f>IF(B71=Формулы!L67,"",VLOOKUP(B71,Формулы!L67:AP69,21,FALSE))</f>
        <v/>
      </c>
      <c r="E185" s="118" t="str">
        <f>IF(B71=Формулы!L67,"",VLOOKUP(B71,Формулы!L67:AP69,22,FALSE))</f>
        <v/>
      </c>
      <c r="F185" s="118" t="str">
        <f>IF(B71=Формулы!L67,"",VLOOKUP(B71,Формулы!L67:AP69,23,FALSE))</f>
        <v/>
      </c>
      <c r="G185" s="118" t="str">
        <f>IF(B71=Формулы!L67,"",VLOOKUP(B71,Формулы!L67:AP69,24,FALSE))</f>
        <v/>
      </c>
      <c r="H185" s="118" t="str">
        <f>IF(B71=Формулы!L67,"",VLOOKUP(B71,Формулы!L67:AP69,25,FALSE))</f>
        <v/>
      </c>
      <c r="I185" s="118" t="str">
        <f>IF(B71=Формулы!L67,"",VLOOKUP(B71,Формулы!L67:AP69,26,FALSE))</f>
        <v/>
      </c>
      <c r="J185" s="118" t="str">
        <f>IF(B71=Формулы!L67,"",VLOOKUP(B71,Формулы!L67:AP69,27,FALSE))</f>
        <v/>
      </c>
      <c r="K185" s="118" t="str">
        <f>IF(B71=Формулы!L67,"",VLOOKUP(B71,Формулы!L67:AP69,28,FALSE))</f>
        <v/>
      </c>
      <c r="L185" s="118" t="str">
        <f>IF(B71=Формулы!L67,"",VLOOKUP(B71,Формулы!L67:AP69,29,FALSE))</f>
        <v/>
      </c>
      <c r="M185" s="118" t="str">
        <f>IF(B71=Формулы!L67,"",VLOOKUP(B71,Формулы!L67:AP69,30,FALSE))</f>
        <v/>
      </c>
      <c r="N185" s="118" t="str">
        <f>IF(B71=Формулы!L67,"",VLOOKUP(B71,Формулы!L67:AP69,31,FALSE))</f>
        <v/>
      </c>
      <c r="O185" s="33"/>
    </row>
    <row r="186" spans="2:20" ht="15.75" customHeight="1" thickBot="1" x14ac:dyDescent="0.35">
      <c r="B186" s="131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</row>
    <row r="187" spans="2:20" ht="15.75" customHeight="1" thickBot="1" x14ac:dyDescent="0.3">
      <c r="B187" s="33"/>
      <c r="C187" s="252" t="s">
        <v>113</v>
      </c>
      <c r="D187" s="253"/>
      <c r="E187" s="252" t="s">
        <v>35</v>
      </c>
      <c r="F187" s="253"/>
      <c r="G187" s="252" t="s">
        <v>36</v>
      </c>
      <c r="H187" s="253"/>
      <c r="I187" s="252" t="s">
        <v>37</v>
      </c>
      <c r="J187" s="253"/>
      <c r="K187" s="252" t="s">
        <v>38</v>
      </c>
      <c r="L187" s="253"/>
      <c r="M187" s="252" t="s">
        <v>39</v>
      </c>
      <c r="N187" s="253"/>
      <c r="O187" s="33"/>
    </row>
    <row r="188" spans="2:20" ht="15.75" customHeight="1" thickBot="1" x14ac:dyDescent="0.3">
      <c r="B188" s="202" t="s">
        <v>111</v>
      </c>
      <c r="C188" s="201" t="s">
        <v>46</v>
      </c>
      <c r="D188" s="201" t="s">
        <v>7</v>
      </c>
      <c r="E188" s="201" t="s">
        <v>46</v>
      </c>
      <c r="F188" s="201" t="s">
        <v>7</v>
      </c>
      <c r="G188" s="201" t="s">
        <v>46</v>
      </c>
      <c r="H188" s="201" t="s">
        <v>7</v>
      </c>
      <c r="I188" s="201" t="s">
        <v>46</v>
      </c>
      <c r="J188" s="201" t="s">
        <v>7</v>
      </c>
      <c r="K188" s="201" t="s">
        <v>46</v>
      </c>
      <c r="L188" s="201" t="s">
        <v>7</v>
      </c>
      <c r="M188" s="201" t="s">
        <v>46</v>
      </c>
      <c r="N188" s="201" t="s">
        <v>7</v>
      </c>
      <c r="O188" s="33"/>
    </row>
    <row r="189" spans="2:20" ht="15.75" customHeight="1" x14ac:dyDescent="0.3">
      <c r="B189" s="127" t="str">
        <f>B162</f>
        <v>Становая тяга</v>
      </c>
      <c r="C189" s="118" t="str">
        <f>VLOOKUP(B75, Формулы!L24:AP26, 20,FALSE)</f>
        <v>152,5 кг</v>
      </c>
      <c r="D189" s="118" t="str">
        <f>VLOOKUP(B75, Формулы!L24:AP26, 21,FALSE)</f>
        <v>1х5</v>
      </c>
      <c r="E189" s="118" t="str">
        <f>VLOOKUP(B75, Формулы!L24:AP26, 22,FALSE)</f>
        <v>162,5 кг</v>
      </c>
      <c r="F189" s="118" t="str">
        <f>VLOOKUP(B75, Формулы!L24:AP26, 23,FALSE)</f>
        <v>1х5</v>
      </c>
      <c r="G189" s="118" t="str">
        <f>VLOOKUP(B75, Формулы!L24:AP26, 24,FALSE)</f>
        <v>175 кг</v>
      </c>
      <c r="H189" s="118" t="str">
        <f>VLOOKUP(B75, Формулы!L24:AP26, 25,FALSE)</f>
        <v>1х5</v>
      </c>
      <c r="I189" s="118" t="str">
        <f>VLOOKUP(B75, Формулы!L24:AP26, 26,FALSE)</f>
        <v>185 кг</v>
      </c>
      <c r="J189" s="118" t="str">
        <f>VLOOKUP(B75, Формулы!L24:AP26, 27,FALSE)</f>
        <v>1х5</v>
      </c>
      <c r="K189" s="118" t="str">
        <f>VLOOKUP(B75, Формулы!L24:AP26, 28,FALSE)</f>
        <v>195 кг</v>
      </c>
      <c r="L189" s="118" t="str">
        <f>VLOOKUP(B75, Формулы!L24:AP26, 29,FALSE)</f>
        <v>1х5</v>
      </c>
      <c r="M189" s="133" t="str">
        <f>VLOOKUP(B75, Формулы!L24:AP26, 30,FALSE)</f>
        <v>205 кг</v>
      </c>
      <c r="N189" s="118" t="str">
        <f>VLOOKUP(B75, Формулы!L24:AP26, 31,FALSE)</f>
        <v>1х5</v>
      </c>
      <c r="O189" s="33"/>
    </row>
    <row r="190" spans="2:20" ht="15.75" customHeight="1" x14ac:dyDescent="0.3">
      <c r="B190" s="127" t="str">
        <f>B163</f>
        <v>Жим штанги лёжа</v>
      </c>
      <c r="C190" s="118" t="str">
        <f>VLOOKUP(B76, Формулы!L28:AP30, 20,FALSE)</f>
        <v>95 кг</v>
      </c>
      <c r="D190" s="118" t="str">
        <f>VLOOKUP(B76, Формулы!L28:AP30, 21,FALSE)</f>
        <v>5х5</v>
      </c>
      <c r="E190" s="118" t="str">
        <f>VLOOKUP(B76, Формулы!L28:AP30, 22,FALSE)</f>
        <v>100 кг</v>
      </c>
      <c r="F190" s="118" t="str">
        <f>VLOOKUP(B76, Формулы!L28:AP30, 23,FALSE)</f>
        <v>4х5</v>
      </c>
      <c r="G190" s="118" t="str">
        <f>VLOOKUP(B76, Формулы!L28:AP30, 24,FALSE)</f>
        <v>107,5 кг</v>
      </c>
      <c r="H190" s="118" t="str">
        <f>VLOOKUP(B76, Формулы!L28:AP30, 25,FALSE)</f>
        <v>4х4</v>
      </c>
      <c r="I190" s="118" t="str">
        <f>VLOOKUP(B76, Формулы!L28:AP30, 26,FALSE)</f>
        <v>115 кг</v>
      </c>
      <c r="J190" s="118" t="str">
        <f>VLOOKUP(B76, Формулы!L28:AP30, 27,FALSE)</f>
        <v>3х4</v>
      </c>
      <c r="K190" s="118" t="str">
        <f>VLOOKUP(B76, Формулы!L28:AP30, 28,FALSE)</f>
        <v>120 кг</v>
      </c>
      <c r="L190" s="118" t="str">
        <f>VLOOKUP(B76, Формулы!L28:AP30, 29,FALSE)</f>
        <v>3х3</v>
      </c>
      <c r="M190" s="133" t="str">
        <f>VLOOKUP(B76, Формулы!L28:AP30, 30,FALSE)</f>
        <v>отдых</v>
      </c>
      <c r="N190" s="118" t="str">
        <f>VLOOKUP(B76, Формулы!L28:AP30, 31,FALSE)</f>
        <v>отдых</v>
      </c>
      <c r="O190" s="33"/>
    </row>
    <row r="191" spans="2:20" ht="15.75" customHeight="1" x14ac:dyDescent="0.3">
      <c r="B191" s="127" t="str">
        <f>B164</f>
        <v>Подъём штанги на бицепс</v>
      </c>
      <c r="C191" s="118" t="str">
        <f>VLOOKUP(B77, Формулы!L33:AP34, 20,FALSE)</f>
        <v>40 кг</v>
      </c>
      <c r="D191" s="118" t="str">
        <f>VLOOKUP(B77, Формулы!L33:AP34, 21,FALSE)</f>
        <v>5х5</v>
      </c>
      <c r="E191" s="118" t="str">
        <f>VLOOKUP(B77, Формулы!L33:AP34, 22,FALSE)</f>
        <v>45 кг</v>
      </c>
      <c r="F191" s="118" t="str">
        <f>VLOOKUP(B77, Формулы!L33:AP34, 23,FALSE)</f>
        <v>4х5</v>
      </c>
      <c r="G191" s="118" t="str">
        <f>VLOOKUP(B77, Формулы!L33:AP34, 24,FALSE)</f>
        <v>50 кг</v>
      </c>
      <c r="H191" s="118" t="str">
        <f>VLOOKUP(B77, Формулы!L33:AP34, 25,FALSE)</f>
        <v>4х4</v>
      </c>
      <c r="I191" s="118" t="str">
        <f>VLOOKUP(B77, Формулы!L33:AP34, 26,FALSE)</f>
        <v>55 кг</v>
      </c>
      <c r="J191" s="118" t="str">
        <f>VLOOKUP(B77, Формулы!L33:AP34, 27,FALSE)</f>
        <v>3х4</v>
      </c>
      <c r="K191" s="118" t="str">
        <f>VLOOKUP(B77, Формулы!L33:AP34, 28,FALSE)</f>
        <v>57,5 кг</v>
      </c>
      <c r="L191" s="118" t="str">
        <f>VLOOKUP(B77, Формулы!L33:AP34, 29,FALSE)</f>
        <v>3х3</v>
      </c>
      <c r="M191" s="133" t="str">
        <f>VLOOKUP(B77, Формулы!L33:AP34, 30,FALSE)</f>
        <v>62,5 кг</v>
      </c>
      <c r="N191" s="118" t="str">
        <f>VLOOKUP(B77, Формулы!L33:AP34, 31,FALSE)</f>
        <v>2х3</v>
      </c>
      <c r="O191" s="33"/>
    </row>
    <row r="192" spans="2:20" ht="15.75" customHeight="1" x14ac:dyDescent="0.3">
      <c r="B192" s="127" t="str">
        <f>B165</f>
        <v>Жим лёжа узким хватом</v>
      </c>
      <c r="C192" s="118" t="str">
        <f>VLOOKUP(B78, Формулы!L36:AP38, 20,FALSE)</f>
        <v>65 кг</v>
      </c>
      <c r="D192" s="118" t="str">
        <f>VLOOKUP(B78, Формулы!L36:AP38, 21,FALSE)</f>
        <v>3х5</v>
      </c>
      <c r="E192" s="118" t="str">
        <f>VLOOKUP(B78, Формулы!L36:AP38, 22,FALSE)</f>
        <v>70 кг</v>
      </c>
      <c r="F192" s="118" t="str">
        <f>VLOOKUP(B78, Формулы!L36:AP38, 23,FALSE)</f>
        <v>3х5</v>
      </c>
      <c r="G192" s="118" t="str">
        <f>VLOOKUP(B78, Формулы!L36:AP38, 24,FALSE)</f>
        <v>75 кг</v>
      </c>
      <c r="H192" s="118" t="str">
        <f>VLOOKUP(B78, Формулы!L36:AP38, 25,FALSE)</f>
        <v>2х5</v>
      </c>
      <c r="I192" s="118" t="str">
        <f>VLOOKUP(B78, Формулы!L36:AP38, 26,FALSE)</f>
        <v>80 кг</v>
      </c>
      <c r="J192" s="118" t="str">
        <f>VLOOKUP(B78, Формулы!L36:AP38, 27,FALSE)</f>
        <v>2х5</v>
      </c>
      <c r="K192" s="118" t="str">
        <f>VLOOKUP(B78, Формулы!L36:AP38, 28,FALSE)</f>
        <v>82,5 кг</v>
      </c>
      <c r="L192" s="118" t="str">
        <f>VLOOKUP(B78, Формулы!L36:AP38, 29,FALSE)</f>
        <v>1х5</v>
      </c>
      <c r="M192" s="133" t="str">
        <f>VLOOKUP(B78, Формулы!L36:AP38, 30,FALSE)</f>
        <v>90 кг</v>
      </c>
      <c r="N192" s="118" t="str">
        <f>VLOOKUP(B78, Формулы!L36:AP38, 31,FALSE)</f>
        <v>1х5</v>
      </c>
      <c r="O192" s="33"/>
    </row>
    <row r="193" spans="2:15" ht="15.75" customHeight="1" x14ac:dyDescent="0.3">
      <c r="B193" s="127" t="str">
        <f>IF(B166="+", "", B166)</f>
        <v/>
      </c>
      <c r="C193" s="118" t="str">
        <f>IF(B79=Формулы!L63,"",VLOOKUP(B79,Формулы!L39:AP41,20,FALSE))</f>
        <v/>
      </c>
      <c r="D193" s="118" t="str">
        <f>IF(B79=Формулы!L63,"",VLOOKUP(B79,Формулы!L39:AP41,21,FALSE))</f>
        <v/>
      </c>
      <c r="E193" s="118" t="str">
        <f>IF(B79=Формулы!L63,"",VLOOKUP(B79,Формулы!L39:AP41,22,FALSE))</f>
        <v/>
      </c>
      <c r="F193" s="118" t="str">
        <f>IF(B79=Формулы!L63,"",VLOOKUP(B79,Формулы!L39:AP41,23,FALSE))</f>
        <v/>
      </c>
      <c r="G193" s="118" t="str">
        <f>IF(B79=Формулы!L63,"",VLOOKUP(B79,Формулы!L39:AP41,24,FALSE))</f>
        <v/>
      </c>
      <c r="H193" s="118" t="str">
        <f>IF(B79=Формулы!L63,"",VLOOKUP(B79,Формулы!L39:AP41,25,FALSE))</f>
        <v/>
      </c>
      <c r="I193" s="118" t="str">
        <f>IF(B79=Формулы!L63,"",VLOOKUP(B79,Формулы!L39:AP41,26,FALSE))</f>
        <v/>
      </c>
      <c r="J193" s="118" t="str">
        <f>IF(B79=Формулы!L63,"",VLOOKUP(B79,Формулы!L39:AP41,27,FALSE))</f>
        <v/>
      </c>
      <c r="K193" s="118" t="str">
        <f>IF(B79=Формулы!L63,"",VLOOKUP(B79,Формулы!L39:AP41,28,FALSE))</f>
        <v/>
      </c>
      <c r="L193" s="118" t="str">
        <f>IF(B79=Формулы!L63,"",VLOOKUP(B79,Формулы!L39:AP41,29,FALSE))</f>
        <v/>
      </c>
      <c r="M193" s="133" t="str">
        <f>IF(B79=Формулы!L63,"",VLOOKUP(B79,Формулы!L39:AP41,30,FALSE))</f>
        <v/>
      </c>
      <c r="N193" s="118" t="str">
        <f>IF(B79=Формулы!L63,"",VLOOKUP(B79,Формулы!L39:AP41,31,FALSE))</f>
        <v/>
      </c>
      <c r="O193" s="33"/>
    </row>
    <row r="194" spans="2:15" ht="15.75" customHeight="1" thickBot="1" x14ac:dyDescent="0.3"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109"/>
      <c r="N194" s="33"/>
      <c r="O194" s="33"/>
    </row>
    <row r="195" spans="2:15" ht="15.75" customHeight="1" thickBot="1" x14ac:dyDescent="0.3">
      <c r="B195" s="33"/>
      <c r="C195" s="252" t="s">
        <v>113</v>
      </c>
      <c r="D195" s="253"/>
      <c r="E195" s="252" t="s">
        <v>35</v>
      </c>
      <c r="F195" s="253"/>
      <c r="G195" s="252" t="s">
        <v>36</v>
      </c>
      <c r="H195" s="253"/>
      <c r="I195" s="252" t="s">
        <v>37</v>
      </c>
      <c r="J195" s="253"/>
      <c r="K195" s="252" t="s">
        <v>38</v>
      </c>
      <c r="L195" s="253"/>
      <c r="M195" s="252" t="s">
        <v>39</v>
      </c>
      <c r="N195" s="253"/>
      <c r="O195" s="33"/>
    </row>
    <row r="196" spans="2:15" ht="15.75" customHeight="1" thickBot="1" x14ac:dyDescent="0.3">
      <c r="B196" s="202" t="s">
        <v>112</v>
      </c>
      <c r="C196" s="201" t="s">
        <v>46</v>
      </c>
      <c r="D196" s="201" t="s">
        <v>7</v>
      </c>
      <c r="E196" s="201" t="s">
        <v>46</v>
      </c>
      <c r="F196" s="201" t="s">
        <v>7</v>
      </c>
      <c r="G196" s="201" t="s">
        <v>46</v>
      </c>
      <c r="H196" s="201" t="s">
        <v>7</v>
      </c>
      <c r="I196" s="201" t="s">
        <v>46</v>
      </c>
      <c r="J196" s="201" t="s">
        <v>7</v>
      </c>
      <c r="K196" s="201" t="s">
        <v>46</v>
      </c>
      <c r="L196" s="201" t="s">
        <v>7</v>
      </c>
      <c r="M196" s="201" t="s">
        <v>46</v>
      </c>
      <c r="N196" s="201" t="s">
        <v>7</v>
      </c>
      <c r="O196" s="33"/>
    </row>
    <row r="197" spans="2:15" ht="15.75" customHeight="1" x14ac:dyDescent="0.3">
      <c r="B197" s="127" t="str">
        <f>B170</f>
        <v>Армейский жим</v>
      </c>
      <c r="C197" s="118" t="str">
        <f>VLOOKUP(B83, Формулы!L44:AP45, 20,FALSE)</f>
        <v>50 кг</v>
      </c>
      <c r="D197" s="118" t="str">
        <f>VLOOKUP(B83, Формулы!L44:AP45, 21,FALSE)</f>
        <v>5х5</v>
      </c>
      <c r="E197" s="118" t="str">
        <f>VLOOKUP(B83, Формулы!L44:AP45, 22,FALSE)</f>
        <v>57,5 кг</v>
      </c>
      <c r="F197" s="118" t="str">
        <f>VLOOKUP(B83, Формулы!L44:AP45, 23,FALSE)</f>
        <v>4х5</v>
      </c>
      <c r="G197" s="118" t="str">
        <f>VLOOKUP(B83, Формулы!L44:AP45, 24,FALSE)</f>
        <v>62,5 кг</v>
      </c>
      <c r="H197" s="118" t="str">
        <f>VLOOKUP(B83, Формулы!L44:AP45, 25,FALSE)</f>
        <v>4х4</v>
      </c>
      <c r="I197" s="118" t="str">
        <f>VLOOKUP(B83, Формулы!L44:AP45, 26,FALSE)</f>
        <v>67,5 кг</v>
      </c>
      <c r="J197" s="118" t="str">
        <f>VLOOKUP(B83, Формулы!L44:AP45, 27,FALSE)</f>
        <v>3х4</v>
      </c>
      <c r="K197" s="118" t="str">
        <f>VLOOKUP(B83, Формулы!L44:AP45, 28,FALSE)</f>
        <v>72,5 кг</v>
      </c>
      <c r="L197" s="118" t="str">
        <f>VLOOKUP(B83, Формулы!L44:AP45, 29,FALSE)</f>
        <v>3х3</v>
      </c>
      <c r="M197" s="133" t="str">
        <f>VLOOKUP(B83, Формулы!L44:AP45, 30,FALSE)</f>
        <v>75 кг</v>
      </c>
      <c r="N197" s="118" t="str">
        <f>VLOOKUP(B83, Формулы!L44:AP45, 31,FALSE)</f>
        <v>2х3</v>
      </c>
      <c r="O197" s="33"/>
    </row>
    <row r="198" spans="2:15" ht="15.75" customHeight="1" x14ac:dyDescent="0.3">
      <c r="B198" s="127" t="str">
        <f>B171</f>
        <v>Тяга штанги в наклоне</v>
      </c>
      <c r="C198" s="118" t="str">
        <f>VLOOKUP(B84, Формулы!L48:AP50, 20,FALSE)</f>
        <v>120 кг</v>
      </c>
      <c r="D198" s="118" t="str">
        <f>VLOOKUP(B84, Формулы!L48:AP50, 21,FALSE)</f>
        <v>5х5</v>
      </c>
      <c r="E198" s="118" t="str">
        <f>VLOOKUP(B84, Формулы!L48:AP50, 22,FALSE)</f>
        <v>127,5 кг</v>
      </c>
      <c r="F198" s="118" t="str">
        <f>VLOOKUP(B84, Формулы!L48:AP50, 23,FALSE)</f>
        <v>4х5</v>
      </c>
      <c r="G198" s="118" t="str">
        <f>VLOOKUP(B84, Формулы!L48:AP50, 24,FALSE)</f>
        <v>135 кг</v>
      </c>
      <c r="H198" s="118" t="str">
        <f>VLOOKUP(B84, Формулы!L48:AP50, 25,FALSE)</f>
        <v>4х4</v>
      </c>
      <c r="I198" s="118" t="str">
        <f>VLOOKUP(B84, Формулы!L48:AP50, 26,FALSE)</f>
        <v>145 кг</v>
      </c>
      <c r="J198" s="118" t="str">
        <f>VLOOKUP(B84, Формулы!L48:AP50, 27,FALSE)</f>
        <v>3х4</v>
      </c>
      <c r="K198" s="118" t="str">
        <f>VLOOKUP(B84, Формулы!L48:AP50, 28,FALSE)</f>
        <v>152,5 кг</v>
      </c>
      <c r="L198" s="118" t="str">
        <f>VLOOKUP(B84, Формулы!L48:AP50, 29,FALSE)</f>
        <v>3х3</v>
      </c>
      <c r="M198" s="133" t="str">
        <f>VLOOKUP(B84, Формулы!L48:AP50, 30,FALSE)</f>
        <v>157,5 кг</v>
      </c>
      <c r="N198" s="118" t="str">
        <f>VLOOKUP(B84, Формулы!L48:AP50, 31,FALSE)</f>
        <v>2х3</v>
      </c>
      <c r="O198" s="33"/>
    </row>
    <row r="199" spans="2:15" ht="15.75" customHeight="1" x14ac:dyDescent="0.3">
      <c r="B199" s="127" t="str">
        <f>B172</f>
        <v>Приседания со штангой</v>
      </c>
      <c r="C199" s="118" t="str">
        <f>VLOOKUP(B85, Формулы!L54:AP56, 20,FALSE)</f>
        <v>85 кг</v>
      </c>
      <c r="D199" s="118" t="str">
        <f>VLOOKUP(B85, Формулы!L54:AP56, 21,FALSE)</f>
        <v>5х5</v>
      </c>
      <c r="E199" s="118" t="str">
        <f>VLOOKUP(B85, Формулы!L54:AP56, 22,FALSE)</f>
        <v>92,5 кг</v>
      </c>
      <c r="F199" s="118" t="str">
        <f>VLOOKUP(B85, Формулы!L54:AP56, 23,FALSE)</f>
        <v>4х5</v>
      </c>
      <c r="G199" s="118" t="str">
        <f>VLOOKUP(B85, Формулы!L54:AP56, 24,FALSE)</f>
        <v>102,5 кг</v>
      </c>
      <c r="H199" s="118" t="str">
        <f>VLOOKUP(B85, Формулы!L54:AP56, 25,FALSE)</f>
        <v>4х4</v>
      </c>
      <c r="I199" s="118" t="str">
        <f>VLOOKUP(B85, Формулы!L54:AP56, 26,FALSE)</f>
        <v>110 кг</v>
      </c>
      <c r="J199" s="118" t="str">
        <f>VLOOKUP(B85, Формулы!L54:AP56, 27,FALSE)</f>
        <v>3х4</v>
      </c>
      <c r="K199" s="118" t="str">
        <f>VLOOKUP(B85, Формулы!L54:AP56, 28,FALSE)</f>
        <v>120 кг</v>
      </c>
      <c r="L199" s="118" t="str">
        <f>VLOOKUP(B85, Формулы!L54:AP56, 29,FALSE)</f>
        <v>3х3</v>
      </c>
      <c r="M199" s="133" t="str">
        <f>VLOOKUP(B85, Формулы!L54:AP56, 30,FALSE)</f>
        <v>127,5 кг</v>
      </c>
      <c r="N199" s="118" t="str">
        <f>VLOOKUP(B85, Формулы!L54:AP56, 31,FALSE)</f>
        <v>2х3</v>
      </c>
      <c r="O199" s="33"/>
    </row>
    <row r="200" spans="2:15" ht="15.75" customHeight="1" x14ac:dyDescent="0.3">
      <c r="B200" s="127" t="str">
        <f>B173</f>
        <v>Подтягивания (собственный вес)</v>
      </c>
      <c r="C200" s="118" t="str">
        <f>VLOOKUP(B86, Формулы!L59:AP61, 20,FALSE)</f>
        <v>6 подходов</v>
      </c>
      <c r="D200" s="118" t="str">
        <f>VLOOKUP(B86, Формулы!L59:AP61, 21,FALSE)</f>
        <v>5 повт</v>
      </c>
      <c r="E200" s="118" t="str">
        <f>VLOOKUP(B86, Формулы!L59:AP61, 22,FALSE)</f>
        <v>5 подходов</v>
      </c>
      <c r="F200" s="118" t="str">
        <f>VLOOKUP(B86, Формулы!L59:AP61, 23,FALSE)</f>
        <v>6 повт</v>
      </c>
      <c r="G200" s="118" t="str">
        <f>VLOOKUP(B86, Формулы!L59:AP61, 24,FALSE)</f>
        <v>4 подхода</v>
      </c>
      <c r="H200" s="118" t="str">
        <f>VLOOKUP(B86, Формулы!L59:AP61, 25,FALSE)</f>
        <v>6 повт</v>
      </c>
      <c r="I200" s="118" t="str">
        <f>VLOOKUP(B86, Формулы!L59:AP61, 26,FALSE)</f>
        <v>3 подхода</v>
      </c>
      <c r="J200" s="118" t="str">
        <f>VLOOKUP(B86, Формулы!L59:AP61, 27,FALSE)</f>
        <v>8 повт</v>
      </c>
      <c r="K200" s="118" t="str">
        <f>VLOOKUP(B86, Формулы!L59:AP61, 28,FALSE)</f>
        <v>2 подхода</v>
      </c>
      <c r="L200" s="118" t="str">
        <f>VLOOKUP(B86, Формулы!L59:AP61, 29,FALSE)</f>
        <v>9 повт</v>
      </c>
      <c r="M200" s="133" t="str">
        <f>VLOOKUP(B86, Формулы!L59:AP61, 30,FALSE)</f>
        <v>1 подход</v>
      </c>
      <c r="N200" s="118" t="str">
        <f>VLOOKUP(B86, Формулы!L59:AP61, 31,FALSE)</f>
        <v>12 повт</v>
      </c>
      <c r="O200" s="33"/>
    </row>
    <row r="201" spans="2:15" ht="15.75" customHeight="1" x14ac:dyDescent="0.3">
      <c r="B201" s="134" t="str">
        <f>IF(B87="+", "", B87)</f>
        <v/>
      </c>
      <c r="C201" s="118" t="str">
        <f>IF(B87=Формулы!L63,"",VLOOKUP(B87,Формулы!L63:AP65,20,FALSE))</f>
        <v/>
      </c>
      <c r="D201" s="118" t="str">
        <f>IF(B87=Формулы!L63,"",VLOOKUP(B87,Формулы!L63:AP65,21,FALSE))</f>
        <v/>
      </c>
      <c r="E201" s="118" t="str">
        <f>IF(B87=Формулы!L63,"",VLOOKUP(B87,Формулы!L63:AP65,22,FALSE))</f>
        <v/>
      </c>
      <c r="F201" s="118" t="str">
        <f>IF(B87=Формулы!L63,"",VLOOKUP(B87,Формулы!L63:AP65,23,FALSE))</f>
        <v/>
      </c>
      <c r="G201" s="118" t="str">
        <f>IF(B87=Формулы!L63,"",VLOOKUP(B87,Формулы!L63:AP65,24,FALSE))</f>
        <v/>
      </c>
      <c r="H201" s="118" t="str">
        <f>IF(B87=Формулы!L63,"",VLOOKUP(B87,Формулы!L63:AP65,25,FALSE))</f>
        <v/>
      </c>
      <c r="I201" s="118" t="str">
        <f>IF(B87=Формулы!L63,"",VLOOKUP(B87,Формулы!L63:AP65,26,FALSE))</f>
        <v/>
      </c>
      <c r="J201" s="118" t="str">
        <f>IF(B87=Формулы!L63,"",VLOOKUP(B87,Формулы!L63:AP65,27,FALSE))</f>
        <v/>
      </c>
      <c r="K201" s="118" t="str">
        <f>IF(B87=Формулы!L63,"",VLOOKUP(B87,Формулы!L63:AP65,28,FALSE))</f>
        <v/>
      </c>
      <c r="L201" s="118" t="str">
        <f>IF(B87=Формулы!L63,"",VLOOKUP(B87,Формулы!L63:AP65,29,FALSE))</f>
        <v/>
      </c>
      <c r="M201" s="118" t="str">
        <f>IF(B87=Формулы!L63,"",VLOOKUP(B87,Формулы!L63:AP65,30,FALSE))</f>
        <v/>
      </c>
      <c r="N201" s="118" t="str">
        <f>IF(B87=Формулы!L63,"",VLOOKUP(B87,Формулы!L63:AP65,31,FALSE))</f>
        <v/>
      </c>
      <c r="O201" s="33"/>
    </row>
    <row r="202" spans="2:15" ht="15.75" customHeight="1" x14ac:dyDescent="0.25"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</row>
    <row r="203" spans="2:15" ht="15.75" customHeight="1" x14ac:dyDescent="0.25"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</row>
    <row r="204" spans="2:15" ht="15.75" customHeight="1" x14ac:dyDescent="0.25"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</row>
    <row r="205" spans="2:15" ht="15.75" customHeight="1" x14ac:dyDescent="0.35">
      <c r="B205" s="34" t="s">
        <v>200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</row>
    <row r="206" spans="2:15" ht="19.5" customHeight="1" x14ac:dyDescent="0.35">
      <c r="C206" s="135"/>
      <c r="D206" s="135" t="s">
        <v>193</v>
      </c>
      <c r="E206" s="135"/>
      <c r="F206" s="135"/>
      <c r="G206" s="135"/>
      <c r="H206" s="33"/>
      <c r="I206" s="33"/>
      <c r="J206" s="33"/>
      <c r="K206" s="33"/>
      <c r="L206" s="33"/>
      <c r="M206" s="33"/>
      <c r="N206" s="33"/>
      <c r="O206" s="33"/>
    </row>
    <row r="207" spans="2:15" ht="15.75" customHeight="1" x14ac:dyDescent="0.25"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</row>
    <row r="208" spans="2:15" ht="15.75" customHeight="1" x14ac:dyDescent="0.25"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</row>
    <row r="209" spans="2:15" ht="15.75" customHeight="1" x14ac:dyDescent="0.25"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</row>
    <row r="210" spans="2:15" ht="15.75" customHeight="1" x14ac:dyDescent="0.25"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</row>
    <row r="211" spans="2:15" ht="15.75" customHeight="1" x14ac:dyDescent="0.3">
      <c r="B211" s="203" t="s">
        <v>24</v>
      </c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</row>
    <row r="212" spans="2:15" ht="15.75" customHeight="1" x14ac:dyDescent="0.3">
      <c r="B212" s="203" t="s">
        <v>178</v>
      </c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</row>
    <row r="213" spans="2:15" ht="15.75" customHeight="1" x14ac:dyDescent="0.3">
      <c r="B213" s="203" t="s">
        <v>32</v>
      </c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</row>
    <row r="214" spans="2:15" ht="15.75" customHeight="1" x14ac:dyDescent="0.3">
      <c r="B214" s="203" t="s">
        <v>8</v>
      </c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</row>
    <row r="215" spans="2:15" ht="15.75" customHeight="1" x14ac:dyDescent="0.3">
      <c r="B215" s="203" t="s">
        <v>179</v>
      </c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</row>
    <row r="216" spans="2:15" ht="15.75" customHeight="1" x14ac:dyDescent="0.3">
      <c r="B216" s="203" t="s">
        <v>31</v>
      </c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</row>
    <row r="217" spans="2:15" ht="15.75" customHeight="1" x14ac:dyDescent="0.3">
      <c r="B217" s="203" t="s">
        <v>180</v>
      </c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</row>
    <row r="218" spans="2:15" ht="15.75" customHeight="1" x14ac:dyDescent="0.3">
      <c r="B218" s="203" t="s">
        <v>33</v>
      </c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</row>
    <row r="219" spans="2:15" ht="15.75" customHeight="1" x14ac:dyDescent="0.3">
      <c r="B219" s="203" t="s">
        <v>181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</row>
    <row r="220" spans="2:15" ht="15.75" customHeight="1" x14ac:dyDescent="0.3">
      <c r="B220" s="203" t="s">
        <v>182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</row>
    <row r="221" spans="2:15" ht="15.75" customHeight="1" x14ac:dyDescent="0.3">
      <c r="B221" s="203" t="s">
        <v>183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</row>
    <row r="222" spans="2:15" ht="15.75" customHeight="1" x14ac:dyDescent="0.3">
      <c r="B222" s="203" t="s">
        <v>84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</row>
    <row r="223" spans="2:15" ht="15.75" customHeight="1" x14ac:dyDescent="0.3">
      <c r="B223" s="203" t="s">
        <v>184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</row>
    <row r="224" spans="2:15" ht="15.75" customHeight="1" x14ac:dyDescent="0.3">
      <c r="B224" s="203" t="s">
        <v>185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</row>
    <row r="225" spans="2:15" ht="15.75" customHeight="1" x14ac:dyDescent="0.3">
      <c r="B225" s="203" t="s">
        <v>20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</row>
    <row r="226" spans="2:15" ht="15.75" customHeight="1" x14ac:dyDescent="0.3">
      <c r="B226" s="203" t="s">
        <v>30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</row>
    <row r="227" spans="2:15" ht="15.75" customHeight="1" x14ac:dyDescent="0.3">
      <c r="B227" s="203" t="s">
        <v>97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</row>
    <row r="228" spans="2:15" ht="15.75" customHeight="1" x14ac:dyDescent="0.25"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</row>
    <row r="229" spans="2:15" ht="15.75" customHeight="1" x14ac:dyDescent="0.25"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</row>
    <row r="230" spans="2:15" ht="15.75" customHeight="1" x14ac:dyDescent="0.25"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</row>
    <row r="231" spans="2:15" ht="15.75" customHeight="1" x14ac:dyDescent="0.3">
      <c r="B231" s="203" t="s">
        <v>23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</row>
    <row r="232" spans="2:15" ht="15.75" customHeight="1" x14ac:dyDescent="0.3">
      <c r="B232" s="203" t="s">
        <v>186</v>
      </c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</row>
    <row r="233" spans="2:15" ht="15.75" customHeight="1" x14ac:dyDescent="0.3">
      <c r="B233" s="203" t="s">
        <v>16</v>
      </c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</row>
    <row r="234" spans="2:15" ht="15.75" customHeight="1" x14ac:dyDescent="0.3">
      <c r="B234" s="203" t="s">
        <v>45</v>
      </c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</row>
    <row r="235" spans="2:15" ht="15.75" customHeight="1" x14ac:dyDescent="0.3">
      <c r="B235" s="203" t="s">
        <v>62</v>
      </c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</row>
    <row r="236" spans="2:15" ht="15.75" customHeight="1" x14ac:dyDescent="0.3">
      <c r="B236" s="203" t="s">
        <v>187</v>
      </c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</row>
    <row r="237" spans="2:15" ht="15.75" customHeight="1" x14ac:dyDescent="0.3">
      <c r="B237" s="203" t="s">
        <v>188</v>
      </c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</row>
    <row r="238" spans="2:15" ht="15.75" customHeight="1" x14ac:dyDescent="0.3">
      <c r="B238" s="203" t="s">
        <v>22</v>
      </c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</row>
    <row r="239" spans="2:15" ht="15.75" customHeight="1" x14ac:dyDescent="0.3">
      <c r="B239" s="203" t="s">
        <v>189</v>
      </c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</row>
    <row r="240" spans="2:15" ht="15.75" customHeight="1" x14ac:dyDescent="0.3">
      <c r="B240" s="203" t="s">
        <v>190</v>
      </c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</row>
    <row r="241" spans="2:15" ht="15.75" customHeight="1" x14ac:dyDescent="0.3">
      <c r="B241" s="203" t="s">
        <v>29</v>
      </c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</row>
    <row r="242" spans="2:15" ht="15.75" customHeight="1" x14ac:dyDescent="0.3">
      <c r="B242" s="203" t="s">
        <v>191</v>
      </c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</row>
    <row r="243" spans="2:15" ht="15.75" customHeight="1" x14ac:dyDescent="0.3">
      <c r="B243" s="203" t="s">
        <v>192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</row>
    <row r="244" spans="2:15" ht="15.75" customHeight="1" x14ac:dyDescent="0.25"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</row>
    <row r="245" spans="2:15" ht="15.75" customHeight="1" x14ac:dyDescent="0.25"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</row>
    <row r="246" spans="2:15" ht="15.75" customHeight="1" x14ac:dyDescent="0.25"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</row>
    <row r="247" spans="2:15" ht="15.75" customHeight="1" x14ac:dyDescent="0.3">
      <c r="B247" s="203" t="s">
        <v>194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</row>
    <row r="248" spans="2:15" ht="15.75" customHeight="1" x14ac:dyDescent="0.3">
      <c r="B248" s="203" t="s">
        <v>195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</row>
    <row r="249" spans="2:15" ht="15.75" customHeight="1" x14ac:dyDescent="0.3">
      <c r="B249" s="203" t="s">
        <v>196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</row>
    <row r="250" spans="2:15" ht="15.75" customHeight="1" x14ac:dyDescent="0.3">
      <c r="B250" s="203" t="s">
        <v>197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 spans="2:15" ht="15.75" customHeight="1" x14ac:dyDescent="0.3">
      <c r="B251" s="203" t="s">
        <v>198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</row>
    <row r="252" spans="2:15" ht="15.75" customHeight="1" x14ac:dyDescent="0.3">
      <c r="B252" s="203" t="s">
        <v>199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</row>
    <row r="253" spans="2:15" ht="15.75" customHeight="1" x14ac:dyDescent="0.25"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</row>
    <row r="254" spans="2:15" ht="15.75" customHeight="1" x14ac:dyDescent="0.25"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</row>
    <row r="255" spans="2:15" ht="15.75" customHeight="1" x14ac:dyDescent="0.25"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</row>
    <row r="256" spans="2:1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1">
    <mergeCell ref="C112:E114"/>
    <mergeCell ref="M187:N187"/>
    <mergeCell ref="C195:D195"/>
    <mergeCell ref="E195:F195"/>
    <mergeCell ref="G195:H195"/>
    <mergeCell ref="I195:J195"/>
    <mergeCell ref="K195:L195"/>
    <mergeCell ref="M195:N195"/>
    <mergeCell ref="C187:D187"/>
    <mergeCell ref="E187:F187"/>
    <mergeCell ref="G187:H187"/>
    <mergeCell ref="I187:J187"/>
    <mergeCell ref="K187:L187"/>
    <mergeCell ref="C177:N178"/>
    <mergeCell ref="C179:D179"/>
    <mergeCell ref="E179:F179"/>
    <mergeCell ref="G179:H179"/>
    <mergeCell ref="I179:J179"/>
    <mergeCell ref="K179:L179"/>
    <mergeCell ref="M179:N179"/>
    <mergeCell ref="AJ43:AM44"/>
    <mergeCell ref="AD44:AE44"/>
    <mergeCell ref="AF44:AG44"/>
    <mergeCell ref="AH44:AI44"/>
    <mergeCell ref="AD43:AI43"/>
    <mergeCell ref="B31:E32"/>
    <mergeCell ref="O169:O174"/>
    <mergeCell ref="O161:O166"/>
    <mergeCell ref="O152:O158"/>
    <mergeCell ref="M152:N152"/>
    <mergeCell ref="C63:K64"/>
    <mergeCell ref="C65:E65"/>
    <mergeCell ref="F65:H65"/>
    <mergeCell ref="I65:K65"/>
    <mergeCell ref="C150:O151"/>
    <mergeCell ref="B92:C93"/>
    <mergeCell ref="C152:D152"/>
    <mergeCell ref="E152:F152"/>
    <mergeCell ref="G152:H152"/>
    <mergeCell ref="I152:J152"/>
    <mergeCell ref="K152:L152"/>
  </mergeCells>
  <hyperlinks>
    <hyperlink ref="B212" r:id="rId1" display="https://boosty.to/yetiblog/posts/f74d3c31-1da4-4cd5-a8c8-39e9e6dd8081?share=post_link"/>
    <hyperlink ref="B213" r:id="rId2" display="https://boosty.to/yetiblog/posts/c47444c0-6e25-48df-8510-8c4e7a64c973?share=post_link"/>
    <hyperlink ref="B214" r:id="rId3" display="https://boosty.to/yetiblog/posts/2610ef2e-73b9-40b2-b1d0-48e75ee74be9?share=post_link"/>
    <hyperlink ref="B215" r:id="rId4" display="https://boosty.to/yetiblog/posts/971e14fa-f43e-4b17-9a17-6ebf921eca89?share=post_link"/>
    <hyperlink ref="B216" r:id="rId5" display="https://boosty.to/yetiblog/posts/483887e1-4039-4652-8b67-29a1ec04321c?share=post_link"/>
    <hyperlink ref="B217" r:id="rId6" display="https://boosty.to/yetiblog/posts/088b5631-cab6-4b5c-b163-cba3bbec512d?share=post_link"/>
    <hyperlink ref="B218" r:id="rId7" display="https://boosty.to/yetiblog/posts/478c3920-1b7b-4e73-ad8e-26c7d45f4814?share=post_link"/>
    <hyperlink ref="B219" r:id="rId8" display="https://boosty.to/yetiblog/posts/bf078f4d-242c-4592-b7f1-ea9b213db3d4?share=post_link"/>
    <hyperlink ref="B220" r:id="rId9" display="https://boosty.to/yetiblog/posts/1ade2eed-06c6-4b46-9105-9c28bbfeeda7?share=post_link"/>
    <hyperlink ref="B221" r:id="rId10" display="https://boosty.to/yetiblog/posts/27920553-8831-48fb-a9f3-9db8710de97e?share=post_link"/>
    <hyperlink ref="B222" r:id="rId11" display="https://boosty.to/yetiblog/posts/98ec8354-1fe5-4150-87ef-78fd464a27d1?share=post_link"/>
    <hyperlink ref="B223" r:id="rId12" display="https://boosty.to/yetiblog/posts/6abb5600-a62b-4085-aa37-bc3b8634b367?share=post_link"/>
    <hyperlink ref="B224" r:id="rId13" display="https://boosty.to/yetiblog/posts/7bebc374-39f7-47d2-a4e6-52d5bf73c839?share=post_link"/>
    <hyperlink ref="B225" r:id="rId14" display="https://boosty.to/yetiblog/posts/81382241-e99b-4410-ab93-9119ffb8bb27?share=post_link"/>
    <hyperlink ref="B226" r:id="rId15" display="https://boosty.to/yetiblog/posts/30ea2e5f-1151-40dc-9cad-fc4c1ed7b2ac?share=post_link"/>
    <hyperlink ref="B227" r:id="rId16" display="https://boosty.to/yetiblog/posts/effaebd1-f017-40f9-929c-4ac462634ad0?share=post_link"/>
    <hyperlink ref="B231" r:id="rId17" display="https://boosty.to/yetiblog/posts/92c0e29f-339c-4893-91ea-8124e17e2721?share=post_link"/>
    <hyperlink ref="B232" r:id="rId18" display="https://boosty.to/yetiblog/posts/f4eab4fc-a452-475f-abd1-7b5f13209e7a"/>
    <hyperlink ref="B233" r:id="rId19" display="https://boosty.to/yetiblog/posts/31b0c7c9-8a65-4d69-a61b-e7b52acad96b?share=post_link"/>
    <hyperlink ref="B234" r:id="rId20" display="https://boosty.to/yetiblog/posts/1133be33-0ded-4e25-b874-986b4f44888a?share=post_link"/>
    <hyperlink ref="B235" r:id="rId21" display="https://boosty.to/yetiblog/posts/8b2ab7cc-ae59-4f56-887f-318c04a28b84?share=post_link"/>
    <hyperlink ref="B236" r:id="rId22" display="https://boosty.to/yetiblog/posts/cf196b35-5c75-423b-8470-99fd876e45d8?share=post_link"/>
    <hyperlink ref="B237" r:id="rId23" display="https://boosty.to/yetiblog/posts/9cb76d93-13c3-4bd7-ba87-0112dcf276cf?share=post_link"/>
    <hyperlink ref="B238" r:id="rId24" display="https://boosty.to/yetiblog/posts/7f4113d3-c740-427f-a7f3-fe0bc846a758?share=post_link"/>
    <hyperlink ref="B239" r:id="rId25" display="https://boosty.to/yetiblog/posts/fb94df9d-afad-4995-94e2-03ce44ad4c17?share=post_link"/>
    <hyperlink ref="B240" r:id="rId26" display="https://boosty.to/yetiblog/posts/3d89fedb-3c2a-425b-80b5-4ad5fc30607a?share=post_link"/>
    <hyperlink ref="B241" r:id="rId27" display="https://boosty.to/yetiblog/posts/9d4bbf5c-74c2-4da2-8570-8b7921fa56b7?share=post_link"/>
    <hyperlink ref="B242" r:id="rId28" display="https://boosty.to/yetiblog/posts/978677d6-0937-479b-91a4-36e8fff139cb?share=post_link"/>
    <hyperlink ref="B243" r:id="rId29" display="https://boosty.to/yetiblog/posts/7437ec41-5ca1-4d7b-90d3-424eaa6eeb41?share=post_link"/>
    <hyperlink ref="B247" r:id="rId30" display="https://boosty.to/yetiblog/posts/08744dcd-d1aa-4606-921c-5848e1682bad?share=post_link"/>
    <hyperlink ref="B248" r:id="rId31" display="https://boosty.to/yetiblog/posts/cb9dc094-8498-4fea-ae9c-59444b24937c?share=post_link"/>
    <hyperlink ref="B249" r:id="rId32" display="https://boosty.to/yetiblog/posts/619a9daa-b55d-40ef-b531-72f2acbfd7b0?share=post_link"/>
    <hyperlink ref="B250" r:id="rId33" display="https://boosty.to/yetiblog/posts/79934210-0bc9-47f4-b9bf-959b0a3fd875?share=post_link"/>
    <hyperlink ref="B251" r:id="rId34" display="https://boosty.to/yetiblog/posts/35665ccb-2137-412f-bc9b-6fddb212d07f?share=post_link"/>
    <hyperlink ref="B252" r:id="rId35" display="https://boosty.to/yetiblog/posts/74130f39-1700-414a-b115-6e49fde83738?share=post_link"/>
    <hyperlink ref="B211" r:id="rId36" display="https://boosty.to/yetiblog/posts/6009bcd8-9ef8-4b6f-96b6-d263bd26dc38?share=post_link"/>
    <hyperlink ref="D206" r:id="rId37" display="https://boosty.to/yetiblog"/>
    <hyperlink ref="B6" r:id="rId38"/>
  </hyperlinks>
  <pageMargins left="0.7" right="0.7" top="0.75" bottom="0.75" header="0" footer="0"/>
  <pageSetup paperSize="9" orientation="portrait" r:id="rId39"/>
  <ignoredErrors>
    <ignoredError sqref="B116:B120" unlockedFormula="1"/>
  </ignoredErrors>
  <drawing r:id="rId40"/>
  <extLst>
    <ext xmlns:x14="http://schemas.microsoft.com/office/spreadsheetml/2009/9/main" uri="{CCE6A557-97BC-4b89-ADB6-D9C93CAAB3DF}">
      <x14:dataValidations xmlns:xm="http://schemas.microsoft.com/office/excel/2006/main" count="37">
        <x14:dataValidation type="list" allowBlank="1" showInputMessage="1" showErrorMessage="1">
          <x14:formula1>
            <xm:f>Коэффициенты!$K$3:$K$6</xm:f>
          </x14:formula1>
          <xm:sqref>D116 D118 D126 D133</xm:sqref>
        </x14:dataValidation>
        <x14:dataValidation type="list" allowBlank="1" showInputMessage="1" showErrorMessage="1">
          <x14:formula1>
            <xm:f>Коэффициенты!$D$3:$D$6</xm:f>
          </x14:formula1>
          <xm:sqref>E116 E118 E124</xm:sqref>
        </x14:dataValidation>
        <x14:dataValidation type="list" allowBlank="1" showInputMessage="1" showErrorMessage="1">
          <x14:formula1>
            <xm:f>Коэффициенты!$N$3:$N$6</xm:f>
          </x14:formula1>
          <xm:sqref>D124:D125</xm:sqref>
        </x14:dataValidation>
        <x14:dataValidation type="list" showInputMessage="1" showErrorMessage="1">
          <x14:formula1>
            <xm:f>Формулы!$L$13:$L$15</xm:f>
          </x14:formula1>
          <xm:sqref>B68</xm:sqref>
        </x14:dataValidation>
        <x14:dataValidation type="list" allowBlank="1" showInputMessage="1" showErrorMessage="1">
          <x14:formula1>
            <xm:f>Формулы!$L$9:$L$11</xm:f>
          </x14:formula1>
          <xm:sqref>B67</xm:sqref>
        </x14:dataValidation>
        <x14:dataValidation type="list" allowBlank="1" showInputMessage="1" showErrorMessage="1">
          <x14:formula1>
            <xm:f>Формулы!$L$17:$L$19</xm:f>
          </x14:formula1>
          <xm:sqref>B69</xm:sqref>
        </x14:dataValidation>
        <x14:dataValidation type="list" allowBlank="1" showInputMessage="1" showErrorMessage="1">
          <x14:formula1>
            <xm:f>Формулы!$L$24:$L$26</xm:f>
          </x14:formula1>
          <xm:sqref>B75</xm:sqref>
        </x14:dataValidation>
        <x14:dataValidation type="list" allowBlank="1" showInputMessage="1" showErrorMessage="1">
          <x14:formula1>
            <xm:f>Формулы!$L$21:$L$22</xm:f>
          </x14:formula1>
          <xm:sqref>B70</xm:sqref>
        </x14:dataValidation>
        <x14:dataValidation type="list" allowBlank="1" showInputMessage="1" showErrorMessage="1">
          <x14:formula1>
            <xm:f>IF($B$68=Формулы!$L$14, Коэффициенты!$E$16:$E$20, Коэффициенты!$D$3:$D$6)</xm:f>
          </x14:formula1>
          <xm:sqref>E117</xm:sqref>
        </x14:dataValidation>
        <x14:dataValidation type="list" allowBlank="1" showInputMessage="1" showErrorMessage="1">
          <x14:formula1>
            <xm:f>IF($B$68=Формулы!$L$14, Коэффициенты!$E$16:$E$46, Коэффициенты!$H$3:$H$6)</xm:f>
          </x14:formula1>
          <xm:sqref>D117</xm:sqref>
        </x14:dataValidation>
        <x14:dataValidation type="list" allowBlank="1" showInputMessage="1" showErrorMessage="1">
          <x14:formula1>
            <xm:f>IF($B$70=Формулы!$L$21, Коэффициенты!$N$5:$N$11, Коэффициенты!$N$3:$N$6)</xm:f>
          </x14:formula1>
          <xm:sqref>D119</xm:sqref>
        </x14:dataValidation>
        <x14:dataValidation type="list" allowBlank="1" showInputMessage="1" showErrorMessage="1">
          <x14:formula1>
            <xm:f>IF($B$70=Формулы!$L$22, Коэффициенты!$D$3:$D$4, Коэффициенты!$C$2:$C$5)</xm:f>
          </x14:formula1>
          <xm:sqref>E119</xm:sqref>
        </x14:dataValidation>
        <x14:dataValidation type="list" allowBlank="1" showInputMessage="1" showErrorMessage="1">
          <x14:formula1>
            <xm:f>Формулы!$L$33:$L$34</xm:f>
          </x14:formula1>
          <xm:sqref>B77</xm:sqref>
        </x14:dataValidation>
        <x14:dataValidation type="list" allowBlank="1" showInputMessage="1" showErrorMessage="1">
          <x14:formula1>
            <xm:f>Формулы!$L$44:$L$45</xm:f>
          </x14:formula1>
          <xm:sqref>B83</xm:sqref>
        </x14:dataValidation>
        <x14:dataValidation type="list" allowBlank="1" showInputMessage="1" showErrorMessage="1">
          <x14:formula1>
            <xm:f>IF($B$67=Формулы!$L$30, Формулы!$L$28:$L$29, Формулы!$L$28:$L$30)</xm:f>
          </x14:formula1>
          <xm:sqref>B76</xm:sqref>
        </x14:dataValidation>
        <x14:dataValidation type="list" allowBlank="1" showInputMessage="1" showErrorMessage="1">
          <x14:formula1>
            <xm:f>IF($B$67=Формулы!$L$10,Формулы!$L$37,Формулы!$L$36:$L$38)</xm:f>
          </x14:formula1>
          <xm:sqref>B78</xm:sqref>
        </x14:dataValidation>
        <x14:dataValidation type="list" allowBlank="1" showInputMessage="1" showErrorMessage="1">
          <x14:formula1>
            <xm:f>Формулы!$L$39:$L$41</xm:f>
          </x14:formula1>
          <xm:sqref>B79</xm:sqref>
        </x14:dataValidation>
        <x14:dataValidation type="list" allowBlank="1" showInputMessage="1" showErrorMessage="1">
          <x14:formula1>
            <xm:f>IF($B$83=Формулы!$L$44, Коэффициенты!$K$3:$K$6, Коэффициенты!$N$3:$N$11)</xm:f>
          </x14:formula1>
          <xm:sqref>D132</xm:sqref>
        </x14:dataValidation>
        <x14:dataValidation type="list" allowBlank="1" showInputMessage="1" showErrorMessage="1">
          <x14:formula1>
            <xm:f>IF($B$83=Формулы!$L$44, Коэффициенты!$D$3:$D$4, Коэффициенты!$Q$3:$Q$5)</xm:f>
          </x14:formula1>
          <xm:sqref>E132</xm:sqref>
        </x14:dataValidation>
        <x14:dataValidation type="list" allowBlank="1" showInputMessage="1" showErrorMessage="1">
          <x14:formula1>
            <xm:f>IF($B$77=Формулы!$L$34, Коэффициенты!$Q$3:$Q$4, Коэффициенты!$D$3:$D$4)</xm:f>
          </x14:formula1>
          <xm:sqref>E126</xm:sqref>
        </x14:dataValidation>
        <x14:dataValidation type="list" allowBlank="1" showInputMessage="1" showErrorMessage="1">
          <x14:formula1>
            <xm:f>IF($B$78=Формулы!$L$37, Коэффициенты!$E$16:$E$61, IF($B$78=Формулы!$L$38, Коэффициенты!$N$5:$N$11, Коэффициенты!$N$3:$N$6))</xm:f>
          </x14:formula1>
          <xm:sqref>D127</xm:sqref>
        </x14:dataValidation>
        <x14:dataValidation type="list" allowBlank="1" showInputMessage="1" showErrorMessage="1">
          <x14:formula1>
            <xm:f>IF($B$78=Формулы!$L$37,Коэффициенты!$E$16:$E$21, Коэффициенты!$D$3:$D$5)</xm:f>
          </x14:formula1>
          <xm:sqref>E127</xm:sqref>
        </x14:dataValidation>
        <x14:dataValidation type="list" allowBlank="1" showInputMessage="1" showErrorMessage="1">
          <x14:formula1>
            <xm:f>IF($B$76=Формулы!$L$29, Коэффициенты!$Q$3:$Q$5, Коэффициенты!$D$3:$D$6)</xm:f>
          </x14:formula1>
          <xm:sqref>E125</xm:sqref>
        </x14:dataValidation>
        <x14:dataValidation type="list" allowBlank="1" showInputMessage="1" showErrorMessage="1">
          <x14:formula1>
            <xm:f>IF($B$79=Формулы!$L$39, Коэффициенты!$K$21, Коэффициенты!$N$3:$N$11)</xm:f>
          </x14:formula1>
          <xm:sqref>D128</xm:sqref>
        </x14:dataValidation>
        <x14:dataValidation type="list" allowBlank="1" showInputMessage="1" showErrorMessage="1">
          <x14:formula1>
            <xm:f>IF($B$79=Формулы!$L$39, Коэффициенты!$K$20, Коэффициенты!$D$3:$D$5)</xm:f>
          </x14:formula1>
          <xm:sqref>E128</xm:sqref>
        </x14:dataValidation>
        <x14:dataValidation type="list" allowBlank="1" showInputMessage="1" showErrorMessage="1">
          <x14:formula1>
            <xm:f>Формулы!$L$48:$L$50</xm:f>
          </x14:formula1>
          <xm:sqref>B84</xm:sqref>
        </x14:dataValidation>
        <x14:dataValidation type="list" allowBlank="1" showInputMessage="1" showErrorMessage="1">
          <x14:formula1>
            <xm:f>Формулы!$L$54:$L$56</xm:f>
          </x14:formula1>
          <xm:sqref>B85</xm:sqref>
        </x14:dataValidation>
        <x14:dataValidation type="list" allowBlank="1" showInputMessage="1" showErrorMessage="1">
          <x14:formula1>
            <xm:f>IF($B$68=Формулы!$L$13, Формулы!$L$59, Формулы!$L$59:$L$61)</xm:f>
          </x14:formula1>
          <xm:sqref>B86</xm:sqref>
        </x14:dataValidation>
        <x14:dataValidation type="list" allowBlank="1" showInputMessage="1" showErrorMessage="1">
          <x14:formula1>
            <xm:f>Формулы!$L$63:$L$65</xm:f>
          </x14:formula1>
          <xm:sqref>B87</xm:sqref>
        </x14:dataValidation>
        <x14:dataValidation type="list" allowBlank="1" showInputMessage="1" showErrorMessage="1">
          <x14:formula1>
            <xm:f>Формулы!$L$67:$L$69</xm:f>
          </x14:formula1>
          <xm:sqref>B71</xm:sqref>
        </x14:dataValidation>
        <x14:dataValidation type="list" allowBlank="1" showInputMessage="1" showErrorMessage="1">
          <x14:formula1>
            <xm:f>IF($B$84=Формулы!$L$49, Коэффициенты!$Q$3:$Q$5, Коэффициенты!$D$3:$D$5)</xm:f>
          </x14:formula1>
          <xm:sqref>E133</xm:sqref>
        </x14:dataValidation>
        <x14:dataValidation type="list" allowBlank="1" showInputMessage="1" showErrorMessage="1">
          <x14:formula1>
            <xm:f>IF($B$85=Формулы!$L$55,Коэффициенты!$N$3:$N$11, Коэффициенты!$K$3:$K$6)</xm:f>
          </x14:formula1>
          <xm:sqref>D134</xm:sqref>
        </x14:dataValidation>
        <x14:dataValidation type="list" allowBlank="1" showInputMessage="1" showErrorMessage="1">
          <x14:formula1>
            <xm:f>IF($B$85=Формулы!$L$55, Коэффициенты!$D$4:$D$7, Коэффициенты!$D$3:$D$6)</xm:f>
          </x14:formula1>
          <xm:sqref>E134</xm:sqref>
        </x14:dataValidation>
        <x14:dataValidation type="list" allowBlank="1" showInputMessage="1" showErrorMessage="1">
          <x14:formula1>
            <xm:f>IF($B$86=Формулы!$L$59, Коэффициенты!$E$16:$E$61, Коэффициенты!$N$3:$N$11)</xm:f>
          </x14:formula1>
          <xm:sqref>D135</xm:sqref>
        </x14:dataValidation>
        <x14:dataValidation type="list" allowBlank="1" showInputMessage="1" showErrorMessage="1">
          <x14:formula1>
            <xm:f>IF($B$86=Формулы!$L$59, Коэффициенты!$C$2:$C$6, Коэффициенты!$E$3:$E$5)</xm:f>
          </x14:formula1>
          <xm:sqref>E135</xm:sqref>
        </x14:dataValidation>
        <x14:dataValidation type="list" allowBlank="1" showInputMessage="1" showErrorMessage="1">
          <x14:formula1>
            <xm:f>IF($B$87=Формулы!$L$63, Коэффициенты!$J$16, Коэффициенты!$N$5:$N$11)</xm:f>
          </x14:formula1>
          <xm:sqref>D136</xm:sqref>
        </x14:dataValidation>
        <x14:dataValidation type="list" allowBlank="1" showInputMessage="1" showErrorMessage="1">
          <x14:formula1>
            <xm:f>IF($B$87=Формулы!$L$63, Коэффициенты!$J$16, Коэффициенты!$E$3:$E$4)</xm:f>
          </x14:formula1>
          <xm:sqref>E136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K2:AP83"/>
  <sheetViews>
    <sheetView topLeftCell="W10" workbookViewId="0">
      <selection activeCell="AO34" sqref="AO34"/>
    </sheetView>
  </sheetViews>
  <sheetFormatPr defaultRowHeight="15" x14ac:dyDescent="0.25"/>
  <cols>
    <col min="12" max="12" width="20.5703125" customWidth="1"/>
    <col min="13" max="13" width="31.42578125" customWidth="1"/>
    <col min="14" max="14" width="16.42578125" customWidth="1"/>
    <col min="15" max="15" width="21" customWidth="1"/>
    <col min="16" max="16" width="21.42578125" customWidth="1"/>
    <col min="17" max="17" width="15.85546875" customWidth="1"/>
    <col min="18" max="18" width="12.42578125" customWidth="1"/>
    <col min="19" max="19" width="14" customWidth="1"/>
    <col min="20" max="20" width="12.28515625" customWidth="1"/>
    <col min="21" max="21" width="13.28515625" customWidth="1"/>
    <col min="22" max="22" width="13.7109375" customWidth="1"/>
    <col min="23" max="23" width="10.7109375" customWidth="1"/>
    <col min="24" max="24" width="11.7109375" customWidth="1"/>
    <col min="25" max="25" width="10" customWidth="1"/>
    <col min="26" max="26" width="11.85546875" customWidth="1"/>
    <col min="27" max="27" width="12.5703125" customWidth="1"/>
    <col min="28" max="28" width="12.28515625" customWidth="1"/>
    <col min="31" max="31" width="14.42578125" customWidth="1"/>
    <col min="32" max="32" width="12" customWidth="1"/>
    <col min="33" max="33" width="14.85546875" customWidth="1"/>
    <col min="34" max="34" width="12.5703125" customWidth="1"/>
    <col min="35" max="35" width="11.140625" customWidth="1"/>
    <col min="36" max="36" width="12.42578125" customWidth="1"/>
    <col min="37" max="37" width="10.7109375" customWidth="1"/>
    <col min="38" max="38" width="12.140625" customWidth="1"/>
    <col min="39" max="39" width="11.5703125" customWidth="1"/>
    <col min="40" max="40" width="12.42578125" customWidth="1"/>
    <col min="41" max="41" width="9.140625" customWidth="1"/>
    <col min="42" max="42" width="12" customWidth="1"/>
  </cols>
  <sheetData>
    <row r="2" spans="11:42" ht="15.75" thickBot="1" x14ac:dyDescent="0.3"/>
    <row r="3" spans="11:42" ht="15.75" thickBot="1" x14ac:dyDescent="0.3">
      <c r="M3" s="13">
        <v>100</v>
      </c>
    </row>
    <row r="7" spans="11:42" x14ac:dyDescent="0.25">
      <c r="N7" s="6" t="s">
        <v>50</v>
      </c>
      <c r="Q7" s="3" t="s">
        <v>34</v>
      </c>
      <c r="R7" s="3"/>
      <c r="S7" s="3" t="s">
        <v>35</v>
      </c>
      <c r="T7" s="3"/>
      <c r="U7" s="3" t="s">
        <v>36</v>
      </c>
      <c r="V7" s="3"/>
      <c r="W7" s="3" t="s">
        <v>37</v>
      </c>
      <c r="X7" s="3"/>
      <c r="Y7" s="3" t="s">
        <v>38</v>
      </c>
      <c r="Z7" s="3"/>
      <c r="AA7" s="3" t="s">
        <v>39</v>
      </c>
      <c r="AB7" s="3"/>
      <c r="AE7" s="3" t="s">
        <v>34</v>
      </c>
      <c r="AF7" s="3"/>
      <c r="AG7" s="3" t="s">
        <v>35</v>
      </c>
      <c r="AH7" s="3"/>
      <c r="AI7" s="3" t="s">
        <v>36</v>
      </c>
      <c r="AJ7" s="3"/>
      <c r="AK7" s="3" t="s">
        <v>37</v>
      </c>
      <c r="AL7" s="3"/>
      <c r="AM7" s="3" t="s">
        <v>38</v>
      </c>
      <c r="AN7" s="3"/>
      <c r="AO7" s="3" t="s">
        <v>39</v>
      </c>
      <c r="AP7" s="3"/>
    </row>
    <row r="8" spans="11:42" ht="15.75" thickBot="1" x14ac:dyDescent="0.3">
      <c r="K8" s="5"/>
      <c r="L8" s="5"/>
      <c r="M8" s="5"/>
      <c r="N8" s="6" t="s">
        <v>64</v>
      </c>
      <c r="O8" s="6" t="s">
        <v>65</v>
      </c>
      <c r="P8" s="6" t="s">
        <v>63</v>
      </c>
      <c r="Q8" s="2" t="s">
        <v>46</v>
      </c>
      <c r="R8" s="2" t="s">
        <v>7</v>
      </c>
      <c r="S8" s="2" t="s">
        <v>46</v>
      </c>
      <c r="T8" s="2" t="s">
        <v>7</v>
      </c>
      <c r="U8" s="2" t="s">
        <v>46</v>
      </c>
      <c r="V8" s="2" t="s">
        <v>7</v>
      </c>
      <c r="W8" s="2" t="s">
        <v>46</v>
      </c>
      <c r="X8" s="2" t="s">
        <v>7</v>
      </c>
      <c r="Y8" s="2" t="s">
        <v>46</v>
      </c>
      <c r="Z8" s="2" t="s">
        <v>7</v>
      </c>
      <c r="AA8" s="2" t="s">
        <v>46</v>
      </c>
      <c r="AB8" s="2" t="s">
        <v>7</v>
      </c>
      <c r="AC8" s="3" t="s">
        <v>53</v>
      </c>
      <c r="AD8" s="4"/>
      <c r="AE8" s="2" t="s">
        <v>46</v>
      </c>
      <c r="AF8" s="2" t="s">
        <v>7</v>
      </c>
      <c r="AG8" s="2" t="s">
        <v>46</v>
      </c>
      <c r="AH8" s="2" t="s">
        <v>7</v>
      </c>
      <c r="AI8" s="2" t="s">
        <v>46</v>
      </c>
      <c r="AJ8" s="2" t="s">
        <v>7</v>
      </c>
      <c r="AK8" s="2" t="s">
        <v>46</v>
      </c>
      <c r="AL8" s="2" t="s">
        <v>7</v>
      </c>
      <c r="AM8" s="2" t="s">
        <v>46</v>
      </c>
      <c r="AN8" s="2" t="s">
        <v>7</v>
      </c>
      <c r="AO8" s="2" t="s">
        <v>46</v>
      </c>
      <c r="AP8" s="2" t="s">
        <v>7</v>
      </c>
    </row>
    <row r="9" spans="11:42" ht="20.25" customHeight="1" thickBot="1" x14ac:dyDescent="0.35">
      <c r="K9" s="6"/>
      <c r="L9" s="1" t="s">
        <v>8</v>
      </c>
      <c r="M9" s="6"/>
      <c r="N9" s="7">
        <f>'Программа тренировок '!C116</f>
        <v>117.5</v>
      </c>
      <c r="O9" s="7">
        <f>'Программа тренировок '!D116</f>
        <v>4</v>
      </c>
      <c r="P9" s="10">
        <f>'Программа тренировок '!E116</f>
        <v>5</v>
      </c>
      <c r="Q9" s="4" t="str">
        <f>CEILING(N9*VLOOKUP(O9, Коэффициенты!H3:I6, 2,FALSE)*0.7,2.5)&amp;" кг"</f>
        <v>90 кг</v>
      </c>
      <c r="R9" s="4" t="s">
        <v>47</v>
      </c>
      <c r="S9" s="4" t="str">
        <f>CEILING(N9*VLOOKUP(O9, Коэффициенты!H3:I6, 2,FALSE)*0.75,2.5)&amp;" кг"</f>
        <v>97,5 кг</v>
      </c>
      <c r="T9" s="4" t="s">
        <v>13</v>
      </c>
      <c r="U9" s="4" t="str">
        <f>CEILING(N9*VLOOKUP(O9, Коэффициенты!H3:I6, 2,FALSE)*0.8,2.5)&amp;" кг"</f>
        <v>102,5 кг</v>
      </c>
      <c r="V9" s="4" t="s">
        <v>15</v>
      </c>
      <c r="W9" s="4" t="str">
        <f>CEILING(N9*VLOOKUP(O9, Коэффициенты!H3:I6, 2,FALSE)*0.85,2.5)&amp;" кг"</f>
        <v>110 кг</v>
      </c>
      <c r="X9" s="4" t="s">
        <v>48</v>
      </c>
      <c r="Y9" s="4" t="str">
        <f>CEILING(N9*VLOOKUP(O9, Коэффициенты!H3:I6, 2,FALSE)*0.9,2.5)&amp;" кг"</f>
        <v>115 кг</v>
      </c>
      <c r="Z9" s="4" t="s">
        <v>17</v>
      </c>
      <c r="AA9" s="4" t="str">
        <f>CEILING((N9*VLOOKUP(O9, Коэффициенты!H3:I6, 2,FALSE)+P9)*0.9,2.5)&amp;" кг"</f>
        <v>120 кг</v>
      </c>
      <c r="AB9" s="4" t="s">
        <v>49</v>
      </c>
      <c r="AC9" s="4"/>
      <c r="AD9" s="4"/>
      <c r="AE9" s="4" t="str">
        <f>CEILING((N9*VLOOKUP(O9, Коэффициенты!H3:I6, 2,FALSE)+P9)*0.7,2.5)&amp;" кг"</f>
        <v>95 кг</v>
      </c>
      <c r="AF9" s="11" t="s">
        <v>47</v>
      </c>
      <c r="AG9" s="4" t="str">
        <f>CEILING((N9*VLOOKUP(O9, Коэффициенты!H3:I6, 2,FALSE)+P9)*0.75,2.5)&amp;" кг"</f>
        <v>100 кг</v>
      </c>
      <c r="AH9" s="11" t="s">
        <v>13</v>
      </c>
      <c r="AI9" s="4" t="str">
        <f>CEILING((N9*VLOOKUP(O9, Коэффициенты!H3:I6, 2,FALSE)+P9)*0.8,2.5)&amp;" кг"</f>
        <v>107,5 кг</v>
      </c>
      <c r="AJ9" s="11" t="s">
        <v>15</v>
      </c>
      <c r="AK9" s="4" t="str">
        <f>CEILING((N9*VLOOKUP(O9, Коэффициенты!H3:I6, 2,FALSE)+P9)*0.85,2.5)&amp;" кг"</f>
        <v>115 кг</v>
      </c>
      <c r="AL9" s="11" t="s">
        <v>48</v>
      </c>
      <c r="AM9" s="4" t="str">
        <f>CEILING((N9*VLOOKUP(O9, Коэффициенты!H3:I6, 2,FALSE)+P9)*0.9,2.5)&amp;" кг"</f>
        <v>120 кг</v>
      </c>
      <c r="AN9" s="4" t="s">
        <v>17</v>
      </c>
      <c r="AO9" s="4" t="str">
        <f>FLOOR((N9*VLOOKUP(O9, Коэффициенты!H3:I6, 2,FALSE)+P9+P9)*0.9,2.5)&amp;" кг"</f>
        <v>122,5 кг</v>
      </c>
      <c r="AP9" s="4" t="s">
        <v>49</v>
      </c>
    </row>
    <row r="10" spans="11:42" ht="19.5" thickBot="1" x14ac:dyDescent="0.35">
      <c r="L10" s="27" t="s">
        <v>75</v>
      </c>
      <c r="N10" s="7">
        <f>'Программа тренировок '!C116</f>
        <v>117.5</v>
      </c>
      <c r="O10" s="7">
        <v>4</v>
      </c>
      <c r="P10" s="24">
        <f>'Программа тренировок '!E116</f>
        <v>5</v>
      </c>
      <c r="Q10" s="23" t="s">
        <v>68</v>
      </c>
      <c r="R10" s="21" t="str">
        <f>FLOOR(0.4*O37,1)&amp;" повт"</f>
        <v>2 повт</v>
      </c>
      <c r="S10" s="21" t="s">
        <v>69</v>
      </c>
      <c r="T10" s="21" t="str">
        <f>FLOOR(0.5*O37,1)&amp;" повт"</f>
        <v>3 повт</v>
      </c>
      <c r="U10" s="21" t="s">
        <v>70</v>
      </c>
      <c r="V10" s="17" t="str">
        <f>CEILING(0.6*O37,1)&amp;" повт"</f>
        <v>4 повт</v>
      </c>
      <c r="W10" s="4" t="str">
        <f>N10/2&amp;" кг"</f>
        <v>58,75 кг</v>
      </c>
      <c r="X10" s="11" t="s">
        <v>44</v>
      </c>
      <c r="Y10" s="4" t="str">
        <f>N10*0.8&amp;" кг"</f>
        <v>94 кг</v>
      </c>
      <c r="Z10" s="4" t="s">
        <v>17</v>
      </c>
      <c r="AA10" s="4" t="str">
        <f>IF(O10&lt;6,N10+P10, N10+P10+2.5)&amp;" кг"</f>
        <v>122,5 кг</v>
      </c>
      <c r="AB10" s="17" t="s">
        <v>56</v>
      </c>
      <c r="AC10" s="4"/>
      <c r="AD10" s="4"/>
      <c r="AE10" s="21" t="s">
        <v>69</v>
      </c>
      <c r="AF10" s="11" t="str">
        <f>FLOOR(0.4*O10+P10,1)&amp;" повт"</f>
        <v>6 повт</v>
      </c>
      <c r="AG10" s="21" t="s">
        <v>70</v>
      </c>
      <c r="AH10" s="11" t="str">
        <f>FLOOR(0.5*O10+P10,1)&amp;" повт"</f>
        <v>7 повт</v>
      </c>
      <c r="AI10" s="4" t="str">
        <f>W10</f>
        <v>58,75 кг</v>
      </c>
      <c r="AJ10" s="11" t="s">
        <v>15</v>
      </c>
      <c r="AK10" s="4" t="str">
        <f>Y10</f>
        <v>94 кг</v>
      </c>
      <c r="AL10" s="11" t="s">
        <v>48</v>
      </c>
      <c r="AM10" s="4" t="str">
        <f>AA10</f>
        <v>122,5 кг</v>
      </c>
      <c r="AN10" s="11" t="s">
        <v>17</v>
      </c>
      <c r="AO10" s="4" t="str">
        <f>IF(O10&lt;6,N10+P10, N10+P10+2.5)+P10&amp;" кг"</f>
        <v>127,5 кг</v>
      </c>
      <c r="AP10" s="11" t="s">
        <v>49</v>
      </c>
    </row>
    <row r="11" spans="11:42" ht="20.25" customHeight="1" thickBot="1" x14ac:dyDescent="0.35">
      <c r="L11" s="15" t="s">
        <v>25</v>
      </c>
      <c r="N11" s="7">
        <f>'Программа тренировок '!C116</f>
        <v>117.5</v>
      </c>
      <c r="O11" s="7">
        <f>'Программа тренировок '!D116</f>
        <v>4</v>
      </c>
      <c r="P11" s="10">
        <f>'Программа тренировок '!E116</f>
        <v>5</v>
      </c>
      <c r="Q11" s="4" t="str">
        <f>CEILING(N11*VLOOKUP(O11, Коэффициенты!N3:O11, 2,FALSE)*0.7,2.5)&amp;" кг"</f>
        <v>85 кг</v>
      </c>
      <c r="R11" s="4" t="s">
        <v>47</v>
      </c>
      <c r="S11" s="4" t="str">
        <f>CEILING(N11*VLOOKUP(O11, Коэффициенты!N3:O11, 2,FALSE)*0.75,2.5)&amp;" кг"</f>
        <v>92,5 кг</v>
      </c>
      <c r="T11" s="4" t="s">
        <v>13</v>
      </c>
      <c r="U11" s="4" t="str">
        <f>CEILING(N11*VLOOKUP(O11, Коэффициенты!N3:O11, 2,FALSE)*0.8,2.5)&amp;" кг"</f>
        <v>97,5 кг</v>
      </c>
      <c r="V11" s="4" t="s">
        <v>15</v>
      </c>
      <c r="W11" s="4" t="str">
        <f>CEILING(N11*VLOOKUP(O11, Коэффициенты!N3:O11, 2,FALSE)*0.85,2.5)&amp;" кг"</f>
        <v>105 кг</v>
      </c>
      <c r="X11" s="4" t="s">
        <v>48</v>
      </c>
      <c r="Y11" s="4" t="str">
        <f>CEILING(N11*VLOOKUP(O11, Коэффициенты!N3:O11, 2,FALSE)*0.9,2.5)&amp;" кг"</f>
        <v>110 кг</v>
      </c>
      <c r="Z11" s="4" t="s">
        <v>17</v>
      </c>
      <c r="AA11" s="4" t="str">
        <f>CEILING((N11*VLOOKUP(O11, Коэффициенты!N3:O11, 2,FALSE)+P11)*0.9,2.5)&amp;" кг"</f>
        <v>115 кг</v>
      </c>
      <c r="AB11" s="4" t="s">
        <v>49</v>
      </c>
      <c r="AC11" s="4"/>
      <c r="AD11" s="4"/>
      <c r="AE11" s="4" t="str">
        <f>CEILING((N11*VLOOKUP(O11, Коэффициенты!N3:O11, 2,FALSE)+P11)*0.7,2.5)&amp;" кг"</f>
        <v>90 кг</v>
      </c>
      <c r="AF11" s="11" t="s">
        <v>47</v>
      </c>
      <c r="AG11" s="4" t="str">
        <f>CEILING((N11*VLOOKUP(O11, Коэффициенты!N3:O11, 2,FALSE)+P11)*0.75,2.5)&amp;" кг"</f>
        <v>95 кг</v>
      </c>
      <c r="AH11" s="11" t="s">
        <v>13</v>
      </c>
      <c r="AI11" s="4" t="str">
        <f>CEILING((N11*VLOOKUP(O11, Коэффициенты!N3:O11, 2,FALSE)+P11)*0.8,2.5)&amp;" кг"</f>
        <v>102,5 кг</v>
      </c>
      <c r="AJ11" s="11" t="s">
        <v>15</v>
      </c>
      <c r="AK11" s="4" t="str">
        <f>CEILING((N11*VLOOKUP(O11, Коэффициенты!N3:O11, 2,FALSE)+P11)*0.85,2.5)&amp;" кг"</f>
        <v>107,5 кг</v>
      </c>
      <c r="AL11" s="11" t="s">
        <v>48</v>
      </c>
      <c r="AM11" s="4" t="str">
        <f>CEILING((N11*VLOOKUP(O11, Коэффициенты!N3:O11, 2,FALSE)+P11)*0.9,2.5)&amp;" кг"</f>
        <v>115 кг</v>
      </c>
      <c r="AN11" s="4" t="s">
        <v>17</v>
      </c>
      <c r="AO11" s="4" t="str">
        <f>FLOOR((N11*VLOOKUP(O11, Коэффициенты!N3:O11, 2,FALSE)+P11+P11)*0.9,2.5)&amp;" кг"</f>
        <v>117,5 кг</v>
      </c>
      <c r="AP11" s="4" t="s">
        <v>49</v>
      </c>
    </row>
    <row r="12" spans="11:42" ht="15.75" thickBot="1" x14ac:dyDescent="0.3"/>
    <row r="13" spans="11:42" ht="19.5" thickBot="1" x14ac:dyDescent="0.35">
      <c r="L13" s="1" t="s">
        <v>67</v>
      </c>
      <c r="N13" s="7">
        <f>'Программа тренировок '!C117</f>
        <v>15</v>
      </c>
      <c r="O13" s="7">
        <f>'Программа тренировок '!D117</f>
        <v>4</v>
      </c>
      <c r="P13" s="24">
        <f>'Программа тренировок '!E117</f>
        <v>2.5</v>
      </c>
      <c r="Q13" s="23" t="s">
        <v>68</v>
      </c>
      <c r="R13" s="21" t="str">
        <f>FLOOR(0.4*O59,1)&amp;" повт"</f>
        <v>3 повт</v>
      </c>
      <c r="S13" s="21" t="s">
        <v>69</v>
      </c>
      <c r="T13" s="21" t="str">
        <f>FLOOR(0.5*O59,1)&amp;" повт"</f>
        <v>4 повт</v>
      </c>
      <c r="U13" s="21" t="s">
        <v>70</v>
      </c>
      <c r="V13" s="17" t="str">
        <f>CEILING(0.6*O59,1)&amp;" повт"</f>
        <v>5 повт</v>
      </c>
      <c r="W13" s="4" t="str">
        <f>N13/2&amp;" кг"</f>
        <v>7,5 кг</v>
      </c>
      <c r="X13" s="11" t="s">
        <v>44</v>
      </c>
      <c r="Y13" s="4" t="str">
        <f>N13&amp;" кг"</f>
        <v>15 кг</v>
      </c>
      <c r="Z13" s="4" t="s">
        <v>17</v>
      </c>
      <c r="AA13" s="4" t="str">
        <f>IF(O13&lt;6,N13+P13, N13+P13+2.5)&amp;" кг"</f>
        <v>17,5 кг</v>
      </c>
      <c r="AB13" s="11" t="s">
        <v>56</v>
      </c>
      <c r="AC13" s="4"/>
      <c r="AD13" s="4"/>
      <c r="AE13" s="21" t="s">
        <v>69</v>
      </c>
      <c r="AF13" s="11" t="str">
        <f>FLOOR(0.4*O59+P59,1)&amp;" повт"</f>
        <v>5 повт</v>
      </c>
      <c r="AG13" s="21" t="s">
        <v>70</v>
      </c>
      <c r="AH13" s="17" t="str">
        <f>FLOOR(0.5*O59+P59,1)&amp;" повт"</f>
        <v>6 повт</v>
      </c>
      <c r="AI13" s="4" t="str">
        <f>W13</f>
        <v>7,5 кг</v>
      </c>
      <c r="AJ13" s="11" t="s">
        <v>15</v>
      </c>
      <c r="AK13" s="4" t="str">
        <f>Y13</f>
        <v>15 кг</v>
      </c>
      <c r="AL13" s="11" t="s">
        <v>48</v>
      </c>
      <c r="AM13" s="4" t="str">
        <f>AA13</f>
        <v>17,5 кг</v>
      </c>
      <c r="AN13" s="11" t="s">
        <v>17</v>
      </c>
      <c r="AO13" s="4" t="str">
        <f>IF(O13&lt;6,N13+P13, N13+P13+2.5)+P13&amp;" кг"</f>
        <v>20 кг</v>
      </c>
      <c r="AP13" s="11" t="s">
        <v>49</v>
      </c>
    </row>
    <row r="14" spans="11:42" ht="19.5" thickBot="1" x14ac:dyDescent="0.35">
      <c r="L14" s="1" t="s">
        <v>66</v>
      </c>
      <c r="N14" s="18">
        <f>'Программа тренировок '!C117</f>
        <v>15</v>
      </c>
      <c r="O14" s="22">
        <f>'Программа тренировок '!D117</f>
        <v>4</v>
      </c>
      <c r="P14" s="18">
        <f>'Программа тренировок '!E117</f>
        <v>2.5</v>
      </c>
      <c r="Q14" s="23" t="s">
        <v>68</v>
      </c>
      <c r="R14" s="19" t="str">
        <f>FLOOR(0.4*O14,1)&amp;" повт"</f>
        <v>1 повт</v>
      </c>
      <c r="S14" s="21" t="s">
        <v>69</v>
      </c>
      <c r="T14" s="19" t="str">
        <f>FLOOR(0.5*O14,1)&amp;" повт"</f>
        <v>2 повт</v>
      </c>
      <c r="U14" s="21" t="s">
        <v>70</v>
      </c>
      <c r="V14" s="19" t="str">
        <f>IF('Программа тренировок '!D206="boosty.to/yetiblog", FLOOR(0.6*O14,1), "")&amp;" повт"</f>
        <v>2 повт</v>
      </c>
      <c r="W14" s="21" t="s">
        <v>71</v>
      </c>
      <c r="X14" s="19" t="str">
        <f>CEILING(0.7*O14,1)&amp;" повт"</f>
        <v>3 повт</v>
      </c>
      <c r="Y14" s="21" t="s">
        <v>72</v>
      </c>
      <c r="Z14" s="20" t="str">
        <f>FLOOR(IF(0.8*O14-0.7*O14&lt;1,0.8*O14+1,0.8*O14),1)&amp;" повт"</f>
        <v>4 повт</v>
      </c>
      <c r="AA14" s="21" t="s">
        <v>74</v>
      </c>
      <c r="AB14" s="21" t="str">
        <f>O14+P14&amp;" повт"</f>
        <v>6,5 повт</v>
      </c>
      <c r="AC14" s="19"/>
      <c r="AD14" s="19"/>
      <c r="AE14" s="21" t="s">
        <v>68</v>
      </c>
      <c r="AF14" s="19" t="str">
        <f>FLOOR(0.4*O14+P14,1)&amp;" повт"</f>
        <v>4 повт</v>
      </c>
      <c r="AG14" s="21" t="s">
        <v>69</v>
      </c>
      <c r="AH14" s="19" t="str">
        <f>FLOOR(0.5*O14+P14,1)&amp;" повт"</f>
        <v>4 повт</v>
      </c>
      <c r="AI14" s="21" t="s">
        <v>70</v>
      </c>
      <c r="AJ14" s="19" t="str">
        <f>FLOOR(0.6*O14+P14,1)&amp;" повт"</f>
        <v>4 повт</v>
      </c>
      <c r="AK14" s="21" t="s">
        <v>71</v>
      </c>
      <c r="AL14" s="19" t="str">
        <f>FLOOR(0.8*O14+P14,1)&amp;" повт"</f>
        <v>5 повт</v>
      </c>
      <c r="AM14" s="21" t="s">
        <v>72</v>
      </c>
      <c r="AN14" s="19" t="str">
        <f>CEILING(0.8*O14+P14,1)&amp;" повт"</f>
        <v>6 повт</v>
      </c>
      <c r="AO14" s="21" t="s">
        <v>73</v>
      </c>
      <c r="AP14" s="19" t="str">
        <f>O14+P14+P14&amp;" повт"</f>
        <v>9 повт</v>
      </c>
    </row>
    <row r="15" spans="11:42" ht="19.5" thickBot="1" x14ac:dyDescent="0.35">
      <c r="L15" s="29" t="s">
        <v>90</v>
      </c>
      <c r="N15" s="7">
        <f>'Программа тренировок '!C117</f>
        <v>15</v>
      </c>
      <c r="O15" s="7">
        <f>'Программа тренировок '!D117</f>
        <v>4</v>
      </c>
      <c r="P15" s="10">
        <f>'Программа тренировок '!E117</f>
        <v>2.5</v>
      </c>
      <c r="Q15" s="4" t="str">
        <f>CEILING(N15*VLOOKUP(O15, Коэффициенты!N3:O11, 2,FALSE)*0.6,3)&amp;" кг"</f>
        <v>12 кг</v>
      </c>
      <c r="R15" s="17" t="s">
        <v>79</v>
      </c>
      <c r="S15" s="4" t="str">
        <f>CEILING(N15*VLOOKUP(O15, Коэффициенты!N3:O11, 2,FALSE)*0.65,3)&amp;" кг"</f>
        <v>12 кг</v>
      </c>
      <c r="T15" s="17" t="s">
        <v>80</v>
      </c>
      <c r="U15" s="4" t="str">
        <f>CEILING(N15*VLOOKUP(O15, Коэффициенты!N3:O11, 2,FALSE)*0.7,3)&amp;" кг"</f>
        <v>12 кг</v>
      </c>
      <c r="V15" s="17" t="s">
        <v>14</v>
      </c>
      <c r="W15" s="4" t="str">
        <f>CEILING(N15*VLOOKUP(O15, Коэффициенты!N3:O11, 2,FALSE)*0.75,3)&amp;" кг"</f>
        <v>12 кг</v>
      </c>
      <c r="X15" s="17" t="s">
        <v>11</v>
      </c>
      <c r="Y15" s="4" t="str">
        <f>CEILING(N15*VLOOKUP(O15, Коэффициенты!N3:O11, 2,FALSE)*0.85,3)&amp;" кг"</f>
        <v>15 кг</v>
      </c>
      <c r="Z15" s="17" t="s">
        <v>19</v>
      </c>
      <c r="AA15" s="4" t="str">
        <f>CEILING((N15*VLOOKUP(O15, Коэффициенты!N3:O11, 2,FALSE)+P15)*0.9,3)&amp;" кг"</f>
        <v>18 кг</v>
      </c>
      <c r="AB15" s="17" t="s">
        <v>82</v>
      </c>
      <c r="AC15" s="4"/>
      <c r="AD15" s="4"/>
      <c r="AE15" s="4" t="str">
        <f>CEILING((N15*VLOOKUP(O15, Коэффициенты!N3:O11, 2,FALSE)+P15)*0.6,3)&amp;" кг"</f>
        <v>12 кг</v>
      </c>
      <c r="AF15" s="17" t="s">
        <v>79</v>
      </c>
      <c r="AG15" s="4" t="str">
        <f>CEILING((N15*VLOOKUP(O15, Коэффициенты!N3:O11, 2,FALSE)+P15)*0.65,3)&amp;" кг"</f>
        <v>12 кг</v>
      </c>
      <c r="AH15" s="17" t="s">
        <v>80</v>
      </c>
      <c r="AI15" s="4" t="str">
        <f>CEILING((N15*VLOOKUP(O15, Коэффициенты!N3:O11, 2,FALSE)+P15)*0.7,3)&amp;" кг"</f>
        <v>15 кг</v>
      </c>
      <c r="AJ15" s="17" t="s">
        <v>14</v>
      </c>
      <c r="AK15" s="4" t="str">
        <f>CEILING((N15*VLOOKUP(O15, Коэффициенты!N3:O11, 2,FALSE)+P15)*0.75,3)&amp;" кг"</f>
        <v>15 кг</v>
      </c>
      <c r="AL15" s="17" t="s">
        <v>11</v>
      </c>
      <c r="AM15" s="4" t="str">
        <f>CEILING((N15*VLOOKUP(O15, Коэффициенты!N3:O11, 2,FALSE)+P15)*0.85,3)&amp;" кг"</f>
        <v>18 кг</v>
      </c>
      <c r="AN15" s="17" t="s">
        <v>19</v>
      </c>
      <c r="AO15" s="4" t="str">
        <f>CEILING((N15*VLOOKUP(O15,Коэффициенты!N3:O11,2,FALSE)+2*P15)*0.9,3)&amp;" кг"</f>
        <v>21 кг</v>
      </c>
      <c r="AP15" s="17" t="s">
        <v>82</v>
      </c>
    </row>
    <row r="16" spans="11:42" ht="15.75" thickBot="1" x14ac:dyDescent="0.3"/>
    <row r="17" spans="12:42" ht="19.5" thickBot="1" x14ac:dyDescent="0.35">
      <c r="L17" s="1" t="s">
        <v>23</v>
      </c>
      <c r="N17" s="7">
        <f>'Программа тренировок '!C118</f>
        <v>150</v>
      </c>
      <c r="O17" s="7">
        <f>'Программа тренировок '!D118</f>
        <v>4</v>
      </c>
      <c r="P17" s="10">
        <f>'Программа тренировок '!E118</f>
        <v>5</v>
      </c>
      <c r="Q17" s="4" t="str">
        <f>CEILING(N17*VLOOKUP(O17, Коэффициенты!H3:I6, 2,FALSE)*0.675,2.5)&amp;" кг"</f>
        <v>112,5 кг</v>
      </c>
      <c r="R17" s="17" t="s">
        <v>76</v>
      </c>
      <c r="S17" s="4" t="str">
        <f>CEILING(N17*VLOOKUP(O17, Коэффициенты!H3:I6, 2,FALSE)*0.725,2.5)&amp;" кг"</f>
        <v>120 кг</v>
      </c>
      <c r="T17" s="17" t="s">
        <v>76</v>
      </c>
      <c r="U17" s="4" t="str">
        <f>CEILING(N17*VLOOKUP(O17, Коэффициенты!H3:I6, 2,FALSE)*0.775,2.5)&amp;" кг"</f>
        <v>127,5 кг</v>
      </c>
      <c r="V17" s="17" t="s">
        <v>77</v>
      </c>
      <c r="W17" s="4" t="str">
        <f>CEILING(N17*VLOOKUP(O17, Коэффициенты!H3:I6, 2,FALSE)*0.825,2.5)&amp;" кг"</f>
        <v>135 кг</v>
      </c>
      <c r="X17" s="17" t="s">
        <v>77</v>
      </c>
      <c r="Y17" s="4" t="str">
        <f>CEILING(N17*VLOOKUP(O17, Коэффициенты!H3:I6, 2,FALSE)*0.865,2.5)&amp;" кг"</f>
        <v>142,5 кг</v>
      </c>
      <c r="Z17" s="11" t="s">
        <v>54</v>
      </c>
      <c r="AA17" s="4" t="str">
        <f>CEILING((N17*VLOOKUP(O17, Коэффициенты!H3:I6, 2,FALSE)+P54)*0.885,2.5)&amp;" кг"</f>
        <v>150 кг</v>
      </c>
      <c r="AB17" s="11" t="s">
        <v>54</v>
      </c>
      <c r="AC17" s="4"/>
      <c r="AD17" s="4"/>
      <c r="AE17" s="4" t="str">
        <f>CEILING((N17*VLOOKUP(O17, Коэффициенты!H3:I6, 2,FALSE)+P54)*0.675,2.5)&amp;" кг"</f>
        <v>115 кг</v>
      </c>
      <c r="AF17" s="17" t="s">
        <v>76</v>
      </c>
      <c r="AG17" s="4" t="str">
        <f>CEILING((N17*VLOOKUP(O17, Коэффициенты!H3:I6, 2,FALSE)+P54)*0.725,2.5)&amp;" кг"</f>
        <v>122,5 кг</v>
      </c>
      <c r="AH17" s="17" t="s">
        <v>76</v>
      </c>
      <c r="AI17" s="4" t="str">
        <f>CEILING((N17*VLOOKUP(O17, Коэффициенты!H3:I6, 2,FALSE)+P54)*0.775,2.5)&amp;" кг"</f>
        <v>132,5 кг</v>
      </c>
      <c r="AJ17" s="17" t="s">
        <v>77</v>
      </c>
      <c r="AK17" s="4" t="str">
        <f>CEILING((N17*VLOOKUP(O17, Коэффициенты!H3:I6, 2,FALSE)+P54)*0.825,2.5)&amp;" кг"</f>
        <v>140 кг</v>
      </c>
      <c r="AL17" s="17" t="s">
        <v>77</v>
      </c>
      <c r="AM17" s="4" t="str">
        <f>CEILING((N17*VLOOKUP(O17, Коэффициенты!H3:I6, 2,FALSE)+P54)*0.865,2.5)&amp;" кг"</f>
        <v>147,5 кг</v>
      </c>
      <c r="AN17" s="11" t="s">
        <v>54</v>
      </c>
      <c r="AO17" s="4" t="str">
        <f>CEILING((N17*VLOOKUP(O17, Коэффициенты!H3:I6, 2,FALSE)+P54+P54)*0.885,2.5)&amp;" кг"</f>
        <v>155 кг</v>
      </c>
      <c r="AP17" s="11" t="s">
        <v>54</v>
      </c>
    </row>
    <row r="18" spans="12:42" ht="19.5" thickBot="1" x14ac:dyDescent="0.35">
      <c r="L18" s="29" t="s">
        <v>91</v>
      </c>
      <c r="N18" s="7">
        <f>'Программа тренировок '!C118</f>
        <v>150</v>
      </c>
      <c r="O18" s="7">
        <f>'Программа тренировок '!D118</f>
        <v>4</v>
      </c>
      <c r="P18" s="10">
        <f>'Программа тренировок '!E118</f>
        <v>5</v>
      </c>
      <c r="Q18" s="4" t="str">
        <f>CEILING(N18*VLOOKUP(O18, Коэффициенты!H3:I6, 2,FALSE)*0.5,2.5)&amp;" кг"</f>
        <v>82,5 кг</v>
      </c>
      <c r="R18" s="17" t="s">
        <v>47</v>
      </c>
      <c r="S18" s="4" t="str">
        <f>CEILING(N18*VLOOKUP(O18, Коэффициенты!H3:I6, 2,FALSE)*0.55,2.5)&amp;" кг"</f>
        <v>90 кг</v>
      </c>
      <c r="T18" s="17" t="s">
        <v>13</v>
      </c>
      <c r="U18" s="4" t="str">
        <f>CEILING(N18*VLOOKUP(O18, Коэффициенты!H3:I6, 2,FALSE)*0.6,2.5)&amp;" кг"</f>
        <v>100 кг</v>
      </c>
      <c r="V18" s="17" t="s">
        <v>15</v>
      </c>
      <c r="W18" s="4" t="str">
        <f>CEILING(N18*VLOOKUP(O18, Коэффициенты!H3:I6, 2,FALSE)*0.65,2.5)&amp;" кг"</f>
        <v>107,5 кг</v>
      </c>
      <c r="X18" s="17" t="s">
        <v>48</v>
      </c>
      <c r="Y18" s="4" t="str">
        <f>CEILING(N18*VLOOKUP(O18, Коэффициенты!H3:I6, 2,FALSE)*0.7,2.5)&amp;" кг"</f>
        <v>115 кг</v>
      </c>
      <c r="Z18" s="17" t="s">
        <v>17</v>
      </c>
      <c r="AA18" s="4" t="str">
        <f>CEILING(N18*VLOOKUP(O18, Коэффициенты!H3:I6, 2,FALSE)*0.75,2.5)&amp;" кг"</f>
        <v>122,5 кг</v>
      </c>
      <c r="AB18" s="17" t="s">
        <v>49</v>
      </c>
      <c r="AC18" s="4"/>
      <c r="AD18" s="4"/>
      <c r="AE18" s="4" t="str">
        <f>CEILING((N18*VLOOKUP(O18, Коэффициенты!H3:I6, 2,FALSE)+P18)*0.5,2.5)&amp;" кг"</f>
        <v>85 кг</v>
      </c>
      <c r="AF18" s="17" t="s">
        <v>47</v>
      </c>
      <c r="AG18" s="4" t="str">
        <f>CEILING((N18*VLOOKUP(O18, Коэффициенты!H3:I6, 2,FALSE)+P18)*0.55,2.5)&amp;" кг"</f>
        <v>92,5 кг</v>
      </c>
      <c r="AH18" s="17" t="s">
        <v>13</v>
      </c>
      <c r="AI18" s="4" t="str">
        <f>CEILING((N18*VLOOKUP(O18, Коэффициенты!H3:I6, 2,FALSE)+P18)*0.6,2.5)&amp;" кг"</f>
        <v>102,5 кг</v>
      </c>
      <c r="AJ18" s="17" t="s">
        <v>15</v>
      </c>
      <c r="AK18" s="4" t="str">
        <f>CEILING((N18*VLOOKUP(O18, Коэффициенты!H3:I6, 2,FALSE)+P18)*0.65,2.5)&amp;" кг"</f>
        <v>110 кг</v>
      </c>
      <c r="AL18" s="17" t="s">
        <v>48</v>
      </c>
      <c r="AM18" s="4" t="str">
        <f>CEILING((N18*VLOOKUP(O18, Коэффициенты!H3:I6, 2,FALSE)+P18)*0.7,2.5)&amp;" кг"</f>
        <v>120 кг</v>
      </c>
      <c r="AN18" s="17" t="s">
        <v>17</v>
      </c>
      <c r="AO18" s="4" t="str">
        <f>CEILING((N18*VLOOKUP(O18, Коэффициенты!H3:I6, 2,FALSE)+P18)*0.75,2.5)&amp;" кг"</f>
        <v>127,5 кг</v>
      </c>
      <c r="AP18" s="17" t="s">
        <v>49</v>
      </c>
    </row>
    <row r="19" spans="12:42" ht="19.5" thickBot="1" x14ac:dyDescent="0.35">
      <c r="L19" s="16" t="s">
        <v>62</v>
      </c>
      <c r="N19" s="7">
        <f>'Программа тренировок '!C118</f>
        <v>150</v>
      </c>
      <c r="O19" s="7">
        <f>'Программа тренировок '!D118</f>
        <v>4</v>
      </c>
      <c r="P19" s="10">
        <f>'Программа тренировок '!E118</f>
        <v>5</v>
      </c>
      <c r="Q19" s="4" t="str">
        <f>CEILING(N19*VLOOKUP(O19, Коэффициенты!H3:I6, 2,FALSE)*0.675,2.5)&amp;" кг"</f>
        <v>112,5 кг</v>
      </c>
      <c r="R19" s="17" t="s">
        <v>47</v>
      </c>
      <c r="S19" s="4" t="str">
        <f>CEILING(N19*VLOOKUP(O19, Коэффициенты!H3:I6, 2,FALSE)*0.725,2.5)&amp;" кг"</f>
        <v>120 кг</v>
      </c>
      <c r="T19" s="17" t="s">
        <v>13</v>
      </c>
      <c r="U19" s="4" t="str">
        <f>CEILING(N19*VLOOKUP(O19, Коэффициенты!H3:I6, 2,FALSE)*0.775,2.5)&amp;" кг"</f>
        <v>127,5 кг</v>
      </c>
      <c r="V19" s="17" t="s">
        <v>76</v>
      </c>
      <c r="W19" s="4" t="str">
        <f>CEILING(N19*VLOOKUP(O19, Коэффициенты!H3:I6, 2,FALSE)*0.825,2.5)&amp;" кг"</f>
        <v>135 кг</v>
      </c>
      <c r="X19" s="17" t="s">
        <v>77</v>
      </c>
      <c r="Y19" s="4" t="str">
        <f>CEILING(N19*VLOOKUP(O19, Коэффициенты!H3:I6, 2,FALSE)*0.865,2.5)&amp;" кг"</f>
        <v>142,5 кг</v>
      </c>
      <c r="Z19" s="11" t="s">
        <v>54</v>
      </c>
      <c r="AA19" s="4" t="str">
        <f>CEILING((N19*VLOOKUP(O19, Коэффициенты!H3:I6, 2,FALSE)+P19)*0.885,2.5)&amp;" кг"</f>
        <v>150 кг</v>
      </c>
      <c r="AB19" s="11" t="s">
        <v>54</v>
      </c>
      <c r="AC19" s="4"/>
      <c r="AD19" s="4"/>
      <c r="AE19" s="4" t="str">
        <f>CEILING((N19*VLOOKUP(O19, Коэффициенты!H3:I6, 2,FALSE)+P19)*0.675,2.5)&amp;" кг"</f>
        <v>115 кг</v>
      </c>
      <c r="AF19" s="17" t="s">
        <v>47</v>
      </c>
      <c r="AG19" s="4" t="str">
        <f>CEILING((N19*VLOOKUP(O19, Коэффициенты!H3:I6, 2,FALSE)+P19)*0.725,2.5)&amp;" кг"</f>
        <v>122,5 кг</v>
      </c>
      <c r="AH19" s="17" t="s">
        <v>13</v>
      </c>
      <c r="AI19" s="4" t="str">
        <f>CEILING((N19*VLOOKUP(O19, Коэффициенты!H3:I6, 2,FALSE)+P19)*0.775,2.5)&amp;" кг"</f>
        <v>132,5 кг</v>
      </c>
      <c r="AJ19" s="17" t="s">
        <v>76</v>
      </c>
      <c r="AK19" s="4" t="str">
        <f>CEILING((N19*VLOOKUP(O19, Коэффициенты!H3:I6, 2,FALSE)+P19)*0.825,2.5)&amp;" кг"</f>
        <v>140 кг</v>
      </c>
      <c r="AL19" s="17" t="s">
        <v>77</v>
      </c>
      <c r="AM19" s="4" t="str">
        <f>CEILING((N19*VLOOKUP(O19, Коэффициенты!H3:I6, 2,FALSE)+P19)*0.865,2.5)&amp;" кг"</f>
        <v>147,5 кг</v>
      </c>
      <c r="AN19" s="11" t="s">
        <v>54</v>
      </c>
      <c r="AO19" s="4" t="str">
        <f>CEILING((N19*VLOOKUP(O19, Коэффициенты!H3:I6, 2,FALSE)+P19+P19)*0.885,2.5)&amp;" кг"</f>
        <v>155 кг</v>
      </c>
      <c r="AP19" s="11" t="s">
        <v>54</v>
      </c>
    </row>
    <row r="20" spans="12:42" ht="15.75" thickBot="1" x14ac:dyDescent="0.3"/>
    <row r="21" spans="12:42" ht="19.5" thickBot="1" x14ac:dyDescent="0.35">
      <c r="L21" s="14" t="s">
        <v>26</v>
      </c>
      <c r="N21" s="7">
        <f>'Программа тренировок '!C119</f>
        <v>20</v>
      </c>
      <c r="O21" s="7" t="str">
        <f>'Программа тренировок '!D119</f>
        <v>8</v>
      </c>
      <c r="P21" s="10">
        <f>'Программа тренировок '!E119</f>
        <v>2</v>
      </c>
      <c r="Q21" s="4" t="str">
        <f>CEILING(N21*VLOOKUP(O21, Коэффициенты!N5:O11, 2,FALSE)*0.4,2)&amp;" кг"</f>
        <v>10 кг</v>
      </c>
      <c r="R21" s="17" t="s">
        <v>81</v>
      </c>
      <c r="S21" s="4" t="str">
        <f>CEILING(N21*VLOOKUP(O21, Коэффициенты!N5:O11, 2,FALSE)*0.5,2)&amp;" кг"</f>
        <v>12 кг</v>
      </c>
      <c r="T21" s="17" t="s">
        <v>81</v>
      </c>
      <c r="U21" s="4" t="str">
        <f>CEILING(N21*VLOOKUP(O21, Коэффициенты!N5:O11, 2,FALSE)*0.6,2)&amp;" кг"</f>
        <v>14 кг</v>
      </c>
      <c r="V21" s="17" t="s">
        <v>41</v>
      </c>
      <c r="W21" s="4" t="str">
        <f>CEILING(N21*VLOOKUP(O21, Коэффициенты!N5:O11, 2,FALSE)*0.7,2)&amp;" кг"</f>
        <v>18 кг</v>
      </c>
      <c r="X21" s="17" t="s">
        <v>41</v>
      </c>
      <c r="Y21" s="4" t="str">
        <f>CEILING(N21*VLOOKUP(O21, Коэффициенты!N5:O11, 2,FALSE)*0.8,2)&amp;" кг"</f>
        <v>20 кг</v>
      </c>
      <c r="Z21" s="17" t="s">
        <v>11</v>
      </c>
      <c r="AA21" s="4" t="str">
        <f>CEILING((N21*VLOOKUP(O21, Коэффициенты!N5:O11, 2,FALSE)+P21)*0.85,2)&amp;" кг"</f>
        <v>22 кг</v>
      </c>
      <c r="AB21" s="17" t="s">
        <v>11</v>
      </c>
      <c r="AC21" s="4"/>
      <c r="AD21" s="4"/>
      <c r="AE21" s="4" t="str">
        <f>CEILING((N21*VLOOKUP(O21, Коэффициенты!N5:O11, 2,FALSE)+P21)*0.4,2)&amp;" кг"</f>
        <v>10 кг</v>
      </c>
      <c r="AF21" s="17" t="s">
        <v>81</v>
      </c>
      <c r="AG21" s="4" t="str">
        <f>CEILING((N21*VLOOKUP(O21, Коэффициенты!N5:O11, 2,FALSE)+P21)*0.5,2)&amp;" кг"</f>
        <v>14 кг</v>
      </c>
      <c r="AH21" s="17" t="s">
        <v>81</v>
      </c>
      <c r="AI21" s="4" t="str">
        <f>CEILING((N21*VLOOKUP(O21, Коэффициенты!N5:O11, 2,FALSE)+P21)*0.6,2)&amp;" кг"</f>
        <v>16 кг</v>
      </c>
      <c r="AJ21" s="17" t="s">
        <v>41</v>
      </c>
      <c r="AK21" s="4" t="str">
        <f>CEILING((N21*VLOOKUP(O21, Коэффициенты!N5:O11, 2,FALSE)+P21)*0.7,2)&amp;" кг"</f>
        <v>18 кг</v>
      </c>
      <c r="AL21" s="17" t="s">
        <v>41</v>
      </c>
      <c r="AM21" s="4" t="str">
        <f>CEILING((N21*VLOOKUP(O21, Коэффициенты!N5:O11, 2,FALSE)+P21)*0.8,2)&amp;" кг"</f>
        <v>20 кг</v>
      </c>
      <c r="AN21" s="17" t="s">
        <v>11</v>
      </c>
      <c r="AO21" s="4" t="str">
        <f>CEILING((N21*VLOOKUP(O21, Коэффициенты!N5:O11, 2,FALSE)+P21+P21)*0.9,2)&amp;" кг"</f>
        <v>26 кг</v>
      </c>
      <c r="AP21" s="17" t="s">
        <v>11</v>
      </c>
    </row>
    <row r="22" spans="12:42" ht="15.75" thickBot="1" x14ac:dyDescent="0.3">
      <c r="L22" s="28" t="s">
        <v>92</v>
      </c>
      <c r="N22" s="7">
        <f>'Программа тренировок '!C119</f>
        <v>20</v>
      </c>
      <c r="O22" s="7" t="str">
        <f>'Программа тренировок '!D119</f>
        <v>8</v>
      </c>
      <c r="P22" s="10">
        <f>'Программа тренировок '!E119</f>
        <v>2</v>
      </c>
      <c r="Q22" s="4" t="e">
        <f>CEILING(N22*VLOOKUP(O22, Коэффициенты!H3:I6, 2,FALSE)*0.675,2.5)&amp;" кг"</f>
        <v>#N/A</v>
      </c>
      <c r="R22" s="17" t="s">
        <v>47</v>
      </c>
      <c r="S22" s="4" t="e">
        <f>CEILING(N22*VLOOKUP(O22, Коэффициенты!H3:I6, 2,FALSE)*0.725,2.5)&amp;" кг"</f>
        <v>#N/A</v>
      </c>
      <c r="T22" s="17" t="s">
        <v>13</v>
      </c>
      <c r="U22" s="4" t="e">
        <f>CEILING(N22*VLOOKUP(O22, Коэффициенты!H3:I6, 2,FALSE)*0.775,2.5)&amp;" кг"</f>
        <v>#N/A</v>
      </c>
      <c r="V22" s="17" t="s">
        <v>76</v>
      </c>
      <c r="W22" s="4" t="e">
        <f>CEILING(N22*VLOOKUP(O22, Коэффициенты!H3:I6, 2,FALSE)*0.825,2.5)&amp;" кг"</f>
        <v>#N/A</v>
      </c>
      <c r="X22" s="17" t="s">
        <v>77</v>
      </c>
      <c r="Y22" s="4" t="e">
        <f>CEILING(N22*VLOOKUP(O22, Коэффициенты!H3:I6, 2,FALSE)*0.865,2.5)&amp;" кг"</f>
        <v>#N/A</v>
      </c>
      <c r="Z22" s="11" t="s">
        <v>54</v>
      </c>
      <c r="AA22" s="4" t="e">
        <f>CEILING((N22*VLOOKUP(O22, Коэффициенты!H3:I6, 2,FALSE)+P22)*0.885,2.5)&amp;" кг"</f>
        <v>#N/A</v>
      </c>
      <c r="AB22" s="11" t="s">
        <v>54</v>
      </c>
      <c r="AC22" s="4"/>
      <c r="AD22" s="4"/>
      <c r="AE22" s="4" t="e">
        <f>CEILING((N22*VLOOKUP(O22, Коэффициенты!H3:I6, 2,FALSE)+P22)*0.675,2.5)&amp;" кг"</f>
        <v>#N/A</v>
      </c>
      <c r="AF22" s="17" t="s">
        <v>47</v>
      </c>
      <c r="AG22" s="4" t="e">
        <f>CEILING((N22*VLOOKUP(O22, Коэффициенты!H3:I6, 2,FALSE)+P22)*0.725,2.5)&amp;" кг"</f>
        <v>#N/A</v>
      </c>
      <c r="AH22" s="17" t="s">
        <v>13</v>
      </c>
      <c r="AI22" s="4" t="e">
        <f>CEILING((N22*VLOOKUP(O22, Коэффициенты!H3:I6, 2,FALSE)+P22)*0.775,2.5)&amp;" кг"</f>
        <v>#N/A</v>
      </c>
      <c r="AJ22" s="17" t="s">
        <v>76</v>
      </c>
      <c r="AK22" s="4" t="e">
        <f>CEILING((N22*VLOOKUP(O22, Коэффициенты!H3:I6, 2,FALSE)+P22)*0.825,2.5)&amp;" кг"</f>
        <v>#N/A</v>
      </c>
      <c r="AL22" s="17" t="s">
        <v>77</v>
      </c>
      <c r="AM22" s="4" t="e">
        <f>CEILING((N22*VLOOKUP(O22, Коэффициенты!H3:I6, 2,FALSE)+P22)*0.865,2.5)&amp;" кг"</f>
        <v>#N/A</v>
      </c>
      <c r="AN22" s="11" t="s">
        <v>54</v>
      </c>
      <c r="AO22" s="4" t="e">
        <f>CEILING((N22*VLOOKUP(O22, Коэффициенты!H3:I6, 2,FALSE)+P22+P22)*0.885,2.5)&amp;" кг"</f>
        <v>#N/A</v>
      </c>
      <c r="AP22" s="11" t="s">
        <v>54</v>
      </c>
    </row>
    <row r="23" spans="12:42" ht="15.75" thickBot="1" x14ac:dyDescent="0.3"/>
    <row r="24" spans="12:42" ht="19.5" thickBot="1" x14ac:dyDescent="0.35">
      <c r="L24" s="1" t="s">
        <v>16</v>
      </c>
      <c r="N24" s="7">
        <f>'Программа тренировок '!C124</f>
        <v>195</v>
      </c>
      <c r="O24" s="7">
        <f>'Программа тренировок '!D124</f>
        <v>5</v>
      </c>
      <c r="P24" s="10">
        <f>'Программа тренировок '!E124</f>
        <v>5</v>
      </c>
      <c r="Q24" s="4" t="str">
        <f>CEILING(N24*VLOOKUP(O24, Коэффициенты!H3:I6, 2,FALSE)*0.675,2.5)&amp;" кг"</f>
        <v>150 кг</v>
      </c>
      <c r="R24" s="17" t="s">
        <v>76</v>
      </c>
      <c r="S24" s="4" t="str">
        <f>CEILING(N24*VLOOKUP(O24, Коэффициенты!H3:I6, 2,FALSE)*0.725,2.5)&amp;" кг"</f>
        <v>160 кг</v>
      </c>
      <c r="T24" s="17" t="s">
        <v>76</v>
      </c>
      <c r="U24" s="4" t="str">
        <f>CEILING(N24*VLOOKUP(O24, Коэффициенты!H3:I6, 2,FALSE)*0.775,2.5)&amp;" кг"</f>
        <v>170 кг</v>
      </c>
      <c r="V24" s="17" t="s">
        <v>77</v>
      </c>
      <c r="W24" s="4" t="str">
        <f>CEILING(N24*VLOOKUP(O24, Коэффициенты!H3:I6, 2,FALSE)*0.825,2.5)&amp;" кг"</f>
        <v>182,5 кг</v>
      </c>
      <c r="X24" s="17" t="s">
        <v>77</v>
      </c>
      <c r="Y24" s="4" t="str">
        <f>CEILING(N24*VLOOKUP(O24, Коэффициенты!H3:I6, 2,FALSE)*0.865,2.5)&amp;" кг"</f>
        <v>190 кг</v>
      </c>
      <c r="Z24" s="11" t="s">
        <v>54</v>
      </c>
      <c r="AA24" s="4" t="str">
        <f>CEILING((N24*VLOOKUP(O24, Коэффициенты!H3:I6, 2,FALSE)+P24)*0.885,2.5)&amp;" кг"</f>
        <v>200 кг</v>
      </c>
      <c r="AB24" s="11" t="s">
        <v>54</v>
      </c>
      <c r="AC24" s="4"/>
      <c r="AD24" s="4"/>
      <c r="AE24" s="4" t="str">
        <f>CEILING((N24*VLOOKUP(O24, Коэффициенты!H3:I6, 2,FALSE)+P24)*0.675,2.5)&amp;" кг"</f>
        <v>152,5 кг</v>
      </c>
      <c r="AF24" s="11" t="s">
        <v>54</v>
      </c>
      <c r="AG24" s="4" t="str">
        <f>CEILING((N24*VLOOKUP(O24, Коэффициенты!H3:I6, 2,FALSE)+P24)*0.725,2.5)&amp;" кг"</f>
        <v>162,5 кг</v>
      </c>
      <c r="AH24" s="11" t="s">
        <v>54</v>
      </c>
      <c r="AI24" s="4" t="str">
        <f>CEILING((N24*VLOOKUP(O24, Коэффициенты!H3:I6, 2,FALSE)+P24)*0.775,2.5)&amp;" кг"</f>
        <v>175 кг</v>
      </c>
      <c r="AJ24" s="11" t="s">
        <v>54</v>
      </c>
      <c r="AK24" s="4" t="str">
        <f>CEILING((N24*VLOOKUP(O24, Коэффициенты!H3:I6, 2,FALSE)+P24)*0.825,2.5)&amp;" кг"</f>
        <v>185 кг</v>
      </c>
      <c r="AL24" s="11" t="s">
        <v>54</v>
      </c>
      <c r="AM24" s="4" t="str">
        <f>CEILING((N24*VLOOKUP(O24, Коэффициенты!H3:I6, 2,FALSE)+P24)*0.865,2.5)&amp;" кг"</f>
        <v>195 кг</v>
      </c>
      <c r="AN24" s="11" t="s">
        <v>54</v>
      </c>
      <c r="AO24" s="4" t="str">
        <f>CEILING((N24*VLOOKUP(O24, Коэффициенты!H3:I6, 2,FALSE)+P24+P24)*0.885,2.5)&amp;" кг"</f>
        <v>205 кг</v>
      </c>
      <c r="AP24" s="11" t="s">
        <v>54</v>
      </c>
    </row>
    <row r="25" spans="12:42" ht="19.5" thickBot="1" x14ac:dyDescent="0.35">
      <c r="L25" s="1" t="s">
        <v>23</v>
      </c>
      <c r="N25" s="7">
        <f>IF('Программа тренировок '!B69=Формулы!L17, Формулы!N17, 'Программа тренировок '!C124)</f>
        <v>150</v>
      </c>
      <c r="O25" s="7">
        <f>IF('Программа тренировок '!B69=Формулы!L17, O17, 'Программа тренировок '!D124)</f>
        <v>4</v>
      </c>
      <c r="P25" s="10">
        <f>IF('Программа тренировок '!B69=Формулы!L17, P17, 'Программа тренировок '!E124)</f>
        <v>5</v>
      </c>
      <c r="Q25" s="4" t="str">
        <f>CEILING(N25*VLOOKUP(O25, Коэффициенты!H3:I6, 2,FALSE)*0.675,2.5)&amp;" кг"</f>
        <v>112,5 кг</v>
      </c>
      <c r="R25" s="11" t="s">
        <v>54</v>
      </c>
      <c r="S25" s="4" t="str">
        <f>CEILING(N25*VLOOKUP(O25, Коэффициенты!H3:I6, 2,FALSE)*0.725,2.5)&amp;" кг"</f>
        <v>120 кг</v>
      </c>
      <c r="T25" s="11" t="s">
        <v>54</v>
      </c>
      <c r="U25" s="4" t="str">
        <f>CEILING(N25*VLOOKUP(O25, Коэффициенты!H3:I6, 2,FALSE)*0.775,2.5)&amp;" кг"</f>
        <v>127,5 кг</v>
      </c>
      <c r="V25" s="11" t="s">
        <v>54</v>
      </c>
      <c r="W25" s="4" t="str">
        <f>CEILING(N25*VLOOKUP(O25, Коэффициенты!H3:I6, 2,FALSE)*0.825,2.5)&amp;" кг"</f>
        <v>135 кг</v>
      </c>
      <c r="X25" s="11" t="s">
        <v>54</v>
      </c>
      <c r="Y25" s="4" t="str">
        <f>CEILING(N25*VLOOKUP(O25, Коэффициенты!H3:I6, 2,FALSE)*0.865,2.5)&amp;" кг"</f>
        <v>142,5 кг</v>
      </c>
      <c r="Z25" s="11" t="s">
        <v>54</v>
      </c>
      <c r="AA25" s="4" t="str">
        <f>IF('Программа тренировок '!B69=Формулы!L25, "отдых", CEILING((N25*VLOOKUP(O25, Коэффициенты!H3:I6, 2,FALSE)+P25)*0.885,2.5)&amp;" кг")</f>
        <v>отдых</v>
      </c>
      <c r="AB25" s="11" t="str">
        <f>IF('Программа тренировок '!B69=Формулы!L25, "отдых", "1х5")</f>
        <v>отдых</v>
      </c>
      <c r="AC25" s="4"/>
      <c r="AD25" s="4"/>
      <c r="AE25" s="4" t="str">
        <f>CEILING((N25*VLOOKUP(O25, Коэффициенты!H3:I6, 2,FALSE)+P25)*0.675,2.5)&amp;" кг"</f>
        <v>115 кг</v>
      </c>
      <c r="AF25" s="11" t="s">
        <v>54</v>
      </c>
      <c r="AG25" s="4" t="str">
        <f>CEILING((N25*VLOOKUP(O25, Коэффициенты!H3:I6, 2,FALSE)+P25)*0.725,2.5)&amp;" кг"</f>
        <v>122,5 кг</v>
      </c>
      <c r="AH25" s="11" t="s">
        <v>54</v>
      </c>
      <c r="AI25" s="4" t="str">
        <f>CEILING((N25*VLOOKUP(O25, Коэффициенты!H3:I6, 2,FALSE)+P25)*0.775,2.5)&amp;" кг"</f>
        <v>132,5 кг</v>
      </c>
      <c r="AJ25" s="11" t="s">
        <v>54</v>
      </c>
      <c r="AK25" s="4" t="str">
        <f>CEILING((N25*VLOOKUP(O25, Коэффициенты!H3:I6, 2,FALSE)+P25)*0.825,2.5)&amp;" кг"</f>
        <v>140 кг</v>
      </c>
      <c r="AL25" s="11" t="s">
        <v>54</v>
      </c>
      <c r="AM25" s="4" t="str">
        <f>CEILING((N25*VLOOKUP(O25, Коэффициенты!H3:I6, 2,FALSE)+P25)*0.865,2.5)&amp;" кг"</f>
        <v>147,5 кг</v>
      </c>
      <c r="AN25" s="11" t="s">
        <v>54</v>
      </c>
      <c r="AO25" s="4" t="str">
        <f>IF('Программа тренировок '!B69=Формулы!L25, "отдых", CEILING((N25*VLOOKUP(O25, Коэффициенты!H3:I6, 2,FALSE)+P25+P25)*0.885,2.5)&amp;" кг")</f>
        <v>отдых</v>
      </c>
      <c r="AP25" s="11" t="str">
        <f>IF('Программа тренировок '!B69=Формулы!L25, "отдых", "1х5")</f>
        <v>отдых</v>
      </c>
    </row>
    <row r="26" spans="12:42" ht="19.5" thickBot="1" x14ac:dyDescent="0.35">
      <c r="L26" s="16" t="s">
        <v>62</v>
      </c>
      <c r="N26" s="7">
        <f>'Программа тренировок '!C124</f>
        <v>195</v>
      </c>
      <c r="O26" s="7">
        <f>'Программа тренировок '!D124</f>
        <v>5</v>
      </c>
      <c r="P26" s="10">
        <f>'Программа тренировок '!E124</f>
        <v>5</v>
      </c>
      <c r="Q26" s="4" t="str">
        <f>CEILING(N26*VLOOKUP(O26, Коэффициенты!H3:I6, 2,FALSE)*0.675,2.5)&amp;" кг"</f>
        <v>150 кг</v>
      </c>
      <c r="R26" s="17" t="s">
        <v>76</v>
      </c>
      <c r="S26" s="4" t="str">
        <f>CEILING(N26*VLOOKUP(O26, Коэффициенты!H3:I6, 2,FALSE)*0.725,2.5)&amp;" кг"</f>
        <v>160 кг</v>
      </c>
      <c r="T26" s="17" t="s">
        <v>76</v>
      </c>
      <c r="U26" s="4" t="str">
        <f>CEILING(N26*VLOOKUP(O26, Коэффициенты!H3:I6, 2,FALSE)*0.775,2.5)&amp;" кг"</f>
        <v>170 кг</v>
      </c>
      <c r="V26" s="17" t="s">
        <v>77</v>
      </c>
      <c r="W26" s="4" t="str">
        <f>CEILING(N26*VLOOKUP(O26, Коэффициенты!H3:I6, 2,FALSE)*0.825,2.5)&amp;" кг"</f>
        <v>182,5 кг</v>
      </c>
      <c r="X26" s="17" t="s">
        <v>77</v>
      </c>
      <c r="Y26" s="4" t="str">
        <f>CEILING(N26*VLOOKUP(O26, Коэффициенты!H3:I6, 2,FALSE)*0.865,2.5)&amp;" кг"</f>
        <v>190 кг</v>
      </c>
      <c r="Z26" s="11" t="s">
        <v>54</v>
      </c>
      <c r="AA26" s="4" t="str">
        <f>CEILING((N26*VLOOKUP(O26, Коэффициенты!H3:I6, 2,FALSE)+P26)*0.885,2.5)&amp;" кг"</f>
        <v>200 кг</v>
      </c>
      <c r="AB26" s="11" t="s">
        <v>54</v>
      </c>
      <c r="AC26" s="4"/>
      <c r="AD26" s="4"/>
      <c r="AE26" s="4" t="str">
        <f>CEILING((N26*VLOOKUP(O26, Коэффициенты!H3:I6, 2,FALSE)+P26)*0.675,2.5)&amp;" кг"</f>
        <v>152,5 кг</v>
      </c>
      <c r="AF26" s="11" t="s">
        <v>54</v>
      </c>
      <c r="AG26" s="4" t="str">
        <f>CEILING((N26*VLOOKUP(O26, Коэффициенты!H3:I6, 2,FALSE)+P26)*0.725,2.5)&amp;" кг"</f>
        <v>162,5 кг</v>
      </c>
      <c r="AH26" s="11" t="s">
        <v>54</v>
      </c>
      <c r="AI26" s="4" t="str">
        <f>CEILING((N26*VLOOKUP(O26, Коэффициенты!H3:I6, 2,FALSE)+P26)*0.775,2.5)&amp;" кг"</f>
        <v>175 кг</v>
      </c>
      <c r="AJ26" s="11" t="s">
        <v>54</v>
      </c>
      <c r="AK26" s="4" t="str">
        <f>CEILING((N26*VLOOKUP(O26, Коэффициенты!H3:I6, 2,FALSE)+P26)*0.825,2.5)&amp;" кг"</f>
        <v>185 кг</v>
      </c>
      <c r="AL26" s="11" t="s">
        <v>54</v>
      </c>
      <c r="AM26" s="4" t="str">
        <f>CEILING((N26*VLOOKUP(O26, Коэффициенты!H3:I6, 2,FALSE)+P26)*0.865,2.5)&amp;" кг"</f>
        <v>195 кг</v>
      </c>
      <c r="AN26" s="11" t="s">
        <v>54</v>
      </c>
      <c r="AO26" s="4" t="str">
        <f>CEILING((N26*VLOOKUP(O26, Коэффициенты!H3:I6, 2,FALSE)+P26+P26)*0.885,2.5)&amp;" кг"</f>
        <v>205 кг</v>
      </c>
      <c r="AP26" s="11" t="s">
        <v>54</v>
      </c>
    </row>
    <row r="27" spans="12:42" ht="15.75" thickBot="1" x14ac:dyDescent="0.3"/>
    <row r="28" spans="12:42" ht="19.5" thickBot="1" x14ac:dyDescent="0.35">
      <c r="L28" s="1" t="s">
        <v>8</v>
      </c>
      <c r="M28" s="6"/>
      <c r="N28" s="7">
        <f>IF('Программа тренировок '!B67='Программа тренировок '!B76, Формулы!N9, 'Программа тренировок '!C125)</f>
        <v>117.5</v>
      </c>
      <c r="O28" s="7">
        <f>IF('Программа тренировок '!B67='Программа тренировок '!B76, Формулы!O9, 'Программа тренировок '!D125)</f>
        <v>4</v>
      </c>
      <c r="P28" s="10">
        <f>IF('Программа тренировок '!B67='Программа тренировок '!B76, Формулы!P9, 'Программа тренировок '!E125)</f>
        <v>5</v>
      </c>
      <c r="Q28" s="4" t="str">
        <f>CEILING(N28*VLOOKUP(O28, Коэффициенты!H3:I6, 2,FALSE)*0.7,2.5)&amp;" кг"</f>
        <v>90 кг</v>
      </c>
      <c r="R28" s="4" t="s">
        <v>47</v>
      </c>
      <c r="S28" s="4" t="str">
        <f>CEILING(N28*VLOOKUP(O28, Коэффициенты!H3:I6, 2,FALSE)*0.75,2.5)&amp;" кг"</f>
        <v>97,5 кг</v>
      </c>
      <c r="T28" s="4" t="s">
        <v>13</v>
      </c>
      <c r="U28" s="4" t="str">
        <f>CEILING(N28*VLOOKUP(O28, Коэффициенты!H3:I6, 2,FALSE)*0.8,2.5)&amp;" кг"</f>
        <v>102,5 кг</v>
      </c>
      <c r="V28" s="4" t="s">
        <v>15</v>
      </c>
      <c r="W28" s="4" t="str">
        <f>CEILING(N28*VLOOKUP(O28, Коэффициенты!H3:I6, 2,FALSE)*0.85,2.5)&amp;" кг"</f>
        <v>110 кг</v>
      </c>
      <c r="X28" s="4" t="s">
        <v>48</v>
      </c>
      <c r="Y28" s="4" t="str">
        <f>CEILING(N28*VLOOKUP(O28, Коэффициенты!H3:I6, 2,FALSE)*0.9,2.5)&amp;" кг"</f>
        <v>115 кг</v>
      </c>
      <c r="Z28" s="4" t="s">
        <v>17</v>
      </c>
      <c r="AA28" s="4" t="str">
        <f>IF('Программа тренировок '!B67=Формулы!L9, "отдых",CEILING((N28*VLOOKUP(O28, Коэффициенты!H3:I6, 2,FALSE)+P28)*0.9,2.5)&amp;" кг")</f>
        <v>отдых</v>
      </c>
      <c r="AB28" s="4" t="str">
        <f>IF('Программа тренировок '!B67=Формулы!L9, "отдых","2х3")</f>
        <v>отдых</v>
      </c>
      <c r="AC28" s="4"/>
      <c r="AD28" s="4"/>
      <c r="AE28" s="4" t="str">
        <f>CEILING((N28*VLOOKUP(O28, Коэффициенты!H3:I6, 2,FALSE)+P28)*0.7,2.5)&amp;" кг"</f>
        <v>95 кг</v>
      </c>
      <c r="AF28" s="11" t="s">
        <v>47</v>
      </c>
      <c r="AG28" s="4" t="str">
        <f>CEILING((N28*VLOOKUP(O28, Коэффициенты!H3:I6, 2,FALSE)+P28)*0.75,2.5)&amp;" кг"</f>
        <v>100 кг</v>
      </c>
      <c r="AH28" s="11" t="s">
        <v>13</v>
      </c>
      <c r="AI28" s="4" t="str">
        <f>CEILING((N28*VLOOKUP(O28, Коэффициенты!H3:I6, 2,FALSE)+P28)*0.8,2.5)&amp;" кг"</f>
        <v>107,5 кг</v>
      </c>
      <c r="AJ28" s="11" t="s">
        <v>15</v>
      </c>
      <c r="AK28" s="4" t="str">
        <f>CEILING((N28*VLOOKUP(O28, Коэффициенты!H3:I6, 2,FALSE)+P28)*0.85,2.5)&amp;" кг"</f>
        <v>115 кг</v>
      </c>
      <c r="AL28" s="11" t="s">
        <v>48</v>
      </c>
      <c r="AM28" s="4" t="str">
        <f>CEILING((N28*VLOOKUP(O28, Коэффициенты!H3:I6, 2,FALSE)+P28)*0.9,2.5)&amp;" кг"</f>
        <v>120 кг</v>
      </c>
      <c r="AN28" s="4" t="s">
        <v>17</v>
      </c>
      <c r="AO28" s="4" t="str">
        <f>IF('Программа тренировок '!B67=Формулы!L9, "отдых",CEILING((N28*VLOOKUP(O28, Коэффициенты!H3:I6, 2,FALSE)+P28+P28)*0.9,2.5)&amp;" кг")</f>
        <v>отдых</v>
      </c>
      <c r="AP28" s="4" t="str">
        <f>IF('Программа тренировок '!B67=Формулы!L9, "отдых","2х3")</f>
        <v>отдых</v>
      </c>
    </row>
    <row r="29" spans="12:42" ht="19.5" thickBot="1" x14ac:dyDescent="0.35">
      <c r="L29" s="16" t="s">
        <v>58</v>
      </c>
      <c r="N29" s="7">
        <f>'Программа тренировок '!C125</f>
        <v>0</v>
      </c>
      <c r="O29" s="7">
        <f>'Программа тренировок '!D125</f>
        <v>0</v>
      </c>
      <c r="P29" s="10">
        <f>'Программа тренировок '!E125</f>
        <v>0</v>
      </c>
      <c r="Q29" s="4" t="e">
        <f>CEILING(N29*VLOOKUP(O29, Коэффициенты!N3:O11, 2,FALSE)*0.65,2)&amp;" кг"</f>
        <v>#N/A</v>
      </c>
      <c r="R29" s="4" t="s">
        <v>60</v>
      </c>
      <c r="S29" s="4" t="e">
        <f>CEILING(N29*VLOOKUP(O29, Коэффициенты!N3:O11, 2,FALSE)*0.7,2)&amp;" кг"</f>
        <v>#N/A</v>
      </c>
      <c r="T29" s="4" t="s">
        <v>14</v>
      </c>
      <c r="U29" s="4" t="e">
        <f>CEILING(N29*VLOOKUP(O29, Коэффициенты!N3:O11, 2,FALSE)*0.75,2)&amp;" кг"</f>
        <v>#N/A</v>
      </c>
      <c r="V29" s="4" t="s">
        <v>12</v>
      </c>
      <c r="W29" s="4" t="e">
        <f>CEILING(N29*VLOOKUP(O29, Коэффициенты!N3:O11, 2,FALSE)*0.8,2)&amp;" кг"</f>
        <v>#N/A</v>
      </c>
      <c r="X29" s="4" t="s">
        <v>19</v>
      </c>
      <c r="Y29" s="4" t="e">
        <f>CEILING(N29*VLOOKUP(O29, Коэффициенты!N3:O11, 2,FALSE)*0.875,2)&amp;" кг"</f>
        <v>#N/A</v>
      </c>
      <c r="Z29" s="4" t="s">
        <v>48</v>
      </c>
      <c r="AA29" s="4" t="e">
        <f>CEILING((N29*VLOOKUP(O29, Коэффициенты!N3:O11, 2,FALSE)+P29)*0.9,2)&amp;" кг"</f>
        <v>#N/A</v>
      </c>
      <c r="AB29" s="4" t="s">
        <v>59</v>
      </c>
      <c r="AC29" s="4"/>
      <c r="AD29" s="4"/>
      <c r="AE29" s="4" t="e">
        <f>CEILING((N29*VLOOKUP(O29, Коэффициенты!N3:O11, 2,FALSE)+P29)*0.7,2)&amp;" кг"</f>
        <v>#N/A</v>
      </c>
      <c r="AF29" s="17" t="s">
        <v>60</v>
      </c>
      <c r="AG29" s="4" t="e">
        <f>CEILING((N29*VLOOKUP(O29, Коэффициенты!N3:O11, 2,FALSE)+P29)*0.75,2)&amp;" кг"</f>
        <v>#N/A</v>
      </c>
      <c r="AH29" s="17" t="s">
        <v>14</v>
      </c>
      <c r="AI29" s="4" t="e">
        <f>CEILING((N29*VLOOKUP(O29, Коэффициенты!N3:O11, 2,FALSE)+P29)*0.8,2)&amp;" кг"</f>
        <v>#N/A</v>
      </c>
      <c r="AJ29" s="17" t="s">
        <v>12</v>
      </c>
      <c r="AK29" s="4" t="e">
        <f>CEILING((N29*VLOOKUP(O29, Коэффициенты!N3:O11, 2,FALSE)+P29)*0.85,2)&amp;" кг"</f>
        <v>#N/A</v>
      </c>
      <c r="AL29" s="17" t="s">
        <v>19</v>
      </c>
      <c r="AM29" s="4" t="e">
        <f>CEILING((N29*VLOOKUP(O29, Коэффициенты!N3:O11, 2,FALSE)+P29)*0.9,2)&amp;" кг"</f>
        <v>#N/A</v>
      </c>
      <c r="AN29" s="17" t="s">
        <v>48</v>
      </c>
      <c r="AO29" s="4" t="e">
        <f>FLOOR((N29*VLOOKUP(O29, Коэффициенты!N3:O11, 2,FALSE)+P29+P29)*0.9,2)&amp;" кг"</f>
        <v>#N/A</v>
      </c>
      <c r="AP29" s="17" t="s">
        <v>59</v>
      </c>
    </row>
    <row r="30" spans="12:42" ht="19.5" thickBot="1" x14ac:dyDescent="0.35">
      <c r="L30" s="15" t="s">
        <v>25</v>
      </c>
      <c r="N30" s="7">
        <f>'Программа тренировок '!C125</f>
        <v>0</v>
      </c>
      <c r="O30" s="7">
        <f>'Программа тренировок '!D125</f>
        <v>0</v>
      </c>
      <c r="P30" s="10">
        <f>'Программа тренировок '!E125</f>
        <v>0</v>
      </c>
      <c r="Q30" s="4" t="e">
        <f>CEILING(N30*VLOOKUP(O30, Коэффициенты!H3:I6, 2,FALSE)*0.7,2.5)&amp;" кг"</f>
        <v>#N/A</v>
      </c>
      <c r="R30" s="4" t="s">
        <v>47</v>
      </c>
      <c r="S30" s="4" t="e">
        <f>CEILING(N30*VLOOKUP(O30, Коэффициенты!H3:I6, 2,FALSE)*0.75,2.5)&amp;" кг"</f>
        <v>#N/A</v>
      </c>
      <c r="T30" s="4" t="s">
        <v>13</v>
      </c>
      <c r="U30" s="4" t="e">
        <f>CEILING(N30*VLOOKUP(O30, Коэффициенты!H3:I6, 2,FALSE)*0.8,2.5)&amp;" кг"</f>
        <v>#N/A</v>
      </c>
      <c r="V30" s="4" t="s">
        <v>15</v>
      </c>
      <c r="W30" s="4" t="e">
        <f>CEILING(N30*VLOOKUP(O30, Коэффициенты!H3:I6, 2,FALSE)*0.85,2.5)&amp;" кг"</f>
        <v>#N/A</v>
      </c>
      <c r="X30" s="4" t="s">
        <v>48</v>
      </c>
      <c r="Y30" s="4" t="e">
        <f>CEILING(N30*VLOOKUP(O30, Коэффициенты!H3:I6, 2,FALSE)*0.9,2.5)&amp;" кг"</f>
        <v>#N/A</v>
      </c>
      <c r="Z30" s="4" t="s">
        <v>17</v>
      </c>
      <c r="AA30" s="4" t="e">
        <f>CEILING((N30*VLOOKUP(O30, Коэффициенты!H3:I6, 2,FALSE)+P30)*0.9,2.5)&amp;" кг"</f>
        <v>#N/A</v>
      </c>
      <c r="AB30" s="4" t="s">
        <v>49</v>
      </c>
      <c r="AC30" s="4"/>
      <c r="AD30" s="4"/>
      <c r="AE30" s="4" t="e">
        <f>CEILING((N30*VLOOKUP(O30, Коэффициенты!H3:I6, 2,FALSE)+P30)*0.7,2.5)&amp;" кг"</f>
        <v>#N/A</v>
      </c>
      <c r="AF30" s="11" t="s">
        <v>47</v>
      </c>
      <c r="AG30" s="4" t="e">
        <f>CEILING((N30*VLOOKUP(O30, Коэффициенты!H3:I6, 2,FALSE)+P30)*0.75,2.5)&amp;" кг"</f>
        <v>#N/A</v>
      </c>
      <c r="AH30" s="11" t="s">
        <v>13</v>
      </c>
      <c r="AI30" s="4" t="e">
        <f>CEILING((N30*VLOOKUP(O30, Коэффициенты!H3:I6, 2,FALSE)+P30)*0.8,2.5)&amp;" кг"</f>
        <v>#N/A</v>
      </c>
      <c r="AJ30" s="11" t="s">
        <v>15</v>
      </c>
      <c r="AK30" s="4" t="e">
        <f>CEILING((N30*VLOOKUP(O30, Коэффициенты!H3:I6, 2,FALSE)+P30)*0.85,2.5)&amp;" кг"</f>
        <v>#N/A</v>
      </c>
      <c r="AL30" s="11" t="s">
        <v>48</v>
      </c>
      <c r="AM30" s="4" t="e">
        <f>CEILING((N30*VLOOKUP(O30, Коэффициенты!H3:I6, 2,FALSE)+P30)*0.9,2.5)&amp;" кг"</f>
        <v>#N/A</v>
      </c>
      <c r="AN30" s="4" t="s">
        <v>17</v>
      </c>
      <c r="AO30" s="4" t="e">
        <f>CEILING((N30*VLOOKUP(O30, Коэффициенты!H3:I6, 2,FALSE)+P30+P30)*0.9,2.5)&amp;" кг"</f>
        <v>#N/A</v>
      </c>
      <c r="AP30" s="4" t="s">
        <v>49</v>
      </c>
    </row>
    <row r="32" spans="12:42" ht="15.75" thickBot="1" x14ac:dyDescent="0.3"/>
    <row r="33" spans="12:42" ht="19.5" thickBot="1" x14ac:dyDescent="0.35">
      <c r="L33" s="12" t="s">
        <v>20</v>
      </c>
      <c r="N33" s="7">
        <f>'Программа тренировок '!C126</f>
        <v>57.5</v>
      </c>
      <c r="O33" s="7">
        <f>'Программа тренировок '!D126</f>
        <v>4</v>
      </c>
      <c r="P33" s="10">
        <f>'Программа тренировок '!E126</f>
        <v>2.5</v>
      </c>
      <c r="Q33" s="4" t="str">
        <f>CEILING(N33*VLOOKUP(O33, Коэффициенты!K3:L6, 2,FALSE)*0.55,2.5)&amp;" кг"</f>
        <v>37,5 кг</v>
      </c>
      <c r="R33" s="11" t="s">
        <v>42</v>
      </c>
      <c r="S33" s="4" t="str">
        <f>CEILING(N33*VLOOKUP(O33, Коэффициенты!K3:L6, 2,FALSE)*0.625,2.5)&amp;" кг"</f>
        <v>42,5 кг</v>
      </c>
      <c r="T33" s="11" t="s">
        <v>43</v>
      </c>
      <c r="U33" s="4" t="str">
        <f>CEILING(N33*VLOOKUP(O33, Коэффициенты!K3:L6, 2,FALSE)*0.7,2.5)&amp;" кг"</f>
        <v>47,5 кг</v>
      </c>
      <c r="V33" s="11" t="s">
        <v>55</v>
      </c>
      <c r="W33" s="4" t="str">
        <f>CEILING(N33*VLOOKUP(O33, Коэффициенты!K3:L6, 2,FALSE)*0.75,2.5)&amp;" кг"</f>
        <v>52,5 кг</v>
      </c>
      <c r="X33" s="11" t="s">
        <v>44</v>
      </c>
      <c r="Y33" s="4" t="str">
        <f>CEILING(N33*VLOOKUP(O33, Коэффициенты!K3:L6, 2,FALSE)*0.8,2.5)&amp;" кг"</f>
        <v>55 кг</v>
      </c>
      <c r="Z33" s="4" t="s">
        <v>17</v>
      </c>
      <c r="AA33" s="4" t="str">
        <f>CEILING((N33*VLOOKUP(O33, Коэффициенты!K3:L6, 2,FALSE)+P33)*0.825,2.5)&amp;" кг"</f>
        <v>60 кг</v>
      </c>
      <c r="AB33" s="11" t="s">
        <v>56</v>
      </c>
      <c r="AC33" s="4"/>
      <c r="AD33" s="4"/>
      <c r="AE33" s="4" t="str">
        <f>CEILING((N33*VLOOKUP(O33, Коэффициенты!K3:L6, 2,FALSE)+P33)*0.55,2.5)&amp;" кг"</f>
        <v>40 кг</v>
      </c>
      <c r="AF33" s="11" t="s">
        <v>47</v>
      </c>
      <c r="AG33" s="4" t="str">
        <f>CEILING((N33*VLOOKUP(O33, Коэффициенты!K3:L6, 2,FALSE)+P33)*0.625,2.5)&amp;" кг"</f>
        <v>45 кг</v>
      </c>
      <c r="AH33" s="11" t="s">
        <v>13</v>
      </c>
      <c r="AI33" s="4" t="str">
        <f>CEILING((N33*VLOOKUP(O33, Коэффициенты!K3:L6, 2,FALSE)+P33)*0.7,2.5)&amp;" кг"</f>
        <v>50 кг</v>
      </c>
      <c r="AJ33" s="11" t="s">
        <v>15</v>
      </c>
      <c r="AK33" s="4" t="str">
        <f>CEILING((N33*VLOOKUP(O33, Коэффициенты!K3:L6, 2,FALSE)+P33)*0.75,2.5)&amp;" кг"</f>
        <v>55 кг</v>
      </c>
      <c r="AL33" s="11" t="s">
        <v>48</v>
      </c>
      <c r="AM33" s="4" t="str">
        <f>CEILING((N33*VLOOKUP(O33, Коэффициенты!K3:L6, 2,FALSE)+P33)*0.8,2.5)&amp;" кг"</f>
        <v>57,5 кг</v>
      </c>
      <c r="AN33" s="11" t="s">
        <v>17</v>
      </c>
      <c r="AO33" s="4" t="str">
        <f>CEILING((N33*VLOOKUP(O33, Коэффициенты!K3:L6, 2,FALSE)+2*P33)*0.835,2.5)&amp;" кг"</f>
        <v>62,5 кг</v>
      </c>
      <c r="AP33" s="11" t="s">
        <v>49</v>
      </c>
    </row>
    <row r="34" spans="12:42" ht="19.5" thickBot="1" x14ac:dyDescent="0.35">
      <c r="L34" s="30" t="s">
        <v>83</v>
      </c>
      <c r="N34" s="7">
        <f>'Программа тренировок '!C126</f>
        <v>57.5</v>
      </c>
      <c r="O34" s="7">
        <f>'Программа тренировок '!D126</f>
        <v>4</v>
      </c>
      <c r="P34" s="10">
        <f>'Программа тренировок '!E126</f>
        <v>2.5</v>
      </c>
      <c r="Q34" s="4" t="str">
        <f>CEILING(N34*VLOOKUP(O34, Коэффициенты!N3:O11, 2,FALSE)*0.65,2)&amp;" кг"</f>
        <v>40 кг</v>
      </c>
      <c r="R34" s="4" t="s">
        <v>60</v>
      </c>
      <c r="S34" s="4" t="str">
        <f>CEILING(N34*VLOOKUP(O34, Коэффициенты!N3:O11, 2,FALSE)*0.7,2)&amp;" кг"</f>
        <v>42 кг</v>
      </c>
      <c r="T34" s="4" t="s">
        <v>14</v>
      </c>
      <c r="U34" s="4" t="str">
        <f>CEILING(N34*VLOOKUP(O34, Коэффициенты!N3:O11, 2,FALSE)*0.75,2)&amp;" кг"</f>
        <v>46 кг</v>
      </c>
      <c r="V34" s="4" t="s">
        <v>12</v>
      </c>
      <c r="W34" s="4" t="str">
        <f>CEILING(N34*VLOOKUP(O34, Коэффициенты!N3:O11, 2,FALSE)*0.8,2)&amp;" кг"</f>
        <v>48 кг</v>
      </c>
      <c r="X34" s="4" t="s">
        <v>19</v>
      </c>
      <c r="Y34" s="4" t="str">
        <f>CEILING(N34*VLOOKUP(O34, Коэффициенты!N3:O11, 2,FALSE)*0.875,2)&amp;" кг"</f>
        <v>52 кг</v>
      </c>
      <c r="Z34" s="4" t="s">
        <v>48</v>
      </c>
      <c r="AA34" s="4" t="str">
        <f>CEILING((N34*VLOOKUP(O34, Коэффициенты!N3:O11, 2,FALSE)+P34)*0.9,2)&amp;" кг"</f>
        <v>56 кг</v>
      </c>
      <c r="AB34" s="4" t="s">
        <v>59</v>
      </c>
      <c r="AC34" s="4"/>
      <c r="AD34" s="4"/>
      <c r="AE34" s="4" t="str">
        <f>CEILING((N34*VLOOKUP(O34, Коэффициенты!N3:O11, 2,FALSE)+P34)*0.7,2)&amp;" кг"</f>
        <v>44 кг</v>
      </c>
      <c r="AF34" s="17" t="s">
        <v>60</v>
      </c>
      <c r="AG34" s="4" t="str">
        <f>CEILING((N34*VLOOKUP(O34, Коэффициенты!N3:O11, 2,FALSE)+P34)*0.75,2)&amp;" кг"</f>
        <v>48 кг</v>
      </c>
      <c r="AH34" s="17" t="s">
        <v>14</v>
      </c>
      <c r="AI34" s="4" t="str">
        <f>CEILING((N34*VLOOKUP(O34, Коэффициенты!N3:O11, 2,FALSE)+P34)*0.8,2)&amp;" кг"</f>
        <v>50 кг</v>
      </c>
      <c r="AJ34" s="17" t="s">
        <v>12</v>
      </c>
      <c r="AK34" s="4" t="str">
        <f>CEILING((N34*VLOOKUP(O34, Коэффициенты!N3:O11, 2,FALSE)+P34)*0.85,2)&amp;" кг"</f>
        <v>54 кг</v>
      </c>
      <c r="AL34" s="17" t="s">
        <v>19</v>
      </c>
      <c r="AM34" s="4" t="str">
        <f>CEILING((N34*VLOOKUP(O34, Коэффициенты!N3:O11, 2,FALSE)+P34)*0.9,2)&amp;" кг"</f>
        <v>56 кг</v>
      </c>
      <c r="AN34" s="17" t="s">
        <v>48</v>
      </c>
      <c r="AO34" s="4" t="str">
        <f>CEILING((N34*VLOOKUP(O34, Коэффициенты!N3:O11, 2,FALSE)+P34+P34)*0.9,2)&amp;" кг"</f>
        <v>58 кг</v>
      </c>
      <c r="AP34" s="17" t="s">
        <v>59</v>
      </c>
    </row>
    <row r="35" spans="12:42" ht="15.75" thickBot="1" x14ac:dyDescent="0.3"/>
    <row r="36" spans="12:42" ht="19.5" thickBot="1" x14ac:dyDescent="0.35">
      <c r="L36" s="16" t="s">
        <v>57</v>
      </c>
      <c r="N36" s="7">
        <f>'Программа тренировок '!C127</f>
        <v>80</v>
      </c>
      <c r="O36" s="7">
        <f>'Программа тренировок '!D127</f>
        <v>6</v>
      </c>
      <c r="P36" s="10">
        <f>'Программа тренировок '!E127</f>
        <v>5</v>
      </c>
      <c r="Q36" s="4" t="str">
        <f>CEILING(N36*VLOOKUP(O36, Коэффициенты!H3:I6, 2,FALSE)*0.65,2.5)&amp;" кг"</f>
        <v>60 кг</v>
      </c>
      <c r="R36" s="17" t="s">
        <v>13</v>
      </c>
      <c r="S36" s="4" t="str">
        <f>CEILING(N36*VLOOKUP(O36, Коэффициенты!H3:I6, 2,FALSE)*0.7,2.5)&amp;" кг"</f>
        <v>65 кг</v>
      </c>
      <c r="T36" s="17" t="s">
        <v>13</v>
      </c>
      <c r="U36" s="4" t="str">
        <f>CEILING(N36*VLOOKUP(O36, Коэффициенты!H3:I6, 2,FALSE)*0.75,2.5)&amp;" кг"</f>
        <v>70 кг</v>
      </c>
      <c r="V36" s="17" t="s">
        <v>76</v>
      </c>
      <c r="W36" s="4" t="str">
        <f>CEILING(N36*VLOOKUP(O36, Коэффициенты!H3:I6, 2,FALSE)*0.8,2.5)&amp;" кг"</f>
        <v>75 кг</v>
      </c>
      <c r="X36" s="17" t="s">
        <v>76</v>
      </c>
      <c r="Y36" s="4" t="str">
        <f>CEILING(N36*VLOOKUP(O36, Коэффициенты!H3:I6, 2,FALSE)*0.85,2.5)&amp;" кг"</f>
        <v>80 кг</v>
      </c>
      <c r="Z36" s="17" t="s">
        <v>77</v>
      </c>
      <c r="AA36" s="4" t="str">
        <f>CEILING((N36*VLOOKUP(O36, Коэффициенты!H3:I6, 2,FALSE)+P36)*0.865,2.5)&amp;" кг"</f>
        <v>85 кг</v>
      </c>
      <c r="AB36" s="17" t="s">
        <v>54</v>
      </c>
      <c r="AC36" s="4"/>
      <c r="AD36" s="4"/>
      <c r="AE36" s="4" t="str">
        <f>CEILING((N36*VLOOKUP(O36, Коэффициенты!H3:I6, 2,FALSE)+P36)*0.65,2.5)&amp;" кг"</f>
        <v>65 кг</v>
      </c>
      <c r="AF36" s="17" t="s">
        <v>76</v>
      </c>
      <c r="AG36" s="4" t="str">
        <f>CEILING((N36*VLOOKUP(O36, Коэффициенты!H3:I6, 2,FALSE)+P36)*0.7,2.5)&amp;" кг"</f>
        <v>70 кг</v>
      </c>
      <c r="AH36" s="17" t="s">
        <v>76</v>
      </c>
      <c r="AI36" s="4" t="str">
        <f>CEILING((N36*VLOOKUP(O36, Коэффициенты!H3:I6, 2,FALSE)+P36)*0.75,2.5)&amp;" кг"</f>
        <v>75 кг</v>
      </c>
      <c r="AJ36" s="17" t="s">
        <v>77</v>
      </c>
      <c r="AK36" s="4" t="str">
        <f>CEILING((N36*VLOOKUP(O36, Коэффициенты!H3:I6, 2,FALSE)+P36)*0.8,2.5)&amp;" кг"</f>
        <v>80 кг</v>
      </c>
      <c r="AL36" s="17" t="s">
        <v>77</v>
      </c>
      <c r="AM36" s="4" t="str">
        <f>CEILING((N36*VLOOKUP(O36, Коэффициенты!H3:I6, 2,FALSE)+P36)*0.85,2.5)&amp;" кг"</f>
        <v>82,5 кг</v>
      </c>
      <c r="AN36" s="17" t="s">
        <v>54</v>
      </c>
      <c r="AO36" s="4" t="str">
        <f>CEILING((N36*VLOOKUP(O36, Коэффициенты!H3:I6, 2,FALSE)+P36+P36)*0.865,2.5)&amp;" кг"</f>
        <v>90 кг</v>
      </c>
      <c r="AP36" s="17" t="s">
        <v>54</v>
      </c>
    </row>
    <row r="37" spans="12:42" ht="19.5" thickBot="1" x14ac:dyDescent="0.35">
      <c r="L37" s="25" t="s">
        <v>78</v>
      </c>
      <c r="N37" s="26">
        <f>'Программа тренировок '!C127</f>
        <v>80</v>
      </c>
      <c r="O37" s="22">
        <f>'Программа тренировок '!D127</f>
        <v>6</v>
      </c>
      <c r="P37" s="18">
        <v>2</v>
      </c>
      <c r="Q37" s="23" t="s">
        <v>68</v>
      </c>
      <c r="R37" s="19" t="str">
        <f>FLOOR(0.4*O37,1)&amp;" повт"</f>
        <v>2 повт</v>
      </c>
      <c r="S37" s="21" t="s">
        <v>69</v>
      </c>
      <c r="T37" s="19" t="str">
        <f>FLOOR(0.5*O37,1)&amp;" повт"</f>
        <v>3 повт</v>
      </c>
      <c r="U37" s="21" t="s">
        <v>70</v>
      </c>
      <c r="V37" s="19" t="str">
        <f>FLOOR(0.6*O37,1)&amp;" повт"</f>
        <v>3 повт</v>
      </c>
      <c r="W37" s="21" t="s">
        <v>71</v>
      </c>
      <c r="X37" s="19" t="str">
        <f>CEILING(0.7*O37,1)&amp;" повт"</f>
        <v>5 повт</v>
      </c>
      <c r="Y37" s="21" t="s">
        <v>72</v>
      </c>
      <c r="Z37" s="20" t="str">
        <f>FLOOR(IF(0.8*O37-0.7*O37&lt;1,0.8*O37+1,0.8*O37),1)&amp;" повт"</f>
        <v>5 повт</v>
      </c>
      <c r="AA37" s="21" t="s">
        <v>74</v>
      </c>
      <c r="AB37" s="21" t="str">
        <f>O37+P37&amp;" повт"</f>
        <v>8 повт</v>
      </c>
      <c r="AC37" s="19"/>
      <c r="AD37" s="19"/>
      <c r="AE37" s="21" t="s">
        <v>68</v>
      </c>
      <c r="AF37" s="19" t="str">
        <f>FLOOR(0.4*O37+P37,1)&amp;" повт"</f>
        <v>4 повт</v>
      </c>
      <c r="AG37" s="21" t="s">
        <v>69</v>
      </c>
      <c r="AH37" s="19" t="str">
        <f>FLOOR(0.5*O37+P37,1)&amp;" повт"</f>
        <v>5 повт</v>
      </c>
      <c r="AI37" s="21" t="s">
        <v>70</v>
      </c>
      <c r="AJ37" s="19" t="str">
        <f>FLOOR(0.6*O37+P37,1)&amp;" повт"</f>
        <v>5 повт</v>
      </c>
      <c r="AK37" s="21" t="s">
        <v>71</v>
      </c>
      <c r="AL37" s="19" t="str">
        <f>FLOOR(0.8*O37+P37,1)&amp;" повт"</f>
        <v>6 повт</v>
      </c>
      <c r="AM37" s="21" t="s">
        <v>72</v>
      </c>
      <c r="AN37" s="19" t="str">
        <f>CEILING(0.8*O37+P37,1)&amp;" повт"</f>
        <v>7 повт</v>
      </c>
      <c r="AO37" s="21" t="s">
        <v>73</v>
      </c>
      <c r="AP37" s="19" t="str">
        <f>O37+P37+P37&amp;" повт"</f>
        <v>10 повт</v>
      </c>
    </row>
    <row r="38" spans="12:42" ht="19.5" thickBot="1" x14ac:dyDescent="0.35">
      <c r="L38" s="29" t="s">
        <v>21</v>
      </c>
      <c r="N38" s="7">
        <f>'Программа тренировок '!C127</f>
        <v>80</v>
      </c>
      <c r="O38" s="7">
        <f>'Программа тренировок '!D127</f>
        <v>6</v>
      </c>
      <c r="P38" s="10">
        <f>'Программа тренировок '!E127</f>
        <v>5</v>
      </c>
      <c r="Q38" s="4" t="str">
        <f>CEILING(N38*VLOOKUP(O38, Коэффициенты!N3:O11, 2,FALSE)*0.6,3)&amp;" кг"</f>
        <v>54 кг</v>
      </c>
      <c r="R38" s="17" t="s">
        <v>79</v>
      </c>
      <c r="S38" s="4" t="str">
        <f>CEILING(N38*VLOOKUP(O38, Коэффициенты!N3:O11, 2,FALSE)*0.65,3)&amp;" кг"</f>
        <v>57 кг</v>
      </c>
      <c r="T38" s="17" t="s">
        <v>80</v>
      </c>
      <c r="U38" s="4" t="str">
        <f>CEILING(N38*VLOOKUP(O38, Коэффициенты!N3:O11, 2,FALSE)*0.7,3)&amp;" кг"</f>
        <v>63 кг</v>
      </c>
      <c r="V38" s="17" t="s">
        <v>14</v>
      </c>
      <c r="W38" s="4" t="str">
        <f>CEILING(N38*VLOOKUP(O38, Коэффициенты!N3:O11, 2,FALSE)*0.75,3)&amp;" кг"</f>
        <v>66 кг</v>
      </c>
      <c r="X38" s="17" t="s">
        <v>11</v>
      </c>
      <c r="Y38" s="4" t="str">
        <f>CEILING(N38*VLOOKUP(O38, Коэффициенты!N3:O11, 2,FALSE)*0.85,3)&amp;" кг"</f>
        <v>75 кг</v>
      </c>
      <c r="Z38" s="17" t="s">
        <v>19</v>
      </c>
      <c r="AA38" s="4" t="str">
        <f>CEILING((N38*VLOOKUP(O38, Коэффициенты!N3:O11, 2,FALSE)+P38)*0.9,3)&amp;" кг"</f>
        <v>84 кг</v>
      </c>
      <c r="AB38" s="17" t="s">
        <v>82</v>
      </c>
      <c r="AC38" s="4"/>
      <c r="AD38" s="4"/>
      <c r="AE38" s="4" t="str">
        <f>CEILING((N38*VLOOKUP(O38, Коэффициенты!N3:O11, 2,FALSE)+P38)*0.6,3)&amp;" кг"</f>
        <v>57 кг</v>
      </c>
      <c r="AF38" s="17" t="s">
        <v>79</v>
      </c>
      <c r="AG38" s="4" t="str">
        <f>CEILING((N38*VLOOKUP(O38, Коэффициенты!N3:O11, 2,FALSE)+P38)*0.65,3)&amp;" кг"</f>
        <v>60 кг</v>
      </c>
      <c r="AH38" s="17" t="s">
        <v>80</v>
      </c>
      <c r="AI38" s="4" t="str">
        <f>CEILING((N38*VLOOKUP(O38, Коэффициенты!N3:O11, 2,FALSE)+P38)*0.7,3)&amp;" кг"</f>
        <v>66 кг</v>
      </c>
      <c r="AJ38" s="17" t="s">
        <v>14</v>
      </c>
      <c r="AK38" s="4" t="str">
        <f>CEILING((N38*VLOOKUP(O38, Коэффициенты!N3:O11, 2,FALSE)+P38)*0.75,3)&amp;" кг"</f>
        <v>69 кг</v>
      </c>
      <c r="AL38" s="17" t="s">
        <v>11</v>
      </c>
      <c r="AM38" s="4" t="str">
        <f>CEILING((N38*VLOOKUP(O38, Коэффициенты!N3:O11, 2,FALSE)+P38)*0.85,3)&amp;" кг"</f>
        <v>81 кг</v>
      </c>
      <c r="AN38" s="17" t="s">
        <v>19</v>
      </c>
      <c r="AO38" s="4" t="str">
        <f>CEILING((N38*VLOOKUP(O38,Коэффициенты!N3:O11,2,FALSE)+2*P38)*0.9,3)&amp;" кг"</f>
        <v>90 кг</v>
      </c>
      <c r="AP38" s="17" t="s">
        <v>82</v>
      </c>
    </row>
    <row r="39" spans="12:42" ht="15.75" thickBot="1" x14ac:dyDescent="0.3">
      <c r="L39" s="28" t="s">
        <v>95</v>
      </c>
    </row>
    <row r="40" spans="12:42" ht="19.5" thickBot="1" x14ac:dyDescent="0.35">
      <c r="L40" s="29" t="s">
        <v>85</v>
      </c>
      <c r="N40" s="7">
        <f>'Программа тренировок '!C128</f>
        <v>0</v>
      </c>
      <c r="O40" s="7">
        <f>'Программа тренировок '!D128</f>
        <v>0</v>
      </c>
      <c r="P40" s="10">
        <f>'Программа тренировок '!E128</f>
        <v>0</v>
      </c>
      <c r="Q40" s="4" t="e">
        <f>CEILING(N40*VLOOKUP(O40, Коэффициенты!N3:O11, 2,FALSE)*0.65,2.5)&amp;" кг"</f>
        <v>#N/A</v>
      </c>
      <c r="R40" s="4" t="s">
        <v>60</v>
      </c>
      <c r="S40" s="4" t="e">
        <f>CEILING(N40*VLOOKUP(O40, Коэффициенты!N3:O11, 2,FALSE)*0.7,2.5)&amp;" кг"</f>
        <v>#N/A</v>
      </c>
      <c r="T40" s="4" t="s">
        <v>14</v>
      </c>
      <c r="U40" s="4" t="e">
        <f>CEILING(N40*VLOOKUP(O40, Коэффициенты!N3:O11, 2,FALSE)*0.75,2.5)&amp;" кг"</f>
        <v>#N/A</v>
      </c>
      <c r="V40" s="4" t="s">
        <v>12</v>
      </c>
      <c r="W40" s="4" t="e">
        <f>CEILING(N40*VLOOKUP(O40, Коэффициенты!N3:O11, 2,FALSE)*0.8,2.5)&amp;" кг"</f>
        <v>#N/A</v>
      </c>
      <c r="X40" s="4" t="s">
        <v>19</v>
      </c>
      <c r="Y40" s="4" t="e">
        <f>CEILING(N40*VLOOKUP(O40, Коэффициенты!N3:O11, 2,FALSE)*0.875,2.5)&amp;" кг"</f>
        <v>#N/A</v>
      </c>
      <c r="Z40" s="4" t="s">
        <v>48</v>
      </c>
      <c r="AA40" s="4" t="e">
        <f>CEILING((N40*VLOOKUP(O40, Коэффициенты!N3:O11, 2,FALSE)+P40)*0.9,2.5)&amp;" кг"</f>
        <v>#N/A</v>
      </c>
      <c r="AB40" s="4" t="s">
        <v>59</v>
      </c>
      <c r="AC40" s="4"/>
      <c r="AD40" s="4"/>
      <c r="AE40" s="4" t="e">
        <f>CEILING((N40*VLOOKUP(O40, Коэффициенты!N3:O11, 2,FALSE)+P40)*0.7,2.5)&amp;" кг"</f>
        <v>#N/A</v>
      </c>
      <c r="AF40" s="17" t="s">
        <v>60</v>
      </c>
      <c r="AG40" s="4" t="e">
        <f>CEILING((N40*VLOOKUP(O40, Коэффициенты!N3:O11, 2,FALSE)+P40)*0.75,2.5)&amp;" кг"</f>
        <v>#N/A</v>
      </c>
      <c r="AH40" s="17" t="s">
        <v>14</v>
      </c>
      <c r="AI40" s="4" t="e">
        <f>CEILING((N40*VLOOKUP(O40, Коэффициенты!N3:O11, 2,FALSE)+P40)*0.8,2.5)&amp;" кг"</f>
        <v>#N/A</v>
      </c>
      <c r="AJ40" s="17" t="s">
        <v>12</v>
      </c>
      <c r="AK40" s="4" t="e">
        <f>CEILING((N40*VLOOKUP(O40, Коэффициенты!N3:O11, 2,FALSE)+P40)*0.85,2.5)&amp;" кг"</f>
        <v>#N/A</v>
      </c>
      <c r="AL40" s="17" t="s">
        <v>19</v>
      </c>
      <c r="AM40" s="4" t="e">
        <f>CEILING((N40*VLOOKUP(O40, Коэффициенты!N3:O11, 2,FALSE)+P40)*0.9,2.5)&amp;" кг"</f>
        <v>#N/A</v>
      </c>
      <c r="AN40" s="17" t="s">
        <v>48</v>
      </c>
      <c r="AO40" s="4" t="e">
        <f>CEILING((N40*VLOOKUP(O40, Коэффициенты!N3:O11, 2,FALSE)+P40+P40)*0.9,2.5)&amp;" кг"</f>
        <v>#N/A</v>
      </c>
      <c r="AP40" s="17" t="s">
        <v>59</v>
      </c>
    </row>
    <row r="41" spans="12:42" ht="19.5" thickBot="1" x14ac:dyDescent="0.35">
      <c r="L41" s="29" t="s">
        <v>98</v>
      </c>
      <c r="N41" s="7">
        <f>'Программа тренировок '!C128</f>
        <v>0</v>
      </c>
      <c r="O41" s="7">
        <f>'Программа тренировок '!D128</f>
        <v>0</v>
      </c>
      <c r="P41" s="10">
        <f>'Программа тренировок '!E128</f>
        <v>0</v>
      </c>
      <c r="Q41" s="4" t="e">
        <f>CEILING(N41*VLOOKUP(O41, Коэффициенты!N3:O11, 2,FALSE)*0.7,2.5)&amp;" кг"</f>
        <v>#N/A</v>
      </c>
      <c r="R41" s="17" t="s">
        <v>79</v>
      </c>
      <c r="S41" s="4" t="e">
        <f>CEILING(N41*VLOOKUP(O41, Коэффициенты!N3:O11, 2,FALSE)*0.75,2.5)&amp;" кг"</f>
        <v>#N/A</v>
      </c>
      <c r="T41" s="17" t="s">
        <v>80</v>
      </c>
      <c r="U41" s="4" t="e">
        <f>CEILING(N41*VLOOKUP(O41, Коэффициенты!N3:O11, 2,FALSE)*0.8,2.5)&amp;" кг"</f>
        <v>#N/A</v>
      </c>
      <c r="V41" s="17" t="s">
        <v>14</v>
      </c>
      <c r="W41" s="4" t="e">
        <f>CEILING(N41*VLOOKUP(O41, Коэффициенты!N3:O11, 2,FALSE)*0.85,2.5)&amp;" кг"</f>
        <v>#N/A</v>
      </c>
      <c r="X41" s="17" t="s">
        <v>11</v>
      </c>
      <c r="Y41" s="4" t="e">
        <f>CEILING(N41*VLOOKUP(O41, Коэффициенты!N3:O11, 2,FALSE)*0.9,2.5)&amp;" кг"</f>
        <v>#N/A</v>
      </c>
      <c r="Z41" s="17" t="s">
        <v>19</v>
      </c>
      <c r="AA41" s="4" t="e">
        <f>CEILING((N41*VLOOKUP(O41, Коэффициенты!N3:O11, 2,FALSE)+P41)*0.9,2.5)&amp;" кг"</f>
        <v>#N/A</v>
      </c>
      <c r="AB41" s="17" t="s">
        <v>82</v>
      </c>
      <c r="AC41" s="4"/>
      <c r="AD41" s="4"/>
      <c r="AE41" s="4" t="e">
        <f>CEILING((N41*VLOOKUP(O41, Коэффициенты!N3:O11, 2,FALSE)+P41)*0.7,2.5)&amp;" кг"</f>
        <v>#N/A</v>
      </c>
      <c r="AF41" s="17" t="s">
        <v>79</v>
      </c>
      <c r="AG41" s="4" t="e">
        <f>CEILING((N41*VLOOKUP(O41, Коэффициенты!N3:O11, 2,FALSE)+P41)*0.75,2.5)&amp;" кг"</f>
        <v>#N/A</v>
      </c>
      <c r="AH41" s="17" t="s">
        <v>80</v>
      </c>
      <c r="AI41" s="4" t="e">
        <f>CEILING((N41*VLOOKUP(O41, Коэффициенты!N3:O11, 2,FALSE)+P41)*0.8,2.5)&amp;" кг"</f>
        <v>#N/A</v>
      </c>
      <c r="AJ41" s="17" t="s">
        <v>14</v>
      </c>
      <c r="AK41" s="4" t="e">
        <f>CEILING((N41*VLOOKUP(O41, Коэффициенты!N3:O11, 2,FALSE)+P41)*0.85,2.5)&amp;" кг"</f>
        <v>#N/A</v>
      </c>
      <c r="AL41" s="17" t="s">
        <v>11</v>
      </c>
      <c r="AM41" s="4" t="e">
        <f>CEILING((N41*VLOOKUP(O41, Коэффициенты!N3:O11, 2,FALSE)+P41)*0.9,2.5)&amp;" кг"</f>
        <v>#N/A</v>
      </c>
      <c r="AN41" s="17" t="s">
        <v>19</v>
      </c>
      <c r="AO41" s="4" t="e">
        <f>CEILING((N41*VLOOKUP(O41,Коэффициенты!N3:O11,2,FALSE)+P227)*0.9,2.5)&amp;" кг"</f>
        <v>#N/A</v>
      </c>
      <c r="AP41" s="17" t="s">
        <v>82</v>
      </c>
    </row>
    <row r="43" spans="12:42" ht="15.75" thickBot="1" x14ac:dyDescent="0.3"/>
    <row r="44" spans="12:42" ht="19.5" thickBot="1" x14ac:dyDescent="0.35">
      <c r="L44" s="1" t="s">
        <v>31</v>
      </c>
      <c r="N44" s="7">
        <f>'Программа тренировок '!C132</f>
        <v>72.5</v>
      </c>
      <c r="O44" s="7">
        <f>'Программа тренировок '!D132</f>
        <v>4</v>
      </c>
      <c r="P44" s="10">
        <f>'Программа тренировок '!E132</f>
        <v>2.5</v>
      </c>
      <c r="Q44" s="4" t="str">
        <f>CEILING(N44*VLOOKUP(O44, Коэффициенты!K3:L6, 2,FALSE)*0.55,2.5)&amp;" кг"</f>
        <v>47,5 кг</v>
      </c>
      <c r="R44" s="11" t="s">
        <v>42</v>
      </c>
      <c r="S44" s="4" t="str">
        <f>CEILING(N44*VLOOKUP(O44, Коэффициенты!K3:L6, 2,FALSE)*0.625,2.5)&amp;" кг"</f>
        <v>55 кг</v>
      </c>
      <c r="T44" s="11" t="s">
        <v>43</v>
      </c>
      <c r="U44" s="4" t="str">
        <f>CEILING(N44*VLOOKUP(O44, Коэффициенты!K3:L6, 2,FALSE)*0.7,2.5)&amp;" кг"</f>
        <v>60 кг</v>
      </c>
      <c r="V44" s="11" t="s">
        <v>55</v>
      </c>
      <c r="W44" s="4" t="str">
        <f>CEILING(N44*VLOOKUP(O44, Коэффициенты!K3:L6, 2,FALSE)*0.75,2.5)&amp;" кг"</f>
        <v>65 кг</v>
      </c>
      <c r="X44" s="11" t="s">
        <v>44</v>
      </c>
      <c r="Y44" s="4" t="str">
        <f>CEILING(N44*VLOOKUP(O44, Коэффициенты!K3:L6, 2,FALSE)*0.8,2.5)&amp;" кг"</f>
        <v>70 кг</v>
      </c>
      <c r="Z44" s="4" t="s">
        <v>17</v>
      </c>
      <c r="AA44" s="4" t="str">
        <f>CEILING((N44*VLOOKUP(O44, Коэффициенты!K3:L6, 2,FALSE)+P44)*0.825,2.5)&amp;" кг"</f>
        <v>72,5 кг</v>
      </c>
      <c r="AB44" s="11" t="s">
        <v>56</v>
      </c>
      <c r="AC44" s="4"/>
      <c r="AD44" s="4"/>
      <c r="AE44" s="4" t="str">
        <f>CEILING((N44*VLOOKUP(O44, Коэффициенты!K3:L6, 2,FALSE)+P44)*0.55,2.5)&amp;" кг"</f>
        <v>50 кг</v>
      </c>
      <c r="AF44" s="11" t="s">
        <v>47</v>
      </c>
      <c r="AG44" s="4" t="str">
        <f>CEILING((N44*VLOOKUP(O44, Коэффициенты!K3:L6, 2,FALSE)+P44)*0.65,2.5)&amp;" кг"</f>
        <v>57,5 кг</v>
      </c>
      <c r="AH44" s="11" t="s">
        <v>13</v>
      </c>
      <c r="AI44" s="4" t="str">
        <f>CEILING((N44*VLOOKUP(O44, Коэффициенты!K3:L6, 2,FALSE)+P44)*0.7,2.5)&amp;" кг"</f>
        <v>62,5 кг</v>
      </c>
      <c r="AJ44" s="11" t="s">
        <v>15</v>
      </c>
      <c r="AK44" s="4" t="str">
        <f>CEILING((N44*VLOOKUP(O44, Коэффициенты!K3:L6, 2,FALSE)+P44)*0.75,2.5)&amp;" кг"</f>
        <v>67,5 кг</v>
      </c>
      <c r="AL44" s="11" t="s">
        <v>48</v>
      </c>
      <c r="AM44" s="4" t="str">
        <f>CEILING((N44*VLOOKUP(O44, Коэффициенты!K3:L6, 2,FALSE)+P44)*0.8,2.5)&amp;" кг"</f>
        <v>72,5 кг</v>
      </c>
      <c r="AN44" s="11" t="s">
        <v>17</v>
      </c>
      <c r="AO44" s="4" t="str">
        <f>FLOOR((N44*VLOOKUP(O44, Коэффициенты!K3:L6, 2,FALSE)+2*P44)*0.835,2.5)&amp;" кг"</f>
        <v>75 кг</v>
      </c>
      <c r="AP44" s="11" t="s">
        <v>49</v>
      </c>
    </row>
    <row r="45" spans="12:42" ht="19.5" thickBot="1" x14ac:dyDescent="0.35">
      <c r="L45" s="16" t="s">
        <v>61</v>
      </c>
      <c r="N45" s="7">
        <f>'Программа тренировок '!C132</f>
        <v>72.5</v>
      </c>
      <c r="O45" s="7">
        <f>'Программа тренировок '!D132</f>
        <v>4</v>
      </c>
      <c r="P45" s="10">
        <f>'Программа тренировок '!E132</f>
        <v>2.5</v>
      </c>
      <c r="Q45" s="4" t="str">
        <f>CEILING(N45*VLOOKUP(O45, Коэффициенты!N3:O11, 2,FALSE)*0.4,2)&amp;" кг"</f>
        <v>30 кг</v>
      </c>
      <c r="R45" s="17" t="s">
        <v>81</v>
      </c>
      <c r="S45" s="4" t="str">
        <f>CEILING(N45*VLOOKUP(O45, Коэффициенты!N3:O11, 2,FALSE)*0.5,2)&amp;" кг"</f>
        <v>38 кг</v>
      </c>
      <c r="T45" s="17" t="s">
        <v>81</v>
      </c>
      <c r="U45" s="4" t="str">
        <f>CEILING(N45*VLOOKUP(O45, Коэффициенты!N3:O11, 2,FALSE)*0.6,2)&amp;" кг"</f>
        <v>46 кг</v>
      </c>
      <c r="V45" s="17" t="s">
        <v>41</v>
      </c>
      <c r="W45" s="4" t="str">
        <f>CEILING(N45*VLOOKUP(O45, Коэффициенты!N3:O11, 2,FALSE)*0.7,2)&amp;" кг"</f>
        <v>54 кг</v>
      </c>
      <c r="X45" s="17" t="s">
        <v>41</v>
      </c>
      <c r="Y45" s="4" t="str">
        <f>CEILING(N45*VLOOKUP(O45, Коэффициенты!N3:O11, 2,FALSE)*0.8,2)&amp;" кг"</f>
        <v>60 кг</v>
      </c>
      <c r="Z45" s="17" t="s">
        <v>11</v>
      </c>
      <c r="AA45" s="4" t="str">
        <f>CEILING((N45*VLOOKUP(O45, Коэффициенты!N3:O11, 2,FALSE)+P45)*0.85,2)&amp;" кг"</f>
        <v>66 кг</v>
      </c>
      <c r="AB45" s="17" t="s">
        <v>11</v>
      </c>
      <c r="AC45" s="4"/>
      <c r="AD45" s="4"/>
      <c r="AE45" s="4" t="str">
        <f>CEILING((N45*VLOOKUP(O45, Коэффициенты!N3:O11, 2,FALSE)+P45)*0.4,2)&amp;" кг"</f>
        <v>32 кг</v>
      </c>
      <c r="AF45" s="17" t="s">
        <v>81</v>
      </c>
      <c r="AG45" s="4" t="str">
        <f>CEILING((N45*VLOOKUP(O45, Коэффициенты!N3:O11, 2,FALSE)+P45)*0.5,2)&amp;" кг"</f>
        <v>40 кг</v>
      </c>
      <c r="AH45" s="17" t="s">
        <v>81</v>
      </c>
      <c r="AI45" s="4" t="str">
        <f>CEILING((N45*VLOOKUP(O45, Коэффициенты!N3:O11, 2,FALSE)+P45)*0.6,2)&amp;" кг"</f>
        <v>48 кг</v>
      </c>
      <c r="AJ45" s="17" t="s">
        <v>41</v>
      </c>
      <c r="AK45" s="4" t="str">
        <f>CEILING((N45*VLOOKUP(O45, Коэффициенты!N3:O11, 2,FALSE)+P45)*0.7,2)&amp;" кг"</f>
        <v>56 кг</v>
      </c>
      <c r="AL45" s="17" t="s">
        <v>41</v>
      </c>
      <c r="AM45" s="4" t="str">
        <f>CEILING((N45*VLOOKUP(O45, Коэффициенты!N3:O11, 2,FALSE)+P45)*0.8,2)&amp;" кг"</f>
        <v>62 кг</v>
      </c>
      <c r="AN45" s="17" t="s">
        <v>11</v>
      </c>
      <c r="AO45" s="4" t="str">
        <f>CEILING((N45*VLOOKUP(O45, Коэффициенты!N3:O11, 2,FALSE)+P45+P45)*0.9,2)&amp;" кг"</f>
        <v>72 кг</v>
      </c>
      <c r="AP45" s="17" t="s">
        <v>11</v>
      </c>
    </row>
    <row r="47" spans="12:42" ht="15.75" thickBot="1" x14ac:dyDescent="0.3"/>
    <row r="48" spans="12:42" ht="19.5" thickBot="1" x14ac:dyDescent="0.35">
      <c r="L48" s="1" t="s">
        <v>32</v>
      </c>
      <c r="N48" s="7">
        <f>'Программа тренировок '!C133</f>
        <v>150</v>
      </c>
      <c r="O48" s="7">
        <f>'Программа тренировок '!D133</f>
        <v>4</v>
      </c>
      <c r="P48" s="10">
        <f>'Программа тренировок '!E133</f>
        <v>5</v>
      </c>
      <c r="Q48" s="4" t="str">
        <f>CEILING(N48*VLOOKUP(O48, Коэффициенты!H3:I6, 2,FALSE)*0.7,2.5)&amp;" кг"</f>
        <v>115 кг</v>
      </c>
      <c r="R48" s="4" t="s">
        <v>47</v>
      </c>
      <c r="S48" s="4" t="str">
        <f>CEILING(N48*VLOOKUP(O48, Коэффициенты!H3:I6, 2,FALSE)*0.75,2.5)&amp;" кг"</f>
        <v>122,5 кг</v>
      </c>
      <c r="T48" s="4" t="s">
        <v>13</v>
      </c>
      <c r="U48" s="4" t="str">
        <f>CEILING(N48*VLOOKUP(O48, Коэффициенты!H3:I6, 2,FALSE)*0.8,2.5)&amp;" кг"</f>
        <v>132,5 кг</v>
      </c>
      <c r="V48" s="4" t="s">
        <v>15</v>
      </c>
      <c r="W48" s="4" t="str">
        <f>CEILING(N48*VLOOKUP(O48, Коэффициенты!H3:I6, 2,FALSE)*0.85,2.5)&amp;" кг"</f>
        <v>140 кг</v>
      </c>
      <c r="X48" s="4" t="s">
        <v>48</v>
      </c>
      <c r="Y48" s="4" t="str">
        <f>CEILING(N48*VLOOKUP(O48, Коэффициенты!H3:I6, 2,FALSE)*0.9,2.5)&amp;" кг"</f>
        <v>147,5 кг</v>
      </c>
      <c r="Z48" s="4" t="s">
        <v>17</v>
      </c>
      <c r="AA48" s="4" t="str">
        <f>CEILING((N48*VLOOKUP(O48, Коэффициенты!H3:I6, 2,FALSE)+P48)*0.9,2.5)&amp;" кг"</f>
        <v>152,5 кг</v>
      </c>
      <c r="AB48" s="4" t="s">
        <v>49</v>
      </c>
      <c r="AC48" s="4"/>
      <c r="AD48" s="4"/>
      <c r="AE48" s="4" t="str">
        <f>CEILING((N48*VLOOKUP(O48, Коэффициенты!H3:I6, 2,FALSE)+P48)*0.7,2.5)&amp;" кг"</f>
        <v>120 кг</v>
      </c>
      <c r="AF48" s="11" t="s">
        <v>47</v>
      </c>
      <c r="AG48" s="4" t="str">
        <f>CEILING((N48*VLOOKUP(O48, Коэффициенты!H3:I6, 2,FALSE)+P48)*0.75,2.5)&amp;" кг"</f>
        <v>127,5 кг</v>
      </c>
      <c r="AH48" s="11" t="s">
        <v>13</v>
      </c>
      <c r="AI48" s="4" t="str">
        <f>CEILING((N48*VLOOKUP(O48, Коэффициенты!H3:I6, 2,FALSE)+P48)*0.8,2.5)&amp;" кг"</f>
        <v>135 кг</v>
      </c>
      <c r="AJ48" s="11" t="s">
        <v>15</v>
      </c>
      <c r="AK48" s="4" t="str">
        <f>CEILING((N48*VLOOKUP(O48, Коэффициенты!H3:I6, 2,FALSE)+P48)*0.85,2.5)&amp;" кг"</f>
        <v>145 кг</v>
      </c>
      <c r="AL48" s="11" t="s">
        <v>48</v>
      </c>
      <c r="AM48" s="4" t="str">
        <f>CEILING((N48*VLOOKUP(O48, Коэффициенты!H3:I6, 2,FALSE)+P48)*0.9,2.5)&amp;" кг"</f>
        <v>152,5 кг</v>
      </c>
      <c r="AN48" s="4" t="s">
        <v>17</v>
      </c>
      <c r="AO48" s="4" t="str">
        <f>CEILING((N48*VLOOKUP(O48, Коэффициенты!H3:I6, 2,FALSE)+P48+P48)*0.9,2.5)&amp;" кг"</f>
        <v>157,5 кг</v>
      </c>
      <c r="AP48" s="4" t="s">
        <v>49</v>
      </c>
    </row>
    <row r="49" spans="12:42" ht="19.5" thickBot="1" x14ac:dyDescent="0.35">
      <c r="L49" s="30" t="s">
        <v>86</v>
      </c>
      <c r="N49" s="7">
        <f>'Программа тренировок '!C133</f>
        <v>150</v>
      </c>
      <c r="O49" s="7">
        <f>'Программа тренировок '!D133</f>
        <v>4</v>
      </c>
      <c r="P49" s="10">
        <f>'Программа тренировок '!E133</f>
        <v>5</v>
      </c>
      <c r="Q49" s="4" t="str">
        <f>CEILING(N49*VLOOKUP(O49, Коэффициенты!N3:O11, 2,FALSE)*0.65,2)&amp;" кг"</f>
        <v>102 кг</v>
      </c>
      <c r="R49" s="4" t="s">
        <v>60</v>
      </c>
      <c r="S49" s="4" t="str">
        <f>CEILING(N49*VLOOKUP(O49, Коэффициенты!N3:O11, 2,FALSE)*0.7,2)&amp;" кг"</f>
        <v>110 кг</v>
      </c>
      <c r="T49" s="4" t="s">
        <v>14</v>
      </c>
      <c r="U49" s="4" t="str">
        <f>CEILING(N49*VLOOKUP(O49, Коэффициенты!N3:O11, 2,FALSE)*0.75,2)&amp;" кг"</f>
        <v>116 кг</v>
      </c>
      <c r="V49" s="4" t="s">
        <v>12</v>
      </c>
      <c r="W49" s="4" t="str">
        <f>CEILING(N49*VLOOKUP(O49, Коэффициенты!N3:O11, 2,FALSE)*0.8,2)&amp;" кг"</f>
        <v>124 кг</v>
      </c>
      <c r="X49" s="4" t="s">
        <v>19</v>
      </c>
      <c r="Y49" s="4" t="str">
        <f>CEILING(N49*VLOOKUP(O49, Коэффициенты!N3:O11, 2,FALSE)*0.875,2)&amp;" кг"</f>
        <v>136 кг</v>
      </c>
      <c r="Z49" s="4" t="s">
        <v>48</v>
      </c>
      <c r="AA49" s="4" t="str">
        <f>CEILING((N49*VLOOKUP(O49, Коэффициенты!N3:O11, 2,FALSE)+P49)*0.9,2)&amp;" кг"</f>
        <v>144 кг</v>
      </c>
      <c r="AB49" s="4" t="s">
        <v>59</v>
      </c>
      <c r="AC49" s="4"/>
      <c r="AD49" s="4"/>
      <c r="AE49" s="4" t="str">
        <f>CEILING((N49*VLOOKUP(O49, Коэффициенты!N3:O11, 2,FALSE)+P49)*0.7,2)&amp;" кг"</f>
        <v>112 кг</v>
      </c>
      <c r="AF49" s="17" t="s">
        <v>60</v>
      </c>
      <c r="AG49" s="4" t="str">
        <f>CEILING((N49*VLOOKUP(O49, Коэффициенты!N3:O11, 2,FALSE)+P49)*0.75,2)&amp;" кг"</f>
        <v>120 кг</v>
      </c>
      <c r="AH49" s="17" t="s">
        <v>14</v>
      </c>
      <c r="AI49" s="4" t="str">
        <f>CEILING((N49*VLOOKUP(O49, Коэффициенты!N3:O11, 2,FALSE)+P49)*0.8,2)&amp;" кг"</f>
        <v>128 кг</v>
      </c>
      <c r="AJ49" s="17" t="s">
        <v>12</v>
      </c>
      <c r="AK49" s="4" t="str">
        <f>CEILING((N49*VLOOKUP(O49, Коэффициенты!N3:O11, 2,FALSE)+P49)*0.85,2)&amp;" кг"</f>
        <v>136 кг</v>
      </c>
      <c r="AL49" s="17" t="s">
        <v>19</v>
      </c>
      <c r="AM49" s="4" t="str">
        <f>CEILING((N49*VLOOKUP(O49, Коэффициенты!N3:O11, 2,FALSE)+P49)*0.9,2)&amp;" кг"</f>
        <v>144 кг</v>
      </c>
      <c r="AN49" s="17" t="s">
        <v>48</v>
      </c>
      <c r="AO49" s="4" t="str">
        <f>CEILING((N49*VLOOKUP(O49, Коэффициенты!N3:O11, 2,FALSE)+P49+P49)*0.9,2)&amp;" кг"</f>
        <v>150 кг</v>
      </c>
      <c r="AP49" s="17" t="s">
        <v>59</v>
      </c>
    </row>
    <row r="50" spans="12:42" ht="19.5" thickBot="1" x14ac:dyDescent="0.35">
      <c r="L50" s="30" t="s">
        <v>89</v>
      </c>
      <c r="N50" s="7">
        <f>'Программа тренировок '!C133</f>
        <v>150</v>
      </c>
      <c r="O50" s="7">
        <f>'Программа тренировок '!D133</f>
        <v>4</v>
      </c>
      <c r="P50" s="10">
        <f>'Программа тренировок '!E133</f>
        <v>5</v>
      </c>
      <c r="Q50" s="4" t="str">
        <f>CEILING(N50*VLOOKUP(O50, Коэффициенты!N3:O11, 2,FALSE)*0.65,2.5)&amp;" кг"</f>
        <v>102,5 кг</v>
      </c>
      <c r="R50" s="4" t="s">
        <v>60</v>
      </c>
      <c r="S50" s="4" t="str">
        <f>CEILING(N50*VLOOKUP(O50, Коэффициенты!N3:O11, 2,FALSE)*0.7,2.5)&amp;" кг"</f>
        <v>110 кг</v>
      </c>
      <c r="T50" s="4" t="s">
        <v>14</v>
      </c>
      <c r="U50" s="4" t="str">
        <f>CEILING(N50*VLOOKUP(O50, Коэффициенты!N3:O11, 2,FALSE)*0.75,2.5)&amp;" кг"</f>
        <v>117,5 кг</v>
      </c>
      <c r="V50" s="4" t="s">
        <v>12</v>
      </c>
      <c r="W50" s="4" t="str">
        <f>CEILING(N50*VLOOKUP(O50, Коэффициенты!N3:O11, 2,FALSE)*0.8,2.5)&amp;" кг"</f>
        <v>125 кг</v>
      </c>
      <c r="X50" s="4" t="s">
        <v>19</v>
      </c>
      <c r="Y50" s="4" t="str">
        <f>CEILING(N50*VLOOKUP(O50, Коэффициенты!N3:O11, 2,FALSE)*0.875,2.5)&amp;" кг"</f>
        <v>137,5 кг</v>
      </c>
      <c r="Z50" s="4" t="s">
        <v>48</v>
      </c>
      <c r="AA50" s="4" t="str">
        <f>CEILING((N50*VLOOKUP(O50, Коэффициенты!N3:O11, 2,FALSE)+P50)*0.9,2.5)&amp;" кг"</f>
        <v>145 кг</v>
      </c>
      <c r="AB50" s="4" t="s">
        <v>59</v>
      </c>
      <c r="AC50" s="4"/>
      <c r="AD50" s="4"/>
      <c r="AE50" s="4" t="str">
        <f>CEILING((N50*VLOOKUP(O50, Коэффициенты!N3:O11, 2,FALSE)+P50)*0.7,2.5)&amp;" кг"</f>
        <v>112,5 кг</v>
      </c>
      <c r="AF50" s="17" t="s">
        <v>60</v>
      </c>
      <c r="AG50" s="4" t="str">
        <f>CEILING((N50*VLOOKUP(O50, Коэффициенты!N3:O11, 2,FALSE)+P50)*0.75,2.5)&amp;" кг"</f>
        <v>120 кг</v>
      </c>
      <c r="AH50" s="17" t="s">
        <v>14</v>
      </c>
      <c r="AI50" s="4" t="str">
        <f>CEILING((N50*VLOOKUP(O50, Коэффициенты!N3:O11, 2,FALSE)+P50)*0.8,2.5)&amp;" кг"</f>
        <v>130 кг</v>
      </c>
      <c r="AJ50" s="17" t="s">
        <v>12</v>
      </c>
      <c r="AK50" s="4" t="str">
        <f>CEILING((N50*VLOOKUP(O50, Коэффициенты!N3:O11, 2,FALSE)+P50)*0.85,2.5)&amp;" кг"</f>
        <v>137,5 кг</v>
      </c>
      <c r="AL50" s="17" t="s">
        <v>19</v>
      </c>
      <c r="AM50" s="4" t="str">
        <f>CEILING((N50*VLOOKUP(O50, Коэффициенты!N3:O11, 2,FALSE)+P50)*0.9,2.5)&amp;" кг"</f>
        <v>145 кг</v>
      </c>
      <c r="AN50" s="17" t="s">
        <v>48</v>
      </c>
      <c r="AO50" s="4" t="str">
        <f>CEILING((N50*VLOOKUP(O50, Коэффициенты!N3:O11, 2,FALSE)+P50+P50)*0.9,2.5)&amp;" кг"</f>
        <v>150 кг</v>
      </c>
      <c r="AP50" s="17" t="s">
        <v>59</v>
      </c>
    </row>
    <row r="53" spans="12:42" ht="15.75" thickBot="1" x14ac:dyDescent="0.3"/>
    <row r="54" spans="12:42" ht="19.5" thickBot="1" x14ac:dyDescent="0.35">
      <c r="L54" s="1" t="s">
        <v>23</v>
      </c>
      <c r="N54" s="7">
        <f>IF('Программа тренировок '!B69=Формулы!L17, Формулы!N17, 'Программа тренировок '!C134)</f>
        <v>150</v>
      </c>
      <c r="O54" s="7">
        <f>IF('Программа тренировок '!B69=Формулы!L17, Формулы!O17, 'Программа тренировок '!D134)</f>
        <v>4</v>
      </c>
      <c r="P54" s="10">
        <f>IF('Программа тренировок '!B69=Формулы!L17, Формулы!P17, 'Программа тренировок '!E134)</f>
        <v>5</v>
      </c>
      <c r="Q54" s="4" t="str">
        <f>CEILING(N54*VLOOKUP(O54, Коэффициенты!H3:I6, 2,FALSE)*0.5,2.5)&amp;" кг"</f>
        <v>82,5 кг</v>
      </c>
      <c r="R54" s="17" t="s">
        <v>47</v>
      </c>
      <c r="S54" s="4" t="str">
        <f>CEILING(N54*VLOOKUP(O54, Коэффициенты!H3:I6, 2,FALSE)*0.55,2.5)&amp;" кг"</f>
        <v>90 кг</v>
      </c>
      <c r="T54" s="17" t="s">
        <v>13</v>
      </c>
      <c r="U54" s="4" t="str">
        <f>CEILING(N54*VLOOKUP(O54, Коэффициенты!H3:I6, 2,FALSE)*0.6,2.5)&amp;" кг"</f>
        <v>100 кг</v>
      </c>
      <c r="V54" s="17" t="s">
        <v>15</v>
      </c>
      <c r="W54" s="4" t="str">
        <f>CEILING(N54*VLOOKUP(O54, Коэффициенты!H3:I6, 2,FALSE)*0.65,2.5)&amp;" кг"</f>
        <v>107,5 кг</v>
      </c>
      <c r="X54" s="17" t="s">
        <v>48</v>
      </c>
      <c r="Y54" s="4" t="str">
        <f>CEILING(N54*VLOOKUP(O54, Коэффициенты!H3:I6, 2,FALSE)*0.7,2.5)&amp;" кг"</f>
        <v>115 кг</v>
      </c>
      <c r="Z54" s="17" t="s">
        <v>17</v>
      </c>
      <c r="AA54" s="4" t="str">
        <f>CEILING(N54*VLOOKUP(O54, Коэффициенты!H3:I6, 2,FALSE)*0.75,2.5)&amp;" кг"</f>
        <v>122,5 кг</v>
      </c>
      <c r="AB54" s="17" t="s">
        <v>49</v>
      </c>
      <c r="AC54" s="4"/>
      <c r="AD54" s="4"/>
      <c r="AE54" s="4" t="str">
        <f>CEILING((N54*VLOOKUP(O54, Коэффициенты!H3:I6, 2,FALSE)+P17)*0.5,2.5)&amp;" кг"</f>
        <v>85 кг</v>
      </c>
      <c r="AF54" s="17" t="s">
        <v>47</v>
      </c>
      <c r="AG54" s="4" t="str">
        <f>CEILING((N54*VLOOKUP(O54, Коэффициенты!H3:I6, 2,FALSE)+P17)*0.55,2.5)&amp;" кг"</f>
        <v>92,5 кг</v>
      </c>
      <c r="AH54" s="17" t="s">
        <v>13</v>
      </c>
      <c r="AI54" s="4" t="str">
        <f>CEILING((N54*VLOOKUP(O54, Коэффициенты!H3:I6, 2,FALSE)+P17)*0.6,2.5)&amp;" кг"</f>
        <v>102,5 кг</v>
      </c>
      <c r="AJ54" s="17" t="s">
        <v>15</v>
      </c>
      <c r="AK54" s="4" t="str">
        <f>CEILING((N54*VLOOKUP(O54, Коэффициенты!H3:I6, 2,FALSE)+P17)*0.65,2.5)&amp;" кг"</f>
        <v>110 кг</v>
      </c>
      <c r="AL54" s="17" t="s">
        <v>48</v>
      </c>
      <c r="AM54" s="4" t="str">
        <f>CEILING((N54*VLOOKUP(O54, Коэффициенты!H3:I6, 2,FALSE)+P17)*0.7,2.5)&amp;" кг"</f>
        <v>120 кг</v>
      </c>
      <c r="AN54" s="17" t="s">
        <v>17</v>
      </c>
      <c r="AO54" s="4" t="str">
        <f>CEILING((N54*VLOOKUP(O54, Коэффициенты!H3:I6, 2,FALSE)+P17)*0.75,2.5)&amp;" кг"</f>
        <v>127,5 кг</v>
      </c>
      <c r="AP54" s="17" t="s">
        <v>49</v>
      </c>
    </row>
    <row r="55" spans="12:42" ht="19.5" thickBot="1" x14ac:dyDescent="0.35">
      <c r="L55" s="14" t="s">
        <v>18</v>
      </c>
      <c r="N55" s="7">
        <f>'Программа тренировок '!C134</f>
        <v>0</v>
      </c>
      <c r="O55" s="7">
        <f>'Программа тренировок '!D134</f>
        <v>0</v>
      </c>
      <c r="P55" s="10">
        <f>'Программа тренировок '!E134</f>
        <v>0</v>
      </c>
      <c r="Q55" s="4" t="e">
        <f>CEILING(N55*VLOOKUP(O55, Коэффициенты!N3:O11, 2,FALSE)*0.7,2.5)&amp;" кг"</f>
        <v>#N/A</v>
      </c>
      <c r="R55" s="17" t="s">
        <v>79</v>
      </c>
      <c r="S55" s="4" t="e">
        <f>CEILING(N55*VLOOKUP(O55, Коэффициенты!N3:O11, 2,FALSE)*0.75,2.5)&amp;" кг"</f>
        <v>#N/A</v>
      </c>
      <c r="T55" s="17" t="s">
        <v>80</v>
      </c>
      <c r="U55" s="4" t="e">
        <f>CEILING(N55*VLOOKUP(O55, Коэффициенты!N3:O11, 2,FALSE)*0.8,2.5)&amp;" кг"</f>
        <v>#N/A</v>
      </c>
      <c r="V55" s="17" t="s">
        <v>14</v>
      </c>
      <c r="W55" s="4" t="e">
        <f>CEILING(N55*VLOOKUP(O55, Коэффициенты!N3:O11, 2,FALSE)*0.85,2.5)&amp;" кг"</f>
        <v>#N/A</v>
      </c>
      <c r="X55" s="17" t="s">
        <v>11</v>
      </c>
      <c r="Y55" s="4" t="e">
        <f>CEILING(N55*VLOOKUP(O55, Коэффициенты!N3:O11, 2,FALSE)*0.9,2.5)&amp;" кг"</f>
        <v>#N/A</v>
      </c>
      <c r="Z55" s="17" t="s">
        <v>19</v>
      </c>
      <c r="AA55" s="4" t="e">
        <f>CEILING((N55*VLOOKUP(O55, Коэффициенты!N3:O11, 2,FALSE)+P55)*0.9,2.5)&amp;" кг"</f>
        <v>#N/A</v>
      </c>
      <c r="AB55" s="17" t="s">
        <v>82</v>
      </c>
      <c r="AC55" s="4"/>
      <c r="AD55" s="4"/>
      <c r="AE55" s="4" t="e">
        <f>CEILING((N55*VLOOKUP(O55, Коэффициенты!N3:O11, 2,FALSE)+P55)*0.7,2.5)&amp;" кг"</f>
        <v>#N/A</v>
      </c>
      <c r="AF55" s="17" t="s">
        <v>79</v>
      </c>
      <c r="AG55" s="4" t="e">
        <f>CEILING((N55*VLOOKUP(O55, Коэффициенты!N3:O11, 2,FALSE)+P55)*0.75,2.5)&amp;" кг"</f>
        <v>#N/A</v>
      </c>
      <c r="AH55" s="17" t="s">
        <v>80</v>
      </c>
      <c r="AI55" s="4" t="e">
        <f>CEILING((N55*VLOOKUP(O55, Коэффициенты!N3:O11, 2,FALSE)+P55)*0.8,2.5)&amp;" кг"</f>
        <v>#N/A</v>
      </c>
      <c r="AJ55" s="17" t="s">
        <v>14</v>
      </c>
      <c r="AK55" s="4" t="e">
        <f>CEILING((N55*VLOOKUP(O55, Коэффициенты!N3:O11, 2,FALSE)+P55)*0.85,2.5)&amp;" кг"</f>
        <v>#N/A</v>
      </c>
      <c r="AL55" s="17" t="s">
        <v>11</v>
      </c>
      <c r="AM55" s="4" t="e">
        <f>CEILING((N55*VLOOKUP(O55, Коэффициенты!N3:O11, 2,FALSE)+P55)*0.9,2.5)&amp;" кг"</f>
        <v>#N/A</v>
      </c>
      <c r="AN55" s="17" t="s">
        <v>19</v>
      </c>
      <c r="AO55" s="4" t="e">
        <f>CEILING((N55*VLOOKUP(O55,Коэффициенты!N3:O11,2,FALSE)+P240)*0.9,2.5)&amp;" кг"</f>
        <v>#N/A</v>
      </c>
      <c r="AP55" s="17" t="s">
        <v>82</v>
      </c>
    </row>
    <row r="56" spans="12:42" ht="19.5" thickBot="1" x14ac:dyDescent="0.35">
      <c r="L56" s="1" t="s">
        <v>93</v>
      </c>
      <c r="N56" s="7">
        <f>'Программа тренировок '!C134</f>
        <v>0</v>
      </c>
      <c r="O56" s="7">
        <f>'Программа тренировок '!D134</f>
        <v>0</v>
      </c>
      <c r="P56" s="10">
        <f>'Программа тренировок '!E134</f>
        <v>0</v>
      </c>
      <c r="Q56" s="4" t="e">
        <f>CEILING(N56*VLOOKUP(O56, Коэффициенты!H3:I6, 2,FALSE)*0.5,2.5)&amp;" кг"</f>
        <v>#N/A</v>
      </c>
      <c r="R56" s="17" t="s">
        <v>47</v>
      </c>
      <c r="S56" s="4" t="e">
        <f>CEILING(N56*VLOOKUP(O56, Коэффициенты!H3:I6, 2,FALSE)*0.55,2.5)&amp;" кг"</f>
        <v>#N/A</v>
      </c>
      <c r="T56" s="17" t="s">
        <v>13</v>
      </c>
      <c r="U56" s="4" t="e">
        <f>CEILING(N56*VLOOKUP(O56, Коэффициенты!H3:I6, 2,FALSE)*0.6,2.5)&amp;" кг"</f>
        <v>#N/A</v>
      </c>
      <c r="V56" s="17" t="s">
        <v>15</v>
      </c>
      <c r="W56" s="4" t="e">
        <f>CEILING(N56*VLOOKUP(O56, Коэффициенты!H3:I6, 2,FALSE)*0.65,2.5)&amp;" кг"</f>
        <v>#N/A</v>
      </c>
      <c r="X56" s="17" t="s">
        <v>48</v>
      </c>
      <c r="Y56" s="4" t="e">
        <f>CEILING(N56*VLOOKUP(O56, Коэффициенты!H3:I6, 2,FALSE)*0.7,2.5)&amp;" кг"</f>
        <v>#N/A</v>
      </c>
      <c r="Z56" s="17" t="s">
        <v>17</v>
      </c>
      <c r="AA56" s="4" t="e">
        <f>CEILING(N56*VLOOKUP(O56, Коэффициенты!H3:I6, 2,FALSE)*0.75,2.5)&amp;" кг"</f>
        <v>#N/A</v>
      </c>
      <c r="AB56" s="17" t="s">
        <v>49</v>
      </c>
      <c r="AC56" s="4"/>
      <c r="AD56" s="4"/>
      <c r="AE56" s="4" t="e">
        <f>CEILING((N56*VLOOKUP(O56, Коэффициенты!H3:I6, 2,FALSE)+P56)*0.5,2.5)&amp;" кг"</f>
        <v>#N/A</v>
      </c>
      <c r="AF56" s="17" t="s">
        <v>47</v>
      </c>
      <c r="AG56" s="4" t="e">
        <f>CEILING((N56*VLOOKUP(O56, Коэффициенты!H3:I6, 2,FALSE)+P56)*0.55,2.5)&amp;" кг"</f>
        <v>#N/A</v>
      </c>
      <c r="AH56" s="17" t="s">
        <v>13</v>
      </c>
      <c r="AI56" s="4" t="e">
        <f>CEILING((N56*VLOOKUP(O56, Коэффициенты!H3:I6, 2,FALSE)+P56)*0.6,2.5)&amp;" кг"</f>
        <v>#N/A</v>
      </c>
      <c r="AJ56" s="17" t="s">
        <v>15</v>
      </c>
      <c r="AK56" s="4" t="e">
        <f>CEILING((N56*VLOOKUP(O56, Коэффициенты!H3:I6, 2,FALSE)+P56)*0.65,2.5)&amp;" кг"</f>
        <v>#N/A</v>
      </c>
      <c r="AL56" s="17" t="s">
        <v>48</v>
      </c>
      <c r="AM56" s="4" t="e">
        <f>CEILING((N56*VLOOKUP(O56, Коэффициенты!H3:I6, 2,FALSE)+P56)*0.7,2.5)&amp;" кг"</f>
        <v>#N/A</v>
      </c>
      <c r="AN56" s="17" t="s">
        <v>17</v>
      </c>
      <c r="AO56" s="4" t="e">
        <f>CEILING((N56*VLOOKUP(O56, Коэффициенты!H3:I6, 2,FALSE)+P56)*0.75,2.5)&amp;" кг"</f>
        <v>#N/A</v>
      </c>
      <c r="AP56" s="17" t="s">
        <v>49</v>
      </c>
    </row>
    <row r="58" spans="12:42" ht="15.75" thickBot="1" x14ac:dyDescent="0.3"/>
    <row r="59" spans="12:42" ht="19.5" thickBot="1" x14ac:dyDescent="0.35">
      <c r="L59" s="1" t="s">
        <v>66</v>
      </c>
      <c r="N59" s="18">
        <f>IF('Программа тренировок '!B68=Формулы!L59, Формулы!N14, 'Программа тренировок '!C135)</f>
        <v>120</v>
      </c>
      <c r="O59" s="22">
        <f>IF('Программа тренировок '!B68=Формулы!L59, Формулы!O14, 'Программа тренировок '!D135)</f>
        <v>8</v>
      </c>
      <c r="P59" s="18">
        <f>IF('Программа тренировок '!B68=Формулы!L59, Формулы!P14, 'Программа тренировок '!E135)</f>
        <v>2</v>
      </c>
      <c r="Q59" s="23" t="s">
        <v>68</v>
      </c>
      <c r="R59" s="19" t="str">
        <f>FLOOR(0.4*O59,1)&amp;" повт"</f>
        <v>3 повт</v>
      </c>
      <c r="S59" s="21" t="s">
        <v>69</v>
      </c>
      <c r="T59" s="19" t="str">
        <f>FLOOR(0.5*O59,1)&amp;" повт"</f>
        <v>4 повт</v>
      </c>
      <c r="U59" s="21" t="s">
        <v>70</v>
      </c>
      <c r="V59" s="19" t="str">
        <f>FLOOR(0.6*O59,1)&amp;" повт"</f>
        <v>4 повт</v>
      </c>
      <c r="W59" s="21" t="s">
        <v>71</v>
      </c>
      <c r="X59" s="19" t="str">
        <f>CEILING(0.7*O59,1)&amp;" повт"</f>
        <v>6 повт</v>
      </c>
      <c r="Y59" s="21" t="s">
        <v>72</v>
      </c>
      <c r="Z59" s="20" t="str">
        <f>FLOOR(IF(0.8*O59-0.7*O59&lt;1,0.8*O59+1,0.8*O59),1)&amp;" повт"</f>
        <v>7 повт</v>
      </c>
      <c r="AA59" s="21" t="s">
        <v>74</v>
      </c>
      <c r="AB59" s="21" t="str">
        <f>O59+P59&amp;" повт"</f>
        <v>10 повт</v>
      </c>
      <c r="AC59" s="19"/>
      <c r="AD59" s="19"/>
      <c r="AE59" s="21" t="s">
        <v>68</v>
      </c>
      <c r="AF59" s="19" t="str">
        <f>FLOOR(0.4*O59+P59,1)&amp;" повт"</f>
        <v>5 повт</v>
      </c>
      <c r="AG59" s="21" t="s">
        <v>69</v>
      </c>
      <c r="AH59" s="19" t="str">
        <f>FLOOR(0.5*O59+P59,1)&amp;" повт"</f>
        <v>6 повт</v>
      </c>
      <c r="AI59" s="21" t="s">
        <v>70</v>
      </c>
      <c r="AJ59" s="19" t="str">
        <f>FLOOR(0.6*O59+P59,1)&amp;" повт"</f>
        <v>6 повт</v>
      </c>
      <c r="AK59" s="21" t="s">
        <v>71</v>
      </c>
      <c r="AL59" s="19" t="str">
        <f>FLOOR(0.8*O59+P59,1)&amp;" повт"</f>
        <v>8 повт</v>
      </c>
      <c r="AM59" s="21" t="s">
        <v>72</v>
      </c>
      <c r="AN59" s="19" t="str">
        <f>CEILING(0.8*O59+P59,1)&amp;" повт"</f>
        <v>9 повт</v>
      </c>
      <c r="AO59" s="21" t="s">
        <v>73</v>
      </c>
      <c r="AP59" s="19" t="str">
        <f>O59+P59+P59&amp;" повт"</f>
        <v>12 повт</v>
      </c>
    </row>
    <row r="60" spans="12:42" ht="19.5" thickBot="1" x14ac:dyDescent="0.35">
      <c r="L60" s="14" t="s">
        <v>94</v>
      </c>
      <c r="N60" s="7">
        <f>'Программа тренировок '!C135</f>
        <v>120</v>
      </c>
      <c r="O60" s="7">
        <f>'Программа тренировок '!D135</f>
        <v>8</v>
      </c>
      <c r="P60" s="10">
        <f>'Программа тренировок '!E135</f>
        <v>2</v>
      </c>
      <c r="Q60" s="4" t="e">
        <f>CEILING(N60*VLOOKUP(O60, Коэффициенты!N3:O11, 2,FALSE)*0.6,3)&amp;" кг"</f>
        <v>#N/A</v>
      </c>
      <c r="R60" s="17" t="s">
        <v>79</v>
      </c>
      <c r="S60" s="4" t="e">
        <f>CEILING(N60*VLOOKUP(O60, Коэффициенты!N3:O11, 2,FALSE)*0.65,3)&amp;" кг"</f>
        <v>#N/A</v>
      </c>
      <c r="T60" s="17" t="s">
        <v>80</v>
      </c>
      <c r="U60" s="4" t="e">
        <f>CEILING(N60*VLOOKUP(O60, Коэффициенты!N3:O11, 2,FALSE)*0.7,3)&amp;" кг"</f>
        <v>#N/A</v>
      </c>
      <c r="V60" s="17" t="s">
        <v>14</v>
      </c>
      <c r="W60" s="4" t="e">
        <f>CEILING(N60*VLOOKUP(O60, Коэффициенты!N3:O11, 2,FALSE)*0.75,3)&amp;" кг"</f>
        <v>#N/A</v>
      </c>
      <c r="X60" s="17" t="s">
        <v>11</v>
      </c>
      <c r="Y60" s="4" t="e">
        <f>CEILING(N60*VLOOKUP(O60, Коэффициенты!N3:O11, 2,FALSE)*0.85,3)&amp;" кг"</f>
        <v>#N/A</v>
      </c>
      <c r="Z60" s="17" t="s">
        <v>19</v>
      </c>
      <c r="AA60" s="4" t="e">
        <f>CEILING((N60*VLOOKUP(O60, Коэффициенты!N3:O11, 2,FALSE)+P60)*0.9,3)&amp;" кг"</f>
        <v>#N/A</v>
      </c>
      <c r="AB60" s="17" t="s">
        <v>82</v>
      </c>
      <c r="AC60" s="4"/>
      <c r="AD60" s="4"/>
      <c r="AE60" s="4" t="e">
        <f>CEILING((N60*VLOOKUP(O60, Коэффициенты!N3:O11, 2,FALSE)+P60)*0.6,3)&amp;" кг"</f>
        <v>#N/A</v>
      </c>
      <c r="AF60" s="17" t="s">
        <v>79</v>
      </c>
      <c r="AG60" s="4" t="e">
        <f>CEILING((N60*VLOOKUP(O60, Коэффициенты!N3:O11, 2,FALSE)+P60)*0.65,3)&amp;" кг"</f>
        <v>#N/A</v>
      </c>
      <c r="AH60" s="17" t="s">
        <v>80</v>
      </c>
      <c r="AI60" s="4" t="e">
        <f>CEILING((N60*VLOOKUP(O60, Коэффициенты!N3:O11, 2,FALSE)+P60)*0.7,3)&amp;" кг"</f>
        <v>#N/A</v>
      </c>
      <c r="AJ60" s="17" t="s">
        <v>14</v>
      </c>
      <c r="AK60" s="4" t="e">
        <f>CEILING((N60*VLOOKUP(O60, Коэффициенты!N3:O11, 2,FALSE)+P60)*0.75,3)&amp;" кг"</f>
        <v>#N/A</v>
      </c>
      <c r="AL60" s="17" t="s">
        <v>11</v>
      </c>
      <c r="AM60" s="4" t="e">
        <f>CEILING((N60*VLOOKUP(O60, Коэффициенты!N3:O11, 2,FALSE)+P60)*0.85,3)&amp;" кг"</f>
        <v>#N/A</v>
      </c>
      <c r="AN60" s="17" t="s">
        <v>19</v>
      </c>
      <c r="AO60" s="4" t="e">
        <f>CEILING((N60*VLOOKUP(O60,Коэффициенты!N3:O11,2,FALSE)+2*P60)*0.9,3)&amp;" кг"</f>
        <v>#N/A</v>
      </c>
      <c r="AP60" s="17" t="s">
        <v>82</v>
      </c>
    </row>
    <row r="61" spans="12:42" ht="19.5" thickBot="1" x14ac:dyDescent="0.35">
      <c r="L61" s="29" t="s">
        <v>33</v>
      </c>
      <c r="N61" s="7">
        <f>'Программа тренировок '!C135</f>
        <v>120</v>
      </c>
      <c r="O61" s="7">
        <f>'Программа тренировок '!D135</f>
        <v>8</v>
      </c>
      <c r="P61" s="10">
        <f>'Программа тренировок '!E135</f>
        <v>2</v>
      </c>
      <c r="Q61" s="4" t="e">
        <f>CEILING(N61*VLOOKUP(O61, Коэффициенты!N3:O11, 2,FALSE)*0.6,3)&amp;" кг"</f>
        <v>#N/A</v>
      </c>
      <c r="R61" s="17" t="s">
        <v>79</v>
      </c>
      <c r="S61" s="4" t="e">
        <f>CEILING(N61*VLOOKUP(O61, Коэффициенты!N3:O11, 2,FALSE)*0.65,3)&amp;" кг"</f>
        <v>#N/A</v>
      </c>
      <c r="T61" s="17" t="s">
        <v>80</v>
      </c>
      <c r="U61" s="4" t="e">
        <f>CEILING(N61*VLOOKUP(O61, Коэффициенты!N3:O11, 2,FALSE)*0.7,3)&amp;" кг"</f>
        <v>#N/A</v>
      </c>
      <c r="V61" s="17" t="s">
        <v>14</v>
      </c>
      <c r="W61" s="4" t="e">
        <f>CEILING(N61*VLOOKUP(O61, Коэффициенты!N3:O11, 2,FALSE)*0.75,3)&amp;" кг"</f>
        <v>#N/A</v>
      </c>
      <c r="X61" s="17" t="s">
        <v>11</v>
      </c>
      <c r="Y61" s="4" t="e">
        <f>CEILING(N61*VLOOKUP(O61, Коэффициенты!N3:O11, 2,FALSE)*0.85,3)&amp;" кг"</f>
        <v>#N/A</v>
      </c>
      <c r="Z61" s="17" t="s">
        <v>19</v>
      </c>
      <c r="AA61" s="4" t="e">
        <f>CEILING((N61*VLOOKUP(O61, Коэффициенты!N3:O11, 2,FALSE)+P61)*0.9,3)&amp;" кг"</f>
        <v>#N/A</v>
      </c>
      <c r="AB61" s="17" t="s">
        <v>82</v>
      </c>
      <c r="AC61" s="4"/>
      <c r="AD61" s="4"/>
      <c r="AE61" s="4" t="e">
        <f>CEILING((N61*VLOOKUP(O61, Коэффициенты!N3:O11, 2,FALSE)+P61)*0.6,3)&amp;" кг"</f>
        <v>#N/A</v>
      </c>
      <c r="AF61" s="17" t="s">
        <v>79</v>
      </c>
      <c r="AG61" s="4" t="e">
        <f>CEILING((N61*VLOOKUP(O61, Коэффициенты!N3:O11, 2,FALSE)+P61)*0.65,3)&amp;" кг"</f>
        <v>#N/A</v>
      </c>
      <c r="AH61" s="17" t="s">
        <v>80</v>
      </c>
      <c r="AI61" s="4" t="e">
        <f>CEILING((N61*VLOOKUP(O61, Коэффициенты!N3:O11, 2,FALSE)+P61)*0.7,3)&amp;" кг"</f>
        <v>#N/A</v>
      </c>
      <c r="AJ61" s="17" t="s">
        <v>14</v>
      </c>
      <c r="AK61" s="4" t="e">
        <f>CEILING((N61*VLOOKUP(O61, Коэффициенты!N3:O11, 2,FALSE)+P61)*0.75,3)&amp;" кг"</f>
        <v>#N/A</v>
      </c>
      <c r="AL61" s="17" t="s">
        <v>11</v>
      </c>
      <c r="AM61" s="4" t="e">
        <f>CEILING((N61*VLOOKUP(O61, Коэффициенты!N3:O11, 2,FALSE)+P61)*0.85,3)&amp;" кг"</f>
        <v>#N/A</v>
      </c>
      <c r="AN61" s="17" t="s">
        <v>19</v>
      </c>
      <c r="AO61" s="4" t="e">
        <f>CEILING((N61*VLOOKUP(O61,Коэффициенты!N3:O11,2,FALSE)+2*P61)*0.9,3)&amp;" кг"</f>
        <v>#N/A</v>
      </c>
      <c r="AP61" s="17" t="s">
        <v>82</v>
      </c>
    </row>
    <row r="63" spans="12:42" ht="15.75" thickBot="1" x14ac:dyDescent="0.3">
      <c r="L63" s="28" t="s">
        <v>95</v>
      </c>
    </row>
    <row r="64" spans="12:42" ht="19.5" thickBot="1" x14ac:dyDescent="0.35">
      <c r="L64" s="29" t="s">
        <v>87</v>
      </c>
      <c r="N64" s="7">
        <f>'Программа тренировок '!C136</f>
        <v>0</v>
      </c>
      <c r="O64" s="7">
        <f>'Программа тренировок '!D136</f>
        <v>0</v>
      </c>
      <c r="P64" s="10">
        <f>'Программа тренировок '!E136</f>
        <v>0</v>
      </c>
      <c r="Q64" s="4" t="e">
        <f>CEILING(N64*VLOOKUP(O64, Коэффициенты!N5:O11, 2,FALSE)*0.7,3)&amp;" кг"</f>
        <v>#N/A</v>
      </c>
      <c r="R64" s="17" t="s">
        <v>79</v>
      </c>
      <c r="S64" s="4" t="e">
        <f>CEILING(N64*VLOOKUP(O64, Коэффициенты!N5:O11, 2,FALSE)*0.75,3)&amp;" кг"</f>
        <v>#N/A</v>
      </c>
      <c r="T64" s="17" t="s">
        <v>80</v>
      </c>
      <c r="U64" s="4" t="e">
        <f>CEILING(N64*VLOOKUP(O64, Коэффициенты!N5:O11, 2,FALSE)*0.8,3)&amp;" кг"</f>
        <v>#N/A</v>
      </c>
      <c r="V64" s="17" t="s">
        <v>14</v>
      </c>
      <c r="W64" s="4" t="e">
        <f>CEILING(N64*VLOOKUP(O64, Коэффициенты!N5:O11, 2,FALSE)*0.85,3)&amp;" кг"</f>
        <v>#N/A</v>
      </c>
      <c r="X64" s="17" t="s">
        <v>11</v>
      </c>
      <c r="Y64" s="4" t="e">
        <f>CEILING(N64*VLOOKUP(O64, Коэффициенты!N5:O11, 2,FALSE)*0.9,3)&amp;" кг"</f>
        <v>#N/A</v>
      </c>
      <c r="Z64" s="17" t="s">
        <v>19</v>
      </c>
      <c r="AA64" s="4" t="e">
        <f>CEILING((N64*VLOOKUP(O64, Коэффициенты!N5:O11, 2,FALSE)+P64)*0.9,3)&amp;" кг"</f>
        <v>#N/A</v>
      </c>
      <c r="AB64" s="17" t="s">
        <v>82</v>
      </c>
      <c r="AC64" s="4"/>
      <c r="AD64" s="4"/>
      <c r="AE64" s="4" t="e">
        <f>CEILING((N64*VLOOKUP(O64, Коэффициенты!N5:O11, 2,FALSE)+P64)*0.7,3)&amp;" кг"</f>
        <v>#N/A</v>
      </c>
      <c r="AF64" s="17" t="s">
        <v>79</v>
      </c>
      <c r="AG64" s="4" t="e">
        <f>CEILING((N64*VLOOKUP(O64, Коэффициенты!N5:O11, 2,FALSE)+P64)*0.75,3)&amp;" кг"</f>
        <v>#N/A</v>
      </c>
      <c r="AH64" s="17" t="s">
        <v>80</v>
      </c>
      <c r="AI64" s="4" t="e">
        <f>CEILING((N64*VLOOKUP(O64, Коэффициенты!N5:O11, 2,FALSE)+P64)*0.8,3)&amp;" кг"</f>
        <v>#N/A</v>
      </c>
      <c r="AJ64" s="17" t="s">
        <v>14</v>
      </c>
      <c r="AK64" s="4" t="e">
        <f>CEILING((N64*VLOOKUP(O64, Коэффициенты!N5:O11, 2,FALSE)+P64)*0.85,3)&amp;" кг"</f>
        <v>#N/A</v>
      </c>
      <c r="AL64" s="17" t="s">
        <v>11</v>
      </c>
      <c r="AM64" s="4" t="e">
        <f>CEILING((N64*VLOOKUP(O64, Коэффициенты!N5:O11, 2,FALSE)+P64)*0.9,3)&amp;" кг"</f>
        <v>#N/A</v>
      </c>
      <c r="AN64" s="17" t="s">
        <v>19</v>
      </c>
      <c r="AO64" s="4" t="e">
        <f>CEILING((N64*VLOOKUP(O64,Коэффициенты!N5:O11,2,FALSE)+P229)*0.9,3)&amp;" кг"</f>
        <v>#N/A</v>
      </c>
      <c r="AP64" s="17" t="s">
        <v>82</v>
      </c>
    </row>
    <row r="65" spans="12:42" ht="19.5" thickBot="1" x14ac:dyDescent="0.35">
      <c r="L65" s="29" t="s">
        <v>88</v>
      </c>
      <c r="N65" s="7">
        <f>'Программа тренировок '!C136</f>
        <v>0</v>
      </c>
      <c r="O65" s="7">
        <f>'Программа тренировок '!D136</f>
        <v>0</v>
      </c>
      <c r="P65" s="10">
        <f>'Программа тренировок '!E136</f>
        <v>0</v>
      </c>
      <c r="Q65" s="4" t="e">
        <f>CEILING(N65*VLOOKUP(O65, Коэффициенты!N5:O11, 2,FALSE)*0.7,3)&amp;" кг"</f>
        <v>#N/A</v>
      </c>
      <c r="R65" s="17" t="s">
        <v>79</v>
      </c>
      <c r="S65" s="4" t="e">
        <f>CEILING(N65*VLOOKUP(O65, Коэффициенты!N5:O11, 2,FALSE)*0.75,3)&amp;" кг"</f>
        <v>#N/A</v>
      </c>
      <c r="T65" s="17" t="s">
        <v>80</v>
      </c>
      <c r="U65" s="4" t="e">
        <f>CEILING(N65*VLOOKUP(O65, Коэффициенты!N5:O11, 2,FALSE)*0.8,3)&amp;" кг"</f>
        <v>#N/A</v>
      </c>
      <c r="V65" s="17" t="s">
        <v>14</v>
      </c>
      <c r="W65" s="4" t="e">
        <f>CEILING(N65*VLOOKUP(O65, Коэффициенты!N5:O11, 2,FALSE)*0.85,3)&amp;" кг"</f>
        <v>#N/A</v>
      </c>
      <c r="X65" s="17" t="s">
        <v>11</v>
      </c>
      <c r="Y65" s="4" t="e">
        <f>CEILING(N65*VLOOKUP(O65, Коэффициенты!N5:O11, 2,FALSE)*0.9,3)&amp;" кг"</f>
        <v>#N/A</v>
      </c>
      <c r="Z65" s="17" t="s">
        <v>19</v>
      </c>
      <c r="AA65" s="4" t="e">
        <f>CEILING((N65*VLOOKUP(O65, Коэффициенты!N5:O11, 2,FALSE)+P65)*0.9,3)&amp;" кг"</f>
        <v>#N/A</v>
      </c>
      <c r="AB65" s="17" t="s">
        <v>82</v>
      </c>
      <c r="AC65" s="4"/>
      <c r="AD65" s="4"/>
      <c r="AE65" s="4" t="e">
        <f>CEILING((N65*VLOOKUP(O65, Коэффициенты!N5:O11, 2,FALSE)+P65)*0.7,3)&amp;" кг"</f>
        <v>#N/A</v>
      </c>
      <c r="AF65" s="17" t="s">
        <v>79</v>
      </c>
      <c r="AG65" s="4" t="e">
        <f>CEILING((N65*VLOOKUP(O65, Коэффициенты!N5:O11, 2,FALSE)+P65)*0.75,3)&amp;" кг"</f>
        <v>#N/A</v>
      </c>
      <c r="AH65" s="17" t="s">
        <v>80</v>
      </c>
      <c r="AI65" s="4" t="e">
        <f>CEILING((N65*VLOOKUP(O65, Коэффициенты!N5:O11, 2,FALSE)+P65)*0.8,3)&amp;" кг"</f>
        <v>#N/A</v>
      </c>
      <c r="AJ65" s="17" t="s">
        <v>14</v>
      </c>
      <c r="AK65" s="4" t="e">
        <f>CEILING((N65*VLOOKUP(O65, Коэффициенты!N5:O11, 2,FALSE)+P65)*0.85,3)&amp;" кг"</f>
        <v>#N/A</v>
      </c>
      <c r="AL65" s="17" t="s">
        <v>11</v>
      </c>
      <c r="AM65" s="4" t="e">
        <f>CEILING((N65*VLOOKUP(O65, Коэффициенты!N5:O11, 2,FALSE)+P65)*0.9,3)&amp;" кг"</f>
        <v>#N/A</v>
      </c>
      <c r="AN65" s="17" t="s">
        <v>19</v>
      </c>
      <c r="AO65" s="4" t="e">
        <f>CEILING((N65*VLOOKUP(O65,Коэффициенты!N5:O11,2,FALSE)+P230)*0.9,3)&amp;" кг"</f>
        <v>#N/A</v>
      </c>
      <c r="AP65" s="17" t="s">
        <v>82</v>
      </c>
    </row>
    <row r="67" spans="12:42" x14ac:dyDescent="0.25">
      <c r="L67" s="28" t="s">
        <v>95</v>
      </c>
    </row>
    <row r="68" spans="12:42" ht="18.75" x14ac:dyDescent="0.3">
      <c r="L68" s="29" t="s">
        <v>96</v>
      </c>
      <c r="N68" s="28"/>
      <c r="O68" s="28"/>
      <c r="P68" s="28"/>
      <c r="Q68" s="28" t="s">
        <v>99</v>
      </c>
      <c r="R68" s="28" t="s">
        <v>11</v>
      </c>
      <c r="S68" s="28" t="s">
        <v>99</v>
      </c>
      <c r="T68" s="28" t="s">
        <v>14</v>
      </c>
      <c r="U68" s="28" t="s">
        <v>99</v>
      </c>
      <c r="V68" s="28" t="s">
        <v>60</v>
      </c>
      <c r="W68" s="28" t="s">
        <v>99</v>
      </c>
      <c r="X68" s="28" t="s">
        <v>28</v>
      </c>
      <c r="Y68" s="28" t="s">
        <v>99</v>
      </c>
      <c r="Z68" s="28" t="s">
        <v>41</v>
      </c>
      <c r="AA68" s="28" t="s">
        <v>99</v>
      </c>
      <c r="AB68" s="28" t="s">
        <v>27</v>
      </c>
      <c r="AE68" s="28" t="s">
        <v>99</v>
      </c>
      <c r="AF68" s="28" t="s">
        <v>28</v>
      </c>
      <c r="AG68" s="28" t="s">
        <v>99</v>
      </c>
      <c r="AH68" s="28" t="s">
        <v>41</v>
      </c>
      <c r="AI68" s="28" t="s">
        <v>99</v>
      </c>
      <c r="AJ68" s="28" t="s">
        <v>79</v>
      </c>
      <c r="AK68" s="28" t="s">
        <v>99</v>
      </c>
      <c r="AL68" s="28" t="s">
        <v>27</v>
      </c>
      <c r="AM68" s="28" t="s">
        <v>99</v>
      </c>
      <c r="AN68" s="28" t="s">
        <v>40</v>
      </c>
      <c r="AO68" s="28" t="s">
        <v>99</v>
      </c>
      <c r="AP68" s="28" t="s">
        <v>109</v>
      </c>
    </row>
    <row r="69" spans="12:42" ht="18.75" x14ac:dyDescent="0.3">
      <c r="L69" s="29" t="s">
        <v>97</v>
      </c>
      <c r="N69" s="28"/>
      <c r="O69" s="28"/>
      <c r="Q69" s="28" t="s">
        <v>99</v>
      </c>
      <c r="R69" s="28" t="s">
        <v>100</v>
      </c>
      <c r="S69" s="28" t="s">
        <v>99</v>
      </c>
      <c r="T69" s="28" t="s">
        <v>103</v>
      </c>
      <c r="U69" s="28" t="s">
        <v>99</v>
      </c>
      <c r="V69" s="28" t="s">
        <v>104</v>
      </c>
      <c r="W69" s="28" t="s">
        <v>99</v>
      </c>
      <c r="X69" s="28" t="s">
        <v>105</v>
      </c>
      <c r="Y69" s="28" t="s">
        <v>99</v>
      </c>
      <c r="Z69" s="28" t="s">
        <v>106</v>
      </c>
      <c r="AA69" s="28" t="s">
        <v>99</v>
      </c>
      <c r="AB69" s="28" t="s">
        <v>101</v>
      </c>
      <c r="AE69" s="28" t="s">
        <v>99</v>
      </c>
      <c r="AF69" s="28" t="s">
        <v>105</v>
      </c>
      <c r="AG69" s="28" t="s">
        <v>99</v>
      </c>
      <c r="AH69" s="28" t="s">
        <v>106</v>
      </c>
      <c r="AI69" s="28" t="s">
        <v>99</v>
      </c>
      <c r="AJ69" s="28" t="s">
        <v>107</v>
      </c>
      <c r="AK69" s="28" t="s">
        <v>99</v>
      </c>
      <c r="AL69" s="28" t="s">
        <v>101</v>
      </c>
      <c r="AM69" s="28" t="s">
        <v>99</v>
      </c>
      <c r="AN69" s="28" t="s">
        <v>102</v>
      </c>
      <c r="AO69" s="28" t="s">
        <v>99</v>
      </c>
      <c r="AP69" s="28" t="s">
        <v>108</v>
      </c>
    </row>
    <row r="72" spans="12:42" ht="15.75" thickBot="1" x14ac:dyDescent="0.3"/>
    <row r="73" spans="12:42" ht="19.5" thickBot="1" x14ac:dyDescent="0.35">
      <c r="L73" s="1" t="s">
        <v>66</v>
      </c>
      <c r="N73" s="18">
        <v>100</v>
      </c>
      <c r="O73" s="22">
        <v>4</v>
      </c>
      <c r="P73" s="18">
        <v>2</v>
      </c>
      <c r="Q73" s="23" t="s">
        <v>68</v>
      </c>
      <c r="R73" s="19" t="str">
        <f>FLOOR(0.4*O73,1)&amp;" повт"</f>
        <v>1 повт</v>
      </c>
      <c r="S73" s="21" t="s">
        <v>69</v>
      </c>
      <c r="T73" s="19" t="str">
        <f>FLOOR(0.5*O73,1)&amp;" повт"</f>
        <v>2 повт</v>
      </c>
      <c r="U73" s="21" t="s">
        <v>70</v>
      </c>
      <c r="V73" s="19" t="str">
        <f>FLOOR(0.6*O73,1)&amp;" повт"</f>
        <v>2 повт</v>
      </c>
      <c r="W73" s="21" t="s">
        <v>71</v>
      </c>
      <c r="X73" s="19" t="str">
        <f>CEILING(0.7*O73,1)&amp;" повт"</f>
        <v>3 повт</v>
      </c>
      <c r="Y73" s="21" t="s">
        <v>72</v>
      </c>
      <c r="Z73" s="20" t="str">
        <f>FLOOR(IF(0.8*O73-0.7*O73&lt;1,0.8*O73+1,0.8*O73),1)&amp;" повт"</f>
        <v>4 повт</v>
      </c>
      <c r="AA73" s="21" t="s">
        <v>74</v>
      </c>
      <c r="AB73" s="21" t="str">
        <f>O73+P73&amp;" повт"</f>
        <v>6 повт</v>
      </c>
      <c r="AC73" s="19"/>
      <c r="AD73" s="19"/>
      <c r="AE73" s="21" t="s">
        <v>68</v>
      </c>
      <c r="AF73" s="19" t="str">
        <f>FLOOR(0.4*O73+P73,1)&amp;" повт"</f>
        <v>3 повт</v>
      </c>
      <c r="AG73" s="21" t="s">
        <v>69</v>
      </c>
      <c r="AH73" s="19" t="str">
        <f>FLOOR(0.5*O73+P73,1)&amp;" повт"</f>
        <v>4 повт</v>
      </c>
      <c r="AI73" s="21" t="s">
        <v>70</v>
      </c>
      <c r="AJ73" s="19" t="str">
        <f>FLOOR(0.6*O73+P73,1)&amp;" повт"</f>
        <v>4 повт</v>
      </c>
      <c r="AK73" s="21" t="s">
        <v>71</v>
      </c>
      <c r="AL73" s="19" t="str">
        <f>FLOOR(0.8*O73+P73,1)&amp;" повт"</f>
        <v>5 повт</v>
      </c>
      <c r="AM73" s="21" t="s">
        <v>72</v>
      </c>
      <c r="AN73" s="19" t="str">
        <f>CEILING(0.8*O73+P73,1)&amp;" повт"</f>
        <v>6 повт</v>
      </c>
      <c r="AO73" s="21" t="s">
        <v>73</v>
      </c>
      <c r="AP73" s="19" t="str">
        <f>O73+P73+P73&amp;" повт"</f>
        <v>8 повт</v>
      </c>
    </row>
    <row r="74" spans="12:42" ht="19.5" thickBot="1" x14ac:dyDescent="0.35">
      <c r="L74" s="15" t="s">
        <v>8</v>
      </c>
      <c r="M74" s="6"/>
      <c r="N74" s="7">
        <f>N9</f>
        <v>117.5</v>
      </c>
      <c r="O74" s="7">
        <f>O9</f>
        <v>4</v>
      </c>
      <c r="P74" s="10">
        <f>P9</f>
        <v>5</v>
      </c>
      <c r="Q74" s="4">
        <f>CEILING(N74*VLOOKUP(O74, Коэффициенты!H3:I6, 2,FALSE)*0.7,2.5)</f>
        <v>90</v>
      </c>
      <c r="R74" s="4" t="s">
        <v>47</v>
      </c>
      <c r="S74" s="4">
        <f>CEILING(N74*VLOOKUP(O74, Коэффициенты!H3:I6, 2,FALSE)*0.75,2.5)</f>
        <v>97.5</v>
      </c>
      <c r="T74" s="4" t="s">
        <v>13</v>
      </c>
      <c r="U74" s="4">
        <f>CEILING(N74*VLOOKUP(O74, Коэффициенты!H3:I6, 2,FALSE)*0.8,2.5)</f>
        <v>102.5</v>
      </c>
      <c r="V74" s="4" t="s">
        <v>15</v>
      </c>
      <c r="W74" s="4">
        <f>CEILING(N74*VLOOKUP(O74, Коэффициенты!H3:I6, 2,FALSE)*0.85,2.5)</f>
        <v>110</v>
      </c>
      <c r="X74" s="4" t="s">
        <v>48</v>
      </c>
      <c r="Y74" s="4">
        <f>CEILING(N74*VLOOKUP(O74, Коэффициенты!H3:I6, 2,FALSE)*0.9,2.5)</f>
        <v>115</v>
      </c>
      <c r="Z74" s="4" t="s">
        <v>17</v>
      </c>
      <c r="AA74" s="4">
        <f>CEILING((N74*VLOOKUP(O74, Коэффициенты!H3:I6, 2,FALSE)+P74)*0.9,2.5)</f>
        <v>120</v>
      </c>
      <c r="AB74" s="4" t="s">
        <v>49</v>
      </c>
      <c r="AC74" s="4"/>
      <c r="AD74" s="4"/>
      <c r="AE74" s="4">
        <f>CEILING((N74*VLOOKUP(O74, Коэффициенты!H3:I6, 2,FALSE)+P74)*0.7,2.5)</f>
        <v>95</v>
      </c>
      <c r="AF74" s="11" t="s">
        <v>47</v>
      </c>
      <c r="AG74" s="4">
        <f>CEILING((N74*VLOOKUP(O74, Коэффициенты!H3:I6, 2,FALSE)+P74)*0.75,2.5)</f>
        <v>100</v>
      </c>
      <c r="AH74" s="11" t="s">
        <v>13</v>
      </c>
      <c r="AI74" s="4">
        <f>CEILING((N74*VLOOKUP(O74, Коэффициенты!H3:I6, 2,FALSE)+P74)*0.8,2.5)</f>
        <v>107.5</v>
      </c>
      <c r="AJ74" s="11" t="s">
        <v>15</v>
      </c>
      <c r="AK74" s="4">
        <f>CEILING((N74*VLOOKUP(O74, Коэффициенты!H3:I6, 2,FALSE)+P74)*0.85,2.5)</f>
        <v>115</v>
      </c>
      <c r="AL74" s="11" t="s">
        <v>48</v>
      </c>
      <c r="AM74" s="4">
        <f>CEILING((N74*VLOOKUP(O74, Коэффициенты!H3:I6, 2,FALSE)+P74)*0.9,2.5)</f>
        <v>120</v>
      </c>
      <c r="AN74" s="4" t="s">
        <v>17</v>
      </c>
      <c r="AO74" s="4">
        <f>CEILING((N74*VLOOKUP(O74, Коэффициенты!H3:I6, 2,FALSE)+P74+P74)*0.9,2.5)</f>
        <v>125</v>
      </c>
      <c r="AP74" s="4" t="s">
        <v>49</v>
      </c>
    </row>
    <row r="75" spans="12:42" ht="15.75" thickBot="1" x14ac:dyDescent="0.3"/>
    <row r="76" spans="12:42" ht="19.5" thickBot="1" x14ac:dyDescent="0.35">
      <c r="L76" s="1" t="s">
        <v>32</v>
      </c>
      <c r="N76" s="7">
        <v>115</v>
      </c>
      <c r="O76" s="7">
        <v>4</v>
      </c>
      <c r="P76" s="10">
        <v>5</v>
      </c>
      <c r="Q76" s="4" t="str">
        <f>CEILING(N76*VLOOKUP(O76, Коэффициенты!H3:I6, 2,FALSE)*0.7,2.5)&amp;" кг"</f>
        <v>87,5 кг</v>
      </c>
      <c r="R76" s="4" t="s">
        <v>47</v>
      </c>
      <c r="S76" s="4" t="str">
        <f>CEILING(N76*VLOOKUP(O76, Коэффициенты!H3:I6, 2,FALSE)*0.75,2.5)&amp;" кг"</f>
        <v>95 кг</v>
      </c>
      <c r="T76" s="4" t="s">
        <v>13</v>
      </c>
      <c r="U76" s="4" t="str">
        <f>CEILING(N76*VLOOKUP(O76, Коэффициенты!H3:I6, 2,FALSE)*0.8,2.5)&amp;" кг"</f>
        <v>100 кг</v>
      </c>
      <c r="V76" s="4" t="s">
        <v>15</v>
      </c>
      <c r="W76" s="4" t="str">
        <f>CEILING(N76*VLOOKUP(O76, Коэффициенты!H3:I6, 2,FALSE)*0.85,2.5)&amp;" кг"</f>
        <v>107,5 кг</v>
      </c>
      <c r="X76" s="4" t="s">
        <v>48</v>
      </c>
      <c r="Y76" s="4" t="str">
        <f>CEILING(N76*VLOOKUP(O76, Коэффициенты!H3:I6, 2,FALSE)*0.9,2.5)&amp;" кг"</f>
        <v>112,5 кг</v>
      </c>
      <c r="Z76" s="4" t="s">
        <v>17</v>
      </c>
      <c r="AA76" s="4" t="str">
        <f>CEILING((N76*VLOOKUP(O76, Коэффициенты!H3:I6, 2,FALSE)+P76)*0.9,2.5)&amp;" кг"</f>
        <v>117,5 кг</v>
      </c>
      <c r="AB76" s="4" t="s">
        <v>49</v>
      </c>
      <c r="AC76" s="4"/>
      <c r="AD76" s="4"/>
      <c r="AE76" s="4" t="str">
        <f>CEILING((N76*VLOOKUP(O76, Коэффициенты!H3:I6, 2,FALSE)+P76)*0.7,2.5)&amp;" кг"</f>
        <v>92,5 кг</v>
      </c>
      <c r="AF76" s="11" t="s">
        <v>47</v>
      </c>
      <c r="AG76" s="4" t="str">
        <f>CEILING((N76*VLOOKUP(O76, Коэффициенты!H3:I6, 2,FALSE)+P76)*0.75,2.5)&amp;" кг"</f>
        <v>97,5 кг</v>
      </c>
      <c r="AH76" s="11" t="s">
        <v>13</v>
      </c>
      <c r="AI76" s="4" t="str">
        <f>CEILING((N76*VLOOKUP(O76, Коэффициенты!H3:I6, 2,FALSE)+P76)*0.8,2.5)&amp;" кг"</f>
        <v>105 кг</v>
      </c>
      <c r="AJ76" s="11" t="s">
        <v>15</v>
      </c>
      <c r="AK76" s="4" t="str">
        <f>CEILING((N76*VLOOKUP(O76, Коэффициенты!H3:I6, 2,FALSE)+P76)*0.85,2.5)&amp;" кг"</f>
        <v>112,5 кг</v>
      </c>
      <c r="AL76" s="11" t="s">
        <v>48</v>
      </c>
      <c r="AM76" s="4" t="str">
        <f>CEILING((N76*VLOOKUP(O76, Коэффициенты!H3:I6, 2,FALSE)+P76)*0.9,2.5)&amp;" кг"</f>
        <v>117,5 кг</v>
      </c>
      <c r="AN76" s="4" t="s">
        <v>17</v>
      </c>
      <c r="AO76" s="4" t="str">
        <f>CEILING((N76*VLOOKUP(O76, Коэффициенты!H3:I6, 2,FALSE)+P76+P76)*0.9,2.5)&amp;" кг"</f>
        <v>122,5 кг</v>
      </c>
      <c r="AP76" s="4" t="s">
        <v>49</v>
      </c>
    </row>
    <row r="82" spans="12:42" ht="15.75" thickBot="1" x14ac:dyDescent="0.3"/>
    <row r="83" spans="12:42" ht="19.5" thickBot="1" x14ac:dyDescent="0.35">
      <c r="L83" s="1" t="s">
        <v>32</v>
      </c>
      <c r="N83" s="7">
        <v>115</v>
      </c>
      <c r="O83" s="7">
        <v>4</v>
      </c>
      <c r="P83" s="10">
        <v>5</v>
      </c>
      <c r="Q83" s="4" t="str">
        <f>CEILING(N83*VLOOKUP(O83, Коэффициенты!H3:I6, 2,FALSE)*0.7,2.5)&amp;" кг"</f>
        <v>87,5 кг</v>
      </c>
      <c r="R83" s="4" t="s">
        <v>47</v>
      </c>
      <c r="S83" s="4" t="str">
        <f>CEILING(N83*VLOOKUP(O83, Коэффициенты!H3:I6, 2,FALSE)*0.75,2.5)&amp;" кг"</f>
        <v>95 кг</v>
      </c>
      <c r="T83" s="4" t="s">
        <v>13</v>
      </c>
      <c r="U83" s="4" t="str">
        <f>CEILING(N83*VLOOKUP(O83, Коэффициенты!H3:I6, 2,FALSE)*0.8,2.5)&amp;" кг"</f>
        <v>100 кг</v>
      </c>
      <c r="V83" s="4" t="s">
        <v>15</v>
      </c>
      <c r="W83" s="4" t="str">
        <f>CEILING(N83*VLOOKUP(O83, Коэффициенты!H3:I6, 2,FALSE)*0.85,2.5)&amp;" кг"</f>
        <v>107,5 кг</v>
      </c>
      <c r="X83" s="4" t="s">
        <v>48</v>
      </c>
      <c r="Y83" s="4" t="str">
        <f>CEILING(N83*VLOOKUP(O83, Коэффициенты!H3:I6, 2,FALSE)*0.9,2.5)&amp;" кг"</f>
        <v>112,5 кг</v>
      </c>
      <c r="Z83" s="4" t="s">
        <v>17</v>
      </c>
      <c r="AA83" s="4" t="str">
        <f>CEILING((N83*VLOOKUP(O83, Коэффициенты!H3:I6, 2,FALSE)+P83)*0.9,2.5)&amp;" кг"</f>
        <v>117,5 кг</v>
      </c>
      <c r="AB83" s="4" t="s">
        <v>49</v>
      </c>
      <c r="AC83" s="4"/>
      <c r="AD83" s="4"/>
      <c r="AE83" s="4" t="str">
        <f>CEILING((N83*VLOOKUP(O83, Коэффициенты!H3:I6, 2,FALSE)+P83)*0.7,2.5)&amp;" кг"</f>
        <v>92,5 кг</v>
      </c>
      <c r="AF83" s="11" t="s">
        <v>47</v>
      </c>
      <c r="AG83" s="4" t="str">
        <f>CEILING((N83*VLOOKUP(O83, Коэффициенты!H3:I6, 2,FALSE)+P83)*0.75,2.5)&amp;" кг"</f>
        <v>97,5 кг</v>
      </c>
      <c r="AH83" s="11" t="s">
        <v>13</v>
      </c>
      <c r="AI83" s="4" t="str">
        <f>CEILING((N83*VLOOKUP(O83, Коэффициенты!H3:I6, 2,FALSE)+P83)*0.8,2.5)&amp;" кг"</f>
        <v>105 кг</v>
      </c>
      <c r="AJ83" s="11" t="s">
        <v>15</v>
      </c>
      <c r="AK83" s="4" t="str">
        <f>CEILING((N83*VLOOKUP(O83, Коэффициенты!H3:I6, 2,FALSE)+P83)*0.85,2.5)&amp;" кг"</f>
        <v>112,5 кг</v>
      </c>
      <c r="AL83" s="11" t="s">
        <v>48</v>
      </c>
      <c r="AM83" s="4" t="str">
        <f>CEILING((N83*VLOOKUP(O83, Коэффициенты!H3:I6, 2,FALSE)+P83)*0.9,2.5)&amp;" кг"</f>
        <v>117,5 кг</v>
      </c>
      <c r="AN83" s="4" t="s">
        <v>17</v>
      </c>
      <c r="AO83" s="4" t="str">
        <f>CEILING((N83*VLOOKUP(O83, Коэффициенты!H3:I6, 2,FALSE)+P83+P83)*0.9,2.5)&amp;" кг"</f>
        <v>122,5 кг</v>
      </c>
      <c r="AP83" s="4" t="s">
        <v>49</v>
      </c>
    </row>
  </sheetData>
  <sheetProtection selectLockedCells="1" selectUnlockedCells="1"/>
  <dataConsolidate/>
  <hyperlinks>
    <hyperlink ref="L9" r:id="rId1"/>
    <hyperlink ref="L48" r:id="rId2"/>
    <hyperlink ref="L25" r:id="rId3"/>
    <hyperlink ref="L33" r:id="rId4"/>
    <hyperlink ref="L44" r:id="rId5"/>
    <hyperlink ref="L24" r:id="rId6"/>
    <hyperlink ref="L13" r:id="rId7" display="Подтягивания"/>
    <hyperlink ref="L30" r:id="rId8"/>
    <hyperlink ref="L36" r:id="rId9"/>
    <hyperlink ref="L29" r:id="rId10" display="https://boosty.to/yetiblog/posts/971e14fa-f43e-4b17-9a17-6ebf921eca89?share=post_link"/>
    <hyperlink ref="L45" r:id="rId11" display="https://boosty.to/yetiblog/posts/971e14fa-f43e-4b17-9a17-6ebf921eca89?share=post_link"/>
    <hyperlink ref="L19" r:id="rId12" display="https://boosty.to/yetiblog/posts/8b2ab7cc-ae59-4f56-887f-318c04a28b84?share=post_link"/>
    <hyperlink ref="L37" r:id="rId13" display="Отжимания на брусьях (средний)"/>
    <hyperlink ref="L10" r:id="rId14" display="Отжимания на брусьях (средний)"/>
    <hyperlink ref="L11" r:id="rId15"/>
    <hyperlink ref="L54" r:id="rId16"/>
    <hyperlink ref="L28" r:id="rId17"/>
    <hyperlink ref="L14" r:id="rId18" display="Подтягивания"/>
    <hyperlink ref="L59" r:id="rId19" display="Подтягивания"/>
    <hyperlink ref="L17" r:id="rId20"/>
    <hyperlink ref="L55" r:id="rId21" display="https://boosty.to/yetiblog/posts/cf196b35-5c75-423b-8470-99fd876e45d8?share=post_link"/>
    <hyperlink ref="L83" r:id="rId22"/>
    <hyperlink ref="L76" r:id="rId23"/>
    <hyperlink ref="L73" r:id="rId24" display="Подтягивания"/>
    <hyperlink ref="L74" r:id="rId25"/>
    <hyperlink ref="L21" r:id="rId26" display="https://boosty.to/yetiblog/posts/98ec8354-1fe5-4150-87ef-78fd464a27d1?share=post_link"/>
    <hyperlink ref="L40" r:id="rId27"/>
    <hyperlink ref="L64" r:id="rId28"/>
    <hyperlink ref="L65" r:id="rId29"/>
    <hyperlink ref="L15" r:id="rId30"/>
    <hyperlink ref="L18" r:id="rId31"/>
    <hyperlink ref="L60" r:id="rId32"/>
    <hyperlink ref="L61" r:id="rId33"/>
    <hyperlink ref="L68" r:id="rId34"/>
    <hyperlink ref="L69" r:id="rId35"/>
    <hyperlink ref="L38" r:id="rId36"/>
    <hyperlink ref="L41" r:id="rId37"/>
    <hyperlink ref="L26" r:id="rId38" display="https://boosty.to/yetiblog/posts/8b2ab7cc-ae59-4f56-887f-318c04a28b84?share=post_link"/>
  </hyperlinks>
  <pageMargins left="0.7" right="0.7" top="0.75" bottom="0.75" header="0.3" footer="0.3"/>
  <pageSetup paperSize="9" orientation="portrait" r:id="rId39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Коэффициенты!$H$3:$H$6</xm:f>
          </x14:formula1>
          <xm:sqref>O17:O19 O76 O9:O11 O74 O83 O26</xm:sqref>
        </x14:dataValidation>
        <x14:dataValidation type="list" allowBlank="1" showInputMessage="1" showErrorMessage="1">
          <x14:formula1>
            <xm:f>Коэффициенты!$D$3:$D$6</xm:f>
          </x14:formula1>
          <xm:sqref>P10 P76 P24:P26 P74 P83 P17:P19 P13 P28:P30</xm:sqref>
        </x14:dataValidation>
        <x14:dataValidation type="list" allowBlank="1" showInputMessage="1" showErrorMessage="1">
          <x14:formula1>
            <xm:f>Коэффициенты!$F$3:$F$9</xm:f>
          </x14:formula1>
          <xm:sqref>P15</xm:sqref>
        </x14:dataValidation>
        <x14:dataValidation type="list" allowBlank="1" showInputMessage="1" showErrorMessage="1">
          <x14:formula1>
            <xm:f>Коэффициенты!$C$3:$C$7</xm:f>
          </x14:formula1>
          <xm:sqref>P73 P37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C2:S154"/>
  <sheetViews>
    <sheetView workbookViewId="0">
      <selection activeCell="Y182" sqref="Y182"/>
    </sheetView>
  </sheetViews>
  <sheetFormatPr defaultRowHeight="15" x14ac:dyDescent="0.25"/>
  <cols>
    <col min="8" max="8" width="7.42578125" customWidth="1"/>
  </cols>
  <sheetData>
    <row r="2" spans="3:17" x14ac:dyDescent="0.25">
      <c r="C2">
        <v>1</v>
      </c>
      <c r="H2" s="9" t="s">
        <v>52</v>
      </c>
      <c r="I2" s="9" t="s">
        <v>51</v>
      </c>
      <c r="K2" s="9" t="s">
        <v>52</v>
      </c>
      <c r="L2" s="9" t="s">
        <v>51</v>
      </c>
    </row>
    <row r="3" spans="3:17" x14ac:dyDescent="0.25">
      <c r="C3">
        <v>2</v>
      </c>
      <c r="D3" s="8">
        <v>2.5</v>
      </c>
      <c r="E3">
        <v>3</v>
      </c>
      <c r="F3" s="8">
        <v>2.5</v>
      </c>
      <c r="H3">
        <f>IF('Программа тренировок '!D206="boosty.to/yetiblog", 4, 9)</f>
        <v>4</v>
      </c>
      <c r="I3">
        <f>100/92</f>
        <v>1.0869565217391304</v>
      </c>
      <c r="K3">
        <v>4</v>
      </c>
      <c r="L3">
        <f>100/85</f>
        <v>1.1764705882352942</v>
      </c>
      <c r="N3">
        <v>4</v>
      </c>
      <c r="O3">
        <f>100/97</f>
        <v>1.0309278350515463</v>
      </c>
      <c r="Q3">
        <v>2</v>
      </c>
    </row>
    <row r="4" spans="3:17" x14ac:dyDescent="0.25">
      <c r="C4">
        <v>3</v>
      </c>
      <c r="D4" s="8">
        <v>5</v>
      </c>
      <c r="E4">
        <v>6</v>
      </c>
      <c r="F4">
        <v>3</v>
      </c>
      <c r="H4" s="8">
        <v>5</v>
      </c>
      <c r="I4">
        <f>100/89</f>
        <v>1.1235955056179776</v>
      </c>
      <c r="K4" s="8">
        <v>5</v>
      </c>
      <c r="L4">
        <f>100/80</f>
        <v>1.25</v>
      </c>
      <c r="N4">
        <v>5</v>
      </c>
      <c r="O4">
        <f>100/95</f>
        <v>1.0526315789473684</v>
      </c>
      <c r="Q4">
        <v>4</v>
      </c>
    </row>
    <row r="5" spans="3:17" x14ac:dyDescent="0.25">
      <c r="C5">
        <v>4</v>
      </c>
      <c r="D5" s="8">
        <v>7.5</v>
      </c>
      <c r="E5">
        <v>9</v>
      </c>
      <c r="F5" s="8">
        <v>5</v>
      </c>
      <c r="H5" s="8">
        <v>6</v>
      </c>
      <c r="I5">
        <f>IF('Программа тренировок '!B6=S154, 100/87, "")</f>
        <v>1.1494252873563218</v>
      </c>
      <c r="K5" s="8">
        <v>6</v>
      </c>
      <c r="L5">
        <f>100/75</f>
        <v>1.3333333333333333</v>
      </c>
      <c r="N5">
        <v>6</v>
      </c>
      <c r="O5">
        <f>100/92</f>
        <v>1.0869565217391304</v>
      </c>
      <c r="Q5">
        <v>6</v>
      </c>
    </row>
    <row r="6" spans="3:17" x14ac:dyDescent="0.25">
      <c r="C6">
        <v>5</v>
      </c>
      <c r="D6" s="8">
        <v>10</v>
      </c>
      <c r="F6">
        <v>6</v>
      </c>
      <c r="H6" s="8">
        <v>7</v>
      </c>
      <c r="I6">
        <f>100/85</f>
        <v>1.1764705882352942</v>
      </c>
      <c r="K6" s="8">
        <v>7</v>
      </c>
      <c r="L6">
        <f>100/70</f>
        <v>1.4285714285714286</v>
      </c>
      <c r="N6" s="218">
        <v>7</v>
      </c>
      <c r="O6">
        <f>IF('Программа тренировок '!B6=S154, 100/90,"")</f>
        <v>1.1111111111111112</v>
      </c>
    </row>
    <row r="7" spans="3:17" x14ac:dyDescent="0.25">
      <c r="C7">
        <v>6</v>
      </c>
      <c r="D7">
        <v>15</v>
      </c>
      <c r="F7" s="8">
        <v>7.5</v>
      </c>
      <c r="N7" s="136" t="str">
        <f>IF('Программа тренировок '!B205=S153, "8", "")</f>
        <v>8</v>
      </c>
      <c r="O7" s="28">
        <f>100/87</f>
        <v>1.1494252873563218</v>
      </c>
    </row>
    <row r="8" spans="3:17" x14ac:dyDescent="0.25">
      <c r="C8">
        <v>7</v>
      </c>
      <c r="D8">
        <v>20</v>
      </c>
      <c r="F8">
        <v>9</v>
      </c>
      <c r="N8">
        <v>9</v>
      </c>
      <c r="O8">
        <f>100/85</f>
        <v>1.1764705882352942</v>
      </c>
    </row>
    <row r="9" spans="3:17" x14ac:dyDescent="0.25">
      <c r="C9">
        <v>8</v>
      </c>
      <c r="F9" s="8">
        <v>10</v>
      </c>
      <c r="N9">
        <v>10</v>
      </c>
      <c r="O9">
        <f>100/83</f>
        <v>1.2048192771084338</v>
      </c>
    </row>
    <row r="10" spans="3:17" x14ac:dyDescent="0.25">
      <c r="C10">
        <v>9</v>
      </c>
      <c r="F10">
        <v>15</v>
      </c>
      <c r="N10">
        <v>11</v>
      </c>
      <c r="O10" s="28">
        <f>100/81</f>
        <v>1.2345679012345678</v>
      </c>
    </row>
    <row r="11" spans="3:17" x14ac:dyDescent="0.25">
      <c r="C11">
        <v>10</v>
      </c>
      <c r="F11">
        <v>20</v>
      </c>
      <c r="N11">
        <v>12</v>
      </c>
      <c r="O11" s="28">
        <f>100/79</f>
        <v>1.2658227848101267</v>
      </c>
    </row>
    <row r="16" spans="3:17" x14ac:dyDescent="0.25">
      <c r="E16">
        <v>1</v>
      </c>
    </row>
    <row r="17" spans="5:5" x14ac:dyDescent="0.25">
      <c r="E17">
        <v>2</v>
      </c>
    </row>
    <row r="18" spans="5:5" x14ac:dyDescent="0.25">
      <c r="E18">
        <v>3</v>
      </c>
    </row>
    <row r="19" spans="5:5" x14ac:dyDescent="0.25">
      <c r="E19">
        <v>4</v>
      </c>
    </row>
    <row r="20" spans="5:5" x14ac:dyDescent="0.25">
      <c r="E20">
        <v>5</v>
      </c>
    </row>
    <row r="21" spans="5:5" x14ac:dyDescent="0.25">
      <c r="E21">
        <v>6</v>
      </c>
    </row>
    <row r="22" spans="5:5" x14ac:dyDescent="0.25">
      <c r="E22">
        <v>7</v>
      </c>
    </row>
    <row r="23" spans="5:5" x14ac:dyDescent="0.25">
      <c r="E23">
        <v>8</v>
      </c>
    </row>
    <row r="24" spans="5:5" x14ac:dyDescent="0.25">
      <c r="E24">
        <v>9</v>
      </c>
    </row>
    <row r="25" spans="5:5" x14ac:dyDescent="0.25">
      <c r="E25">
        <v>10</v>
      </c>
    </row>
    <row r="26" spans="5:5" x14ac:dyDescent="0.25">
      <c r="E26">
        <v>11</v>
      </c>
    </row>
    <row r="27" spans="5:5" x14ac:dyDescent="0.25">
      <c r="E27">
        <v>12</v>
      </c>
    </row>
    <row r="28" spans="5:5" x14ac:dyDescent="0.25">
      <c r="E28">
        <v>13</v>
      </c>
    </row>
    <row r="29" spans="5:5" x14ac:dyDescent="0.25">
      <c r="E29">
        <v>14</v>
      </c>
    </row>
    <row r="30" spans="5:5" x14ac:dyDescent="0.25">
      <c r="E30">
        <v>15</v>
      </c>
    </row>
    <row r="31" spans="5:5" x14ac:dyDescent="0.25">
      <c r="E31">
        <v>16</v>
      </c>
    </row>
    <row r="32" spans="5:5" x14ac:dyDescent="0.25">
      <c r="E32">
        <v>17</v>
      </c>
    </row>
    <row r="33" spans="5:5" x14ac:dyDescent="0.25">
      <c r="E33">
        <v>18</v>
      </c>
    </row>
    <row r="34" spans="5:5" x14ac:dyDescent="0.25">
      <c r="E34">
        <v>19</v>
      </c>
    </row>
    <row r="35" spans="5:5" x14ac:dyDescent="0.25">
      <c r="E35">
        <v>20</v>
      </c>
    </row>
    <row r="36" spans="5:5" x14ac:dyDescent="0.25">
      <c r="E36">
        <v>21</v>
      </c>
    </row>
    <row r="37" spans="5:5" x14ac:dyDescent="0.25">
      <c r="E37">
        <v>22</v>
      </c>
    </row>
    <row r="38" spans="5:5" x14ac:dyDescent="0.25">
      <c r="E38">
        <v>23</v>
      </c>
    </row>
    <row r="39" spans="5:5" x14ac:dyDescent="0.25">
      <c r="E39">
        <v>24</v>
      </c>
    </row>
    <row r="40" spans="5:5" x14ac:dyDescent="0.25">
      <c r="E40">
        <v>25</v>
      </c>
    </row>
    <row r="41" spans="5:5" x14ac:dyDescent="0.25">
      <c r="E41">
        <v>26</v>
      </c>
    </row>
    <row r="42" spans="5:5" x14ac:dyDescent="0.25">
      <c r="E42">
        <v>27</v>
      </c>
    </row>
    <row r="43" spans="5:5" x14ac:dyDescent="0.25">
      <c r="E43">
        <v>28</v>
      </c>
    </row>
    <row r="44" spans="5:5" x14ac:dyDescent="0.25">
      <c r="E44">
        <v>29</v>
      </c>
    </row>
    <row r="45" spans="5:5" x14ac:dyDescent="0.25">
      <c r="E45">
        <v>30</v>
      </c>
    </row>
    <row r="46" spans="5:5" x14ac:dyDescent="0.25">
      <c r="E46">
        <v>31</v>
      </c>
    </row>
    <row r="47" spans="5:5" x14ac:dyDescent="0.25">
      <c r="E47">
        <v>32</v>
      </c>
    </row>
    <row r="48" spans="5:5" x14ac:dyDescent="0.25">
      <c r="E48">
        <v>33</v>
      </c>
    </row>
    <row r="49" spans="5:5" x14ac:dyDescent="0.25">
      <c r="E49">
        <v>34</v>
      </c>
    </row>
    <row r="50" spans="5:5" x14ac:dyDescent="0.25">
      <c r="E50">
        <v>35</v>
      </c>
    </row>
    <row r="51" spans="5:5" x14ac:dyDescent="0.25">
      <c r="E51">
        <v>36</v>
      </c>
    </row>
    <row r="52" spans="5:5" x14ac:dyDescent="0.25">
      <c r="E52">
        <v>37</v>
      </c>
    </row>
    <row r="53" spans="5:5" x14ac:dyDescent="0.25">
      <c r="E53">
        <v>38</v>
      </c>
    </row>
    <row r="54" spans="5:5" x14ac:dyDescent="0.25">
      <c r="E54">
        <v>39</v>
      </c>
    </row>
    <row r="55" spans="5:5" x14ac:dyDescent="0.25">
      <c r="E55">
        <v>40</v>
      </c>
    </row>
    <row r="56" spans="5:5" x14ac:dyDescent="0.25">
      <c r="E56">
        <v>41</v>
      </c>
    </row>
    <row r="57" spans="5:5" x14ac:dyDescent="0.25">
      <c r="E57">
        <v>42</v>
      </c>
    </row>
    <row r="58" spans="5:5" x14ac:dyDescent="0.25">
      <c r="E58">
        <v>43</v>
      </c>
    </row>
    <row r="59" spans="5:5" x14ac:dyDescent="0.25">
      <c r="E59">
        <v>44</v>
      </c>
    </row>
    <row r="60" spans="5:5" x14ac:dyDescent="0.25">
      <c r="E60">
        <v>45</v>
      </c>
    </row>
    <row r="61" spans="5:5" x14ac:dyDescent="0.25">
      <c r="E61">
        <v>46</v>
      </c>
    </row>
    <row r="153" spans="19:19" x14ac:dyDescent="0.25">
      <c r="S153" t="s">
        <v>200</v>
      </c>
    </row>
    <row r="154" spans="19:19" x14ac:dyDescent="0.25">
      <c r="S154" t="s">
        <v>171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Программа тренировок </vt:lpstr>
      <vt:lpstr>Формулы</vt:lpstr>
      <vt:lpstr>Коэффициенты</vt:lpstr>
      <vt:lpstr>Нет</vt:lpstr>
      <vt:lpstr>Подтягивания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Пользователь Windows</cp:lastModifiedBy>
  <dcterms:created xsi:type="dcterms:W3CDTF">2017-11-22T10:19:40Z</dcterms:created>
  <dcterms:modified xsi:type="dcterms:W3CDTF">2025-01-29T09:49:58Z</dcterms:modified>
</cp:coreProperties>
</file>