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D72AF10-499D-4BF9-BB11-A647C3E4CF6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Программа тренировок " sheetId="1" r:id="rId1"/>
    <sheet name="Калькулятор подходов" sheetId="2" r:id="rId2"/>
    <sheet name="Формулы" sheetId="3" r:id="rId3"/>
    <sheet name="Коэффициенты" sheetId="4" r:id="rId4"/>
  </sheets>
  <definedNames>
    <definedName name="Google_Sheet_Link_116204062" hidden="1">Подтягивания</definedName>
    <definedName name="Google_Sheet_Link_2082803515" hidden="1">Нет</definedName>
    <definedName name="Нет">Коэффициенты!$C$2:$C$7</definedName>
    <definedName name="Подтягивания">Коэффициенты!$C$2:$C$7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8" roundtripDataChecksum="XL4whbYyqkfFLWGqSTYmAb0lMJQ2p7hsSKKT6b1kzDw="/>
    </ext>
  </extLst>
</workbook>
</file>

<file path=xl/calcChain.xml><?xml version="1.0" encoding="utf-8"?>
<calcChain xmlns="http://schemas.openxmlformats.org/spreadsheetml/2006/main">
  <c r="O30" i="3" l="1"/>
  <c r="O28" i="3"/>
  <c r="P30" i="3"/>
  <c r="O11" i="4"/>
  <c r="O10" i="4"/>
  <c r="O9" i="4"/>
  <c r="O8" i="4"/>
  <c r="O7" i="4"/>
  <c r="N7" i="4"/>
  <c r="O6" i="4"/>
  <c r="L6" i="4"/>
  <c r="I6" i="4"/>
  <c r="O5" i="4"/>
  <c r="L5" i="4"/>
  <c r="I5" i="4"/>
  <c r="O4" i="4"/>
  <c r="L4" i="4"/>
  <c r="I4" i="4"/>
  <c r="O3" i="4"/>
  <c r="L3" i="4"/>
  <c r="I3" i="4"/>
  <c r="H3" i="4"/>
  <c r="AO83" i="3"/>
  <c r="AM83" i="3"/>
  <c r="AK83" i="3"/>
  <c r="AI83" i="3"/>
  <c r="AG83" i="3"/>
  <c r="AE83" i="3"/>
  <c r="AA83" i="3"/>
  <c r="Y83" i="3"/>
  <c r="W83" i="3"/>
  <c r="U83" i="3"/>
  <c r="S83" i="3"/>
  <c r="Q83" i="3"/>
  <c r="AO76" i="3"/>
  <c r="AM76" i="3"/>
  <c r="AK76" i="3"/>
  <c r="AI76" i="3"/>
  <c r="AG76" i="3"/>
  <c r="AE76" i="3"/>
  <c r="AA76" i="3"/>
  <c r="Y76" i="3"/>
  <c r="W76" i="3"/>
  <c r="U76" i="3"/>
  <c r="S76" i="3"/>
  <c r="Q76" i="3"/>
  <c r="AO74" i="3"/>
  <c r="AM74" i="3"/>
  <c r="AK74" i="3"/>
  <c r="AI74" i="3"/>
  <c r="AG74" i="3"/>
  <c r="AE74" i="3"/>
  <c r="AA74" i="3"/>
  <c r="Y74" i="3"/>
  <c r="W74" i="3"/>
  <c r="U74" i="3"/>
  <c r="S74" i="3"/>
  <c r="Q74" i="3"/>
  <c r="AP73" i="3"/>
  <c r="AN73" i="3"/>
  <c r="AL73" i="3"/>
  <c r="AJ73" i="3"/>
  <c r="AH73" i="3"/>
  <c r="AF73" i="3"/>
  <c r="AB73" i="3"/>
  <c r="Z73" i="3"/>
  <c r="X73" i="3"/>
  <c r="V73" i="3"/>
  <c r="T73" i="3"/>
  <c r="R73" i="3"/>
  <c r="AB65" i="3"/>
  <c r="P65" i="3"/>
  <c r="O65" i="3"/>
  <c r="N65" i="3"/>
  <c r="AO65" i="3" s="1"/>
  <c r="AB64" i="3"/>
  <c r="Q64" i="3"/>
  <c r="P64" i="3"/>
  <c r="O64" i="3"/>
  <c r="AA64" i="3" s="1"/>
  <c r="N64" i="3"/>
  <c r="AO64" i="3" s="1"/>
  <c r="AM61" i="3"/>
  <c r="K200" i="1" s="1"/>
  <c r="AK61" i="3"/>
  <c r="I200" i="1" s="1"/>
  <c r="AI61" i="3"/>
  <c r="G200" i="1" s="1"/>
  <c r="AB61" i="3"/>
  <c r="AO61" i="3" s="1"/>
  <c r="M200" i="1" s="1"/>
  <c r="AA61" i="3"/>
  <c r="M173" i="1" s="1"/>
  <c r="Y61" i="3"/>
  <c r="K173" i="1" s="1"/>
  <c r="S61" i="3"/>
  <c r="P61" i="3"/>
  <c r="O61" i="3"/>
  <c r="N61" i="3"/>
  <c r="W61" i="3" s="1"/>
  <c r="I173" i="1" s="1"/>
  <c r="AB60" i="3"/>
  <c r="AO60" i="3" s="1"/>
  <c r="AA60" i="3"/>
  <c r="U60" i="3"/>
  <c r="Q60" i="3"/>
  <c r="P60" i="3"/>
  <c r="O60" i="3"/>
  <c r="N60" i="3"/>
  <c r="AI60" i="3" s="1"/>
  <c r="P59" i="3"/>
  <c r="O59" i="3"/>
  <c r="Z59" i="3" s="1"/>
  <c r="AM56" i="3"/>
  <c r="AB56" i="3"/>
  <c r="AO56" i="3" s="1"/>
  <c r="AA56" i="3"/>
  <c r="Y56" i="3"/>
  <c r="W56" i="3"/>
  <c r="U56" i="3"/>
  <c r="S56" i="3"/>
  <c r="Q56" i="3"/>
  <c r="P56" i="3"/>
  <c r="O56" i="3"/>
  <c r="N56" i="3"/>
  <c r="AI56" i="3" s="1"/>
  <c r="AB55" i="3"/>
  <c r="AE55" i="3" s="1"/>
  <c r="C183" i="1" s="1"/>
  <c r="Y55" i="3"/>
  <c r="K156" i="1" s="1"/>
  <c r="U55" i="3"/>
  <c r="G156" i="1" s="1"/>
  <c r="S55" i="3"/>
  <c r="E156" i="1" s="1"/>
  <c r="Q55" i="3"/>
  <c r="C156" i="1" s="1"/>
  <c r="P55" i="3"/>
  <c r="O55" i="3"/>
  <c r="N55" i="3"/>
  <c r="AO55" i="3" s="1"/>
  <c r="M183" i="1" s="1"/>
  <c r="AC54" i="3"/>
  <c r="Y54" i="3"/>
  <c r="W54" i="3"/>
  <c r="U54" i="3"/>
  <c r="S54" i="3"/>
  <c r="Q54" i="3"/>
  <c r="P54" i="3"/>
  <c r="AM54" i="3" s="1"/>
  <c r="O54" i="3"/>
  <c r="N54" i="3"/>
  <c r="AB50" i="3"/>
  <c r="P50" i="3"/>
  <c r="AC50" i="3" s="1"/>
  <c r="O50" i="3"/>
  <c r="N50" i="3"/>
  <c r="AO50" i="3" s="1"/>
  <c r="AO49" i="3"/>
  <c r="AB49" i="3"/>
  <c r="AM49" i="3" s="1"/>
  <c r="AA49" i="3"/>
  <c r="Y49" i="3"/>
  <c r="W49" i="3"/>
  <c r="U49" i="3"/>
  <c r="S49" i="3"/>
  <c r="P49" i="3"/>
  <c r="O49" i="3"/>
  <c r="N49" i="3"/>
  <c r="Q49" i="3" s="1"/>
  <c r="AI48" i="3"/>
  <c r="AG48" i="3"/>
  <c r="AE48" i="3"/>
  <c r="C199" i="1" s="1"/>
  <c r="AC48" i="3"/>
  <c r="O172" i="1" s="1"/>
  <c r="AB48" i="3"/>
  <c r="AA48" i="3"/>
  <c r="W48" i="3"/>
  <c r="I172" i="1" s="1"/>
  <c r="U48" i="3"/>
  <c r="G172" i="1" s="1"/>
  <c r="S48" i="3"/>
  <c r="E172" i="1" s="1"/>
  <c r="P48" i="3"/>
  <c r="AO48" i="3" s="1"/>
  <c r="M199" i="1" s="1"/>
  <c r="O48" i="3"/>
  <c r="N48" i="3"/>
  <c r="Q48" i="3" s="1"/>
  <c r="C172" i="1" s="1"/>
  <c r="AC45" i="3"/>
  <c r="AB45" i="3"/>
  <c r="AO45" i="3" s="1"/>
  <c r="AA45" i="3"/>
  <c r="Y45" i="3"/>
  <c r="W45" i="3"/>
  <c r="U45" i="3"/>
  <c r="P45" i="3"/>
  <c r="O45" i="3"/>
  <c r="S45" i="3" s="1"/>
  <c r="N45" i="3"/>
  <c r="AM44" i="3"/>
  <c r="AK44" i="3"/>
  <c r="K198" i="1" s="1"/>
  <c r="AI44" i="3"/>
  <c r="G198" i="1" s="1"/>
  <c r="AG44" i="3"/>
  <c r="E198" i="1" s="1"/>
  <c r="AC44" i="3"/>
  <c r="O171" i="1" s="1"/>
  <c r="AB44" i="3"/>
  <c r="AA44" i="3"/>
  <c r="M171" i="1" s="1"/>
  <c r="Y44" i="3"/>
  <c r="K171" i="1" s="1"/>
  <c r="W44" i="3"/>
  <c r="I171" i="1" s="1"/>
  <c r="S44" i="3"/>
  <c r="Q44" i="3"/>
  <c r="P44" i="3"/>
  <c r="O44" i="3"/>
  <c r="N44" i="3"/>
  <c r="U44" i="3" s="1"/>
  <c r="G171" i="1" s="1"/>
  <c r="AB41" i="3"/>
  <c r="AE41" i="3" s="1"/>
  <c r="AA41" i="3"/>
  <c r="U41" i="3"/>
  <c r="Q41" i="3"/>
  <c r="P41" i="3"/>
  <c r="AO41" i="3" s="1"/>
  <c r="O41" i="3"/>
  <c r="N41" i="3"/>
  <c r="AB40" i="3"/>
  <c r="P40" i="3"/>
  <c r="Q40" i="3" s="1"/>
  <c r="O40" i="3"/>
  <c r="N40" i="3"/>
  <c r="AO40" i="3" s="1"/>
  <c r="AH39" i="3"/>
  <c r="AB38" i="3"/>
  <c r="AI38" i="3" s="1"/>
  <c r="G192" i="1" s="1"/>
  <c r="AA38" i="3"/>
  <c r="Y38" i="3"/>
  <c r="W38" i="3"/>
  <c r="U38" i="3"/>
  <c r="S38" i="3"/>
  <c r="P38" i="3"/>
  <c r="O38" i="3"/>
  <c r="N38" i="3"/>
  <c r="AO38" i="3" s="1"/>
  <c r="M192" i="1" s="1"/>
  <c r="AM37" i="3"/>
  <c r="AL37" i="3"/>
  <c r="AJ37" i="3"/>
  <c r="AH37" i="3"/>
  <c r="AF37" i="3"/>
  <c r="AD37" i="3"/>
  <c r="AB37" i="3"/>
  <c r="Z37" i="3"/>
  <c r="V37" i="3"/>
  <c r="T37" i="3"/>
  <c r="R37" i="3"/>
  <c r="P37" i="3"/>
  <c r="O37" i="3"/>
  <c r="X37" i="3" s="1"/>
  <c r="N37" i="3"/>
  <c r="AB36" i="3"/>
  <c r="AI36" i="3" s="1"/>
  <c r="AA36" i="3"/>
  <c r="Y36" i="3"/>
  <c r="W36" i="3"/>
  <c r="U36" i="3"/>
  <c r="S36" i="3"/>
  <c r="P36" i="3"/>
  <c r="O36" i="3"/>
  <c r="N36" i="3"/>
  <c r="AO36" i="3" s="1"/>
  <c r="AI34" i="3"/>
  <c r="AG34" i="3"/>
  <c r="AE34" i="3"/>
  <c r="AB34" i="3"/>
  <c r="AM34" i="3" s="1"/>
  <c r="Y34" i="3"/>
  <c r="W34" i="3"/>
  <c r="U34" i="3"/>
  <c r="P34" i="3"/>
  <c r="Q34" i="3" s="1"/>
  <c r="O34" i="3"/>
  <c r="N34" i="3"/>
  <c r="S34" i="3" s="1"/>
  <c r="AB33" i="3"/>
  <c r="P33" i="3"/>
  <c r="O33" i="3"/>
  <c r="N33" i="3"/>
  <c r="AO33" i="3" s="1"/>
  <c r="M190" i="1" s="1"/>
  <c r="N30" i="3"/>
  <c r="S30" i="3" s="1"/>
  <c r="AB29" i="3"/>
  <c r="P29" i="3"/>
  <c r="O29" i="3"/>
  <c r="N29" i="3"/>
  <c r="P28" i="3"/>
  <c r="N28" i="3"/>
  <c r="AM28" i="3" s="1"/>
  <c r="AO26" i="3"/>
  <c r="AI26" i="3"/>
  <c r="AB26" i="3"/>
  <c r="P26" i="3"/>
  <c r="U26" i="3" s="1"/>
  <c r="O26" i="3"/>
  <c r="N26" i="3"/>
  <c r="AM26" i="3" s="1"/>
  <c r="AB25" i="3"/>
  <c r="P25" i="3"/>
  <c r="AI25" i="3" s="1"/>
  <c r="O25" i="3"/>
  <c r="AA25" i="3" s="1"/>
  <c r="N25" i="3"/>
  <c r="AO25" i="3" s="1"/>
  <c r="AM24" i="3"/>
  <c r="AB24" i="3"/>
  <c r="Y24" i="3"/>
  <c r="W24" i="3"/>
  <c r="U24" i="3"/>
  <c r="S24" i="3"/>
  <c r="P24" i="3"/>
  <c r="AO24" i="3" s="1"/>
  <c r="M189" i="1" s="1"/>
  <c r="O24" i="3"/>
  <c r="N24" i="3"/>
  <c r="AB22" i="3"/>
  <c r="AE22" i="3" s="1"/>
  <c r="Y22" i="3"/>
  <c r="U22" i="3"/>
  <c r="S22" i="3"/>
  <c r="Q22" i="3"/>
  <c r="P22" i="3"/>
  <c r="O22" i="3"/>
  <c r="N22" i="3"/>
  <c r="AO22" i="3" s="1"/>
  <c r="AB21" i="3"/>
  <c r="Y21" i="3"/>
  <c r="W21" i="3"/>
  <c r="U21" i="3"/>
  <c r="Q21" i="3"/>
  <c r="P21" i="3"/>
  <c r="AO21" i="3" s="1"/>
  <c r="M184" i="1" s="1"/>
  <c r="O21" i="3"/>
  <c r="AK21" i="3" s="1"/>
  <c r="I184" i="1" s="1"/>
  <c r="N21" i="3"/>
  <c r="O19" i="3"/>
  <c r="N19" i="3"/>
  <c r="AO18" i="3"/>
  <c r="AI18" i="3"/>
  <c r="AB18" i="3"/>
  <c r="P18" i="3"/>
  <c r="U18" i="3" s="1"/>
  <c r="O18" i="3"/>
  <c r="N18" i="3"/>
  <c r="AM18" i="3" s="1"/>
  <c r="AB17" i="3"/>
  <c r="P17" i="3"/>
  <c r="O17" i="3"/>
  <c r="AM15" i="3"/>
  <c r="AB15" i="3"/>
  <c r="Y15" i="3"/>
  <c r="W15" i="3"/>
  <c r="U15" i="3"/>
  <c r="S15" i="3"/>
  <c r="Q15" i="3"/>
  <c r="P15" i="3"/>
  <c r="AO15" i="3" s="1"/>
  <c r="O15" i="3"/>
  <c r="N15" i="3"/>
  <c r="AM14" i="3"/>
  <c r="AB14" i="3"/>
  <c r="AD14" i="3" s="1"/>
  <c r="P14" i="3"/>
  <c r="O14" i="3"/>
  <c r="R14" i="3" s="1"/>
  <c r="N14" i="3"/>
  <c r="AM13" i="3"/>
  <c r="K182" i="1" s="1"/>
  <c r="AB13" i="3"/>
  <c r="Y13" i="3"/>
  <c r="W13" i="3"/>
  <c r="U13" i="3"/>
  <c r="S13" i="3"/>
  <c r="Q13" i="3"/>
  <c r="P13" i="3"/>
  <c r="AO13" i="3" s="1"/>
  <c r="M182" i="1" s="1"/>
  <c r="O13" i="3"/>
  <c r="N13" i="3"/>
  <c r="AB11" i="3"/>
  <c r="P11" i="3"/>
  <c r="O11" i="3"/>
  <c r="N11" i="3"/>
  <c r="AB10" i="3"/>
  <c r="P10" i="3"/>
  <c r="O10" i="3"/>
  <c r="N10" i="3"/>
  <c r="AO10" i="3" s="1"/>
  <c r="AB9" i="3"/>
  <c r="P9" i="3"/>
  <c r="O9" i="3"/>
  <c r="N9" i="3"/>
  <c r="S9" i="3" s="1"/>
  <c r="L56" i="2"/>
  <c r="D56" i="2"/>
  <c r="L55" i="2"/>
  <c r="D55" i="2"/>
  <c r="L54" i="2"/>
  <c r="D54" i="2"/>
  <c r="L53" i="2"/>
  <c r="D53" i="2"/>
  <c r="L52" i="2"/>
  <c r="D52" i="2"/>
  <c r="L51" i="2"/>
  <c r="D51" i="2"/>
  <c r="L50" i="2"/>
  <c r="D50" i="2"/>
  <c r="L49" i="2"/>
  <c r="D49" i="2"/>
  <c r="L48" i="2"/>
  <c r="D48" i="2"/>
  <c r="L47" i="2"/>
  <c r="D47" i="2"/>
  <c r="L46" i="2"/>
  <c r="D46" i="2"/>
  <c r="L35" i="2"/>
  <c r="D35" i="2"/>
  <c r="L34" i="2"/>
  <c r="D34" i="2"/>
  <c r="L33" i="2"/>
  <c r="D33" i="2"/>
  <c r="L32" i="2"/>
  <c r="D32" i="2"/>
  <c r="L31" i="2"/>
  <c r="D31" i="2"/>
  <c r="L30" i="2"/>
  <c r="D30" i="2"/>
  <c r="L29" i="2"/>
  <c r="D29" i="2"/>
  <c r="L28" i="2"/>
  <c r="D28" i="2"/>
  <c r="L27" i="2"/>
  <c r="D27" i="2"/>
  <c r="L17" i="2"/>
  <c r="D17" i="2"/>
  <c r="L16" i="2"/>
  <c r="D16" i="2"/>
  <c r="L15" i="2"/>
  <c r="D15" i="2"/>
  <c r="L14" i="2"/>
  <c r="D14" i="2"/>
  <c r="L13" i="2"/>
  <c r="D13" i="2"/>
  <c r="L12" i="2"/>
  <c r="D12" i="2"/>
  <c r="L11" i="2"/>
  <c r="D11" i="2"/>
  <c r="L10" i="2"/>
  <c r="D10" i="2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N200" i="1"/>
  <c r="L200" i="1"/>
  <c r="J200" i="1"/>
  <c r="H200" i="1"/>
  <c r="F200" i="1"/>
  <c r="D200" i="1"/>
  <c r="N199" i="1"/>
  <c r="L199" i="1"/>
  <c r="J199" i="1"/>
  <c r="H199" i="1"/>
  <c r="G199" i="1"/>
  <c r="F199" i="1"/>
  <c r="E199" i="1"/>
  <c r="D199" i="1"/>
  <c r="N198" i="1"/>
  <c r="L198" i="1"/>
  <c r="J198" i="1"/>
  <c r="H198" i="1"/>
  <c r="F198" i="1"/>
  <c r="D198" i="1"/>
  <c r="N197" i="1"/>
  <c r="L197" i="1"/>
  <c r="J197" i="1"/>
  <c r="H197" i="1"/>
  <c r="F197" i="1"/>
  <c r="D197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N192" i="1"/>
  <c r="L192" i="1"/>
  <c r="J192" i="1"/>
  <c r="H192" i="1"/>
  <c r="F192" i="1"/>
  <c r="D192" i="1"/>
  <c r="N191" i="1"/>
  <c r="L191" i="1"/>
  <c r="J191" i="1"/>
  <c r="H191" i="1"/>
  <c r="F191" i="1"/>
  <c r="D191" i="1"/>
  <c r="N190" i="1"/>
  <c r="L190" i="1"/>
  <c r="J190" i="1"/>
  <c r="H190" i="1"/>
  <c r="F190" i="1"/>
  <c r="D190" i="1"/>
  <c r="N189" i="1"/>
  <c r="L189" i="1"/>
  <c r="K189" i="1"/>
  <c r="J189" i="1"/>
  <c r="H189" i="1"/>
  <c r="F189" i="1"/>
  <c r="D189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N184" i="1"/>
  <c r="L184" i="1"/>
  <c r="J184" i="1"/>
  <c r="H184" i="1"/>
  <c r="F184" i="1"/>
  <c r="E184" i="1"/>
  <c r="D184" i="1"/>
  <c r="N183" i="1"/>
  <c r="L183" i="1"/>
  <c r="J183" i="1"/>
  <c r="H183" i="1"/>
  <c r="F183" i="1"/>
  <c r="D183" i="1"/>
  <c r="N182" i="1"/>
  <c r="L182" i="1"/>
  <c r="J182" i="1"/>
  <c r="H182" i="1"/>
  <c r="F182" i="1"/>
  <c r="D182" i="1"/>
  <c r="L181" i="1"/>
  <c r="J181" i="1"/>
  <c r="H181" i="1"/>
  <c r="F181" i="1"/>
  <c r="D181" i="1"/>
  <c r="P174" i="1"/>
  <c r="O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P173" i="1"/>
  <c r="L173" i="1"/>
  <c r="J173" i="1"/>
  <c r="H173" i="1"/>
  <c r="F173" i="1"/>
  <c r="E173" i="1"/>
  <c r="D173" i="1"/>
  <c r="P172" i="1"/>
  <c r="M172" i="1"/>
  <c r="L172" i="1"/>
  <c r="J172" i="1"/>
  <c r="H172" i="1"/>
  <c r="F172" i="1"/>
  <c r="D172" i="1"/>
  <c r="P171" i="1"/>
  <c r="L171" i="1"/>
  <c r="J171" i="1"/>
  <c r="H171" i="1"/>
  <c r="F171" i="1"/>
  <c r="E171" i="1"/>
  <c r="D171" i="1"/>
  <c r="C171" i="1"/>
  <c r="B171" i="1"/>
  <c r="B198" i="1" s="1"/>
  <c r="P170" i="1"/>
  <c r="L170" i="1"/>
  <c r="J170" i="1"/>
  <c r="H170" i="1"/>
  <c r="F170" i="1"/>
  <c r="D170" i="1"/>
  <c r="P166" i="1"/>
  <c r="O166" i="1"/>
  <c r="M166" i="1"/>
  <c r="L166" i="1"/>
  <c r="K166" i="1"/>
  <c r="J166" i="1"/>
  <c r="I166" i="1"/>
  <c r="H166" i="1"/>
  <c r="G166" i="1"/>
  <c r="F166" i="1"/>
  <c r="E166" i="1"/>
  <c r="D166" i="1"/>
  <c r="C166" i="1"/>
  <c r="P165" i="1"/>
  <c r="M165" i="1"/>
  <c r="L165" i="1"/>
  <c r="K165" i="1"/>
  <c r="J165" i="1"/>
  <c r="I165" i="1"/>
  <c r="H165" i="1"/>
  <c r="G165" i="1"/>
  <c r="F165" i="1"/>
  <c r="E165" i="1"/>
  <c r="D165" i="1"/>
  <c r="B165" i="1"/>
  <c r="B192" i="1" s="1"/>
  <c r="P164" i="1"/>
  <c r="M164" i="1"/>
  <c r="L164" i="1"/>
  <c r="J164" i="1"/>
  <c r="H164" i="1"/>
  <c r="F164" i="1"/>
  <c r="D164" i="1"/>
  <c r="P163" i="1"/>
  <c r="L163" i="1"/>
  <c r="J163" i="1"/>
  <c r="H163" i="1"/>
  <c r="F163" i="1"/>
  <c r="D163" i="1"/>
  <c r="P162" i="1"/>
  <c r="L162" i="1"/>
  <c r="K162" i="1"/>
  <c r="J162" i="1"/>
  <c r="I162" i="1"/>
  <c r="H162" i="1"/>
  <c r="G162" i="1"/>
  <c r="F162" i="1"/>
  <c r="E162" i="1"/>
  <c r="D162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B185" i="1" s="1"/>
  <c r="P157" i="1"/>
  <c r="O157" i="1"/>
  <c r="L157" i="1"/>
  <c r="K157" i="1"/>
  <c r="J157" i="1"/>
  <c r="I157" i="1"/>
  <c r="H157" i="1"/>
  <c r="G157" i="1"/>
  <c r="F157" i="1"/>
  <c r="E157" i="1"/>
  <c r="D157" i="1"/>
  <c r="C157" i="1"/>
  <c r="P156" i="1"/>
  <c r="L156" i="1"/>
  <c r="J156" i="1"/>
  <c r="H156" i="1"/>
  <c r="F156" i="1"/>
  <c r="D156" i="1"/>
  <c r="P155" i="1"/>
  <c r="L155" i="1"/>
  <c r="K155" i="1"/>
  <c r="J155" i="1"/>
  <c r="I155" i="1"/>
  <c r="H155" i="1"/>
  <c r="G155" i="1"/>
  <c r="F155" i="1"/>
  <c r="E155" i="1"/>
  <c r="D155" i="1"/>
  <c r="C155" i="1"/>
  <c r="P154" i="1"/>
  <c r="L154" i="1"/>
  <c r="J154" i="1"/>
  <c r="H154" i="1"/>
  <c r="F154" i="1"/>
  <c r="D154" i="1"/>
  <c r="B136" i="1"/>
  <c r="B135" i="1"/>
  <c r="B173" i="1" s="1"/>
  <c r="B200" i="1" s="1"/>
  <c r="B134" i="1"/>
  <c r="B172" i="1" s="1"/>
  <c r="B199" i="1" s="1"/>
  <c r="B133" i="1"/>
  <c r="B132" i="1"/>
  <c r="N17" i="3" s="1"/>
  <c r="B128" i="1"/>
  <c r="B166" i="1" s="1"/>
  <c r="B193" i="1" s="1"/>
  <c r="B127" i="1"/>
  <c r="B126" i="1"/>
  <c r="B164" i="1" s="1"/>
  <c r="B191" i="1" s="1"/>
  <c r="B125" i="1"/>
  <c r="B163" i="1" s="1"/>
  <c r="B190" i="1" s="1"/>
  <c r="B124" i="1"/>
  <c r="B162" i="1" s="1"/>
  <c r="B189" i="1" s="1"/>
  <c r="B120" i="1"/>
  <c r="B119" i="1"/>
  <c r="B157" i="1" s="1"/>
  <c r="B184" i="1" s="1"/>
  <c r="B118" i="1"/>
  <c r="B156" i="1" s="1"/>
  <c r="B183" i="1" s="1"/>
  <c r="B117" i="1"/>
  <c r="B155" i="1" s="1"/>
  <c r="B116" i="1"/>
  <c r="B154" i="1" s="1"/>
  <c r="B181" i="1" s="1"/>
  <c r="H87" i="1"/>
  <c r="G87" i="1"/>
  <c r="F87" i="1"/>
  <c r="E87" i="1"/>
  <c r="D87" i="1"/>
  <c r="C87" i="1"/>
  <c r="F86" i="1"/>
  <c r="C86" i="1"/>
  <c r="H79" i="1"/>
  <c r="G79" i="1"/>
  <c r="F79" i="1"/>
  <c r="E79" i="1"/>
  <c r="D79" i="1"/>
  <c r="C79" i="1"/>
  <c r="F78" i="1"/>
  <c r="C78" i="1"/>
  <c r="H71" i="1"/>
  <c r="G71" i="1"/>
  <c r="F71" i="1"/>
  <c r="E71" i="1"/>
  <c r="D71" i="1"/>
  <c r="C71" i="1"/>
  <c r="F68" i="1"/>
  <c r="C68" i="1"/>
  <c r="W28" i="3" l="1"/>
  <c r="I164" i="1" s="1"/>
  <c r="U10" i="3"/>
  <c r="U11" i="3"/>
  <c r="S10" i="3"/>
  <c r="Q28" i="3"/>
  <c r="C164" i="1" s="1"/>
  <c r="S28" i="3"/>
  <c r="U28" i="3"/>
  <c r="AK28" i="3"/>
  <c r="AG28" i="3"/>
  <c r="Y28" i="3"/>
  <c r="AC28" i="3"/>
  <c r="O164" i="1" s="1"/>
  <c r="AE28" i="3"/>
  <c r="AI28" i="3"/>
  <c r="AM30" i="3"/>
  <c r="AK30" i="3"/>
  <c r="AI30" i="3"/>
  <c r="AG30" i="3"/>
  <c r="AE30" i="3"/>
  <c r="AC30" i="3"/>
  <c r="Y30" i="3"/>
  <c r="U30" i="3"/>
  <c r="Q30" i="3"/>
  <c r="W30" i="3"/>
  <c r="S29" i="3"/>
  <c r="E164" i="1" s="1"/>
  <c r="Q29" i="3"/>
  <c r="U29" i="3"/>
  <c r="W29" i="3"/>
  <c r="Y29" i="3"/>
  <c r="AA29" i="3"/>
  <c r="AO29" i="3"/>
  <c r="M191" i="1" s="1"/>
  <c r="AC29" i="3"/>
  <c r="AC11" i="3"/>
  <c r="Y11" i="3"/>
  <c r="AO11" i="3"/>
  <c r="Q9" i="3"/>
  <c r="U9" i="3"/>
  <c r="G154" i="1" s="1"/>
  <c r="Y9" i="3"/>
  <c r="AK9" i="3"/>
  <c r="W9" i="3"/>
  <c r="AE9" i="3"/>
  <c r="AG9" i="3"/>
  <c r="AI9" i="3"/>
  <c r="W10" i="3"/>
  <c r="Y10" i="3"/>
  <c r="AA10" i="3"/>
  <c r="AM10" i="3"/>
  <c r="S11" i="3"/>
  <c r="E154" i="1" s="1"/>
  <c r="Q11" i="3"/>
  <c r="Y17" i="3"/>
  <c r="K170" i="1" s="1"/>
  <c r="Q17" i="3"/>
  <c r="C170" i="1" s="1"/>
  <c r="AO17" i="3"/>
  <c r="M197" i="1" s="1"/>
  <c r="AM17" i="3"/>
  <c r="K197" i="1" s="1"/>
  <c r="AK17" i="3"/>
  <c r="I197" i="1" s="1"/>
  <c r="AE17" i="3"/>
  <c r="C197" i="1" s="1"/>
  <c r="AI17" i="3"/>
  <c r="G197" i="1" s="1"/>
  <c r="AA17" i="3"/>
  <c r="M170" i="1" s="1"/>
  <c r="AG17" i="3"/>
  <c r="E197" i="1" s="1"/>
  <c r="AC17" i="3"/>
  <c r="O170" i="1" s="1"/>
  <c r="W17" i="3"/>
  <c r="I170" i="1" s="1"/>
  <c r="U17" i="3"/>
  <c r="G170" i="1" s="1"/>
  <c r="S17" i="3"/>
  <c r="E170" i="1" s="1"/>
  <c r="N59" i="3"/>
  <c r="B182" i="1"/>
  <c r="W19" i="3"/>
  <c r="S40" i="3"/>
  <c r="S50" i="3"/>
  <c r="R59" i="3"/>
  <c r="AA9" i="3"/>
  <c r="W11" i="3"/>
  <c r="T14" i="3"/>
  <c r="P19" i="3"/>
  <c r="AC19" i="3" s="1"/>
  <c r="W22" i="3"/>
  <c r="S25" i="3"/>
  <c r="AA34" i="3"/>
  <c r="U40" i="3"/>
  <c r="Y48" i="3"/>
  <c r="K172" i="1" s="1"/>
  <c r="U50" i="3"/>
  <c r="W55" i="3"/>
  <c r="I156" i="1" s="1"/>
  <c r="T59" i="3"/>
  <c r="AC61" i="3"/>
  <c r="O173" i="1" s="1"/>
  <c r="Q50" i="3"/>
  <c r="V14" i="3"/>
  <c r="U25" i="3"/>
  <c r="W40" i="3"/>
  <c r="W50" i="3"/>
  <c r="V59" i="3"/>
  <c r="AE61" i="3"/>
  <c r="C200" i="1" s="1"/>
  <c r="AC9" i="3"/>
  <c r="AA11" i="3"/>
  <c r="X14" i="3"/>
  <c r="AA22" i="3"/>
  <c r="W25" i="3"/>
  <c r="G164" i="1"/>
  <c r="AC34" i="3"/>
  <c r="Y40" i="3"/>
  <c r="AE44" i="3"/>
  <c r="C198" i="1" s="1"/>
  <c r="Y50" i="3"/>
  <c r="AA55" i="3"/>
  <c r="M156" i="1" s="1"/>
  <c r="X59" i="3"/>
  <c r="AG61" i="3"/>
  <c r="E200" i="1" s="1"/>
  <c r="AG40" i="3"/>
  <c r="AO44" i="3"/>
  <c r="M198" i="1" s="1"/>
  <c r="AK48" i="3"/>
  <c r="I199" i="1" s="1"/>
  <c r="AG50" i="3"/>
  <c r="AI55" i="3"/>
  <c r="G183" i="1" s="1"/>
  <c r="AC22" i="3"/>
  <c r="AB59" i="3"/>
  <c r="AF14" i="3"/>
  <c r="AC25" i="3"/>
  <c r="AG55" i="3"/>
  <c r="E183" i="1" s="1"/>
  <c r="AM9" i="3"/>
  <c r="AO9" i="3"/>
  <c r="AK11" i="3"/>
  <c r="AJ14" i="3"/>
  <c r="AK22" i="3"/>
  <c r="AG25" i="3"/>
  <c r="AO34" i="3"/>
  <c r="AI40" i="3"/>
  <c r="AM48" i="3"/>
  <c r="K199" i="1" s="1"/>
  <c r="AI50" i="3"/>
  <c r="AK55" i="3"/>
  <c r="I183" i="1" s="1"/>
  <c r="AE11" i="3"/>
  <c r="C181" i="1" s="1"/>
  <c r="AG11" i="3"/>
  <c r="AG22" i="3"/>
  <c r="AH14" i="3"/>
  <c r="AE19" i="3"/>
  <c r="AE25" i="3"/>
  <c r="AM11" i="3"/>
  <c r="AL14" i="3"/>
  <c r="AI19" i="3"/>
  <c r="AM22" i="3"/>
  <c r="AK40" i="3"/>
  <c r="AK50" i="3"/>
  <c r="AM55" i="3"/>
  <c r="K183" i="1" s="1"/>
  <c r="AK34" i="3"/>
  <c r="AE40" i="3"/>
  <c r="AE50" i="3"/>
  <c r="AI11" i="3"/>
  <c r="G181" i="1" s="1"/>
  <c r="AI22" i="3"/>
  <c r="AK25" i="3"/>
  <c r="Q33" i="3"/>
  <c r="C163" i="1" s="1"/>
  <c r="AM40" i="3"/>
  <c r="AM50" i="3"/>
  <c r="AM25" i="3"/>
  <c r="S33" i="3"/>
  <c r="E163" i="1" s="1"/>
  <c r="Q45" i="3"/>
  <c r="U64" i="3"/>
  <c r="Q10" i="3"/>
  <c r="U33" i="3"/>
  <c r="G163" i="1" s="1"/>
  <c r="Q36" i="3"/>
  <c r="Q38" i="3"/>
  <c r="C165" i="1" s="1"/>
  <c r="W33" i="3"/>
  <c r="I163" i="1" s="1"/>
  <c r="Q24" i="3"/>
  <c r="C162" i="1" s="1"/>
  <c r="Y33" i="3"/>
  <c r="K163" i="1" s="1"/>
  <c r="AC64" i="3"/>
  <c r="AA33" i="3"/>
  <c r="M163" i="1" s="1"/>
  <c r="AE64" i="3"/>
  <c r="Z14" i="3"/>
  <c r="K164" i="1"/>
  <c r="Q18" i="3"/>
  <c r="Q26" i="3"/>
  <c r="AI64" i="3"/>
  <c r="U19" i="3"/>
  <c r="AA40" i="3"/>
  <c r="S18" i="3"/>
  <c r="S26" i="3"/>
  <c r="AC33" i="3"/>
  <c r="O163" i="1" s="1"/>
  <c r="Y25" i="3"/>
  <c r="AE33" i="3"/>
  <c r="C190" i="1" s="1"/>
  <c r="AC60" i="3"/>
  <c r="Q25" i="3"/>
  <c r="AA50" i="3"/>
  <c r="AC55" i="3"/>
  <c r="O156" i="1" s="1"/>
  <c r="I198" i="1"/>
  <c r="AC10" i="3"/>
  <c r="AA13" i="3"/>
  <c r="M155" i="1" s="1"/>
  <c r="AA15" i="3"/>
  <c r="W18" i="3"/>
  <c r="AA21" i="3"/>
  <c r="M157" i="1" s="1"/>
  <c r="AA24" i="3"/>
  <c r="M162" i="1" s="1"/>
  <c r="W26" i="3"/>
  <c r="AE29" i="3"/>
  <c r="AG33" i="3"/>
  <c r="E190" i="1" s="1"/>
  <c r="AC36" i="3"/>
  <c r="AC38" i="3"/>
  <c r="O165" i="1" s="1"/>
  <c r="AC41" i="3"/>
  <c r="AE45" i="3"/>
  <c r="AE60" i="3"/>
  <c r="AE10" i="3"/>
  <c r="Y18" i="3"/>
  <c r="Y26" i="3"/>
  <c r="AG29" i="3"/>
  <c r="AI33" i="3"/>
  <c r="G190" i="1" s="1"/>
  <c r="AE36" i="3"/>
  <c r="AE38" i="3"/>
  <c r="C192" i="1" s="1"/>
  <c r="AG45" i="3"/>
  <c r="AC49" i="3"/>
  <c r="AG10" i="3"/>
  <c r="AC13" i="3"/>
  <c r="O155" i="1" s="1"/>
  <c r="AC15" i="3"/>
  <c r="AA18" i="3"/>
  <c r="AE21" i="3"/>
  <c r="C184" i="1" s="1"/>
  <c r="AC24" i="3"/>
  <c r="O162" i="1" s="1"/>
  <c r="AA26" i="3"/>
  <c r="AI29" i="3"/>
  <c r="AK33" i="3"/>
  <c r="I190" i="1" s="1"/>
  <c r="AG36" i="3"/>
  <c r="AG38" i="3"/>
  <c r="E192" i="1" s="1"/>
  <c r="AI41" i="3"/>
  <c r="AI45" i="3"/>
  <c r="AE49" i="3"/>
  <c r="AE54" i="3"/>
  <c r="AC56" i="3"/>
  <c r="Q65" i="3"/>
  <c r="AI10" i="3"/>
  <c r="AE13" i="3"/>
  <c r="C182" i="1" s="1"/>
  <c r="AE15" i="3"/>
  <c r="AI21" i="3"/>
  <c r="G184" i="1" s="1"/>
  <c r="AE24" i="3"/>
  <c r="C189" i="1" s="1"/>
  <c r="AK29" i="3"/>
  <c r="I191" i="1" s="1"/>
  <c r="AM33" i="3"/>
  <c r="K190" i="1" s="1"/>
  <c r="AK45" i="3"/>
  <c r="AG49" i="3"/>
  <c r="AG54" i="3"/>
  <c r="AE56" i="3"/>
  <c r="U65" i="3"/>
  <c r="AC40" i="3"/>
  <c r="AK10" i="3"/>
  <c r="AG13" i="3"/>
  <c r="E182" i="1" s="1"/>
  <c r="AG15" i="3"/>
  <c r="AC18" i="3"/>
  <c r="AG24" i="3"/>
  <c r="E189" i="1" s="1"/>
  <c r="AC26" i="3"/>
  <c r="AM29" i="3"/>
  <c r="AK36" i="3"/>
  <c r="AK38" i="3"/>
  <c r="I192" i="1" s="1"/>
  <c r="AM45" i="3"/>
  <c r="AI49" i="3"/>
  <c r="AI54" i="3"/>
  <c r="AG56" i="3"/>
  <c r="AA65" i="3"/>
  <c r="B170" i="1"/>
  <c r="B197" i="1" s="1"/>
  <c r="AI13" i="3"/>
  <c r="G182" i="1" s="1"/>
  <c r="AI15" i="3"/>
  <c r="AE18" i="3"/>
  <c r="AM21" i="3"/>
  <c r="K184" i="1" s="1"/>
  <c r="AI24" i="3"/>
  <c r="G189" i="1" s="1"/>
  <c r="AE26" i="3"/>
  <c r="AM36" i="3"/>
  <c r="AM38" i="3"/>
  <c r="K192" i="1" s="1"/>
  <c r="AK49" i="3"/>
  <c r="AK54" i="3"/>
  <c r="AK13" i="3"/>
  <c r="I182" i="1" s="1"/>
  <c r="AK15" i="3"/>
  <c r="AG18" i="3"/>
  <c r="AK24" i="3"/>
  <c r="I189" i="1" s="1"/>
  <c r="AG26" i="3"/>
  <c r="AK56" i="3"/>
  <c r="Q61" i="3"/>
  <c r="C173" i="1" s="1"/>
  <c r="AC65" i="3"/>
  <c r="AE65" i="3"/>
  <c r="AK18" i="3"/>
  <c r="AK26" i="3"/>
  <c r="U61" i="3"/>
  <c r="G173" i="1" s="1"/>
  <c r="AI65" i="3"/>
  <c r="E191" i="1" l="1"/>
  <c r="M181" i="1"/>
  <c r="E181" i="1"/>
  <c r="K181" i="1"/>
  <c r="K154" i="1"/>
  <c r="O154" i="1"/>
  <c r="M154" i="1"/>
  <c r="G191" i="1"/>
  <c r="I154" i="1"/>
  <c r="I181" i="1"/>
  <c r="C191" i="1"/>
  <c r="C154" i="1"/>
  <c r="K191" i="1"/>
  <c r="AD59" i="3"/>
  <c r="AF59" i="3"/>
  <c r="AN59" i="3"/>
  <c r="AL59" i="3"/>
  <c r="AJ59" i="3"/>
  <c r="AH59" i="3"/>
  <c r="S19" i="3"/>
  <c r="AG19" i="3"/>
  <c r="AK19" i="3"/>
  <c r="Q19" i="3"/>
  <c r="AM19" i="3"/>
  <c r="Y19" i="3"/>
</calcChain>
</file>

<file path=xl/sharedStrings.xml><?xml version="1.0" encoding="utf-8"?>
<sst xmlns="http://schemas.openxmlformats.org/spreadsheetml/2006/main" count="993" uniqueCount="242">
  <si>
    <t xml:space="preserve">ВИДЕО-ИНСТРУКЦИЯ К ДАННОЙ ПРОГРАММЕ ТРЕНИРОВОК </t>
  </si>
  <si>
    <t xml:space="preserve">Если у вас возникнут вопросы, то у меня есть постоянная поддержка к программам тренировок для всех подписчиков Boosty </t>
  </si>
  <si>
    <t>ПРАВИЛА СИЛОВОЙ ТРЕНИРОВКИ:</t>
  </si>
  <si>
    <t>Разминка:</t>
  </si>
  <si>
    <t>Каждая тренировка начинается с суставной гимнастики - необходимо в течение 5-10 минут разогреть все суставы (выполнить вращательные, сгибательные и разгибательные движения всеми доступными частями тела) - уделить особое внимание плечевому суставу, позвоночнику, коленям</t>
  </si>
  <si>
    <t>Разминочные подходы:</t>
  </si>
  <si>
    <t xml:space="preserve">В каждом упражнении делаем от 1 до 4,5 или даже 6 разминочных подходов перед рабочим весом (чем больше рабочий вес - тем больше подходов необходимо чтобы подготовить тело). </t>
  </si>
  <si>
    <t>В упражнениях с маленьким весом в качестве разминки достаточно взять 50% от рабочего веса и медленно поработать на 8-10 повторений в одном подходе (не закисляясь)</t>
  </si>
  <si>
    <t>Чем больше рабочий вес, тем больше требуется разминочных подходов перед рабочим весом, при этом во время разминки не делать большого кол-ва повторений, чтобы не закисляться (1х8, 1х6, 1х4, 1х2, 1х1)</t>
  </si>
  <si>
    <t xml:space="preserve">Например если приседания 120 кг, то понадобится сделать 20*8, 50*6, 70*4, 90*2, 110*1, а только затем рабочий вес (делать большие шаги в увеличении веса после 50%ПМ травмоопасно - 10-20 кг оптимальный шаг) </t>
  </si>
  <si>
    <t>Отдых между подходами:</t>
  </si>
  <si>
    <t xml:space="preserve">Во время силовой тренировки на 3-6 повторений с субмаксимальными весами используются большие интервалы времени отдыха 5-10 минут </t>
  </si>
  <si>
    <t xml:space="preserve">Во время лёгких недель при работе со средними весами на 5-12 повторений можно выполнять по 3-5 минут отдыха между подходами </t>
  </si>
  <si>
    <t xml:space="preserve">Лучшим индикатором является ваше самочувствие - вы должны отдыхать настолько долго, насколько вам требуется чтобы не чувствовать утомление во время подхода </t>
  </si>
  <si>
    <t xml:space="preserve">Если вам кажется что вы слишком легко поднимаете указанный вес, то выполняйте его с акцентом на скорость </t>
  </si>
  <si>
    <t>Частота тренировок:</t>
  </si>
  <si>
    <t xml:space="preserve">Оптимальная частота тренировок 2-3 тренировочных дня в неделю </t>
  </si>
  <si>
    <t xml:space="preserve">Тренировочные дни при этом выполняются в указанном порядке </t>
  </si>
  <si>
    <t>После первого мезоцикла рекомендую взять отдых 1 неделю для полного восстановления</t>
  </si>
  <si>
    <t>Инструкция к подготовительному периоду:</t>
  </si>
  <si>
    <t>1. Выберите упражнения, которые наиболее точно соответствуют вашему уровню физической подготовки, состоянию здоровья и личным предпочтениям</t>
  </si>
  <si>
    <t>Для этого нажмите на название упражнения в списке подготовительного периода и программа выдаст доступные варианты на замену каждого упражнения</t>
  </si>
  <si>
    <t xml:space="preserve">Если нажать на "+", то в программу добавится ещё одно упражнение на выбор </t>
  </si>
  <si>
    <t>2. Подберите рабочие веса, которые соответствуют "ПМ" указанным в таблице и проведите с ними тренировку</t>
  </si>
  <si>
    <r>
      <rPr>
        <b/>
        <sz val="14"/>
        <color theme="1"/>
        <rFont val="Calibri"/>
        <family val="2"/>
        <charset val="204"/>
      </rPr>
      <t>ПМ - это</t>
    </r>
    <r>
      <rPr>
        <sz val="14"/>
        <color theme="1"/>
        <rFont val="Calibri"/>
        <family val="2"/>
        <charset val="204"/>
      </rPr>
      <t xml:space="preserve"> обозначение повторного максимума (например если вы можете пожать 100 кг только на 1 повторение, а 80 кг на 8 повторений, то 100 кг = 1ПМ, а 80 кг = 8ПМ)</t>
    </r>
  </si>
  <si>
    <r>
      <rPr>
        <sz val="14"/>
        <color theme="1"/>
        <rFont val="Calibri"/>
        <family val="2"/>
        <charset val="204"/>
      </rPr>
      <t xml:space="preserve">В таблице подготовительного периода указаны </t>
    </r>
    <r>
      <rPr>
        <b/>
        <sz val="14"/>
        <color theme="1"/>
        <rFont val="Calibri"/>
        <family val="2"/>
        <charset val="204"/>
      </rPr>
      <t>ПМ</t>
    </r>
    <r>
      <rPr>
        <sz val="14"/>
        <color theme="1"/>
        <rFont val="Calibri"/>
        <family val="2"/>
        <charset val="204"/>
      </rPr>
      <t>, с которыми вам необходимо выполнять упражнения</t>
    </r>
  </si>
  <si>
    <r>
      <rPr>
        <sz val="14"/>
        <color theme="1"/>
        <rFont val="Calibri"/>
        <family val="2"/>
        <charset val="204"/>
      </rPr>
      <t xml:space="preserve">Колонка </t>
    </r>
    <r>
      <rPr>
        <b/>
        <sz val="14"/>
        <color theme="1"/>
        <rFont val="Calibri"/>
        <family val="2"/>
        <charset val="204"/>
      </rPr>
      <t>Подх - это</t>
    </r>
    <r>
      <rPr>
        <sz val="14"/>
        <color theme="1"/>
        <rFont val="Calibri"/>
        <family val="2"/>
        <charset val="204"/>
      </rPr>
      <t xml:space="preserve"> количество подходов с данным рабочим весом</t>
    </r>
  </si>
  <si>
    <r>
      <rPr>
        <sz val="14"/>
        <color theme="1"/>
        <rFont val="Calibri"/>
        <family val="2"/>
        <charset val="204"/>
      </rPr>
      <t xml:space="preserve">Колонка </t>
    </r>
    <r>
      <rPr>
        <b/>
        <sz val="14"/>
        <color theme="1"/>
        <rFont val="Calibri"/>
        <family val="2"/>
        <charset val="204"/>
      </rPr>
      <t>RIR - это</t>
    </r>
    <r>
      <rPr>
        <sz val="14"/>
        <color theme="1"/>
        <rFont val="Calibri"/>
        <family val="2"/>
        <charset val="204"/>
      </rPr>
      <t xml:space="preserve"> количество повторений в запасе перед тем как наступит отказ. </t>
    </r>
  </si>
  <si>
    <r>
      <rPr>
        <sz val="14"/>
        <color theme="1"/>
        <rFont val="Calibri"/>
        <family val="2"/>
        <charset val="204"/>
      </rPr>
      <t xml:space="preserve">В данном случае </t>
    </r>
    <r>
      <rPr>
        <b/>
        <sz val="14"/>
        <color theme="1"/>
        <rFont val="Calibri"/>
        <family val="2"/>
        <charset val="204"/>
      </rPr>
      <t>10ПМ 1 ПОДХ 2RIR</t>
    </r>
    <r>
      <rPr>
        <sz val="14"/>
        <color theme="1"/>
        <rFont val="Calibri"/>
        <family val="2"/>
        <charset val="204"/>
      </rPr>
      <t xml:space="preserve">  означает что вам нужно выполнить 1 подход с весом, который вы можете пожать максимум на 10 повторений </t>
    </r>
  </si>
  <si>
    <t>и остановиться за 2 повторения до отказа (то есть выполнить всего 8 повторений)</t>
  </si>
  <si>
    <t>ПОДГОТОВИТЕЛЬНЫЙ ПЕРИОД</t>
  </si>
  <si>
    <t>Неделя 1</t>
  </si>
  <si>
    <t>Неделя 2</t>
  </si>
  <si>
    <t>День 1:</t>
  </si>
  <si>
    <t>ПМ</t>
  </si>
  <si>
    <t>Подх</t>
  </si>
  <si>
    <t>RIR (повт в запасе)</t>
  </si>
  <si>
    <t>Жим штанги лёжа</t>
  </si>
  <si>
    <t>8ПМ</t>
  </si>
  <si>
    <t>6ПМ</t>
  </si>
  <si>
    <t>Подтягивания (с отягощением)</t>
  </si>
  <si>
    <t>Жим платформы ногами</t>
  </si>
  <si>
    <t>Махи с гантелями в стороны</t>
  </si>
  <si>
    <t>10ПМ</t>
  </si>
  <si>
    <t>+</t>
  </si>
  <si>
    <t>День 2:</t>
  </si>
  <si>
    <t>Становая тяга</t>
  </si>
  <si>
    <t>Подъём штанги на бицепс</t>
  </si>
  <si>
    <t xml:space="preserve">Жим гантелей лёжа </t>
  </si>
  <si>
    <t>Разгибания рук на блоке</t>
  </si>
  <si>
    <t>День 3:</t>
  </si>
  <si>
    <t>Приседания со штангой</t>
  </si>
  <si>
    <t>Армейский жим</t>
  </si>
  <si>
    <t>Тяга штанги в наклоне</t>
  </si>
  <si>
    <t>Тяга горизонтального блока к поясу</t>
  </si>
  <si>
    <t>Инструкция к "ТЕСТОВОЙ НЕДЕЛЕ":</t>
  </si>
  <si>
    <t>Сразу после подготовительного периода мы проводим тестовую неделю</t>
  </si>
  <si>
    <t>Нам необходимо оценить свои силовые показатели, чтобы программа рассчитала рабочие веса для следующего периода</t>
  </si>
  <si>
    <r>
      <rPr>
        <sz val="14"/>
        <color theme="1"/>
        <rFont val="Calibri"/>
        <family val="2"/>
        <charset val="204"/>
      </rPr>
      <t xml:space="preserve">Для этого нам необходимо протестировать все упражнения по 1 подходу в отказ и вписать результаты </t>
    </r>
    <r>
      <rPr>
        <b/>
        <sz val="14"/>
        <color theme="1"/>
        <rFont val="Calibri"/>
        <family val="2"/>
        <charset val="204"/>
      </rPr>
      <t>рабочего веса</t>
    </r>
    <r>
      <rPr>
        <sz val="14"/>
        <color theme="1"/>
        <rFont val="Calibri"/>
        <family val="2"/>
        <charset val="204"/>
      </rPr>
      <t xml:space="preserve"> и </t>
    </r>
    <r>
      <rPr>
        <b/>
        <sz val="14"/>
        <color theme="1"/>
        <rFont val="Calibri"/>
        <family val="2"/>
        <charset val="204"/>
      </rPr>
      <t>количества повторений</t>
    </r>
    <r>
      <rPr>
        <sz val="14"/>
        <color theme="1"/>
        <rFont val="Calibri"/>
        <family val="2"/>
        <charset val="204"/>
      </rPr>
      <t xml:space="preserve"> на тренировках </t>
    </r>
  </si>
  <si>
    <r>
      <rPr>
        <sz val="14"/>
        <color theme="1"/>
        <rFont val="Calibri"/>
        <family val="2"/>
        <charset val="204"/>
      </rPr>
      <t xml:space="preserve">в пустые колонки 4-ой недели по таблице обозначенные </t>
    </r>
    <r>
      <rPr>
        <sz val="14"/>
        <color rgb="FF2E75B5"/>
        <rFont val="Calibri"/>
        <family val="2"/>
        <charset val="204"/>
      </rPr>
      <t>синим цветом</t>
    </r>
    <r>
      <rPr>
        <sz val="14"/>
        <color theme="1"/>
        <rFont val="Calibri"/>
        <family val="2"/>
        <charset val="204"/>
      </rPr>
      <t xml:space="preserve"> </t>
    </r>
  </si>
  <si>
    <r>
      <rPr>
        <b/>
        <sz val="14"/>
        <color rgb="FFFF0000"/>
        <rFont val="Calibri"/>
        <family val="2"/>
        <charset val="204"/>
      </rPr>
      <t>ВНИМАНИЕ!</t>
    </r>
    <r>
      <rPr>
        <sz val="14"/>
        <color rgb="FFFF0000"/>
        <rFont val="Calibri"/>
        <family val="2"/>
        <charset val="204"/>
      </rPr>
      <t xml:space="preserve"> </t>
    </r>
    <r>
      <rPr>
        <sz val="14"/>
        <color theme="1"/>
        <rFont val="Calibri"/>
        <family val="2"/>
        <charset val="204"/>
      </rPr>
      <t>Если вы подставите туда значения не попадающие в нужный диапазон, то программа не рассчитает веса</t>
    </r>
  </si>
  <si>
    <t>Поэтому перед тем как пойти на тренировку выполнять подходы в отказ рассмотрите все ячейки и оцените какой должен быть рабочий вес</t>
  </si>
  <si>
    <t>В упражнениях с "собственным весом" необходимо в колонку "вес (кг) подставить вес собственного тела</t>
  </si>
  <si>
    <t>В подтягиваниях и отжиманиях "с дополнительным весом", подставляем вес тела + вес отягощения</t>
  </si>
  <si>
    <t>(Если ваш вес 80 кг и вы подтягиваетесь с дополнительным весом 20 кг на 5 повторений, то подставляем 100 кг на 5 повторений)</t>
  </si>
  <si>
    <t>ТЕСТОВАЯ НЕДЕЛЯ</t>
  </si>
  <si>
    <t>Вес (кг) ↓</t>
  </si>
  <si>
    <t>ПМ ↓</t>
  </si>
  <si>
    <t>Округлить до↓</t>
  </si>
  <si>
    <t>Вес (кг) - вес отягощения (это гантели, штанга, блоки, собственный вес тела)</t>
  </si>
  <si>
    <t>Вы подставляете в эту колокну вес снаряда, с которым вы выполняли конкретное упражнение</t>
  </si>
  <si>
    <r>
      <rPr>
        <sz val="14"/>
        <color theme="1"/>
        <rFont val="Calibri"/>
        <family val="2"/>
        <charset val="204"/>
      </rPr>
      <t xml:space="preserve">Для того чтобы понять с каким весом выполнить подход вы должны сориентироваться по значениям </t>
    </r>
    <r>
      <rPr>
        <b/>
        <sz val="14"/>
        <color theme="1"/>
        <rFont val="Calibri"/>
        <family val="2"/>
        <charset val="204"/>
      </rPr>
      <t>ПМ</t>
    </r>
    <r>
      <rPr>
        <sz val="14"/>
        <color theme="1"/>
        <rFont val="Calibri"/>
        <family val="2"/>
        <charset val="204"/>
      </rPr>
      <t xml:space="preserve">, </t>
    </r>
  </si>
  <si>
    <t>которые выводятся при нажатии на ячейку для конкретного упражнения</t>
  </si>
  <si>
    <t>ПМ - количество повторений, которое вы смогли выполнить за подход с данным весом (до отказа)</t>
  </si>
  <si>
    <t>Чтобы проверить его нужно провести разминку, постепенно подведясь к данному весу, выполнив 4-5 разминочных подходов, но так чтобы не терять силы (не делайте более 5 повт)</t>
  </si>
  <si>
    <t>Затем перед итоговым подходом отдохните 6-8 минут и выложитесь на максимум (без нарушений техники)</t>
  </si>
  <si>
    <t xml:space="preserve">Для большинства упражнений самый точный диапазон повторений 4-7, поэтому программа требует выполнять данное количество повторений, </t>
  </si>
  <si>
    <t>но в некоторых упражнениях (например в подтягиваниях с собственным весом или в лёгких изолирующих упражнения указан другой диапазон)</t>
  </si>
  <si>
    <t xml:space="preserve">Поэтому будте внимательны при подборе рабочего веса </t>
  </si>
  <si>
    <t xml:space="preserve">В главных базовых упражнениях используется 1ПМ, поэтому в них необходимо выполнить проходку до 100% максимума </t>
  </si>
  <si>
    <t xml:space="preserve">Чтобы выйти на свой 1ПМ необходимо постепенно повышать рабочий вес с шагом не более 10-15 кг в первых подходах и не более 5 кг в последних подходах </t>
  </si>
  <si>
    <t>Например выход на планируемый максимум 130 кг в жиме лёжа может выглядеть так:</t>
  </si>
  <si>
    <t>20х10, 50х5, 70х4, 90х3, 100х2, 110х1, 115х1, 120х1, 125х1, 130х1 (Воспользуйтесь кальулятором разминки в нижней части экрана чтобы получить точные значения для вас)</t>
  </si>
  <si>
    <t>В столбце "Округлить до" вы можете выбрать удобный шаг в отягощении</t>
  </si>
  <si>
    <t>Если работаете со штангой, то стандартный диск 2,5 кг, если с гантелями, то это может быть 1 или 2 кг</t>
  </si>
  <si>
    <t>После тестовой недели рекомендую пропустить одну тренировку или дать дополнительные 3-4 дня отдыха</t>
  </si>
  <si>
    <t xml:space="preserve">Если вы всё сделали правильно и ввели вручную результаты в синие ячейки, то программа рассчитает для вас рабочие веса, количество подходов и повторений, с которыми нужно заниматься в последующий период </t>
  </si>
  <si>
    <r>
      <rPr>
        <sz val="14"/>
        <color theme="1"/>
        <rFont val="Calibri"/>
        <family val="2"/>
        <charset val="204"/>
      </rPr>
      <t>Если же в таблице присутствует</t>
    </r>
    <r>
      <rPr>
        <b/>
        <sz val="14"/>
        <color theme="1"/>
        <rFont val="Calibri"/>
        <family val="2"/>
        <charset val="204"/>
      </rPr>
      <t xml:space="preserve"> #Н/Д, </t>
    </r>
    <r>
      <rPr>
        <sz val="14"/>
        <color theme="1"/>
        <rFont val="Calibri"/>
        <family val="2"/>
        <charset val="204"/>
      </rPr>
      <t xml:space="preserve">то это говорит о том что вы где-то допустили ошибку (чаще всего вы ввели неверное значение ПМ, которое не попадает в указанный диапазон) </t>
    </r>
  </si>
  <si>
    <t xml:space="preserve">Перепроверьте правильно ли вы заполнили упражнения "с собственным весом" (если они присутствуют) - в них нам необходимо вместо шага подставить желаемую прибавку в количестве повторений  </t>
  </si>
  <si>
    <t>Во время Недели 4 (Разгрузка) необходимо сосредоточиться на максимально быстром выполнении каждого повторения для развития взрывной силы</t>
  </si>
  <si>
    <t>МЕЗОЦИКЛ 1</t>
  </si>
  <si>
    <t xml:space="preserve">Неделя 1 </t>
  </si>
  <si>
    <t>Неделя 3 (Итоговая)</t>
  </si>
  <si>
    <t>Неделя 4 (Разгрузка)</t>
  </si>
  <si>
    <t>Вес</t>
  </si>
  <si>
    <t>Подх x повт</t>
  </si>
  <si>
    <t>Повт до отказа↓</t>
  </si>
  <si>
    <t>МЕЗОЦИКЛ 2</t>
  </si>
  <si>
    <t>Неделя 3</t>
  </si>
  <si>
    <t xml:space="preserve">Авторские видео-гайды по упражнениям и другие программы тренировок доступны подписчикам на Boosty </t>
  </si>
  <si>
    <t>boosty.to/yetiblog</t>
  </si>
  <si>
    <t>Подтягивания</t>
  </si>
  <si>
    <t>Подтягивания в гравитроне и тяга вертикального блока</t>
  </si>
  <si>
    <t>Жим гантелей лёжа</t>
  </si>
  <si>
    <t>Шраги со штангой или гантелями</t>
  </si>
  <si>
    <t>Сгибания рук на скамье Скотта с гантелями</t>
  </si>
  <si>
    <t>Пуловер у верхнего блока</t>
  </si>
  <si>
    <t>Разгибания рук у верхнего блока</t>
  </si>
  <si>
    <t>Махи с гантелями</t>
  </si>
  <si>
    <t>Французский жим с гантелями </t>
  </si>
  <si>
    <t>Разведения рук </t>
  </si>
  <si>
    <t>Скручивания для пресса</t>
  </si>
  <si>
    <t>Планка</t>
  </si>
  <si>
    <t>Фронтальные приседания со штангой</t>
  </si>
  <si>
    <t>Выпады с гантелями</t>
  </si>
  <si>
    <t>Ягодичный мост</t>
  </si>
  <si>
    <t>Жим платформы</t>
  </si>
  <si>
    <t>Мёртвая тяга</t>
  </si>
  <si>
    <t>Сгибания ног в тренажёре (сидя/лёжа)</t>
  </si>
  <si>
    <t>Сгибания ног стоя на нижнем блоке</t>
  </si>
  <si>
    <t>Разгибание бедра</t>
  </si>
  <si>
    <t>Разгибания ног сидя</t>
  </si>
  <si>
    <t>Экстензия и Гудмонинг</t>
  </si>
  <si>
    <t>Подъёмы на носки стоя/сидя</t>
  </si>
  <si>
    <t>УМНАЯ ПРОГА 1.0  - САМАЯ ПОДРОБНАЯ ПРОГРАММА ДЛЯ НОВИЧКОВ</t>
  </si>
  <si>
    <t>УМНАЯ ПРОГА 2.0 - С АКЦЕНТОМ НА СИЛУ</t>
  </si>
  <si>
    <t>УМНАЯ ПРОГА 2.1 - С БОЛЬШИМ АКЦЕНТОМ НА СИЛУ</t>
  </si>
  <si>
    <t>УМНАЯ ПРОГА 3.0 - С АКЦЕНТОМ НА ГИПЕРТРОФИЮ</t>
  </si>
  <si>
    <t>УМНАЯ ПРОГА 4.0 - БЕЗ ОСЕВЫХ НАГРУЗОК  </t>
  </si>
  <si>
    <t>УМНАЯ ПРОГА 5.0 - ДЛЯ БОЛЕЕ ОПЫТНЫХ (БЛОКОВАЯ ПЕРИОДИЗАЦИЯ)</t>
  </si>
  <si>
    <t>УМНАЯ ПРОГА 6.0 - САМАЯ МИНИМАЛИСТИЧНАЯ ПРОГА (ЛИНЕЙНАЯ)</t>
  </si>
  <si>
    <t>ПРОХОДКА (ВЫХОД НА 1ПМ) В ЖИМЕ ЛЁЖА ДЛЯ ЖИМА ДО 100 КГ</t>
  </si>
  <si>
    <t>ПРОХОДКА (ВЫХОД НА 1ПМ) В СТАНОВОЙ ТЯГЕ ДО 200 КГ</t>
  </si>
  <si>
    <t>Ваш ПМ:</t>
  </si>
  <si>
    <t>Повт</t>
  </si>
  <si>
    <t>Время отдыха</t>
  </si>
  <si>
    <t>1 подход</t>
  </si>
  <si>
    <t>1 мин</t>
  </si>
  <si>
    <t>1-2 мин</t>
  </si>
  <si>
    <t>2 подход</t>
  </si>
  <si>
    <t>3 подход</t>
  </si>
  <si>
    <t>2 мин</t>
  </si>
  <si>
    <t>2-3 мин</t>
  </si>
  <si>
    <t>4 подход</t>
  </si>
  <si>
    <t>5 подход</t>
  </si>
  <si>
    <t>3 мин</t>
  </si>
  <si>
    <t>6 подход</t>
  </si>
  <si>
    <t>4 мин</t>
  </si>
  <si>
    <t>7 подход</t>
  </si>
  <si>
    <t>5 мин</t>
  </si>
  <si>
    <t>8 подход</t>
  </si>
  <si>
    <t>9 подход</t>
  </si>
  <si>
    <t>6 мин</t>
  </si>
  <si>
    <t>ПРОХОДКА (ВЫХОД НА 1ПМ) В ЖИМЕ ЛЁЖА ДЛЯ ЖИМА 100-150 кг</t>
  </si>
  <si>
    <t>ПРОХОДКА (ВЫХОД НА 1ПМ) В СТАНОВОЙ ТЯГЕ 200-250 КГ</t>
  </si>
  <si>
    <t>10 подход</t>
  </si>
  <si>
    <t>ПРОХОДКА (ВЫХОД НА 1ПМ) В ЖИМЕ ЛЁЖА ДЛЯ ЖИМА БОЛЕЕ 150 КГ</t>
  </si>
  <si>
    <t>ПРОХОДКА (ВЫХОД НА 1ПМ) В СТАНОВОЙ СВЫШЕ 300 КГ</t>
  </si>
  <si>
    <t>11 подход</t>
  </si>
  <si>
    <t>12 подход</t>
  </si>
  <si>
    <t>Введите свой 4-7ПМ в ячейки:</t>
  </si>
  <si>
    <t>Неделя 4 (разгруз)</t>
  </si>
  <si>
    <t>Неделя 5</t>
  </si>
  <si>
    <t>Неделя 6</t>
  </si>
  <si>
    <t>Неделя 7 (Разгрузка)</t>
  </si>
  <si>
    <t>вес (кг) ↓</t>
  </si>
  <si>
    <t>ПМ (повт до отказа)↓</t>
  </si>
  <si>
    <t>Округл ↓:</t>
  </si>
  <si>
    <t>1х1</t>
  </si>
  <si>
    <t>5х3</t>
  </si>
  <si>
    <t>4x2</t>
  </si>
  <si>
    <t>4х1</t>
  </si>
  <si>
    <t>4х4</t>
  </si>
  <si>
    <t>4х3</t>
  </si>
  <si>
    <t>4х2</t>
  </si>
  <si>
    <t>Отжимания на брусьях (с доп весом)</t>
  </si>
  <si>
    <t>Жим штанги лёжа на наклонной скамье</t>
  </si>
  <si>
    <t>1х2</t>
  </si>
  <si>
    <t>3х1</t>
  </si>
  <si>
    <t>Подтягивания (собственный вес)</t>
  </si>
  <si>
    <t>5 подходов</t>
  </si>
  <si>
    <t>4 подхода</t>
  </si>
  <si>
    <t>2 подхода</t>
  </si>
  <si>
    <t xml:space="preserve">1 подход </t>
  </si>
  <si>
    <t>3 подхода</t>
  </si>
  <si>
    <t>до отказа</t>
  </si>
  <si>
    <t>Тяга вертикального блока</t>
  </si>
  <si>
    <t>1х3</t>
  </si>
  <si>
    <t>4х5</t>
  </si>
  <si>
    <t>3х2</t>
  </si>
  <si>
    <t>4x4</t>
  </si>
  <si>
    <t>Приседания в колодец</t>
  </si>
  <si>
    <t>3х4</t>
  </si>
  <si>
    <t>3х3</t>
  </si>
  <si>
    <t>3x4</t>
  </si>
  <si>
    <t>3х12</t>
  </si>
  <si>
    <t>3х10</t>
  </si>
  <si>
    <t>RIR-1</t>
  </si>
  <si>
    <t>3х8</t>
  </si>
  <si>
    <t>1х4</t>
  </si>
  <si>
    <t xml:space="preserve">Тяга к подбородку </t>
  </si>
  <si>
    <t>3х5</t>
  </si>
  <si>
    <t>5х4</t>
  </si>
  <si>
    <t>3х6</t>
  </si>
  <si>
    <t>Молот</t>
  </si>
  <si>
    <t>Жим лёжа узким хватом</t>
  </si>
  <si>
    <t>Отжимания на брусьях (собственный вес)</t>
  </si>
  <si>
    <t>3x5</t>
  </si>
  <si>
    <t>Шраги</t>
  </si>
  <si>
    <t>Подъёмы на носки</t>
  </si>
  <si>
    <t>3x10</t>
  </si>
  <si>
    <t>3x8</t>
  </si>
  <si>
    <t>Жим гантелей сидя</t>
  </si>
  <si>
    <t>Тяга гантели в наклоне</t>
  </si>
  <si>
    <t>Тяга в хаммере</t>
  </si>
  <si>
    <t>4х6</t>
  </si>
  <si>
    <t>3x6</t>
  </si>
  <si>
    <t>Фронтальные приседания</t>
  </si>
  <si>
    <t>Пуловер</t>
  </si>
  <si>
    <t xml:space="preserve">Сгибания ног </t>
  </si>
  <si>
    <t xml:space="preserve">Разгибания ног </t>
  </si>
  <si>
    <t xml:space="preserve">Скручивания </t>
  </si>
  <si>
    <t xml:space="preserve">собственный </t>
  </si>
  <si>
    <t>1х10</t>
  </si>
  <si>
    <t>2х8</t>
  </si>
  <si>
    <t>2х10</t>
  </si>
  <si>
    <t>2х12</t>
  </si>
  <si>
    <t>1х12</t>
  </si>
  <si>
    <t>3х20 сек</t>
  </si>
  <si>
    <t>1х25 сек</t>
  </si>
  <si>
    <t>2х20 сек</t>
  </si>
  <si>
    <t>2х25 сек</t>
  </si>
  <si>
    <t>1х20 сек</t>
  </si>
  <si>
    <t>3х25 сек</t>
  </si>
  <si>
    <t>2х30 сек</t>
  </si>
  <si>
    <t>1х30 сек</t>
  </si>
  <si>
    <t>3х35 сек</t>
  </si>
  <si>
    <t>6 подходов</t>
  </si>
  <si>
    <t>5х5</t>
  </si>
  <si>
    <t>2х3</t>
  </si>
  <si>
    <t>Шаг:</t>
  </si>
  <si>
    <t>1ПМ: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</si>
</sst>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</font>
    <font>
      <b/>
      <sz val="18"/>
      <color theme="1"/>
      <name val="Calibri"/>
      <family val="2"/>
      <charset val="204"/>
    </font>
    <font>
      <b/>
      <u/>
      <sz val="14"/>
      <color rgb="FF0000FF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sz val="11"/>
      <name val="Calibri"/>
      <family val="2"/>
      <charset val="204"/>
    </font>
    <font>
      <i/>
      <sz val="14"/>
      <color theme="1"/>
      <name val="Calibri"/>
      <family val="2"/>
      <charset val="204"/>
    </font>
    <font>
      <b/>
      <sz val="14"/>
      <color rgb="FF000000"/>
      <name val="Arial"/>
      <family val="2"/>
      <charset val="204"/>
    </font>
    <font>
      <u/>
      <sz val="14"/>
      <color theme="10"/>
      <name val="Calibri"/>
      <family val="2"/>
      <charset val="204"/>
    </font>
    <font>
      <sz val="12"/>
      <color rgb="FFFF0000"/>
      <name val="Calibri"/>
      <family val="2"/>
      <charset val="204"/>
    </font>
    <font>
      <sz val="12"/>
      <color theme="1"/>
      <name val="Calibri"/>
      <family val="2"/>
      <charset val="204"/>
    </font>
    <font>
      <u/>
      <sz val="14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4"/>
      <color rgb="FF000000"/>
      <name val="Calibri"/>
      <family val="2"/>
      <charset val="204"/>
    </font>
    <font>
      <sz val="14"/>
      <color rgb="FFFF0000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u/>
      <sz val="18"/>
      <color theme="10"/>
      <name val="Calibri"/>
      <family val="2"/>
      <charset val="204"/>
    </font>
    <font>
      <u/>
      <sz val="14"/>
      <color rgb="FF0000FF"/>
      <name val="Calibri"/>
      <family val="2"/>
      <charset val="204"/>
    </font>
    <font>
      <u/>
      <sz val="14"/>
      <color theme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4"/>
      <color rgb="FF2E75B5"/>
      <name val="Calibri"/>
      <family val="2"/>
      <charset val="204"/>
    </font>
    <font>
      <b/>
      <sz val="14"/>
      <color rgb="FFFF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6" fillId="0" borderId="0" xfId="0" applyFont="1" applyAlignment="1">
      <alignment horizontal="center"/>
    </xf>
    <xf numFmtId="0" fontId="4" fillId="0" borderId="7" xfId="0" applyFont="1" applyBorder="1"/>
    <xf numFmtId="0" fontId="1" fillId="0" borderId="8" xfId="0" applyFont="1" applyBorder="1"/>
    <xf numFmtId="0" fontId="6" fillId="0" borderId="8" xfId="0" applyFont="1" applyBorder="1"/>
    <xf numFmtId="0" fontId="1" fillId="0" borderId="9" xfId="0" applyFont="1" applyBorder="1"/>
    <xf numFmtId="0" fontId="5" fillId="0" borderId="10" xfId="0" applyFont="1" applyBorder="1"/>
    <xf numFmtId="0" fontId="1" fillId="0" borderId="11" xfId="0" applyFont="1" applyBorder="1"/>
    <xf numFmtId="0" fontId="1" fillId="0" borderId="10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11" xfId="0" applyFont="1" applyBorder="1"/>
    <xf numFmtId="0" fontId="13" fillId="0" borderId="0" xfId="0" applyFont="1"/>
    <xf numFmtId="0" fontId="5" fillId="0" borderId="12" xfId="0" applyFont="1" applyBorder="1"/>
    <xf numFmtId="0" fontId="5" fillId="0" borderId="13" xfId="0" applyFont="1" applyBorder="1"/>
    <xf numFmtId="0" fontId="1" fillId="0" borderId="13" xfId="0" applyFont="1" applyBorder="1"/>
    <xf numFmtId="0" fontId="6" fillId="0" borderId="13" xfId="0" applyFont="1" applyBorder="1"/>
    <xf numFmtId="0" fontId="1" fillId="0" borderId="14" xfId="0" applyFont="1" applyBorder="1"/>
    <xf numFmtId="0" fontId="14" fillId="0" borderId="0" xfId="0" applyFont="1"/>
    <xf numFmtId="0" fontId="1" fillId="2" borderId="15" xfId="0" applyFont="1" applyFill="1" applyBorder="1"/>
    <xf numFmtId="0" fontId="4" fillId="0" borderId="1" xfId="0" applyFont="1" applyBorder="1"/>
    <xf numFmtId="0" fontId="5" fillId="0" borderId="2" xfId="0" applyFont="1" applyBorder="1"/>
    <xf numFmtId="0" fontId="1" fillId="0" borderId="2" xfId="0" applyFont="1" applyBorder="1"/>
    <xf numFmtId="0" fontId="6" fillId="0" borderId="2" xfId="0" applyFont="1" applyBorder="1"/>
    <xf numFmtId="0" fontId="1" fillId="0" borderId="3" xfId="0" applyFont="1" applyBorder="1"/>
    <xf numFmtId="0" fontId="5" fillId="0" borderId="16" xfId="0" applyFont="1" applyBorder="1"/>
    <xf numFmtId="0" fontId="1" fillId="0" borderId="17" xfId="0" applyFont="1" applyBorder="1"/>
    <xf numFmtId="0" fontId="1" fillId="0" borderId="16" xfId="0" applyFont="1" applyBorder="1"/>
    <xf numFmtId="0" fontId="6" fillId="0" borderId="17" xfId="0" applyFont="1" applyBorder="1"/>
    <xf numFmtId="0" fontId="5" fillId="0" borderId="4" xfId="0" applyFont="1" applyBorder="1"/>
    <xf numFmtId="0" fontId="1" fillId="0" borderId="5" xfId="0" applyFont="1" applyBorder="1"/>
    <xf numFmtId="0" fontId="6" fillId="0" borderId="5" xfId="0" applyFont="1" applyBorder="1"/>
    <xf numFmtId="0" fontId="1" fillId="0" borderId="6" xfId="0" applyFont="1" applyBorder="1"/>
    <xf numFmtId="0" fontId="6" fillId="0" borderId="21" xfId="0" applyFont="1" applyBorder="1"/>
    <xf numFmtId="0" fontId="5" fillId="0" borderId="22" xfId="0" applyFont="1" applyBorder="1"/>
    <xf numFmtId="0" fontId="6" fillId="0" borderId="22" xfId="0" applyFont="1" applyBorder="1"/>
    <xf numFmtId="0" fontId="1" fillId="0" borderId="22" xfId="0" applyFont="1" applyBorder="1" applyAlignment="1">
      <alignment horizontal="left"/>
    </xf>
    <xf numFmtId="0" fontId="5" fillId="0" borderId="23" xfId="0" applyFont="1" applyBorder="1"/>
    <xf numFmtId="0" fontId="6" fillId="0" borderId="23" xfId="0" applyFont="1" applyBorder="1"/>
    <xf numFmtId="0" fontId="1" fillId="0" borderId="23" xfId="0" applyFont="1" applyBorder="1" applyAlignment="1">
      <alignment horizontal="left"/>
    </xf>
    <xf numFmtId="0" fontId="1" fillId="0" borderId="23" xfId="0" applyFont="1" applyBorder="1"/>
    <xf numFmtId="0" fontId="5" fillId="0" borderId="1" xfId="0" applyFont="1" applyBorder="1"/>
    <xf numFmtId="0" fontId="16" fillId="0" borderId="16" xfId="0" applyFont="1" applyBorder="1"/>
    <xf numFmtId="0" fontId="17" fillId="0" borderId="0" xfId="0" applyFont="1"/>
    <xf numFmtId="0" fontId="18" fillId="0" borderId="0" xfId="0" applyFont="1"/>
    <xf numFmtId="0" fontId="1" fillId="0" borderId="4" xfId="0" applyFont="1" applyBorder="1"/>
    <xf numFmtId="0" fontId="6" fillId="3" borderId="24" xfId="0" applyFont="1" applyFill="1" applyBorder="1" applyAlignment="1">
      <alignment horizontal="center"/>
    </xf>
    <xf numFmtId="0" fontId="6" fillId="3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0" borderId="23" xfId="0" applyFont="1" applyBorder="1" applyAlignment="1">
      <alignment horizontal="right"/>
    </xf>
    <xf numFmtId="0" fontId="6" fillId="3" borderId="21" xfId="0" applyFont="1" applyFill="1" applyBorder="1" applyAlignment="1">
      <alignment horizontal="center"/>
    </xf>
    <xf numFmtId="0" fontId="6" fillId="3" borderId="28" xfId="0" applyFont="1" applyFill="1" applyBorder="1"/>
    <xf numFmtId="0" fontId="15" fillId="0" borderId="0" xfId="0" applyFont="1"/>
    <xf numFmtId="0" fontId="4" fillId="0" borderId="0" xfId="0" applyFont="1" applyAlignment="1"/>
    <xf numFmtId="0" fontId="6" fillId="3" borderId="21" xfId="0" applyFont="1" applyFill="1" applyBorder="1"/>
    <xf numFmtId="0" fontId="6" fillId="3" borderId="24" xfId="0" applyFont="1" applyFill="1" applyBorder="1"/>
    <xf numFmtId="0" fontId="1" fillId="0" borderId="32" xfId="0" applyFont="1" applyBorder="1"/>
    <xf numFmtId="0" fontId="1" fillId="0" borderId="22" xfId="0" applyFont="1" applyBorder="1"/>
    <xf numFmtId="0" fontId="1" fillId="0" borderId="26" xfId="0" applyFont="1" applyBorder="1"/>
    <xf numFmtId="0" fontId="1" fillId="0" borderId="33" xfId="0" applyFont="1" applyBorder="1"/>
    <xf numFmtId="1" fontId="1" fillId="0" borderId="34" xfId="0" applyNumberFormat="1" applyFont="1" applyBorder="1"/>
    <xf numFmtId="1" fontId="1" fillId="0" borderId="23" xfId="0" applyNumberFormat="1" applyFont="1" applyBorder="1"/>
    <xf numFmtId="1" fontId="1" fillId="0" borderId="27" xfId="0" applyNumberFormat="1" applyFont="1" applyBorder="1"/>
    <xf numFmtId="1" fontId="1" fillId="0" borderId="35" xfId="0" applyNumberFormat="1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27" xfId="0" applyFont="1" applyBorder="1"/>
    <xf numFmtId="0" fontId="1" fillId="0" borderId="36" xfId="0" applyFont="1" applyBorder="1"/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1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1" fillId="0" borderId="40" xfId="0" applyFont="1" applyBorder="1"/>
    <xf numFmtId="0" fontId="1" fillId="0" borderId="41" xfId="0" applyFont="1" applyBorder="1"/>
    <xf numFmtId="0" fontId="1" fillId="0" borderId="42" xfId="0" applyFont="1" applyBorder="1"/>
    <xf numFmtId="0" fontId="1" fillId="0" borderId="34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6" fillId="3" borderId="35" xfId="0" applyFont="1" applyFill="1" applyBorder="1" applyAlignment="1">
      <alignment horizontal="center"/>
    </xf>
    <xf numFmtId="1" fontId="1" fillId="0" borderId="22" xfId="0" applyNumberFormat="1" applyFont="1" applyBorder="1"/>
    <xf numFmtId="0" fontId="19" fillId="0" borderId="0" xfId="0" applyFont="1"/>
    <xf numFmtId="0" fontId="20" fillId="0" borderId="0" xfId="0" applyFont="1" applyAlignment="1"/>
    <xf numFmtId="0" fontId="1" fillId="0" borderId="21" xfId="0" applyFont="1" applyBorder="1"/>
    <xf numFmtId="0" fontId="1" fillId="0" borderId="1" xfId="0" applyFont="1" applyBorder="1"/>
    <xf numFmtId="0" fontId="6" fillId="0" borderId="34" xfId="0" applyFont="1" applyBorder="1"/>
    <xf numFmtId="0" fontId="6" fillId="0" borderId="35" xfId="0" applyFont="1" applyBorder="1"/>
    <xf numFmtId="0" fontId="6" fillId="0" borderId="26" xfId="0" applyFont="1" applyBorder="1"/>
    <xf numFmtId="0" fontId="6" fillId="0" borderId="32" xfId="0" applyFont="1" applyBorder="1"/>
    <xf numFmtId="0" fontId="6" fillId="0" borderId="33" xfId="0" applyFont="1" applyBorder="1"/>
    <xf numFmtId="0" fontId="6" fillId="0" borderId="44" xfId="0" applyFont="1" applyBorder="1"/>
    <xf numFmtId="0" fontId="1" fillId="0" borderId="45" xfId="0" applyFont="1" applyBorder="1"/>
    <xf numFmtId="0" fontId="1" fillId="0" borderId="46" xfId="0" applyFont="1" applyBorder="1"/>
    <xf numFmtId="0" fontId="1" fillId="0" borderId="47" xfId="0" applyFont="1" applyBorder="1"/>
    <xf numFmtId="0" fontId="1" fillId="0" borderId="44" xfId="0" applyFont="1" applyBorder="1"/>
    <xf numFmtId="0" fontId="1" fillId="0" borderId="48" xfId="0" applyFont="1" applyBorder="1"/>
    <xf numFmtId="0" fontId="1" fillId="0" borderId="49" xfId="0" applyFont="1" applyBorder="1"/>
    <xf numFmtId="0" fontId="1" fillId="0" borderId="50" xfId="0" applyFont="1" applyBorder="1"/>
    <xf numFmtId="0" fontId="1" fillId="0" borderId="51" xfId="0" applyFont="1" applyBorder="1"/>
    <xf numFmtId="1" fontId="1" fillId="0" borderId="44" xfId="0" applyNumberFormat="1" applyFont="1" applyBorder="1"/>
    <xf numFmtId="0" fontId="1" fillId="0" borderId="52" xfId="0" applyFont="1" applyBorder="1"/>
    <xf numFmtId="0" fontId="21" fillId="0" borderId="23" xfId="0" applyFont="1" applyBorder="1"/>
    <xf numFmtId="1" fontId="1" fillId="0" borderId="45" xfId="0" applyNumberFormat="1" applyFont="1" applyBorder="1"/>
    <xf numFmtId="0" fontId="22" fillId="0" borderId="0" xfId="0" applyFont="1"/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6" fillId="0" borderId="0" xfId="0" applyFont="1" applyAlignment="1">
      <alignment horizontal="center"/>
    </xf>
    <xf numFmtId="0" fontId="0" fillId="0" borderId="0" xfId="0" applyFont="1" applyAlignment="1"/>
    <xf numFmtId="0" fontId="4" fillId="3" borderId="1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/>
    </xf>
    <xf numFmtId="0" fontId="8" fillId="0" borderId="19" xfId="0" applyFont="1" applyBorder="1"/>
    <xf numFmtId="0" fontId="8" fillId="0" borderId="20" xfId="0" applyFont="1" applyBorder="1"/>
    <xf numFmtId="0" fontId="15" fillId="3" borderId="1" xfId="0" applyFont="1" applyFill="1" applyBorder="1" applyAlignment="1">
      <alignment horizontal="center" vertical="center"/>
    </xf>
    <xf numFmtId="0" fontId="8" fillId="0" borderId="16" xfId="0" applyFont="1" applyBorder="1"/>
    <xf numFmtId="0" fontId="8" fillId="0" borderId="17" xfId="0" applyFont="1" applyBorder="1"/>
    <xf numFmtId="0" fontId="15" fillId="3" borderId="29" xfId="0" applyFont="1" applyFill="1" applyBorder="1" applyAlignment="1">
      <alignment horizontal="center"/>
    </xf>
    <xf numFmtId="0" fontId="8" fillId="0" borderId="30" xfId="0" applyFont="1" applyBorder="1"/>
    <xf numFmtId="0" fontId="8" fillId="0" borderId="31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/>
    </xf>
    <xf numFmtId="0" fontId="8" fillId="0" borderId="43" xfId="0" applyFont="1" applyBorder="1"/>
    <xf numFmtId="0" fontId="8" fillId="0" borderId="44" xfId="0" applyFont="1" applyBorder="1"/>
    <xf numFmtId="0" fontId="6" fillId="0" borderId="4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10" Type="http://schemas.openxmlformats.org/officeDocument/2006/relationships/image" Target="../media/image10.png"/><Relationship Id="rId4" Type="http://schemas.openxmlformats.org/officeDocument/2006/relationships/image" Target="../media/image4.jp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209550</xdr:colOff>
      <xdr:row>209</xdr:row>
      <xdr:rowOff>0</xdr:rowOff>
    </xdr:from>
    <xdr:ext cx="5438775" cy="10058400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35</xdr:row>
      <xdr:rowOff>19050</xdr:rowOff>
    </xdr:from>
    <xdr:ext cx="4076700" cy="15621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48</xdr:row>
      <xdr:rowOff>38100</xdr:rowOff>
    </xdr:from>
    <xdr:ext cx="5943600" cy="6381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228</xdr:row>
      <xdr:rowOff>0</xdr:rowOff>
    </xdr:from>
    <xdr:ext cx="7810500" cy="390525"/>
    <xdr:pic>
      <xdr:nvPicPr>
        <xdr:cNvPr id="5" name="image2.jpg" descr="https://images.boosty.to/image/4cbf1734-1384-4de6-a51a-f563b461147c?change_time=169658456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207</xdr:row>
      <xdr:rowOff>142875</xdr:rowOff>
    </xdr:from>
    <xdr:ext cx="7810500" cy="390525"/>
    <xdr:pic>
      <xdr:nvPicPr>
        <xdr:cNvPr id="6" name="image8.jpg" descr="https://images.boosty.to/image/d7e49e19-1e36-429a-a07b-48d3c7f60467?change_time=169658456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243</xdr:row>
      <xdr:rowOff>104775</xdr:rowOff>
    </xdr:from>
    <xdr:ext cx="7810500" cy="390525"/>
    <xdr:pic>
      <xdr:nvPicPr>
        <xdr:cNvPr id="7" name="image10.jpg" descr="https://images.boosty.to/image/1ada9b80-faad-4035-b3f8-4907971dbaa9?change_time=169658456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204</xdr:row>
      <xdr:rowOff>152400</xdr:rowOff>
    </xdr:from>
    <xdr:ext cx="666750" cy="390525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1085850</xdr:colOff>
      <xdr:row>204</xdr:row>
      <xdr:rowOff>161925</xdr:rowOff>
    </xdr:from>
    <xdr:ext cx="676275" cy="390525"/>
    <xdr:pic>
      <xdr:nvPicPr>
        <xdr:cNvPr id="9" name="image7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2676525</xdr:colOff>
      <xdr:row>0</xdr:row>
      <xdr:rowOff>0</xdr:rowOff>
    </xdr:from>
    <xdr:ext cx="9020175" cy="1447800"/>
    <xdr:pic>
      <xdr:nvPicPr>
        <xdr:cNvPr id="10" name="image6.png" title="Изображение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98</xdr:row>
      <xdr:rowOff>9525</xdr:rowOff>
    </xdr:from>
    <xdr:ext cx="4886325" cy="1800225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147</xdr:row>
      <xdr:rowOff>0</xdr:rowOff>
    </xdr:from>
    <xdr:ext cx="9601200" cy="5924550"/>
    <xdr:pic>
      <xdr:nvPicPr>
        <xdr:cNvPr id="2" name="image11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oosty.to/yetiblog/posts/27920553-8831-48fb-a9f3-9db8710de97e?share=post_link" TargetMode="External"/><Relationship Id="rId18" Type="http://schemas.openxmlformats.org/officeDocument/2006/relationships/hyperlink" Target="https://boosty.to/yetiblog/posts/30ea2e5f-1151-40dc-9cad-fc4c1ed7b2ac?share=post_link" TargetMode="External"/><Relationship Id="rId26" Type="http://schemas.openxmlformats.org/officeDocument/2006/relationships/hyperlink" Target="https://boosty.to/yetiblog/posts/9cb76d93-13c3-4bd7-ba87-0112dcf276cf?share=post_link" TargetMode="External"/><Relationship Id="rId39" Type="http://schemas.openxmlformats.org/officeDocument/2006/relationships/hyperlink" Target="https://boosty.to/yetiblog/posts/89c5d40a-4894-4524-b070-7d307abc85e9?share=post_link" TargetMode="External"/><Relationship Id="rId21" Type="http://schemas.openxmlformats.org/officeDocument/2006/relationships/hyperlink" Target="https://boosty.to/yetiblog/posts/f4eab4fc-a452-475f-abd1-7b5f13209e7a" TargetMode="External"/><Relationship Id="rId34" Type="http://schemas.openxmlformats.org/officeDocument/2006/relationships/hyperlink" Target="https://boosty.to/yetiblog/posts/cb9dc094-8498-4fea-ae9c-59444b24937c?share=post_link" TargetMode="External"/><Relationship Id="rId7" Type="http://schemas.openxmlformats.org/officeDocument/2006/relationships/hyperlink" Target="https://boosty.to/yetiblog/posts/971e14fa-f43e-4b17-9a17-6ebf921eca89?share=post_link" TargetMode="External"/><Relationship Id="rId12" Type="http://schemas.openxmlformats.org/officeDocument/2006/relationships/hyperlink" Target="https://boosty.to/yetiblog/posts/1ade2eed-06c6-4b46-9105-9c28bbfeeda7?share=post_link" TargetMode="External"/><Relationship Id="rId17" Type="http://schemas.openxmlformats.org/officeDocument/2006/relationships/hyperlink" Target="https://boosty.to/yetiblog/posts/81382241-e99b-4410-ab93-9119ffb8bb27?share=post_link" TargetMode="External"/><Relationship Id="rId25" Type="http://schemas.openxmlformats.org/officeDocument/2006/relationships/hyperlink" Target="https://boosty.to/yetiblog/posts/cf196b35-5c75-423b-8470-99fd876e45d8?share=post_link" TargetMode="External"/><Relationship Id="rId33" Type="http://schemas.openxmlformats.org/officeDocument/2006/relationships/hyperlink" Target="https://boosty.to/yetiblog/posts/08744dcd-d1aa-4606-921c-5848e1682bad?share=post_link" TargetMode="External"/><Relationship Id="rId38" Type="http://schemas.openxmlformats.org/officeDocument/2006/relationships/hyperlink" Target="https://boosty.to/yetiblog/posts/74130f39-1700-414a-b115-6e49fde83738?share=post_link" TargetMode="External"/><Relationship Id="rId2" Type="http://schemas.openxmlformats.org/officeDocument/2006/relationships/hyperlink" Target="https://boosty.to/yetiblog" TargetMode="External"/><Relationship Id="rId16" Type="http://schemas.openxmlformats.org/officeDocument/2006/relationships/hyperlink" Target="https://boosty.to/yetiblog/posts/7bebc374-39f7-47d2-a4e6-52d5bf73c839?share=post_link" TargetMode="External"/><Relationship Id="rId20" Type="http://schemas.openxmlformats.org/officeDocument/2006/relationships/hyperlink" Target="https://boosty.to/yetiblog/posts/92c0e29f-339c-4893-91ea-8124e17e2721?share=post_link" TargetMode="External"/><Relationship Id="rId29" Type="http://schemas.openxmlformats.org/officeDocument/2006/relationships/hyperlink" Target="https://boosty.to/yetiblog/posts/3d89fedb-3c2a-425b-80b5-4ad5fc30607a?share=post_link" TargetMode="External"/><Relationship Id="rId1" Type="http://schemas.openxmlformats.org/officeDocument/2006/relationships/hyperlink" Target="https://boosty.to/yetiblog/posts/89c5d40a-4894-4524-b070-7d307abc85e9?share=post_link" TargetMode="External"/><Relationship Id="rId6" Type="http://schemas.openxmlformats.org/officeDocument/2006/relationships/hyperlink" Target="https://boosty.to/yetiblog/posts/2610ef2e-73b9-40b2-b1d0-48e75ee74be9?share=post_link" TargetMode="External"/><Relationship Id="rId11" Type="http://schemas.openxmlformats.org/officeDocument/2006/relationships/hyperlink" Target="https://boosty.to/yetiblog/posts/bf078f4d-242c-4592-b7f1-ea9b213db3d4?share=post_link" TargetMode="External"/><Relationship Id="rId24" Type="http://schemas.openxmlformats.org/officeDocument/2006/relationships/hyperlink" Target="https://boosty.to/yetiblog/posts/8b2ab7cc-ae59-4f56-887f-318c04a28b84?share=post_link" TargetMode="External"/><Relationship Id="rId32" Type="http://schemas.openxmlformats.org/officeDocument/2006/relationships/hyperlink" Target="https://boosty.to/yetiblog/posts/7437ec41-5ca1-4d7b-90d3-424eaa6eeb41?share=post_link" TargetMode="External"/><Relationship Id="rId37" Type="http://schemas.openxmlformats.org/officeDocument/2006/relationships/hyperlink" Target="https://boosty.to/yetiblog/posts/35665ccb-2137-412f-bc9b-6fddb212d07f?share=post_link" TargetMode="External"/><Relationship Id="rId40" Type="http://schemas.openxmlformats.org/officeDocument/2006/relationships/drawing" Target="../drawings/drawing1.xml"/><Relationship Id="rId5" Type="http://schemas.openxmlformats.org/officeDocument/2006/relationships/hyperlink" Target="https://boosty.to/yetiblog/posts/c47444c0-6e25-48df-8510-8c4e7a64c973?share=post_link" TargetMode="External"/><Relationship Id="rId15" Type="http://schemas.openxmlformats.org/officeDocument/2006/relationships/hyperlink" Target="https://boosty.to/yetiblog/posts/6abb5600-a62b-4085-aa37-bc3b8634b367?share=post_link" TargetMode="External"/><Relationship Id="rId23" Type="http://schemas.openxmlformats.org/officeDocument/2006/relationships/hyperlink" Target="https://boosty.to/yetiblog/posts/1133be33-0ded-4e25-b874-986b4f44888a?share=post_link" TargetMode="External"/><Relationship Id="rId28" Type="http://schemas.openxmlformats.org/officeDocument/2006/relationships/hyperlink" Target="https://boosty.to/yetiblog/posts/fb94df9d-afad-4995-94e2-03ce44ad4c17?share=post_link" TargetMode="External"/><Relationship Id="rId36" Type="http://schemas.openxmlformats.org/officeDocument/2006/relationships/hyperlink" Target="https://boosty.to/yetiblog/posts/79934210-0bc9-47f4-b9bf-959b0a3fd875?share=post_link" TargetMode="External"/><Relationship Id="rId10" Type="http://schemas.openxmlformats.org/officeDocument/2006/relationships/hyperlink" Target="https://boosty.to/yetiblog/posts/478c3920-1b7b-4e73-ad8e-26c7d45f4814?share=post_link" TargetMode="External"/><Relationship Id="rId19" Type="http://schemas.openxmlformats.org/officeDocument/2006/relationships/hyperlink" Target="https://boosty.to/yetiblog/posts/effaebd1-f017-40f9-929c-4ac462634ad0?share=post_link" TargetMode="External"/><Relationship Id="rId31" Type="http://schemas.openxmlformats.org/officeDocument/2006/relationships/hyperlink" Target="https://boosty.to/yetiblog/posts/978677d6-0937-479b-91a4-36e8fff139cb?share=post_link" TargetMode="External"/><Relationship Id="rId4" Type="http://schemas.openxmlformats.org/officeDocument/2006/relationships/hyperlink" Target="https://boosty.to/yetiblog/posts/f74d3c31-1da4-4cd5-a8c8-39e9e6dd8081?share=post_link" TargetMode="External"/><Relationship Id="rId9" Type="http://schemas.openxmlformats.org/officeDocument/2006/relationships/hyperlink" Target="https://boosty.to/yetiblog/posts/088b5631-cab6-4b5c-b163-cba3bbec512d?share=post_link" TargetMode="External"/><Relationship Id="rId14" Type="http://schemas.openxmlformats.org/officeDocument/2006/relationships/hyperlink" Target="https://boosty.to/yetiblog/posts/98ec8354-1fe5-4150-87ef-78fd464a27d1?share=post_link" TargetMode="External"/><Relationship Id="rId22" Type="http://schemas.openxmlformats.org/officeDocument/2006/relationships/hyperlink" Target="https://boosty.to/yetiblog/posts/31b0c7c9-8a65-4d69-a61b-e7b52acad96b?share=post_link" TargetMode="External"/><Relationship Id="rId27" Type="http://schemas.openxmlformats.org/officeDocument/2006/relationships/hyperlink" Target="https://boosty.to/yetiblog/posts/7f4113d3-c740-427f-a7f3-fe0bc846a758?share=post_link" TargetMode="External"/><Relationship Id="rId30" Type="http://schemas.openxmlformats.org/officeDocument/2006/relationships/hyperlink" Target="https://boosty.to/yetiblog/posts/9d4bbf5c-74c2-4da2-8570-8b7921fa56b7?share=post_link" TargetMode="External"/><Relationship Id="rId35" Type="http://schemas.openxmlformats.org/officeDocument/2006/relationships/hyperlink" Target="https://boosty.to/yetiblog/posts/619a9daa-b55d-40ef-b531-72f2acbfd7b0?share=post_link" TargetMode="External"/><Relationship Id="rId8" Type="http://schemas.openxmlformats.org/officeDocument/2006/relationships/hyperlink" Target="https://boosty.to/yetiblog/posts/483887e1-4039-4652-8b67-29a1ec04321c?share=post_link" TargetMode="External"/><Relationship Id="rId3" Type="http://schemas.openxmlformats.org/officeDocument/2006/relationships/hyperlink" Target="https://boosty.to/yetiblog/posts/6009bcd8-9ef8-4b6f-96b6-d263bd26dc38?share=post_link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boosty.to/yetiblog/posts/8b2ab7cc-ae59-4f56-887f-318c04a28b84?share=post_link" TargetMode="External"/><Relationship Id="rId18" Type="http://schemas.openxmlformats.org/officeDocument/2006/relationships/hyperlink" Target="https://boosty.to/yetiblog/posts/2610ef2e-73b9-40b2-b1d0-48e75ee74be9?share=post_link" TargetMode="External"/><Relationship Id="rId26" Type="http://schemas.openxmlformats.org/officeDocument/2006/relationships/hyperlink" Target="https://boosty.to/yetiblog/posts/92c0e29f-339c-4893-91ea-8124e17e2721?share=post_link" TargetMode="External"/><Relationship Id="rId21" Type="http://schemas.openxmlformats.org/officeDocument/2006/relationships/hyperlink" Target="https://boosty.to/yetiblog/posts/088b5631-cab6-4b5c-b163-cba3bbec512d?share=post_link" TargetMode="External"/><Relationship Id="rId34" Type="http://schemas.openxmlformats.org/officeDocument/2006/relationships/hyperlink" Target="https://boosty.to/yetiblog/posts/effaebd1-f017-40f9-929c-4ac462634ad0?share=post_link" TargetMode="External"/><Relationship Id="rId7" Type="http://schemas.openxmlformats.org/officeDocument/2006/relationships/hyperlink" Target="https://boosty.to/yetiblog/posts/92c0e29f-339c-4893-91ea-8124e17e2721?share=post_link" TargetMode="External"/><Relationship Id="rId12" Type="http://schemas.openxmlformats.org/officeDocument/2006/relationships/hyperlink" Target="https://boosty.to/yetiblog/posts/92c0e29f-339c-4893-91ea-8124e17e2721?share=post_link" TargetMode="External"/><Relationship Id="rId17" Type="http://schemas.openxmlformats.org/officeDocument/2006/relationships/hyperlink" Target="https://boosty.to/yetiblog/posts/81382241-e99b-4410-ab93-9119ffb8bb27?share=post_link" TargetMode="External"/><Relationship Id="rId25" Type="http://schemas.openxmlformats.org/officeDocument/2006/relationships/hyperlink" Target="https://boosty.to/yetiblog/posts/c47444c0-6e25-48df-8510-8c4e7a64c973?share=post_link" TargetMode="External"/><Relationship Id="rId33" Type="http://schemas.openxmlformats.org/officeDocument/2006/relationships/hyperlink" Target="https://boosty.to/yetiblog/posts/30ea2e5f-1151-40dc-9cad-fc4c1ed7b2ac?share=post_link" TargetMode="External"/><Relationship Id="rId38" Type="http://schemas.openxmlformats.org/officeDocument/2006/relationships/hyperlink" Target="https://boosty.to/yetiblog/posts/c47444c0-6e25-48df-8510-8c4e7a64c973?share=post_link" TargetMode="External"/><Relationship Id="rId2" Type="http://schemas.openxmlformats.org/officeDocument/2006/relationships/hyperlink" Target="https://drive.google.com/file/d/1upDgeI6CbES1MQqXFdvVyBuCdC9YZ5q7/view?usp=sharing" TargetMode="External"/><Relationship Id="rId16" Type="http://schemas.openxmlformats.org/officeDocument/2006/relationships/hyperlink" Target="https://boosty.to/yetiblog/posts/2610ef2e-73b9-40b2-b1d0-48e75ee74be9?share=post_link" TargetMode="External"/><Relationship Id="rId20" Type="http://schemas.openxmlformats.org/officeDocument/2006/relationships/hyperlink" Target="https://boosty.to/yetiblog/posts/27920553-8831-48fb-a9f3-9db8710de97e?share=post_link" TargetMode="External"/><Relationship Id="rId29" Type="http://schemas.openxmlformats.org/officeDocument/2006/relationships/hyperlink" Target="https://boosty.to/yetiblog/posts/1ade2eed-06c6-4b46-9105-9c28bbfeeda7?share=post_link" TargetMode="External"/><Relationship Id="rId1" Type="http://schemas.openxmlformats.org/officeDocument/2006/relationships/hyperlink" Target="https://boosty.to/yetiblog/posts/2610ef2e-73b9-40b2-b1d0-48e75ee74be9?share=post_link" TargetMode="External"/><Relationship Id="rId6" Type="http://schemas.openxmlformats.org/officeDocument/2006/relationships/hyperlink" Target="https://boosty.to/yetiblog/posts/f74d3c31-1da4-4cd5-a8c8-39e9e6dd8081?share=post_link" TargetMode="External"/><Relationship Id="rId11" Type="http://schemas.openxmlformats.org/officeDocument/2006/relationships/hyperlink" Target="https://boosty.to/yetiblog/posts/31b0c7c9-8a65-4d69-a61b-e7b52acad96b?share=post_link" TargetMode="External"/><Relationship Id="rId24" Type="http://schemas.openxmlformats.org/officeDocument/2006/relationships/hyperlink" Target="https://boosty.to/yetiblog/posts/971e14fa-f43e-4b17-9a17-6ebf921eca89?share=post_link" TargetMode="External"/><Relationship Id="rId32" Type="http://schemas.openxmlformats.org/officeDocument/2006/relationships/hyperlink" Target="https://boosty.to/yetiblog/posts/9d4bbf5c-74c2-4da2-8570-8b7921fa56b7?share=post_link" TargetMode="External"/><Relationship Id="rId37" Type="http://schemas.openxmlformats.org/officeDocument/2006/relationships/hyperlink" Target="https://boosty.to/yetiblog/posts/c47444c0-6e25-48df-8510-8c4e7a64c973?share=post_link" TargetMode="External"/><Relationship Id="rId5" Type="http://schemas.openxmlformats.org/officeDocument/2006/relationships/hyperlink" Target="https://boosty.to/yetiblog/posts/6009bcd8-9ef8-4b6f-96b6-d263bd26dc38?share=post_link" TargetMode="External"/><Relationship Id="rId15" Type="http://schemas.openxmlformats.org/officeDocument/2006/relationships/hyperlink" Target="https://boosty.to/yetiblog/posts/971e14fa-f43e-4b17-9a17-6ebf921eca89?share=post_link" TargetMode="External"/><Relationship Id="rId23" Type="http://schemas.openxmlformats.org/officeDocument/2006/relationships/hyperlink" Target="https://boosty.to/yetiblog/posts/483887e1-4039-4652-8b67-29a1ec04321c?share=post_link" TargetMode="External"/><Relationship Id="rId28" Type="http://schemas.openxmlformats.org/officeDocument/2006/relationships/hyperlink" Target="https://boosty.to/yetiblog/posts/6009bcd8-9ef8-4b6f-96b6-d263bd26dc38?share=post_link" TargetMode="External"/><Relationship Id="rId36" Type="http://schemas.openxmlformats.org/officeDocument/2006/relationships/hyperlink" Target="https://boosty.to/yetiblog/posts/2610ef2e-73b9-40b2-b1d0-48e75ee74be9?share=post_link" TargetMode="External"/><Relationship Id="rId10" Type="http://schemas.openxmlformats.org/officeDocument/2006/relationships/hyperlink" Target="https://boosty.to/yetiblog/posts/98ec8354-1fe5-4150-87ef-78fd464a27d1?share=post_link" TargetMode="External"/><Relationship Id="rId19" Type="http://schemas.openxmlformats.org/officeDocument/2006/relationships/hyperlink" Target="https://drive.google.com/file/d/1upDgeI6CbES1MQqXFdvVyBuCdC9YZ5q7/view?usp=sharing" TargetMode="External"/><Relationship Id="rId31" Type="http://schemas.openxmlformats.org/officeDocument/2006/relationships/hyperlink" Target="https://boosty.to/yetiblog/posts/7f4113d3-c740-427f-a7f3-fe0bc846a758?share=post_link" TargetMode="External"/><Relationship Id="rId4" Type="http://schemas.openxmlformats.org/officeDocument/2006/relationships/hyperlink" Target="https://boosty.to/yetiblog/posts/6009bcd8-9ef8-4b6f-96b6-d263bd26dc38?share=post_link" TargetMode="External"/><Relationship Id="rId9" Type="http://schemas.openxmlformats.org/officeDocument/2006/relationships/hyperlink" Target="https://boosty.to/yetiblog/posts/8b2ab7cc-ae59-4f56-887f-318c04a28b84?share=post_link" TargetMode="External"/><Relationship Id="rId14" Type="http://schemas.openxmlformats.org/officeDocument/2006/relationships/hyperlink" Target="https://boosty.to/yetiblog/posts/2610ef2e-73b9-40b2-b1d0-48e75ee74be9?share=post_link" TargetMode="External"/><Relationship Id="rId22" Type="http://schemas.openxmlformats.org/officeDocument/2006/relationships/hyperlink" Target="https://boosty.to/yetiblog/posts/7437ec41-5ca1-4d7b-90d3-424eaa6eeb41?share=post_link" TargetMode="External"/><Relationship Id="rId27" Type="http://schemas.openxmlformats.org/officeDocument/2006/relationships/hyperlink" Target="https://boosty.to/yetiblog/posts/cf196b35-5c75-423b-8470-99fd876e45d8?share=post_link" TargetMode="External"/><Relationship Id="rId30" Type="http://schemas.openxmlformats.org/officeDocument/2006/relationships/hyperlink" Target="https://boosty.to/yetiblog/posts/478c3920-1b7b-4e73-ad8e-26c7d45f4814?share=post_link" TargetMode="External"/><Relationship Id="rId35" Type="http://schemas.openxmlformats.org/officeDocument/2006/relationships/hyperlink" Target="https://boosty.to/yetiblog/posts/6009bcd8-9ef8-4b6f-96b6-d263bd26dc38?share=post_link" TargetMode="External"/><Relationship Id="rId8" Type="http://schemas.openxmlformats.org/officeDocument/2006/relationships/hyperlink" Target="https://boosty.to/yetiblog/posts/92c0e29f-339c-4893-91ea-8124e17e2721?share=post_link" TargetMode="External"/><Relationship Id="rId3" Type="http://schemas.openxmlformats.org/officeDocument/2006/relationships/hyperlink" Target="https://boosty.to/yetiblog/posts/2610ef2e-73b9-40b2-b1d0-48e75ee74be9?share=post_lin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workbookViewId="0">
      <selection activeCell="J72" sqref="J72"/>
    </sheetView>
  </sheetViews>
  <sheetFormatPr defaultColWidth="14.42578125" defaultRowHeight="15" customHeight="1" x14ac:dyDescent="0.25"/>
  <cols>
    <col min="1" max="1" width="12.85546875" customWidth="1"/>
    <col min="2" max="2" width="45.5703125" customWidth="1"/>
    <col min="3" max="3" width="13.42578125" customWidth="1"/>
    <col min="4" max="4" width="11.85546875" customWidth="1"/>
    <col min="5" max="5" width="16.5703125" customWidth="1"/>
    <col min="6" max="6" width="13.85546875" customWidth="1"/>
    <col min="7" max="7" width="11.7109375" customWidth="1"/>
    <col min="8" max="8" width="18.140625" customWidth="1"/>
    <col min="9" max="9" width="13.7109375" customWidth="1"/>
    <col min="10" max="10" width="13.28515625" customWidth="1"/>
    <col min="11" max="11" width="22.42578125" customWidth="1"/>
    <col min="12" max="13" width="11.7109375" customWidth="1"/>
    <col min="14" max="14" width="16.42578125" customWidth="1"/>
    <col min="15" max="16" width="11.42578125" customWidth="1"/>
    <col min="17" max="17" width="12" customWidth="1"/>
    <col min="18" max="18" width="11.5703125" customWidth="1"/>
    <col min="19" max="20" width="11.42578125" customWidth="1"/>
    <col min="21" max="21" width="12.42578125" customWidth="1"/>
    <col min="22" max="22" width="19" customWidth="1"/>
    <col min="23" max="23" width="19.28515625" customWidth="1"/>
    <col min="24" max="24" width="19.42578125" customWidth="1"/>
    <col min="25" max="25" width="16.140625" customWidth="1"/>
    <col min="26" max="26" width="18.42578125" customWidth="1"/>
    <col min="27" max="27" width="24.85546875" customWidth="1"/>
    <col min="28" max="28" width="18.140625" customWidth="1"/>
    <col min="29" max="29" width="19.28515625" customWidth="1"/>
    <col min="30" max="30" width="18.28515625" customWidth="1"/>
    <col min="31" max="31" width="20.42578125" customWidth="1"/>
    <col min="32" max="32" width="17.5703125" customWidth="1"/>
    <col min="33" max="33" width="19.140625" customWidth="1"/>
    <col min="34" max="34" width="18.28515625" customWidth="1"/>
    <col min="35" max="35" width="22.5703125" customWidth="1"/>
    <col min="36" max="36" width="16.7109375" customWidth="1"/>
  </cols>
  <sheetData>
    <row r="1" spans="1:3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3.25" x14ac:dyDescent="0.35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25">
      <c r="A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5" customHeight="1" x14ac:dyDescent="0.3">
      <c r="A7" s="1"/>
      <c r="B7" s="3" t="s"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8.75" x14ac:dyDescent="0.3">
      <c r="A8" s="1"/>
      <c r="B8" s="4" t="s">
        <v>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8.75" x14ac:dyDescent="0.3">
      <c r="A10" s="1"/>
      <c r="B10" s="4" t="s">
        <v>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8.75" x14ac:dyDescent="0.3">
      <c r="A11" s="1"/>
      <c r="B11" s="4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8.75" x14ac:dyDescent="0.3">
      <c r="A12" s="1"/>
      <c r="B12" s="5" t="s">
        <v>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8.75" x14ac:dyDescent="0.3">
      <c r="A14" s="1"/>
      <c r="B14" s="4" t="s">
        <v>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8.75" x14ac:dyDescent="0.3">
      <c r="A15" s="1"/>
      <c r="B15" s="5" t="s">
        <v>6</v>
      </c>
      <c r="C15" s="1"/>
      <c r="D15" s="1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6"/>
      <c r="AJ15" s="6"/>
    </row>
    <row r="16" spans="1:36" ht="18.75" x14ac:dyDescent="0.3">
      <c r="A16" s="1"/>
      <c r="B16" s="5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1"/>
      <c r="AJ16" s="1"/>
    </row>
    <row r="17" spans="1:36" ht="18.75" x14ac:dyDescent="0.3">
      <c r="A17" s="1"/>
      <c r="B17" s="5" t="s">
        <v>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8.75" x14ac:dyDescent="0.3">
      <c r="A18" s="1"/>
      <c r="B18" s="5" t="s">
        <v>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8.75" x14ac:dyDescent="0.3">
      <c r="A20" s="1"/>
      <c r="B20" s="4" t="s">
        <v>10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6"/>
      <c r="AJ20" s="6"/>
    </row>
    <row r="21" spans="1:36" ht="15.75" customHeight="1" x14ac:dyDescent="0.3">
      <c r="A21" s="1"/>
      <c r="B21" s="5" t="s">
        <v>11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6"/>
      <c r="AE21" s="6"/>
      <c r="AF21" s="6"/>
      <c r="AG21" s="6"/>
      <c r="AH21" s="6"/>
      <c r="AI21" s="1"/>
      <c r="AJ21" s="1"/>
    </row>
    <row r="22" spans="1:36" ht="15.75" customHeight="1" x14ac:dyDescent="0.3">
      <c r="A22" s="1"/>
      <c r="B22" s="5" t="s">
        <v>12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5.75" customHeight="1" x14ac:dyDescent="0.3">
      <c r="A23" s="5"/>
      <c r="B23" s="5" t="s">
        <v>13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"/>
      <c r="T23" s="6"/>
      <c r="U23" s="6"/>
      <c r="V23" s="6"/>
      <c r="W23" s="6"/>
      <c r="X23" s="1"/>
      <c r="Y23" s="1"/>
      <c r="Z23" s="1"/>
      <c r="AA23" s="1"/>
      <c r="AB23" s="6"/>
      <c r="AC23" s="6"/>
      <c r="AD23" s="1"/>
      <c r="AE23" s="1"/>
      <c r="AF23" s="1"/>
      <c r="AG23" s="1"/>
      <c r="AH23" s="1"/>
      <c r="AI23" s="1"/>
      <c r="AJ23" s="1"/>
    </row>
    <row r="24" spans="1:36" ht="15.75" customHeight="1" x14ac:dyDescent="0.3">
      <c r="A24" s="5"/>
      <c r="B24" s="5" t="s">
        <v>14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5.75" customHeight="1" x14ac:dyDescent="0.3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5.75" customHeight="1" x14ac:dyDescent="0.3">
      <c r="A26" s="5"/>
      <c r="B26" s="4" t="s">
        <v>15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5.75" customHeight="1" x14ac:dyDescent="0.3">
      <c r="A27" s="5"/>
      <c r="B27" s="5" t="s">
        <v>16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5.75" customHeight="1" x14ac:dyDescent="0.3">
      <c r="A28" s="5"/>
      <c r="B28" s="5" t="s">
        <v>17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6"/>
      <c r="P28" s="6"/>
      <c r="Q28" s="6"/>
      <c r="R28" s="6"/>
      <c r="S28" s="6"/>
      <c r="T28" s="6"/>
      <c r="U28" s="6"/>
      <c r="V28" s="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5.75" customHeight="1" x14ac:dyDescent="0.3">
      <c r="A29" s="5"/>
      <c r="B29" s="5" t="s">
        <v>18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5.75" customHeight="1" x14ac:dyDescent="0.35">
      <c r="A30" s="7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5.75" customHeight="1" x14ac:dyDescent="0.3">
      <c r="A31" s="5"/>
      <c r="B31" s="117" t="s">
        <v>19</v>
      </c>
      <c r="C31" s="118"/>
      <c r="D31" s="118"/>
      <c r="E31" s="11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21" customHeight="1" x14ac:dyDescent="0.3">
      <c r="A32" s="8"/>
      <c r="B32" s="120"/>
      <c r="C32" s="121"/>
      <c r="D32" s="121"/>
      <c r="E32" s="122"/>
      <c r="F32" s="6"/>
      <c r="G32" s="6"/>
      <c r="H32" s="6"/>
      <c r="I32" s="6"/>
      <c r="J32" s="6"/>
      <c r="K32" s="6"/>
      <c r="L32" s="6"/>
      <c r="M32" s="6"/>
      <c r="N32" s="9"/>
      <c r="O32" s="9"/>
      <c r="P32" s="9"/>
      <c r="Q32" s="9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5.75" customHeight="1" x14ac:dyDescent="0.3">
      <c r="A33" s="8"/>
      <c r="B33" s="1"/>
      <c r="C33" s="1"/>
      <c r="D33" s="1"/>
      <c r="E33" s="1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5.75" customHeight="1" x14ac:dyDescent="0.3">
      <c r="A34" s="1"/>
      <c r="B34" s="10" t="s">
        <v>20</v>
      </c>
      <c r="C34" s="11"/>
      <c r="D34" s="11"/>
      <c r="E34" s="11"/>
      <c r="F34" s="12"/>
      <c r="G34" s="11"/>
      <c r="H34" s="12"/>
      <c r="I34" s="11"/>
      <c r="J34" s="12"/>
      <c r="K34" s="11"/>
      <c r="L34" s="11"/>
      <c r="M34" s="13"/>
      <c r="N34" s="6"/>
      <c r="O34" s="6"/>
      <c r="P34" s="6"/>
      <c r="Q34" s="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5.75" customHeight="1" x14ac:dyDescent="0.35">
      <c r="A35" s="7"/>
      <c r="B35" s="14" t="s">
        <v>21</v>
      </c>
      <c r="C35" s="1"/>
      <c r="D35" s="1"/>
      <c r="E35" s="1"/>
      <c r="F35" s="6"/>
      <c r="G35" s="1"/>
      <c r="H35" s="6"/>
      <c r="I35" s="1"/>
      <c r="J35" s="6"/>
      <c r="K35" s="1"/>
      <c r="L35" s="1"/>
      <c r="M35" s="1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5.75" customHeight="1" x14ac:dyDescent="0.25">
      <c r="A36" s="1"/>
      <c r="B36" s="16"/>
      <c r="C36" s="1"/>
      <c r="D36" s="1"/>
      <c r="E36" s="1"/>
      <c r="F36" s="6"/>
      <c r="G36" s="1"/>
      <c r="H36" s="6"/>
      <c r="I36" s="1"/>
      <c r="J36" s="6"/>
      <c r="K36" s="1"/>
      <c r="L36" s="1"/>
      <c r="M36" s="1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5.75" customHeight="1" x14ac:dyDescent="0.25">
      <c r="A37" s="17"/>
      <c r="B37" s="16"/>
      <c r="C37" s="1"/>
      <c r="D37" s="1"/>
      <c r="E37" s="6" t="s">
        <v>22</v>
      </c>
      <c r="F37" s="6"/>
      <c r="G37" s="1"/>
      <c r="H37" s="6"/>
      <c r="I37" s="1"/>
      <c r="J37" s="6"/>
      <c r="K37" s="1"/>
      <c r="L37" s="1"/>
      <c r="M37" s="1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5.75" customHeight="1" x14ac:dyDescent="0.3">
      <c r="A38" s="18"/>
      <c r="B38" s="16"/>
      <c r="C38" s="1"/>
      <c r="D38" s="1"/>
      <c r="E38" s="19"/>
      <c r="F38" s="20"/>
      <c r="G38" s="21"/>
      <c r="H38" s="20"/>
      <c r="I38" s="21"/>
      <c r="J38" s="20"/>
      <c r="K38" s="21"/>
      <c r="L38" s="21"/>
      <c r="M38" s="1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5.75" customHeight="1" x14ac:dyDescent="0.3">
      <c r="A39" s="18"/>
      <c r="B39" s="16"/>
      <c r="C39" s="1"/>
      <c r="D39" s="1"/>
      <c r="E39" s="19"/>
      <c r="F39" s="20"/>
      <c r="G39" s="21"/>
      <c r="H39" s="20"/>
      <c r="I39" s="21"/>
      <c r="J39" s="20"/>
      <c r="K39" s="21"/>
      <c r="L39" s="20"/>
      <c r="M39" s="1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5.75" customHeight="1" x14ac:dyDescent="0.3">
      <c r="A40" s="18"/>
      <c r="B40" s="16"/>
      <c r="C40" s="1"/>
      <c r="D40" s="1"/>
      <c r="E40" s="19"/>
      <c r="F40" s="21"/>
      <c r="G40" s="21"/>
      <c r="H40" s="21"/>
      <c r="I40" s="21"/>
      <c r="J40" s="21"/>
      <c r="K40" s="21"/>
      <c r="L40" s="21"/>
      <c r="M40" s="15"/>
      <c r="N40" s="6"/>
      <c r="O40" s="1"/>
      <c r="P40" s="6"/>
      <c r="Q40" s="1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"/>
      <c r="AE40" s="1"/>
      <c r="AF40" s="1"/>
      <c r="AG40" s="1"/>
      <c r="AH40" s="1"/>
      <c r="AI40" s="1"/>
      <c r="AJ40" s="1"/>
    </row>
    <row r="41" spans="1:36" ht="15.75" customHeight="1" x14ac:dyDescent="0.3">
      <c r="A41" s="18"/>
      <c r="B41" s="16"/>
      <c r="C41" s="1"/>
      <c r="D41" s="1"/>
      <c r="E41" s="21"/>
      <c r="F41" s="21"/>
      <c r="G41" s="21"/>
      <c r="H41" s="21"/>
      <c r="I41" s="21"/>
      <c r="J41" s="21"/>
      <c r="K41" s="21"/>
      <c r="L41" s="21"/>
      <c r="M41" s="15"/>
      <c r="N41" s="1"/>
      <c r="O41" s="1"/>
      <c r="P41" s="1"/>
      <c r="Q41" s="1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1"/>
      <c r="AE41" s="1"/>
      <c r="AF41" s="1"/>
      <c r="AG41" s="1"/>
      <c r="AH41" s="1"/>
      <c r="AI41" s="1"/>
      <c r="AJ41" s="1"/>
    </row>
    <row r="42" spans="1:36" ht="15.75" customHeight="1" x14ac:dyDescent="0.3">
      <c r="A42" s="18"/>
      <c r="B42" s="16"/>
      <c r="C42" s="1"/>
      <c r="D42" s="1"/>
      <c r="E42" s="20"/>
      <c r="F42" s="21"/>
      <c r="G42" s="21"/>
      <c r="H42" s="21"/>
      <c r="I42" s="21"/>
      <c r="J42" s="21"/>
      <c r="K42" s="21"/>
      <c r="L42" s="21"/>
      <c r="M42" s="15"/>
      <c r="N42" s="1"/>
      <c r="O42" s="1"/>
      <c r="P42" s="1"/>
      <c r="Q42" s="1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1"/>
      <c r="AE42" s="1"/>
      <c r="AF42" s="1"/>
      <c r="AG42" s="1"/>
      <c r="AH42" s="1"/>
      <c r="AI42" s="1"/>
      <c r="AJ42" s="1"/>
    </row>
    <row r="43" spans="1:36" ht="15.75" customHeight="1" x14ac:dyDescent="0.3">
      <c r="A43" s="18"/>
      <c r="B43" s="16"/>
      <c r="C43" s="1"/>
      <c r="D43" s="1"/>
      <c r="F43" s="6"/>
      <c r="G43" s="6"/>
      <c r="H43" s="6"/>
      <c r="I43" s="6"/>
      <c r="J43" s="6"/>
      <c r="K43" s="6"/>
      <c r="L43" s="6"/>
      <c r="M43" s="22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123"/>
      <c r="AE43" s="124"/>
      <c r="AF43" s="124"/>
      <c r="AG43" s="124"/>
      <c r="AH43" s="124"/>
      <c r="AI43" s="124"/>
      <c r="AJ43" s="123"/>
    </row>
    <row r="44" spans="1:36" ht="15.75" customHeight="1" x14ac:dyDescent="0.3">
      <c r="A44" s="1"/>
      <c r="B44" s="16"/>
      <c r="C44" s="4"/>
      <c r="D44" s="1"/>
      <c r="E44" s="6"/>
      <c r="F44" s="6"/>
      <c r="G44" s="6"/>
      <c r="H44" s="6"/>
      <c r="I44" s="6"/>
      <c r="J44" s="6"/>
      <c r="K44" s="6"/>
      <c r="L44" s="6"/>
      <c r="M44" s="22"/>
      <c r="N44" s="6"/>
      <c r="O44" s="6"/>
      <c r="P44" s="6"/>
      <c r="Q44" s="6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23"/>
      <c r="AE44" s="124"/>
      <c r="AF44" s="123"/>
      <c r="AG44" s="124"/>
      <c r="AH44" s="123"/>
      <c r="AI44" s="124"/>
      <c r="AJ44" s="124"/>
    </row>
    <row r="45" spans="1:36" ht="15.75" customHeight="1" x14ac:dyDescent="0.3">
      <c r="A45" s="23"/>
      <c r="B45" s="24"/>
      <c r="C45" s="25"/>
      <c r="D45" s="26"/>
      <c r="E45" s="27"/>
      <c r="F45" s="27"/>
      <c r="G45" s="26"/>
      <c r="H45" s="27"/>
      <c r="I45" s="26"/>
      <c r="J45" s="27"/>
      <c r="K45" s="26"/>
      <c r="L45" s="26"/>
      <c r="M45" s="2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6"/>
      <c r="AE45" s="6"/>
      <c r="AF45" s="6"/>
      <c r="AG45" s="6"/>
      <c r="AH45" s="6"/>
      <c r="AI45" s="6"/>
      <c r="AJ45" s="6"/>
    </row>
    <row r="46" spans="1:36" ht="15.75" customHeight="1" x14ac:dyDescent="0.3">
      <c r="A46" s="23"/>
      <c r="B46" s="29"/>
      <c r="C46" s="18"/>
      <c r="D46" s="1"/>
      <c r="E46" s="6"/>
      <c r="F46" s="6"/>
      <c r="G46" s="1"/>
      <c r="H46" s="6"/>
      <c r="I46" s="1"/>
      <c r="J46" s="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6"/>
      <c r="AE46" s="6"/>
      <c r="AF46" s="6"/>
      <c r="AG46" s="6"/>
      <c r="AH46" s="6"/>
      <c r="AI46" s="6"/>
      <c r="AJ46" s="6"/>
    </row>
    <row r="47" spans="1:36" ht="15.75" customHeight="1" x14ac:dyDescent="0.3">
      <c r="A47" s="17"/>
      <c r="B47" s="5"/>
      <c r="C47" s="5"/>
      <c r="D47" s="1"/>
      <c r="E47" s="6"/>
      <c r="F47" s="6"/>
      <c r="G47" s="1"/>
      <c r="H47" s="6"/>
      <c r="I47" s="1"/>
      <c r="J47" s="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30"/>
    </row>
    <row r="48" spans="1:36" ht="15.75" customHeight="1" x14ac:dyDescent="0.3">
      <c r="A48" s="18"/>
      <c r="B48" s="31" t="s">
        <v>23</v>
      </c>
      <c r="C48" s="32"/>
      <c r="D48" s="33"/>
      <c r="E48" s="34"/>
      <c r="F48" s="34"/>
      <c r="G48" s="33"/>
      <c r="H48" s="34"/>
      <c r="I48" s="33"/>
      <c r="J48" s="34"/>
      <c r="K48" s="33"/>
      <c r="L48" s="33"/>
      <c r="M48" s="33"/>
      <c r="N48" s="33"/>
      <c r="O48" s="3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30"/>
    </row>
    <row r="49" spans="1:36" ht="15.75" customHeight="1" x14ac:dyDescent="0.3">
      <c r="A49" s="18"/>
      <c r="B49" s="36"/>
      <c r="C49" s="5"/>
      <c r="D49" s="1"/>
      <c r="E49" s="6"/>
      <c r="F49" s="6"/>
      <c r="G49" s="1"/>
      <c r="H49" s="6"/>
      <c r="I49" s="1"/>
      <c r="J49" s="6"/>
      <c r="K49" s="1"/>
      <c r="L49" s="1"/>
      <c r="M49" s="1"/>
      <c r="N49" s="1"/>
      <c r="O49" s="37"/>
      <c r="P49" s="1"/>
      <c r="Q49" s="1"/>
      <c r="R49" s="6"/>
      <c r="S49" s="1"/>
      <c r="T49" s="6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5.75" customHeight="1" x14ac:dyDescent="0.3">
      <c r="A50" s="18"/>
      <c r="B50" s="36"/>
      <c r="C50" s="1"/>
      <c r="D50" s="1"/>
      <c r="E50" s="6"/>
      <c r="F50" s="6"/>
      <c r="G50" s="5"/>
      <c r="H50" s="6"/>
      <c r="I50" s="1"/>
      <c r="J50" s="6"/>
      <c r="K50" s="1"/>
      <c r="L50" s="1"/>
      <c r="M50" s="1"/>
      <c r="N50" s="1"/>
      <c r="O50" s="37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5.75" customHeight="1" x14ac:dyDescent="0.3">
      <c r="A51" s="18"/>
      <c r="B51" s="3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37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5.75" customHeight="1" x14ac:dyDescent="0.3">
      <c r="A52" s="18"/>
      <c r="B52" s="3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37"/>
      <c r="P52" s="1"/>
      <c r="Q52" s="1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1"/>
      <c r="AE52" s="1"/>
      <c r="AF52" s="1"/>
      <c r="AG52" s="1"/>
      <c r="AH52" s="1"/>
      <c r="AI52" s="1"/>
      <c r="AJ52" s="1"/>
    </row>
    <row r="53" spans="1:36" ht="15.75" customHeight="1" x14ac:dyDescent="0.3">
      <c r="A53" s="18"/>
      <c r="B53" s="36" t="s">
        <v>24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6"/>
      <c r="O53" s="39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1"/>
      <c r="AE53" s="1"/>
      <c r="AF53" s="1"/>
      <c r="AG53" s="1"/>
      <c r="AH53" s="1"/>
      <c r="AI53" s="1"/>
      <c r="AJ53" s="1"/>
    </row>
    <row r="54" spans="1:36" ht="15.75" customHeight="1" x14ac:dyDescent="0.3">
      <c r="A54" s="1"/>
      <c r="B54" s="36" t="s">
        <v>25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6"/>
      <c r="O54" s="39"/>
      <c r="P54" s="6"/>
      <c r="Q54" s="6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5.75" customHeight="1" x14ac:dyDescent="0.25">
      <c r="A55" s="1"/>
      <c r="B55" s="3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37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6"/>
      <c r="AE55" s="6"/>
      <c r="AF55" s="6"/>
      <c r="AG55" s="6"/>
      <c r="AH55" s="6"/>
      <c r="AI55" s="6"/>
      <c r="AJ55" s="6"/>
    </row>
    <row r="56" spans="1:36" ht="15.75" customHeight="1" x14ac:dyDescent="0.3">
      <c r="A56" s="1"/>
      <c r="B56" s="36" t="s">
        <v>26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7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6"/>
      <c r="AE56" s="6"/>
      <c r="AF56" s="6"/>
      <c r="AG56" s="6"/>
      <c r="AH56" s="6"/>
      <c r="AI56" s="6"/>
      <c r="AJ56" s="6"/>
    </row>
    <row r="57" spans="1:36" ht="15.75" customHeight="1" x14ac:dyDescent="0.25">
      <c r="A57" s="17"/>
      <c r="B57" s="3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7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30"/>
    </row>
    <row r="58" spans="1:36" ht="15.75" customHeight="1" x14ac:dyDescent="0.3">
      <c r="A58" s="18"/>
      <c r="B58" s="36" t="s">
        <v>27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7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30"/>
    </row>
    <row r="59" spans="1:36" ht="15.75" customHeight="1" x14ac:dyDescent="0.3">
      <c r="A59" s="18"/>
      <c r="B59" s="36" t="s">
        <v>28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7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5.75" customHeight="1" x14ac:dyDescent="0.3">
      <c r="A60" s="18"/>
      <c r="B60" s="40" t="s">
        <v>29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2"/>
      <c r="O60" s="43"/>
      <c r="P60" s="6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5.75" customHeight="1" x14ac:dyDescent="0.3">
      <c r="A61" s="18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5.75" customHeight="1" x14ac:dyDescent="0.3">
      <c r="A62" s="18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1"/>
      <c r="AE62" s="1"/>
      <c r="AF62" s="1"/>
      <c r="AG62" s="1"/>
      <c r="AH62" s="1"/>
      <c r="AI62" s="1"/>
      <c r="AJ62" s="1"/>
    </row>
    <row r="63" spans="1:36" ht="15.75" customHeight="1" x14ac:dyDescent="0.3">
      <c r="A63" s="18"/>
      <c r="B63" s="5"/>
      <c r="C63" s="125" t="s">
        <v>30</v>
      </c>
      <c r="D63" s="118"/>
      <c r="E63" s="118"/>
      <c r="F63" s="118"/>
      <c r="G63" s="118"/>
      <c r="H63" s="119"/>
      <c r="I63" s="1"/>
      <c r="J63" s="1"/>
      <c r="K63" s="1"/>
      <c r="L63" s="1"/>
      <c r="M63" s="1"/>
      <c r="N63" s="1"/>
      <c r="O63" s="1"/>
      <c r="P63" s="1"/>
      <c r="Q63" s="1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1"/>
      <c r="AE63" s="1"/>
      <c r="AF63" s="1"/>
      <c r="AG63" s="1"/>
      <c r="AH63" s="6"/>
      <c r="AI63" s="1"/>
      <c r="AJ63" s="6"/>
    </row>
    <row r="64" spans="1:36" ht="15.75" customHeight="1" x14ac:dyDescent="0.25">
      <c r="A64" s="1"/>
      <c r="B64" s="1"/>
      <c r="C64" s="120"/>
      <c r="D64" s="121"/>
      <c r="E64" s="121"/>
      <c r="F64" s="121"/>
      <c r="G64" s="121"/>
      <c r="H64" s="12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5.75" customHeight="1" x14ac:dyDescent="0.25">
      <c r="A65" s="1"/>
      <c r="B65" s="1"/>
      <c r="C65" s="126" t="s">
        <v>31</v>
      </c>
      <c r="D65" s="127"/>
      <c r="E65" s="128"/>
      <c r="F65" s="126" t="s">
        <v>32</v>
      </c>
      <c r="G65" s="127"/>
      <c r="H65" s="12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6"/>
      <c r="AE65" s="6"/>
      <c r="AF65" s="6"/>
      <c r="AG65" s="6"/>
      <c r="AH65" s="6"/>
      <c r="AI65" s="6"/>
      <c r="AJ65" s="6"/>
    </row>
    <row r="66" spans="1:36" ht="15.75" customHeight="1" x14ac:dyDescent="0.25">
      <c r="A66" s="1"/>
      <c r="B66" s="44" t="s">
        <v>33</v>
      </c>
      <c r="C66" s="44" t="s">
        <v>34</v>
      </c>
      <c r="D66" s="44" t="s">
        <v>35</v>
      </c>
      <c r="E66" s="44" t="s">
        <v>36</v>
      </c>
      <c r="F66" s="44" t="s">
        <v>34</v>
      </c>
      <c r="G66" s="44" t="s">
        <v>35</v>
      </c>
      <c r="H66" s="44" t="s">
        <v>36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6"/>
      <c r="AE66" s="6"/>
      <c r="AF66" s="6"/>
      <c r="AG66" s="6"/>
      <c r="AH66" s="6"/>
      <c r="AI66" s="6"/>
      <c r="AJ66" s="6"/>
    </row>
    <row r="67" spans="1:36" ht="15.75" customHeight="1" x14ac:dyDescent="0.3">
      <c r="A67" s="4"/>
      <c r="B67" s="45" t="s">
        <v>37</v>
      </c>
      <c r="C67" s="46" t="s">
        <v>38</v>
      </c>
      <c r="D67" s="47">
        <v>2</v>
      </c>
      <c r="E67" s="47">
        <v>2</v>
      </c>
      <c r="F67" s="46" t="s">
        <v>39</v>
      </c>
      <c r="G67" s="47">
        <v>3</v>
      </c>
      <c r="H67" s="47">
        <v>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30"/>
    </row>
    <row r="68" spans="1:36" ht="15.75" customHeight="1" x14ac:dyDescent="0.3">
      <c r="A68" s="5"/>
      <c r="B68" s="48" t="s">
        <v>40</v>
      </c>
      <c r="C68" s="49" t="str">
        <f>IF(B68=Формулы!L14, "собственный", "8ПМ")</f>
        <v>8ПМ</v>
      </c>
      <c r="D68" s="50">
        <v>2</v>
      </c>
      <c r="E68" s="50">
        <v>2</v>
      </c>
      <c r="F68" s="49" t="str">
        <f>IF(B68=Формулы!L14, "собственный", "6ПМ")</f>
        <v>6ПМ</v>
      </c>
      <c r="G68" s="50">
        <v>3</v>
      </c>
      <c r="H68" s="50">
        <v>2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30"/>
    </row>
    <row r="69" spans="1:36" ht="15.75" customHeight="1" x14ac:dyDescent="0.3">
      <c r="A69" s="5"/>
      <c r="B69" s="48" t="s">
        <v>41</v>
      </c>
      <c r="C69" s="49" t="s">
        <v>38</v>
      </c>
      <c r="D69" s="50">
        <v>2</v>
      </c>
      <c r="E69" s="50">
        <v>2</v>
      </c>
      <c r="F69" s="49" t="s">
        <v>39</v>
      </c>
      <c r="G69" s="50">
        <v>3</v>
      </c>
      <c r="H69" s="50">
        <v>2</v>
      </c>
      <c r="L69" s="1"/>
      <c r="M69" s="1"/>
      <c r="N69" s="1"/>
      <c r="O69" s="1"/>
      <c r="P69" s="1"/>
      <c r="Q69" s="1"/>
      <c r="R69" s="6"/>
      <c r="S69" s="1"/>
      <c r="T69" s="6"/>
      <c r="U69" s="1"/>
      <c r="V69" s="6"/>
      <c r="W69" s="1"/>
      <c r="X69" s="6"/>
      <c r="Y69" s="1"/>
      <c r="Z69" s="6"/>
      <c r="AA69" s="1"/>
      <c r="AB69" s="6"/>
      <c r="AC69" s="1"/>
      <c r="AD69" s="1"/>
      <c r="AE69" s="1"/>
      <c r="AF69" s="1"/>
      <c r="AG69" s="1"/>
      <c r="AH69" s="1"/>
      <c r="AI69" s="1"/>
      <c r="AJ69" s="1"/>
    </row>
    <row r="70" spans="1:36" ht="15.75" customHeight="1" x14ac:dyDescent="0.3">
      <c r="A70" s="4"/>
      <c r="B70" s="48" t="s">
        <v>42</v>
      </c>
      <c r="C70" s="49" t="s">
        <v>43</v>
      </c>
      <c r="D70" s="50">
        <v>2</v>
      </c>
      <c r="E70" s="50">
        <v>2</v>
      </c>
      <c r="F70" s="49" t="s">
        <v>38</v>
      </c>
      <c r="G70" s="50">
        <v>3</v>
      </c>
      <c r="H70" s="50">
        <v>2</v>
      </c>
      <c r="L70" s="6"/>
      <c r="M70" s="1"/>
      <c r="N70" s="6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5.75" customHeight="1" x14ac:dyDescent="0.3">
      <c r="A71" s="4"/>
      <c r="B71" s="48" t="s">
        <v>44</v>
      </c>
      <c r="C71" s="49" t="str">
        <f>IF(B71=Формулы!L39, "", "собственный")</f>
        <v/>
      </c>
      <c r="D71" s="50" t="str">
        <f>IF(B71=Формулы!L39, "", "2")</f>
        <v/>
      </c>
      <c r="E71" s="50" t="str">
        <f>IF(B71=Формулы!L39,"",IF(B71=Формулы!L68,"2","30 сек"))</f>
        <v/>
      </c>
      <c r="F71" s="49" t="str">
        <f>IF(B71=Формулы!L39, "", "собственный")</f>
        <v/>
      </c>
      <c r="G71" s="50" t="str">
        <f>IF(B71=Формулы!L39, "", "3")</f>
        <v/>
      </c>
      <c r="H71" s="50" t="str">
        <f>IF(B71=Формулы!L39,"",IF(B71=Формулы!L68,"2","30 сек"))</f>
        <v/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5.75" customHeight="1" x14ac:dyDescent="0.3">
      <c r="A72" s="5"/>
      <c r="B72" s="1"/>
      <c r="C72" s="1"/>
      <c r="D72" s="1"/>
      <c r="E72" s="1"/>
      <c r="F72" s="1"/>
      <c r="G72" s="1"/>
      <c r="H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6"/>
      <c r="AE72" s="1"/>
      <c r="AF72" s="6"/>
      <c r="AG72" s="1"/>
      <c r="AH72" s="1"/>
      <c r="AI72" s="1"/>
      <c r="AJ72" s="1"/>
    </row>
    <row r="73" spans="1:36" ht="15.75" customHeight="1" x14ac:dyDescent="0.25">
      <c r="A73" s="1"/>
      <c r="B73" s="1"/>
      <c r="C73" s="1"/>
      <c r="D73" s="1"/>
      <c r="E73" s="1"/>
      <c r="F73" s="1"/>
      <c r="G73" s="1"/>
      <c r="H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5.75" customHeight="1" x14ac:dyDescent="0.3">
      <c r="A74" s="5"/>
      <c r="B74" s="44" t="s">
        <v>45</v>
      </c>
      <c r="C74" s="44" t="s">
        <v>34</v>
      </c>
      <c r="D74" s="44" t="s">
        <v>35</v>
      </c>
      <c r="E74" s="44" t="s">
        <v>36</v>
      </c>
      <c r="F74" s="44" t="s">
        <v>34</v>
      </c>
      <c r="G74" s="44" t="s">
        <v>35</v>
      </c>
      <c r="H74" s="44" t="s">
        <v>36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5.75" customHeight="1" x14ac:dyDescent="0.35">
      <c r="A75" s="7"/>
      <c r="B75" s="45" t="s">
        <v>46</v>
      </c>
      <c r="C75" s="46" t="s">
        <v>38</v>
      </c>
      <c r="D75" s="47">
        <v>2</v>
      </c>
      <c r="E75" s="47">
        <v>2</v>
      </c>
      <c r="F75" s="46" t="s">
        <v>39</v>
      </c>
      <c r="G75" s="47">
        <v>3</v>
      </c>
      <c r="H75" s="47">
        <v>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5.75" customHeight="1" x14ac:dyDescent="0.35">
      <c r="A76" s="7"/>
      <c r="B76" s="48" t="s">
        <v>47</v>
      </c>
      <c r="C76" s="49" t="s">
        <v>38</v>
      </c>
      <c r="D76" s="50">
        <v>2</v>
      </c>
      <c r="E76" s="50">
        <v>2</v>
      </c>
      <c r="F76" s="49" t="s">
        <v>39</v>
      </c>
      <c r="G76" s="50">
        <v>3</v>
      </c>
      <c r="H76" s="50">
        <v>2</v>
      </c>
      <c r="L76" s="4"/>
      <c r="M76" s="4"/>
      <c r="N76" s="4"/>
      <c r="O76" s="4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5.75" customHeight="1" x14ac:dyDescent="0.35">
      <c r="A77" s="7"/>
      <c r="B77" s="48" t="s">
        <v>48</v>
      </c>
      <c r="C77" s="49" t="s">
        <v>38</v>
      </c>
      <c r="D77" s="50">
        <v>2</v>
      </c>
      <c r="E77" s="50">
        <v>2</v>
      </c>
      <c r="F77" s="49" t="s">
        <v>39</v>
      </c>
      <c r="G77" s="50">
        <v>3</v>
      </c>
      <c r="H77" s="50">
        <v>2</v>
      </c>
      <c r="L77" s="5"/>
      <c r="M77" s="5"/>
      <c r="N77" s="5"/>
      <c r="O77" s="5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5.75" customHeight="1" x14ac:dyDescent="0.3">
      <c r="A78" s="1"/>
      <c r="B78" s="48" t="s">
        <v>49</v>
      </c>
      <c r="C78" s="49" t="str">
        <f>IF(B78=Формулы!L37, "собственный", "10ПМ")</f>
        <v>10ПМ</v>
      </c>
      <c r="D78" s="50">
        <v>2</v>
      </c>
      <c r="E78" s="50">
        <v>2</v>
      </c>
      <c r="F78" s="49" t="str">
        <f>IF(B78=Формулы!L37, "собственный", "8ПМ")</f>
        <v>8ПМ</v>
      </c>
      <c r="G78" s="50">
        <v>3</v>
      </c>
      <c r="H78" s="50">
        <v>2</v>
      </c>
      <c r="L78" s="5"/>
      <c r="M78" s="5"/>
      <c r="N78" s="5"/>
      <c r="O78" s="5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5.75" customHeight="1" x14ac:dyDescent="0.3">
      <c r="A79" s="4"/>
      <c r="B79" s="48" t="s">
        <v>44</v>
      </c>
      <c r="C79" s="49" t="str">
        <f>IF(B79=Формулы!L39, "", "10ПМ")</f>
        <v/>
      </c>
      <c r="D79" s="50" t="str">
        <f>IF(B79=Формулы!L39, "", "2")</f>
        <v/>
      </c>
      <c r="E79" s="50" t="str">
        <f>IF(B79=Формулы!L39, "", "2")</f>
        <v/>
      </c>
      <c r="F79" s="49" t="str">
        <f>IF(B79=Формулы!L39, "", "8ПМ")</f>
        <v/>
      </c>
      <c r="G79" s="50" t="str">
        <f>IF(B79=Формулы!L39, "", "3")</f>
        <v/>
      </c>
      <c r="H79" s="51" t="str">
        <f>IF(B79=Формулы!L39, "", "2")</f>
        <v/>
      </c>
      <c r="L79" s="5"/>
      <c r="M79" s="5"/>
      <c r="N79" s="5"/>
      <c r="O79" s="5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5.75" customHeight="1" x14ac:dyDescent="0.3">
      <c r="A80" s="4"/>
      <c r="B80" s="1"/>
      <c r="C80" s="1"/>
      <c r="D80" s="1"/>
      <c r="E80" s="1"/>
      <c r="F80" s="1"/>
      <c r="G80" s="1"/>
      <c r="H80" s="1"/>
      <c r="L80" s="4"/>
      <c r="M80" s="4"/>
      <c r="N80" s="4"/>
      <c r="O80" s="4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5.75" customHeight="1" x14ac:dyDescent="0.3">
      <c r="A81" s="4"/>
      <c r="B81" s="1"/>
      <c r="C81" s="1"/>
      <c r="D81" s="1"/>
      <c r="E81" s="1"/>
      <c r="F81" s="1"/>
      <c r="G81" s="1"/>
      <c r="H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5.75" customHeight="1" x14ac:dyDescent="0.3">
      <c r="A82" s="4"/>
      <c r="B82" s="44" t="s">
        <v>50</v>
      </c>
      <c r="C82" s="44" t="s">
        <v>34</v>
      </c>
      <c r="D82" s="44" t="s">
        <v>35</v>
      </c>
      <c r="E82" s="44" t="s">
        <v>36</v>
      </c>
      <c r="F82" s="44" t="s">
        <v>34</v>
      </c>
      <c r="G82" s="44" t="s">
        <v>35</v>
      </c>
      <c r="H82" s="44" t="s">
        <v>36</v>
      </c>
      <c r="L82" s="6"/>
      <c r="M82" s="6"/>
      <c r="N82" s="6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5.75" customHeight="1" x14ac:dyDescent="0.3">
      <c r="A83" s="1"/>
      <c r="B83" s="48" t="s">
        <v>51</v>
      </c>
      <c r="C83" s="49" t="s">
        <v>38</v>
      </c>
      <c r="D83" s="50">
        <v>2</v>
      </c>
      <c r="E83" s="50">
        <v>2</v>
      </c>
      <c r="F83" s="49" t="s">
        <v>39</v>
      </c>
      <c r="G83" s="50">
        <v>3</v>
      </c>
      <c r="H83" s="50">
        <v>2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5.75" customHeight="1" x14ac:dyDescent="0.35">
      <c r="A84" s="7"/>
      <c r="B84" s="45" t="s">
        <v>52</v>
      </c>
      <c r="C84" s="46" t="s">
        <v>38</v>
      </c>
      <c r="D84" s="47">
        <v>2</v>
      </c>
      <c r="E84" s="47">
        <v>2</v>
      </c>
      <c r="F84" s="46" t="s">
        <v>39</v>
      </c>
      <c r="G84" s="47">
        <v>3</v>
      </c>
      <c r="H84" s="47">
        <v>2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5.75" customHeight="1" x14ac:dyDescent="0.3">
      <c r="A85" s="1"/>
      <c r="B85" s="48" t="s">
        <v>53</v>
      </c>
      <c r="C85" s="49" t="s">
        <v>38</v>
      </c>
      <c r="D85" s="50">
        <v>2</v>
      </c>
      <c r="E85" s="50">
        <v>2</v>
      </c>
      <c r="F85" s="49" t="s">
        <v>39</v>
      </c>
      <c r="G85" s="50">
        <v>3</v>
      </c>
      <c r="H85" s="50">
        <v>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5.75" customHeight="1" x14ac:dyDescent="0.3">
      <c r="A86" s="1"/>
      <c r="B86" s="48" t="s">
        <v>54</v>
      </c>
      <c r="C86" s="49" t="str">
        <f>IF(B86=Формулы!L14, "собственный", "10ПМ")</f>
        <v>10ПМ</v>
      </c>
      <c r="D86" s="50">
        <v>2</v>
      </c>
      <c r="E86" s="50">
        <v>2</v>
      </c>
      <c r="F86" s="49" t="str">
        <f>IF(B86=Формулы!L14, "собственный", "8ПМ")</f>
        <v>8ПМ</v>
      </c>
      <c r="G86" s="50">
        <v>3</v>
      </c>
      <c r="H86" s="50">
        <v>2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5.75" customHeight="1" x14ac:dyDescent="0.3">
      <c r="A87" s="1"/>
      <c r="B87" s="48" t="s">
        <v>44</v>
      </c>
      <c r="C87" s="49" t="str">
        <f>IF(B87=Формулы!L39, "", "10ПМ")</f>
        <v/>
      </c>
      <c r="D87" s="50" t="str">
        <f>IF(B87=Формулы!L39, "", "2")</f>
        <v/>
      </c>
      <c r="E87" s="51" t="str">
        <f>IF(B87=Формулы!L39, "", "2")</f>
        <v/>
      </c>
      <c r="F87" s="49" t="str">
        <f>IF(B87=Формулы!L39, "", "8ПМ")</f>
        <v/>
      </c>
      <c r="G87" s="50" t="str">
        <f>IF(B87=Формулы!L39, "", "3")</f>
        <v/>
      </c>
      <c r="H87" s="50" t="str">
        <f>IF(B87=Формулы!L39, "", "2")</f>
        <v/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5.75" customHeight="1" x14ac:dyDescent="0.25">
      <c r="A88" s="1"/>
      <c r="B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5.75" customHeight="1" x14ac:dyDescent="0.25">
      <c r="A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5.75" customHeight="1" x14ac:dyDescent="0.25">
      <c r="A92" s="1"/>
      <c r="B92" s="117" t="s">
        <v>55</v>
      </c>
      <c r="C92" s="11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5.75" customHeight="1" x14ac:dyDescent="0.25">
      <c r="A93" s="1"/>
      <c r="B93" s="120"/>
      <c r="C93" s="12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5.75" customHeight="1" x14ac:dyDescent="0.3">
      <c r="A95" s="1"/>
      <c r="B95" s="52" t="s">
        <v>56</v>
      </c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5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5.75" customHeight="1" x14ac:dyDescent="0.3">
      <c r="A96" s="1"/>
      <c r="B96" s="53" t="s">
        <v>57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6"/>
      <c r="P96" s="1"/>
      <c r="Q96" s="1"/>
      <c r="R96" s="1"/>
      <c r="S96" s="37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5.75" customHeight="1" x14ac:dyDescent="0.3">
      <c r="A97" s="1"/>
      <c r="B97" s="36" t="s">
        <v>58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37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5.75" customHeight="1" x14ac:dyDescent="0.3">
      <c r="A98" s="1"/>
      <c r="B98" s="36" t="s">
        <v>59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37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5.75" customHeight="1" x14ac:dyDescent="0.35">
      <c r="A99" s="7"/>
      <c r="B99" s="3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37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22.5" customHeight="1" x14ac:dyDescent="0.3">
      <c r="A100" s="1"/>
      <c r="B100" s="38"/>
      <c r="C100" s="1"/>
      <c r="D100" s="1"/>
      <c r="E100" s="1"/>
      <c r="F100" s="54" t="s">
        <v>60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37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5.75" customHeight="1" x14ac:dyDescent="0.3">
      <c r="A101" s="1"/>
      <c r="B101" s="38"/>
      <c r="C101" s="1"/>
      <c r="D101" s="1"/>
      <c r="E101" s="1"/>
      <c r="F101" s="5" t="s">
        <v>61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37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5.75" customHeight="1" x14ac:dyDescent="0.3">
      <c r="A102" s="1"/>
      <c r="B102" s="38"/>
      <c r="C102" s="1"/>
      <c r="D102" s="1"/>
      <c r="E102" s="1"/>
      <c r="F102" s="54" t="s">
        <v>62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37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5.75" customHeight="1" x14ac:dyDescent="0.3">
      <c r="A103" s="1"/>
      <c r="B103" s="38"/>
      <c r="C103" s="1"/>
      <c r="D103" s="1"/>
      <c r="E103" s="1"/>
      <c r="F103" s="5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37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5.75" customHeight="1" x14ac:dyDescent="0.3">
      <c r="A104" s="1"/>
      <c r="B104" s="38"/>
      <c r="C104" s="1"/>
      <c r="D104" s="1"/>
      <c r="E104" s="1"/>
      <c r="F104" s="4" t="s">
        <v>63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37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5.75" customHeight="1" x14ac:dyDescent="0.25">
      <c r="A105" s="1"/>
      <c r="B105" s="38"/>
      <c r="C105" s="1"/>
      <c r="D105" s="1"/>
      <c r="E105" s="1"/>
      <c r="F105" s="55" t="s">
        <v>64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37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5.75" customHeight="1" x14ac:dyDescent="0.25">
      <c r="A106" s="1"/>
      <c r="B106" s="3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37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5.75" customHeight="1" x14ac:dyDescent="0.25">
      <c r="A107" s="1"/>
      <c r="B107" s="56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3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5.75" customHeight="1" x14ac:dyDescent="0.25">
      <c r="A112" s="1"/>
      <c r="B112" s="1"/>
      <c r="C112" s="129" t="s">
        <v>65</v>
      </c>
      <c r="D112" s="11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5.75" customHeight="1" x14ac:dyDescent="0.35">
      <c r="A113" s="1"/>
      <c r="B113" s="1"/>
      <c r="C113" s="130"/>
      <c r="D113" s="13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5.75" customHeight="1" x14ac:dyDescent="0.25">
      <c r="A114" s="1"/>
      <c r="B114" s="1"/>
      <c r="C114" s="120"/>
      <c r="D114" s="12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5.75" customHeight="1" x14ac:dyDescent="0.25">
      <c r="A115" s="1"/>
      <c r="B115" s="57" t="s">
        <v>33</v>
      </c>
      <c r="C115" s="58" t="s">
        <v>66</v>
      </c>
      <c r="D115" s="58" t="s">
        <v>67</v>
      </c>
      <c r="E115" s="58" t="s">
        <v>68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5.75" customHeight="1" x14ac:dyDescent="0.3">
      <c r="A116" s="1"/>
      <c r="B116" s="59" t="str">
        <f t="shared" ref="B116:B119" si="0">B67</f>
        <v>Жим штанги лёжа</v>
      </c>
      <c r="C116" s="51"/>
      <c r="D116" s="51"/>
      <c r="E116" s="51"/>
      <c r="F116" s="1"/>
      <c r="G116" s="4" t="s">
        <v>69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5.75" customHeight="1" x14ac:dyDescent="0.3">
      <c r="A117" s="1"/>
      <c r="B117" s="60" t="str">
        <f t="shared" si="0"/>
        <v>Подтягивания (с отягощением)</v>
      </c>
      <c r="C117" s="51"/>
      <c r="D117" s="51"/>
      <c r="E117" s="51"/>
      <c r="F117" s="1"/>
      <c r="G117" s="5" t="s">
        <v>70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5.75" customHeight="1" x14ac:dyDescent="0.3">
      <c r="A118" s="1"/>
      <c r="B118" s="60" t="str">
        <f t="shared" si="0"/>
        <v>Жим платформы ногами</v>
      </c>
      <c r="C118" s="51"/>
      <c r="D118" s="51"/>
      <c r="E118" s="51"/>
      <c r="F118" s="1"/>
      <c r="G118" s="5" t="s">
        <v>71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5.75" customHeight="1" x14ac:dyDescent="0.3">
      <c r="A119" s="1"/>
      <c r="B119" s="60" t="str">
        <f t="shared" si="0"/>
        <v>Махи с гантелями в стороны</v>
      </c>
      <c r="C119" s="51"/>
      <c r="D119" s="61"/>
      <c r="E119" s="51"/>
      <c r="F119" s="1"/>
      <c r="G119" s="5" t="s">
        <v>72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5.75" customHeight="1" x14ac:dyDescent="0.3">
      <c r="A120" s="1"/>
      <c r="B120" s="60" t="str">
        <f>IF(B71="+", "", B71)</f>
        <v/>
      </c>
      <c r="C120" s="51"/>
      <c r="D120" s="51"/>
      <c r="E120" s="5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5.75" customHeight="1" x14ac:dyDescent="0.3">
      <c r="A121" s="1"/>
      <c r="B121" s="5"/>
      <c r="C121" s="1"/>
      <c r="D121" s="1"/>
      <c r="E121" s="1"/>
      <c r="F121" s="1"/>
      <c r="G121" s="4" t="s">
        <v>73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5.75" customHeight="1" x14ac:dyDescent="0.3">
      <c r="A122" s="1"/>
      <c r="B122" s="1"/>
      <c r="C122" s="1"/>
      <c r="D122" s="1"/>
      <c r="E122" s="1"/>
      <c r="F122" s="1"/>
      <c r="G122" s="4" t="s">
        <v>74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5.75" customHeight="1" x14ac:dyDescent="0.3">
      <c r="A123" s="1"/>
      <c r="B123" s="62" t="s">
        <v>45</v>
      </c>
      <c r="C123" s="58" t="s">
        <v>66</v>
      </c>
      <c r="D123" s="63" t="s">
        <v>67</v>
      </c>
      <c r="E123" s="58" t="s">
        <v>68</v>
      </c>
      <c r="F123" s="1"/>
      <c r="G123" s="5" t="s">
        <v>75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5.75" customHeight="1" x14ac:dyDescent="0.3">
      <c r="A124" s="1"/>
      <c r="B124" s="59" t="str">
        <f t="shared" ref="B124:B127" si="1">B75</f>
        <v>Становая тяга</v>
      </c>
      <c r="C124" s="51"/>
      <c r="D124" s="51"/>
      <c r="E124" s="51"/>
      <c r="F124" s="1"/>
      <c r="G124" s="4" t="s">
        <v>76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5.75" customHeight="1" x14ac:dyDescent="0.3">
      <c r="A125" s="1"/>
      <c r="B125" s="60" t="str">
        <f t="shared" si="1"/>
        <v>Подъём штанги на бицепс</v>
      </c>
      <c r="C125" s="51"/>
      <c r="D125" s="51"/>
      <c r="E125" s="51"/>
      <c r="F125" s="1"/>
      <c r="G125" s="4" t="s">
        <v>77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5.75" customHeight="1" x14ac:dyDescent="0.3">
      <c r="A126" s="1"/>
      <c r="B126" s="60" t="str">
        <f t="shared" si="1"/>
        <v xml:space="preserve">Жим гантелей лёжа </v>
      </c>
      <c r="C126" s="51"/>
      <c r="D126" s="51"/>
      <c r="E126" s="51"/>
      <c r="F126" s="1"/>
      <c r="G126" s="5" t="s">
        <v>78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5.75" customHeight="1" x14ac:dyDescent="0.3">
      <c r="A127" s="1"/>
      <c r="B127" s="60" t="str">
        <f t="shared" si="1"/>
        <v>Разгибания рук на блоке</v>
      </c>
      <c r="C127" s="51"/>
      <c r="D127" s="51"/>
      <c r="E127" s="5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5.75" customHeight="1" x14ac:dyDescent="0.3">
      <c r="A128" s="1"/>
      <c r="B128" s="60" t="str">
        <f>IF(B79="+", "", B79)</f>
        <v/>
      </c>
      <c r="C128" s="51"/>
      <c r="D128" s="51"/>
      <c r="E128" s="51"/>
      <c r="F128" s="1"/>
      <c r="G128" s="4" t="s">
        <v>79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5.75" customHeight="1" x14ac:dyDescent="0.3">
      <c r="A129" s="1"/>
      <c r="B129" s="1"/>
      <c r="C129" s="18"/>
      <c r="D129" s="1"/>
      <c r="E129" s="1"/>
      <c r="F129" s="1"/>
      <c r="G129" s="1" t="s">
        <v>80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5.75" customHeight="1" x14ac:dyDescent="0.25">
      <c r="A130" s="1"/>
      <c r="B130" s="1"/>
      <c r="C130" s="1"/>
      <c r="D130" s="1"/>
      <c r="E130" s="1"/>
      <c r="F130" s="1"/>
      <c r="G130" s="64" t="s">
        <v>81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5.75" customHeight="1" x14ac:dyDescent="0.25">
      <c r="A131" s="1"/>
      <c r="B131" s="62" t="s">
        <v>50</v>
      </c>
      <c r="C131" s="58" t="s">
        <v>66</v>
      </c>
      <c r="D131" s="63" t="s">
        <v>67</v>
      </c>
      <c r="E131" s="58" t="s">
        <v>68</v>
      </c>
      <c r="F131" s="1"/>
      <c r="G131" s="1" t="s">
        <v>82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5.75" customHeight="1" x14ac:dyDescent="0.3">
      <c r="A132" s="1"/>
      <c r="B132" s="59" t="str">
        <f t="shared" ref="B132:B135" si="2">B83</f>
        <v>Приседания со штангой</v>
      </c>
      <c r="C132" s="51"/>
      <c r="D132" s="51"/>
      <c r="E132" s="51"/>
      <c r="F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5.75" customHeight="1" x14ac:dyDescent="0.3">
      <c r="A133" s="5"/>
      <c r="B133" s="60" t="str">
        <f t="shared" si="2"/>
        <v>Армейский жим</v>
      </c>
      <c r="C133" s="51"/>
      <c r="D133" s="51"/>
      <c r="E133" s="51"/>
      <c r="F133" s="1"/>
      <c r="G133" s="4" t="s">
        <v>83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5.75" customHeight="1" x14ac:dyDescent="0.3">
      <c r="A134" s="1"/>
      <c r="B134" s="60" t="str">
        <f t="shared" si="2"/>
        <v>Тяга штанги в наклоне</v>
      </c>
      <c r="C134" s="51"/>
      <c r="D134" s="51"/>
      <c r="E134" s="51"/>
      <c r="F134" s="1"/>
      <c r="G134" s="5" t="s">
        <v>84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5.75" customHeight="1" x14ac:dyDescent="0.3">
      <c r="A135" s="1"/>
      <c r="B135" s="60" t="str">
        <f t="shared" si="2"/>
        <v>Тяга горизонтального блока к поясу</v>
      </c>
      <c r="C135" s="51"/>
      <c r="D135" s="51"/>
      <c r="E135" s="51"/>
      <c r="F135" s="1"/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5.75" customHeight="1" x14ac:dyDescent="0.3">
      <c r="A136" s="1"/>
      <c r="B136" s="60" t="str">
        <f>IF(B87="+", "", B87)</f>
        <v/>
      </c>
      <c r="C136" s="51"/>
      <c r="D136" s="51"/>
      <c r="E136" s="51"/>
      <c r="F136" s="1"/>
      <c r="G136" s="4" t="s">
        <v>85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5.75" customHeight="1" x14ac:dyDescent="0.25">
      <c r="A137" s="1"/>
      <c r="B137" s="1"/>
      <c r="C137" s="1"/>
      <c r="D137" s="1"/>
      <c r="E137" s="1"/>
      <c r="F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5.75" customHeight="1" x14ac:dyDescent="0.3">
      <c r="A138" s="1"/>
      <c r="F138" s="1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5.75" customHeight="1" x14ac:dyDescent="0.3">
      <c r="A141" s="1"/>
      <c r="B141" s="4" t="s">
        <v>86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5.75" customHeight="1" x14ac:dyDescent="0.3">
      <c r="A142" s="1"/>
      <c r="B142" s="5" t="s">
        <v>87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5.75" customHeight="1" x14ac:dyDescent="0.3">
      <c r="A143" s="1"/>
      <c r="B143" s="5" t="s">
        <v>88</v>
      </c>
      <c r="C143" s="18"/>
      <c r="D143" s="5"/>
      <c r="E143" s="5"/>
      <c r="F143" s="5"/>
      <c r="G143" s="1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5.75" customHeight="1" x14ac:dyDescent="0.3">
      <c r="A146" s="1"/>
      <c r="B146" s="65" t="s">
        <v>89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5.75" customHeight="1" x14ac:dyDescent="0.25">
      <c r="A150" s="1"/>
      <c r="B150" s="1"/>
      <c r="C150" s="125" t="s">
        <v>90</v>
      </c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9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5.75" customHeight="1" x14ac:dyDescent="0.25">
      <c r="A151" s="1"/>
      <c r="B151" s="1"/>
      <c r="C151" s="120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2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5.75" customHeight="1" x14ac:dyDescent="0.25">
      <c r="A152" s="1"/>
      <c r="B152" s="1"/>
      <c r="C152" s="132" t="s">
        <v>91</v>
      </c>
      <c r="D152" s="133"/>
      <c r="E152" s="133"/>
      <c r="F152" s="134"/>
      <c r="G152" s="126" t="s">
        <v>32</v>
      </c>
      <c r="H152" s="127"/>
      <c r="I152" s="127"/>
      <c r="J152" s="128"/>
      <c r="K152" s="126" t="s">
        <v>92</v>
      </c>
      <c r="L152" s="127"/>
      <c r="M152" s="127"/>
      <c r="N152" s="128"/>
      <c r="O152" s="135" t="s">
        <v>93</v>
      </c>
      <c r="P152" s="128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5.75" customHeight="1" x14ac:dyDescent="0.25">
      <c r="A153" s="1"/>
      <c r="B153" s="57" t="s">
        <v>33</v>
      </c>
      <c r="C153" s="66" t="s">
        <v>94</v>
      </c>
      <c r="D153" s="66" t="s">
        <v>95</v>
      </c>
      <c r="E153" s="66" t="s">
        <v>94</v>
      </c>
      <c r="F153" s="67" t="s">
        <v>95</v>
      </c>
      <c r="G153" s="66" t="s">
        <v>94</v>
      </c>
      <c r="H153" s="66" t="s">
        <v>95</v>
      </c>
      <c r="I153" s="66" t="s">
        <v>94</v>
      </c>
      <c r="J153" s="66" t="s">
        <v>95</v>
      </c>
      <c r="K153" s="66" t="s">
        <v>94</v>
      </c>
      <c r="L153" s="66" t="s">
        <v>95</v>
      </c>
      <c r="M153" s="66" t="s">
        <v>94</v>
      </c>
      <c r="N153" s="66" t="s">
        <v>96</v>
      </c>
      <c r="O153" s="67" t="s">
        <v>94</v>
      </c>
      <c r="P153" s="66" t="s">
        <v>95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5.75" customHeight="1" x14ac:dyDescent="0.3">
      <c r="A154" s="1"/>
      <c r="B154" s="59" t="str">
        <f t="shared" ref="B154:B157" si="3">B116</f>
        <v>Жим штанги лёжа</v>
      </c>
      <c r="C154" s="68" t="str">
        <f>VLOOKUP(B67, Формулы!L9:AP11, 6,FALSE)</f>
        <v>0 кг</v>
      </c>
      <c r="D154" s="69" t="str">
        <f>VLOOKUP(B67, Формулы!L9:AP11, 7,FALSE)</f>
        <v>1х1</v>
      </c>
      <c r="E154" s="69" t="str">
        <f>VLOOKUP(B67, Формулы!L9:AP11, 8,FALSE)</f>
        <v>0 кг</v>
      </c>
      <c r="F154" s="70" t="str">
        <f>VLOOKUP(B67, Формулы!L9:AP11, 9,FALSE)</f>
        <v>5х3</v>
      </c>
      <c r="G154" s="68" t="str">
        <f>VLOOKUP(B67, Формулы!L9:AP11, 10,FALSE)</f>
        <v>0 кг</v>
      </c>
      <c r="H154" s="69" t="str">
        <f>VLOOKUP(B67, Формулы!L9:AP11, 11,FALSE)</f>
        <v>1х1</v>
      </c>
      <c r="I154" s="69" t="str">
        <f>VLOOKUP(B67, Формулы!L9:AP11, 12,FALSE)</f>
        <v>0 кг</v>
      </c>
      <c r="J154" s="71" t="str">
        <f>VLOOKUP(B67, Формулы!L9:AP11, 13,FALSE)</f>
        <v>4x2</v>
      </c>
      <c r="K154" s="68" t="str">
        <f>VLOOKUP(B67, Формулы!L9:AP11, 14,FALSE)</f>
        <v>0 кг</v>
      </c>
      <c r="L154" s="69" t="str">
        <f>VLOOKUP(B67, Формулы!L9:AP11, 15,FALSE)</f>
        <v>4х1</v>
      </c>
      <c r="M154" s="69" t="str">
        <f>VLOOKUP(B67, Формулы!L9:AP11, 16,FALSE)</f>
        <v>0 кг</v>
      </c>
      <c r="N154" s="71"/>
      <c r="O154" s="68" t="str">
        <f>VLOOKUP(B67, Формулы!L9:AP11, 18,FALSE)</f>
        <v>0 кг</v>
      </c>
      <c r="P154" s="71" t="str">
        <f>VLOOKUP(B67, Формулы!L9:AP11, 19,FALSE)</f>
        <v>4х4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5.75" customHeight="1" x14ac:dyDescent="0.3">
      <c r="A155" s="1"/>
      <c r="B155" s="60" t="str">
        <f t="shared" si="3"/>
        <v>Подтягивания (с отягощением)</v>
      </c>
      <c r="C155" s="72" t="str">
        <f>VLOOKUP(B68, Формулы!L13:AP15, 6,FALSE)</f>
        <v>0 кг</v>
      </c>
      <c r="D155" s="73" t="str">
        <f>VLOOKUP(B68, Формулы!L13:AP15, 7,FALSE)</f>
        <v>1х1</v>
      </c>
      <c r="E155" s="73" t="str">
        <f>VLOOKUP(B68, Формулы!L13:AP15, 8,FALSE)</f>
        <v>0 кг</v>
      </c>
      <c r="F155" s="74" t="str">
        <f>VLOOKUP(B68, Формулы!L13:AP15, 9,FALSE)</f>
        <v>5х3</v>
      </c>
      <c r="G155" s="72" t="str">
        <f>VLOOKUP(B68, Формулы!L13:AP15, 10,FALSE)</f>
        <v>0 кг</v>
      </c>
      <c r="H155" s="73" t="str">
        <f>VLOOKUP(B68, Формулы!L13:AP15, 11,FALSE)</f>
        <v>1х1</v>
      </c>
      <c r="I155" s="73" t="str">
        <f>VLOOKUP(B68, Формулы!L13:AP15, 12,FALSE)</f>
        <v>0 кг</v>
      </c>
      <c r="J155" s="75" t="str">
        <f>VLOOKUP(B68, Формулы!L13:AP15, 13,FALSE)</f>
        <v>4x2</v>
      </c>
      <c r="K155" s="72" t="str">
        <f>VLOOKUP(B68, Формулы!L13:AP15, 14,FALSE)</f>
        <v>0 кг</v>
      </c>
      <c r="L155" s="73" t="str">
        <f>VLOOKUP(B68, Формулы!L13:AP15, 15,FALSE)</f>
        <v>4х1</v>
      </c>
      <c r="M155" s="73" t="str">
        <f>VLOOKUP(B68, Формулы!L13:AP15, 16,FALSE)</f>
        <v>0 кг</v>
      </c>
      <c r="N155" s="75"/>
      <c r="O155" s="76" t="str">
        <f>VLOOKUP(B68, Формулы!L13:AP15, 18,FALSE)</f>
        <v>0 кг</v>
      </c>
      <c r="P155" s="77" t="str">
        <f>VLOOKUP(B68, Формулы!L13:AP15, 19,FALSE)</f>
        <v>4х4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5.75" customHeight="1" x14ac:dyDescent="0.3">
      <c r="A156" s="1"/>
      <c r="B156" s="60" t="str">
        <f t="shared" si="3"/>
        <v>Жим платформы ногами</v>
      </c>
      <c r="C156" s="76" t="e">
        <f>VLOOKUP(B69, Формулы!L54:AP56, 6,FALSE)</f>
        <v>#N/A</v>
      </c>
      <c r="D156" s="51" t="str">
        <f>VLOOKUP(B69, Формулы!L54:AP56, 7,FALSE)</f>
        <v>1х4</v>
      </c>
      <c r="E156" s="51" t="e">
        <f>VLOOKUP(B69, Формулы!L54:AP56, 8,FALSE)</f>
        <v>#N/A</v>
      </c>
      <c r="F156" s="78" t="str">
        <f>VLOOKUP(B69, Формулы!L54:AP56, 9,FALSE)</f>
        <v>4х6</v>
      </c>
      <c r="G156" s="76" t="e">
        <f>VLOOKUP(B69, Формулы!L54:AP56, 10,FALSE)</f>
        <v>#N/A</v>
      </c>
      <c r="H156" s="51" t="str">
        <f>VLOOKUP(B69, Формулы!L54:AP56, 11,FALSE)</f>
        <v>1х3</v>
      </c>
      <c r="I156" s="51" t="e">
        <f>VLOOKUP(B69, Формулы!L54:AP56, 12,FALSE)</f>
        <v>#N/A</v>
      </c>
      <c r="J156" s="77" t="str">
        <f>VLOOKUP(B69, Формулы!L54:AP56, 13,FALSE)</f>
        <v>4х5</v>
      </c>
      <c r="K156" s="76" t="e">
        <f>VLOOKUP(B69, Формулы!L54:AP56, 14,FALSE)</f>
        <v>#N/A</v>
      </c>
      <c r="L156" s="51" t="str">
        <f>VLOOKUP(B69, Формулы!L54:AP56, 15,FALSE)</f>
        <v>1х2</v>
      </c>
      <c r="M156" s="51" t="e">
        <f>VLOOKUP(B69, Формулы!L54:AP56, 16,FALSE)</f>
        <v>#N/A</v>
      </c>
      <c r="N156" s="77"/>
      <c r="O156" s="76" t="str">
        <f>VLOOKUP(B69, Формулы!L54:AP56, 18,FALSE)</f>
        <v>0 кг</v>
      </c>
      <c r="P156" s="77" t="str">
        <f>VLOOKUP(B69, Формулы!L54:AP56, 19,FALSE)</f>
        <v>4х4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5.75" customHeight="1" x14ac:dyDescent="0.3">
      <c r="A157" s="1"/>
      <c r="B157" s="60" t="str">
        <f t="shared" si="3"/>
        <v>Махи с гантелями в стороны</v>
      </c>
      <c r="C157" s="76" t="e">
        <f>VLOOKUP(B70, Формулы!L21:AP22, 6,FALSE)</f>
        <v>#N/A</v>
      </c>
      <c r="D157" s="51" t="str">
        <f>VLOOKUP(B70, Формулы!L21:AP22, 7,FALSE)</f>
        <v>3х12</v>
      </c>
      <c r="E157" s="51">
        <f>VLOOKUP(B70, Формулы!L21:AP22, 8,FALSE)</f>
        <v>0</v>
      </c>
      <c r="F157" s="78">
        <f>VLOOKUP(B70, Формулы!L21:AP22, 9,FALSE)</f>
        <v>0</v>
      </c>
      <c r="G157" s="76" t="e">
        <f>VLOOKUP(B70, Формулы!L21:AP22, 10,FALSE)</f>
        <v>#N/A</v>
      </c>
      <c r="H157" s="51" t="str">
        <f>VLOOKUP(B70, Формулы!L21:AP22, 11,FALSE)</f>
        <v>3х10</v>
      </c>
      <c r="I157" s="51" t="e">
        <f>VLOOKUP(B70, Формулы!L21:AP22, 12,FALSE)</f>
        <v>#N/A</v>
      </c>
      <c r="J157" s="77" t="str">
        <f>VLOOKUP(B70, Формулы!L21:AP22, 13,FALSE)</f>
        <v>RIR-1</v>
      </c>
      <c r="K157" s="76" t="e">
        <f>VLOOKUP(B70, Формулы!L21:AP22, 14,FALSE)</f>
        <v>#N/A</v>
      </c>
      <c r="L157" s="51" t="str">
        <f>VLOOKUP(B70, Формулы!L21:AP22, 15,FALSE)</f>
        <v>1х3</v>
      </c>
      <c r="M157" s="51" t="e">
        <f>VLOOKUP(B70, Формулы!L21:AP22, 16,FALSE)</f>
        <v>#N/A</v>
      </c>
      <c r="N157" s="77"/>
      <c r="O157" s="76">
        <f>VLOOKUP(B70, Формулы!L21:AP22, 18,FALSE)</f>
        <v>0</v>
      </c>
      <c r="P157" s="77">
        <f>VLOOKUP(B70, Формулы!L21:AP22, 19,FALSE)</f>
        <v>0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5.75" customHeight="1" x14ac:dyDescent="0.3">
      <c r="A158" s="1"/>
      <c r="B158" s="60" t="str">
        <f>IF(B120="+", "", B120)</f>
        <v/>
      </c>
      <c r="C158" s="79" t="str">
        <f>IF(B71=Формулы!L67,"",VLOOKUP(B71,Формулы!L67:AP69,6,FALSE))</f>
        <v/>
      </c>
      <c r="D158" s="80" t="str">
        <f>IF(B71=Формулы!L67,"",VLOOKUP(B71,Формулы!L67:AP69,7,FALSE))</f>
        <v/>
      </c>
      <c r="E158" s="80" t="str">
        <f>IF(B71=Формулы!L67,"",VLOOKUP(B71,Формулы!L67:AP69,8,FALSE))</f>
        <v/>
      </c>
      <c r="F158" s="81" t="str">
        <f>IF(B71=Формулы!L67,"",VLOOKUP(B71,Формулы!L67:AP69,9,FALSE))</f>
        <v/>
      </c>
      <c r="G158" s="79" t="str">
        <f>IF(B71=Формулы!L67,"",VLOOKUP(B71,Формулы!L67:AP69,10,FALSE))</f>
        <v/>
      </c>
      <c r="H158" s="80" t="str">
        <f>IF(B71=Формулы!L67,"",VLOOKUP(B71,Формулы!L67:AP69,11,FALSE))</f>
        <v/>
      </c>
      <c r="I158" s="80" t="str">
        <f>IF(B71=Формулы!L67,"",VLOOKUP(B71,Формулы!L67:AP69,12,FALSE))</f>
        <v/>
      </c>
      <c r="J158" s="82" t="str">
        <f>IF(B71=Формулы!L67,"",VLOOKUP(B71,Формулы!L67:AP69,13,FALSE))</f>
        <v/>
      </c>
      <c r="K158" s="79" t="str">
        <f>IF(B71=Формулы!L67,"",VLOOKUP(B71,Формулы!L67:AP69,14,FALSE))</f>
        <v/>
      </c>
      <c r="L158" s="80" t="str">
        <f>IF(B71=Формулы!L67,"",VLOOKUP(B71,Формулы!L67:AP69,15,FALSE))</f>
        <v/>
      </c>
      <c r="M158" s="80" t="str">
        <f>IF(B71=Формулы!L67,"",VLOOKUP(B71,Формулы!L67:AP69,16,FALSE))</f>
        <v/>
      </c>
      <c r="N158" s="82" t="str">
        <f>IF(B71=Формулы!L67,"",VLOOKUP(B71,Формулы!L67:AP69,17,FALSE))</f>
        <v/>
      </c>
      <c r="O158" s="79"/>
      <c r="P158" s="82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5.75" customHeight="1" x14ac:dyDescent="0.3">
      <c r="A159" s="1"/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5.75" customHeight="1" x14ac:dyDescent="0.25">
      <c r="A160" s="1"/>
      <c r="B160" s="1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4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5.75" customHeight="1" x14ac:dyDescent="0.25">
      <c r="A161" s="1"/>
      <c r="B161" s="62" t="s">
        <v>45</v>
      </c>
      <c r="C161" s="58" t="s">
        <v>94</v>
      </c>
      <c r="D161" s="58" t="s">
        <v>95</v>
      </c>
      <c r="E161" s="58" t="s">
        <v>94</v>
      </c>
      <c r="F161" s="63" t="s">
        <v>95</v>
      </c>
      <c r="G161" s="66" t="s">
        <v>94</v>
      </c>
      <c r="H161" s="66" t="s">
        <v>95</v>
      </c>
      <c r="I161" s="66" t="s">
        <v>94</v>
      </c>
      <c r="J161" s="66" t="s">
        <v>95</v>
      </c>
      <c r="K161" s="66" t="s">
        <v>94</v>
      </c>
      <c r="L161" s="66" t="s">
        <v>95</v>
      </c>
      <c r="M161" s="66" t="s">
        <v>94</v>
      </c>
      <c r="N161" s="66" t="s">
        <v>96</v>
      </c>
      <c r="O161" s="67" t="s">
        <v>94</v>
      </c>
      <c r="P161" s="66" t="s">
        <v>95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5.75" customHeight="1" x14ac:dyDescent="0.3">
      <c r="A162" s="1"/>
      <c r="B162" s="59" t="str">
        <f t="shared" ref="B162:B165" si="4">B124</f>
        <v>Становая тяга</v>
      </c>
      <c r="C162" s="85" t="str">
        <f>VLOOKUP(B75, Формулы!L24:AP26, 6,FALSE)</f>
        <v>0 кг</v>
      </c>
      <c r="D162" s="86" t="str">
        <f>VLOOKUP(B75, Формулы!L24:AP26, 7,FALSE)</f>
        <v>1х1</v>
      </c>
      <c r="E162" s="86" t="str">
        <f>VLOOKUP(B75, Формулы!L24:AP26, 8,FALSE)</f>
        <v>0 кг</v>
      </c>
      <c r="F162" s="87" t="str">
        <f>VLOOKUP(B75, Формулы!L24:AP26, 9,FALSE)</f>
        <v>4х3</v>
      </c>
      <c r="G162" s="68" t="str">
        <f>VLOOKUP(B75, Формулы!L24:AP26, 10,FALSE)</f>
        <v>0 кг</v>
      </c>
      <c r="H162" s="69" t="str">
        <f>VLOOKUP(B75, Формулы!L24:AP26, 11,FALSE)</f>
        <v>1х1</v>
      </c>
      <c r="I162" s="69" t="str">
        <f>VLOOKUP(B75, Формулы!L24:AP26, 12,FALSE)</f>
        <v>0 кг</v>
      </c>
      <c r="J162" s="71" t="str">
        <f>VLOOKUP(B75, Формулы!L24:AP26, 13,FALSE)</f>
        <v>4x2</v>
      </c>
      <c r="K162" s="68" t="str">
        <f>VLOOKUP(B75, Формулы!L24:AP26, 14,FALSE)</f>
        <v>0 кг</v>
      </c>
      <c r="L162" s="69" t="str">
        <f>VLOOKUP(B75, Формулы!L24:AP26, 15,FALSE)</f>
        <v>4х1</v>
      </c>
      <c r="M162" s="69" t="str">
        <f>VLOOKUP(B75, Формулы!L24:AP26, 16,FALSE)</f>
        <v>0 кг</v>
      </c>
      <c r="N162" s="71"/>
      <c r="O162" s="88" t="str">
        <f>VLOOKUP(B75, Формулы!L24:AP26, 18,FALSE)</f>
        <v>0 кг</v>
      </c>
      <c r="P162" s="71" t="str">
        <f>VLOOKUP(B75, Формулы!L24:AP26, 19,FALSE)</f>
        <v>4х4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5.75" customHeight="1" x14ac:dyDescent="0.3">
      <c r="A163" s="1"/>
      <c r="B163" s="60" t="str">
        <f t="shared" si="4"/>
        <v>Подъём штанги на бицепс</v>
      </c>
      <c r="C163" s="76" t="str">
        <f>VLOOKUP(B76, Формулы!L33:AP34, 6,FALSE)</f>
        <v>0 кг</v>
      </c>
      <c r="D163" s="51" t="str">
        <f>VLOOKUP(B76, Формулы!L33:AP34, 7,FALSE)</f>
        <v>1х1</v>
      </c>
      <c r="E163" s="51" t="str">
        <f>VLOOKUP(B76, Формулы!L33:AP34, 8,FALSE)</f>
        <v>0 кг</v>
      </c>
      <c r="F163" s="77" t="str">
        <f>VLOOKUP(B76, Формулы!L33:AP34, 9,FALSE)</f>
        <v>4х3</v>
      </c>
      <c r="G163" s="76" t="str">
        <f>VLOOKUP(B76, Формулы!L33:AP34, 10,FALSE)</f>
        <v>0 кг</v>
      </c>
      <c r="H163" s="51" t="str">
        <f>VLOOKUP(B76, Формулы!L33:AP34, 11,FALSE)</f>
        <v>1х1</v>
      </c>
      <c r="I163" s="51" t="str">
        <f>VLOOKUP(B76, Формулы!L33:AP34, 12,FALSE)</f>
        <v>0 кг</v>
      </c>
      <c r="J163" s="77" t="str">
        <f>VLOOKUP(B76, Формулы!L33:AP34, 13,FALSE)</f>
        <v>4x2</v>
      </c>
      <c r="K163" s="76" t="str">
        <f>VLOOKUP(B76, Формулы!L33:AP34, 14,FALSE)</f>
        <v>0 кг</v>
      </c>
      <c r="L163" s="51" t="str">
        <f>VLOOKUP(B76, Формулы!L33:AP34, 15,FALSE)</f>
        <v>4х1</v>
      </c>
      <c r="M163" s="51" t="str">
        <f>VLOOKUP(B76, Формулы!L33:AP34, 16,FALSE)</f>
        <v>0 кг</v>
      </c>
      <c r="N163" s="77"/>
      <c r="O163" s="88" t="str">
        <f>VLOOKUP(B76, Формулы!L33:AP34, 18,FALSE)</f>
        <v>0 кг</v>
      </c>
      <c r="P163" s="77" t="str">
        <f>VLOOKUP(B76, Формулы!L33:AP34, 19,FALSE)</f>
        <v>4х4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5.75" customHeight="1" x14ac:dyDescent="0.3">
      <c r="A164" s="1"/>
      <c r="B164" s="60" t="str">
        <f t="shared" si="4"/>
        <v xml:space="preserve">Жим гантелей лёжа </v>
      </c>
      <c r="C164" s="76" t="e">
        <f>VLOOKUP(B77, Формулы!L28:AP30, 6,FALSE)</f>
        <v>#N/A</v>
      </c>
      <c r="D164" s="51" t="str">
        <f>VLOOKUP(B77, Формулы!L28:AP30, 7,FALSE)</f>
        <v>1х3</v>
      </c>
      <c r="E164" s="51" t="e">
        <f>VLOOKUP(B77, Формулы!L28:AP30, 8,FALSE)</f>
        <v>#N/A</v>
      </c>
      <c r="F164" s="77" t="str">
        <f>VLOOKUP(B77, Формулы!L28:AP30, 9,FALSE)</f>
        <v>3х5</v>
      </c>
      <c r="G164" s="76" t="e">
        <f>VLOOKUP(B77, Формулы!L28:AP30, 10,FALSE)</f>
        <v>#N/A</v>
      </c>
      <c r="H164" s="51" t="str">
        <f>VLOOKUP(B77, Формулы!L28:AP30, 11,FALSE)</f>
        <v>1х2</v>
      </c>
      <c r="I164" s="51" t="e">
        <f>VLOOKUP(B77, Формулы!L28:AP30, 12,FALSE)</f>
        <v>#N/A</v>
      </c>
      <c r="J164" s="77" t="str">
        <f>VLOOKUP(B77, Формулы!L28:AP30, 13,FALSE)</f>
        <v>4х4</v>
      </c>
      <c r="K164" s="76" t="e">
        <f>VLOOKUP(B77, Формулы!L28:AP30, 14,FALSE)</f>
        <v>#N/A</v>
      </c>
      <c r="L164" s="51" t="str">
        <f>VLOOKUP(B77, Формулы!L28:AP30, 15,FALSE)</f>
        <v>3х2</v>
      </c>
      <c r="M164" s="51" t="e">
        <f>VLOOKUP(B77, Формулы!L28:AP30, 16,FALSE)</f>
        <v>#N/A</v>
      </c>
      <c r="N164" s="77"/>
      <c r="O164" s="88" t="str">
        <f>VLOOKUP(B77, Формулы!L28:AP30, 18,FALSE)</f>
        <v>0 кг</v>
      </c>
      <c r="P164" s="77" t="str">
        <f>VLOOKUP(B77, Формулы!L28:AP30, 19,FALSE)</f>
        <v>4х4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5.75" customHeight="1" x14ac:dyDescent="0.3">
      <c r="A165" s="1"/>
      <c r="B165" s="60" t="str">
        <f t="shared" si="4"/>
        <v>Разгибания рук на блоке</v>
      </c>
      <c r="C165" s="76" t="e">
        <f>VLOOKUP(B78, Формулы!L36:AP38, 6,FALSE)</f>
        <v>#N/A</v>
      </c>
      <c r="D165" s="51" t="str">
        <f>VLOOKUP(B78, Формулы!L36:AP38, 7,FALSE)</f>
        <v>1х4</v>
      </c>
      <c r="E165" s="51" t="e">
        <f>VLOOKUP(B78, Формулы!L36:AP38, 8,FALSE)</f>
        <v>#N/A</v>
      </c>
      <c r="F165" s="77" t="str">
        <f>VLOOKUP(B78, Формулы!L36:AP38, 9,FALSE)</f>
        <v>3х6</v>
      </c>
      <c r="G165" s="76" t="e">
        <f>VLOOKUP(B78, Формулы!L36:AP38, 10,FALSE)</f>
        <v>#N/A</v>
      </c>
      <c r="H165" s="51" t="str">
        <f>VLOOKUP(B78, Формулы!L36:AP38, 11,FALSE)</f>
        <v>1х3</v>
      </c>
      <c r="I165" s="51" t="e">
        <f>VLOOKUP(B78, Формулы!L36:AP38, 12,FALSE)</f>
        <v>#N/A</v>
      </c>
      <c r="J165" s="77" t="str">
        <f>VLOOKUP(B78, Формулы!L36:AP38, 13,FALSE)</f>
        <v>3х5</v>
      </c>
      <c r="K165" s="76" t="e">
        <f>VLOOKUP(B78, Формулы!L36:AP38, 14,FALSE)</f>
        <v>#N/A</v>
      </c>
      <c r="L165" s="51" t="str">
        <f>VLOOKUP(B78, Формулы!L36:AP38, 15,FALSE)</f>
        <v>1х2</v>
      </c>
      <c r="M165" s="51" t="e">
        <f>VLOOKUP(B78, Формулы!L36:AP38, 16,FALSE)</f>
        <v>#N/A</v>
      </c>
      <c r="N165" s="77"/>
      <c r="O165" s="88" t="str">
        <f>VLOOKUP(B78, Формулы!L36:AP38, 18,FALSE)</f>
        <v>0 кг</v>
      </c>
      <c r="P165" s="77" t="str">
        <f>VLOOKUP(B78, Формулы!L36:AP38, 19,FALSE)</f>
        <v>4х4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5.75" customHeight="1" x14ac:dyDescent="0.3">
      <c r="A166" s="1"/>
      <c r="B166" s="60" t="str">
        <f>IF(B128="+", "", B128)</f>
        <v/>
      </c>
      <c r="C166" s="79" t="str">
        <f>IF(B79=Формулы!L63,"",VLOOKUP(B79,Формулы!L39:AP41,6,FALSE))</f>
        <v/>
      </c>
      <c r="D166" s="80" t="str">
        <f>IF(B79=Формулы!L63,"",VLOOKUP(B79,Формулы!L39:AP41,7,FALSE))</f>
        <v/>
      </c>
      <c r="E166" s="80" t="str">
        <f>IF(B79=Формулы!L63,"",VLOOKUP(B79,Формулы!L39:AP41,8,FALSE))</f>
        <v/>
      </c>
      <c r="F166" s="82" t="str">
        <f>IF(B79=Формулы!L63,"",VLOOKUP(B79,Формулы!L39:AP41,9,FALSE))</f>
        <v/>
      </c>
      <c r="G166" s="79" t="str">
        <f>IF(B79=Формулы!L63,"",VLOOKUP(B79,Формулы!L39:AP41,10,FALSE))</f>
        <v/>
      </c>
      <c r="H166" s="80" t="str">
        <f>IF(B79=Формулы!L63,"",VLOOKUP(B79,Формулы!L39:AP41,11,FALSE))</f>
        <v/>
      </c>
      <c r="I166" s="80" t="str">
        <f>IF(B79=Формулы!L63,"",VLOOKUP(B79,Формулы!L39:AP41,12,FALSE))</f>
        <v/>
      </c>
      <c r="J166" s="82" t="str">
        <f>IF(B79=Формулы!L63,"",VLOOKUP(B79,Формулы!L39:AP41,13,FALSE))</f>
        <v/>
      </c>
      <c r="K166" s="79" t="str">
        <f>IF(B79=Формулы!L63,"",VLOOKUP(B79,Формулы!L39:AP41,14,FALSE))</f>
        <v/>
      </c>
      <c r="L166" s="80" t="str">
        <f>IF(B79=Формулы!L63,"",VLOOKUP(B79,Формулы!L39:AP41,15,FALSE))</f>
        <v/>
      </c>
      <c r="M166" s="80" t="str">
        <f>IF(B79=Формулы!L63,"",VLOOKUP(B79,Формулы!L39:AP41,16,FALSE))</f>
        <v/>
      </c>
      <c r="N166" s="82"/>
      <c r="O166" s="89" t="str">
        <f>IF(B79=Формулы!L63,"",VLOOKUP(B79,Формулы!L39:AP41,18,FALSE))</f>
        <v/>
      </c>
      <c r="P166" s="82" t="str">
        <f>IF(B79=Формулы!L63,"",VLOOKUP(B79,Формулы!L39:AP41,19,FALSE))</f>
        <v/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5.75" customHeight="1" x14ac:dyDescent="0.25">
      <c r="A168" s="1"/>
      <c r="B168" s="1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4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5.75" customHeight="1" x14ac:dyDescent="0.25">
      <c r="A169" s="1"/>
      <c r="B169" s="57" t="s">
        <v>50</v>
      </c>
      <c r="C169" s="66" t="s">
        <v>94</v>
      </c>
      <c r="D169" s="66" t="s">
        <v>95</v>
      </c>
      <c r="E169" s="66" t="s">
        <v>94</v>
      </c>
      <c r="F169" s="66" t="s">
        <v>95</v>
      </c>
      <c r="G169" s="66" t="s">
        <v>94</v>
      </c>
      <c r="H169" s="66" t="s">
        <v>95</v>
      </c>
      <c r="I169" s="66" t="s">
        <v>94</v>
      </c>
      <c r="J169" s="66" t="s">
        <v>95</v>
      </c>
      <c r="K169" s="66" t="s">
        <v>94</v>
      </c>
      <c r="L169" s="66" t="s">
        <v>95</v>
      </c>
      <c r="M169" s="66" t="s">
        <v>94</v>
      </c>
      <c r="N169" s="66" t="s">
        <v>96</v>
      </c>
      <c r="O169" s="67" t="s">
        <v>94</v>
      </c>
      <c r="P169" s="66" t="s">
        <v>95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5.75" customHeight="1" x14ac:dyDescent="0.3">
      <c r="A170" s="1"/>
      <c r="B170" s="59" t="str">
        <f t="shared" ref="B170:B173" si="5">B132</f>
        <v>Приседания со штангой</v>
      </c>
      <c r="C170" s="68" t="str">
        <f>VLOOKUP(B83, Формулы!L17:AP19, 6,FALSE)</f>
        <v>0 кг</v>
      </c>
      <c r="D170" s="69" t="str">
        <f>VLOOKUP(B83, Формулы!L17:AP19, 7,FALSE)</f>
        <v>1х1</v>
      </c>
      <c r="E170" s="69" t="str">
        <f>VLOOKUP(B83, Формулы!L17:AP19, 8,FALSE)</f>
        <v>0 кг</v>
      </c>
      <c r="F170" s="71" t="str">
        <f>VLOOKUP(B83, Формулы!L17:AP19, 9,FALSE)</f>
        <v>4х3</v>
      </c>
      <c r="G170" s="68" t="str">
        <f>VLOOKUP(B83, Формулы!L17:AP19, 10,FALSE)</f>
        <v>0 кг</v>
      </c>
      <c r="H170" s="69" t="str">
        <f>VLOOKUP(B83, Формулы!L17:AP19, 11,FALSE)</f>
        <v>1х1</v>
      </c>
      <c r="I170" s="69" t="str">
        <f>VLOOKUP(B83, Формулы!L17:AP19, 12,FALSE)</f>
        <v>0 кг</v>
      </c>
      <c r="J170" s="71" t="str">
        <f>VLOOKUP(B83, Формулы!L17:AP19, 13,FALSE)</f>
        <v>4x2</v>
      </c>
      <c r="K170" s="68" t="str">
        <f>VLOOKUP(B83, Формулы!L17:AP19, 14,FALSE)</f>
        <v>0 кг</v>
      </c>
      <c r="L170" s="69" t="str">
        <f>VLOOKUP(B83, Формулы!L17:AP19, 15,FALSE)</f>
        <v>4х1</v>
      </c>
      <c r="M170" s="69" t="str">
        <f>VLOOKUP(B83, Формулы!L17:AP19, 16,FALSE)</f>
        <v>0 кг</v>
      </c>
      <c r="N170" s="71"/>
      <c r="O170" s="68" t="str">
        <f>VLOOKUP(B83, Формулы!L17:AP19, 18,FALSE)</f>
        <v>0 кг</v>
      </c>
      <c r="P170" s="71" t="str">
        <f>VLOOKUP(B83, Формулы!L17:AP19, 19,FALSE)</f>
        <v>4х4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5.75" customHeight="1" x14ac:dyDescent="0.3">
      <c r="A171" s="1"/>
      <c r="B171" s="60" t="str">
        <f t="shared" si="5"/>
        <v>Армейский жим</v>
      </c>
      <c r="C171" s="76" t="str">
        <f>VLOOKUP(B84, Формулы!L44:AP45, 6,FALSE)</f>
        <v>0 кг</v>
      </c>
      <c r="D171" s="51" t="str">
        <f>VLOOKUP(B84, Формулы!L44:AP45, 7,FALSE)</f>
        <v>1х1</v>
      </c>
      <c r="E171" s="51" t="str">
        <f>VLOOKUP(B84, Формулы!L44:AP45, 8,FALSE)</f>
        <v>0 кг</v>
      </c>
      <c r="F171" s="77" t="str">
        <f>VLOOKUP(B84, Формулы!L44:AP45, 9,FALSE)</f>
        <v>4х3</v>
      </c>
      <c r="G171" s="76" t="str">
        <f>VLOOKUP(B84, Формулы!L44:AP45, 10,FALSE)</f>
        <v>0 кг</v>
      </c>
      <c r="H171" s="51" t="str">
        <f>VLOOKUP(B84, Формулы!L44:AP45, 11,FALSE)</f>
        <v>1х1</v>
      </c>
      <c r="I171" s="51" t="str">
        <f>VLOOKUP(B84, Формулы!L44:AP45, 12,FALSE)</f>
        <v>0 кг</v>
      </c>
      <c r="J171" s="77" t="str">
        <f>VLOOKUP(B84, Формулы!L44:AP45, 13,FALSE)</f>
        <v>4x2</v>
      </c>
      <c r="K171" s="76" t="str">
        <f>VLOOKUP(B84, Формулы!L44:AP45, 14,FALSE)</f>
        <v>0 кг</v>
      </c>
      <c r="L171" s="51" t="str">
        <f>VLOOKUP(B84, Формулы!L44:AP45, 15,FALSE)</f>
        <v>4х1</v>
      </c>
      <c r="M171" s="51" t="str">
        <f>VLOOKUP(B84, Формулы!L44:AP45, 16,FALSE)</f>
        <v>0 кг</v>
      </c>
      <c r="N171" s="77"/>
      <c r="O171" s="76" t="str">
        <f>VLOOKUP(B84, Формулы!L44:AP45, 18,FALSE)</f>
        <v>0 кг</v>
      </c>
      <c r="P171" s="77" t="str">
        <f>VLOOKUP(B84, Формулы!L44:AP45, 19,FALSE)</f>
        <v>4х4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5.75" customHeight="1" x14ac:dyDescent="0.3">
      <c r="A172" s="1"/>
      <c r="B172" s="60" t="str">
        <f t="shared" si="5"/>
        <v>Тяга штанги в наклоне</v>
      </c>
      <c r="C172" s="76" t="e">
        <f>VLOOKUP(B85, Формулы!L48:AP50, 6,FALSE)</f>
        <v>#N/A</v>
      </c>
      <c r="D172" s="51" t="str">
        <f>VLOOKUP(B85, Формулы!L48:AP50, 7,FALSE)</f>
        <v>1х2</v>
      </c>
      <c r="E172" s="51" t="e">
        <f>VLOOKUP(B85, Формулы!L48:AP50, 8,FALSE)</f>
        <v>#N/A</v>
      </c>
      <c r="F172" s="77" t="str">
        <f>VLOOKUP(B85, Формулы!L48:AP50, 9,FALSE)</f>
        <v>4х4</v>
      </c>
      <c r="G172" s="76" t="e">
        <f>VLOOKUP(B85, Формулы!L48:AP50, 10,FALSE)</f>
        <v>#N/A</v>
      </c>
      <c r="H172" s="51" t="str">
        <f>VLOOKUP(B85, Формулы!L48:AP50, 11,FALSE)</f>
        <v>1х2</v>
      </c>
      <c r="I172" s="51" t="e">
        <f>VLOOKUP(B85, Формулы!L48:AP50, 12,FALSE)</f>
        <v>#N/A</v>
      </c>
      <c r="J172" s="77" t="str">
        <f>VLOOKUP(B85, Формулы!L48:AP50, 13,FALSE)</f>
        <v>4х3</v>
      </c>
      <c r="K172" s="76" t="e">
        <f>VLOOKUP(B85, Формулы!L48:AP50, 14,FALSE)</f>
        <v>#N/A</v>
      </c>
      <c r="L172" s="51" t="str">
        <f>VLOOKUP(B85, Формулы!L48:AP50, 15,FALSE)</f>
        <v>4х1</v>
      </c>
      <c r="M172" s="51" t="e">
        <f>VLOOKUP(B85, Формулы!L48:AP50, 16,FALSE)</f>
        <v>#N/A</v>
      </c>
      <c r="N172" s="77"/>
      <c r="O172" s="76" t="str">
        <f>VLOOKUP(B85, Формулы!L48:AP50, 18,FALSE)</f>
        <v>0 кг</v>
      </c>
      <c r="P172" s="77" t="str">
        <f>VLOOKUP(B85, Формулы!L48:AP50, 19,FALSE)</f>
        <v>3х4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5.75" customHeight="1" x14ac:dyDescent="0.3">
      <c r="A173" s="1"/>
      <c r="B173" s="60" t="str">
        <f t="shared" si="5"/>
        <v>Тяга горизонтального блока к поясу</v>
      </c>
      <c r="C173" s="72" t="e">
        <f>VLOOKUP(B86, Формулы!L59:AP61, 6,FALSE)</f>
        <v>#N/A</v>
      </c>
      <c r="D173" s="73" t="str">
        <f>VLOOKUP(B86, Формулы!L59:AP61, 7,FALSE)</f>
        <v>1х4</v>
      </c>
      <c r="E173" s="73" t="e">
        <f>VLOOKUP(B86, Формулы!L59:AP61, 8,FALSE)</f>
        <v>#N/A</v>
      </c>
      <c r="F173" s="75" t="str">
        <f>VLOOKUP(B86, Формулы!L59:AP61, 9,FALSE)</f>
        <v>3х8</v>
      </c>
      <c r="G173" s="72" t="e">
        <f>VLOOKUP(B86, Формулы!L59:AP61, 10,FALSE)</f>
        <v>#N/A</v>
      </c>
      <c r="H173" s="73" t="str">
        <f>VLOOKUP(B86, Формулы!L59:AP61, 11,FALSE)</f>
        <v>1х3</v>
      </c>
      <c r="I173" s="73" t="e">
        <f>VLOOKUP(B86, Формулы!L59:AP61, 12,FALSE)</f>
        <v>#N/A</v>
      </c>
      <c r="J173" s="75" t="str">
        <f>VLOOKUP(B86, Формулы!L59:AP61, 13,FALSE)</f>
        <v>3х6</v>
      </c>
      <c r="K173" s="72" t="e">
        <f>VLOOKUP(B86, Формулы!L59:AP61, 14,FALSE)</f>
        <v>#N/A</v>
      </c>
      <c r="L173" s="73" t="str">
        <f>VLOOKUP(B86, Формулы!L59:AP61, 15,FALSE)</f>
        <v>1х2</v>
      </c>
      <c r="M173" s="73" t="e">
        <f>VLOOKUP(B86, Формулы!L59:AP61, 16,FALSE)</f>
        <v>#N/A</v>
      </c>
      <c r="N173" s="75"/>
      <c r="O173" s="76" t="str">
        <f>VLOOKUP(B86, Формулы!L59:AP61, 18,FALSE)</f>
        <v>0 кг</v>
      </c>
      <c r="P173" s="77" t="str">
        <f>VLOOKUP(B86, Формулы!L59:AP61, 19,FALSE)</f>
        <v>4х4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5.75" customHeight="1" x14ac:dyDescent="0.3">
      <c r="A174" s="1"/>
      <c r="B174" s="60" t="str">
        <f>IF(B87="+", "", B87)</f>
        <v/>
      </c>
      <c r="C174" s="79" t="str">
        <f>IF(B87=Формулы!L63,"",VLOOKUP(B87,Формулы!L63:AP65,6,FALSE))</f>
        <v/>
      </c>
      <c r="D174" s="80" t="str">
        <f>IF(B87=Формулы!L63,"",VLOOKUP(B87,Формулы!L63:AP65,7,FALSE))</f>
        <v/>
      </c>
      <c r="E174" s="80" t="str">
        <f>IF(B87=Формулы!L63,"",VLOOKUP(B87,Формулы!L63:AP65,8,FALSE))</f>
        <v/>
      </c>
      <c r="F174" s="82" t="str">
        <f>IF(B87=Формулы!L63,"",VLOOKUP(B87,Формулы!L63:AP65,9,FALSE))</f>
        <v/>
      </c>
      <c r="G174" s="79" t="str">
        <f>IF(B87=Формулы!L63,"",VLOOKUP(B87,Формулы!L63:AP65,10,FALSE))</f>
        <v/>
      </c>
      <c r="H174" s="80" t="str">
        <f>IF(B87=Формулы!L63,"",VLOOKUP(B87,Формулы!L63:AP65,11,FALSE))</f>
        <v/>
      </c>
      <c r="I174" s="80" t="str">
        <f>IF(B87=Формулы!L63,"",VLOOKUP(B87,Формулы!L63:AP65,12,FALSE))</f>
        <v/>
      </c>
      <c r="J174" s="82" t="str">
        <f>IF(B87=Формулы!L63,"",VLOOKUP(B87,Формулы!L63:AP65,13,FALSE))</f>
        <v/>
      </c>
      <c r="K174" s="79" t="str">
        <f>IF(B87=Формулы!L63,"",VLOOKUP(B87,Формулы!L63:AP65,14,FALSE))</f>
        <v/>
      </c>
      <c r="L174" s="80" t="str">
        <f>IF(B87=Формулы!L63,"",VLOOKUP(B87,Формулы!L63:AP65,15,FALSE))</f>
        <v/>
      </c>
      <c r="M174" s="80" t="str">
        <f>IF(B87=Формулы!L63,"",VLOOKUP(B87,Формулы!L63:AP65,16,FALSE))</f>
        <v/>
      </c>
      <c r="N174" s="82"/>
      <c r="O174" s="79" t="str">
        <f>IF(B87=Формулы!L63,"",VLOOKUP(B87,Формулы!L63:AP65,18,FALSE))</f>
        <v/>
      </c>
      <c r="P174" s="82" t="str">
        <f>IF(B87=Формулы!L63,"",VLOOKUP(B87,Формулы!L63:AP65,19,FALSE))</f>
        <v/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5.75" customHeight="1" x14ac:dyDescent="0.25">
      <c r="A177" s="1"/>
      <c r="B177" s="1"/>
      <c r="C177" s="125" t="s">
        <v>97</v>
      </c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9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5.75" customHeight="1" x14ac:dyDescent="0.25">
      <c r="A178" s="1"/>
      <c r="B178" s="1"/>
      <c r="C178" s="120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5.75" customHeight="1" x14ac:dyDescent="0.25">
      <c r="A179" s="1"/>
      <c r="B179" s="1"/>
      <c r="C179" s="126" t="s">
        <v>91</v>
      </c>
      <c r="D179" s="127"/>
      <c r="E179" s="127"/>
      <c r="F179" s="128"/>
      <c r="G179" s="126" t="s">
        <v>32</v>
      </c>
      <c r="H179" s="127"/>
      <c r="I179" s="127"/>
      <c r="J179" s="128"/>
      <c r="K179" s="126" t="s">
        <v>92</v>
      </c>
      <c r="L179" s="127"/>
      <c r="M179" s="127"/>
      <c r="N179" s="128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5.75" customHeight="1" x14ac:dyDescent="0.25">
      <c r="A180" s="1"/>
      <c r="B180" s="62" t="s">
        <v>33</v>
      </c>
      <c r="C180" s="66" t="s">
        <v>94</v>
      </c>
      <c r="D180" s="66" t="s">
        <v>95</v>
      </c>
      <c r="E180" s="66" t="s">
        <v>94</v>
      </c>
      <c r="F180" s="66" t="s">
        <v>95</v>
      </c>
      <c r="G180" s="66" t="s">
        <v>94</v>
      </c>
      <c r="H180" s="66" t="s">
        <v>95</v>
      </c>
      <c r="I180" s="66" t="s">
        <v>94</v>
      </c>
      <c r="J180" s="66" t="s">
        <v>95</v>
      </c>
      <c r="K180" s="66" t="s">
        <v>94</v>
      </c>
      <c r="L180" s="66" t="s">
        <v>95</v>
      </c>
      <c r="M180" s="66" t="s">
        <v>94</v>
      </c>
      <c r="N180" s="66" t="s">
        <v>96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5.75" customHeight="1" x14ac:dyDescent="0.3">
      <c r="A181" s="1"/>
      <c r="B181" s="45" t="str">
        <f t="shared" ref="B181:B184" si="6">B154</f>
        <v>Жим штанги лёжа</v>
      </c>
      <c r="C181" s="69" t="str">
        <f>VLOOKUP(B67, Формулы!L9:AP11, 20,FALSE)</f>
        <v>0 кг</v>
      </c>
      <c r="D181" s="69" t="str">
        <f>VLOOKUP(B67, Формулы!L9:AP11, 21,FALSE)</f>
        <v>1х1</v>
      </c>
      <c r="E181" s="69" t="str">
        <f>VLOOKUP(B67, Формулы!L9:AP11, 22,FALSE)</f>
        <v>0 кг</v>
      </c>
      <c r="F181" s="69" t="str">
        <f>VLOOKUP(B67, Формулы!L9:AP11, 23,FALSE)</f>
        <v>4х3</v>
      </c>
      <c r="G181" s="69" t="str">
        <f>VLOOKUP(B67, Формулы!L9:AP11, 24,FALSE)</f>
        <v>0 кг</v>
      </c>
      <c r="H181" s="69" t="str">
        <f>VLOOKUP(B67, Формулы!L9:AP11, 25,FALSE)</f>
        <v>1х1</v>
      </c>
      <c r="I181" s="69" t="str">
        <f>VLOOKUP(B67, Формулы!L9:AP11, 26,FALSE)</f>
        <v>0 кг</v>
      </c>
      <c r="J181" s="69" t="str">
        <f>VLOOKUP(B67, Формулы!L9:AP11, 27,FALSE)</f>
        <v>4х2</v>
      </c>
      <c r="K181" s="69" t="str">
        <f>VLOOKUP(B67, Формулы!L9:AP11, 28,FALSE)</f>
        <v>0 (±5) кг (≈100%ПМ)</v>
      </c>
      <c r="L181" s="69" t="str">
        <f>VLOOKUP(B67, Формулы!L9:AP11, 29,FALSE)</f>
        <v>1х1</v>
      </c>
      <c r="M181" s="69" t="str">
        <f>VLOOKUP(B67, Формулы!L9:AP11, 30,FALSE)</f>
        <v>0 кг</v>
      </c>
      <c r="N181" s="69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5.75" customHeight="1" x14ac:dyDescent="0.3">
      <c r="A182" s="1"/>
      <c r="B182" s="48" t="str">
        <f t="shared" si="6"/>
        <v>Подтягивания (с отягощением)</v>
      </c>
      <c r="C182" s="73" t="str">
        <f>VLOOKUP(B68, Формулы!L13:AP15, 20,FALSE)</f>
        <v>0 кг</v>
      </c>
      <c r="D182" s="73" t="str">
        <f>VLOOKUP(B68, Формулы!L13:AP15, 21,FALSE)</f>
        <v>1х1</v>
      </c>
      <c r="E182" s="73" t="str">
        <f>VLOOKUP(B68, Формулы!L13:AP15, 22,FALSE)</f>
        <v>0 кг</v>
      </c>
      <c r="F182" s="73" t="str">
        <f>VLOOKUP(B68, Формулы!L13:AP15, 23,FALSE)</f>
        <v>4х3</v>
      </c>
      <c r="G182" s="73" t="str">
        <f>VLOOKUP(B68, Формулы!L13:AP15, 24,FALSE)</f>
        <v>0 кг</v>
      </c>
      <c r="H182" s="73" t="str">
        <f>VLOOKUP(B68, Формулы!L13:AP15, 25,FALSE)</f>
        <v>1х1</v>
      </c>
      <c r="I182" s="73" t="str">
        <f>VLOOKUP(B68, Формулы!L13:AP15, 26,FALSE)</f>
        <v>0 кг</v>
      </c>
      <c r="J182" s="73" t="str">
        <f>VLOOKUP(B68, Формулы!L13:AP15, 27,FALSE)</f>
        <v>4х2</v>
      </c>
      <c r="K182" s="73" t="str">
        <f>VLOOKUP(B68, Формулы!L13:AP15, 28,FALSE)</f>
        <v>0(±5) кг (≈100%ПМ)</v>
      </c>
      <c r="L182" s="73" t="str">
        <f>VLOOKUP(B68, Формулы!L13:AP15, 29,FALSE)</f>
        <v>1х1</v>
      </c>
      <c r="M182" s="73" t="str">
        <f>VLOOKUP(B68, Формулы!L13:AP15, 30,FALSE)</f>
        <v>0 кг</v>
      </c>
      <c r="N182" s="73">
        <f>VLOOKUP(B68, Формулы!L13:AP15, 31,FALSE)</f>
        <v>0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5.75" customHeight="1" x14ac:dyDescent="0.3">
      <c r="A183" s="1"/>
      <c r="B183" s="48" t="str">
        <f t="shared" si="6"/>
        <v>Жим платформы ногами</v>
      </c>
      <c r="C183" s="51" t="str">
        <f>VLOOKUP(B69, Формулы!L54:AP56, 20,FALSE)</f>
        <v>0 кг</v>
      </c>
      <c r="D183" s="51" t="str">
        <f>VLOOKUP(B69, Формулы!L54:AP56, 21,FALSE)</f>
        <v>1х4</v>
      </c>
      <c r="E183" s="51" t="str">
        <f>VLOOKUP(B69, Формулы!L54:AP56, 22,FALSE)</f>
        <v>0 кг</v>
      </c>
      <c r="F183" s="51" t="str">
        <f>VLOOKUP(B69, Формулы!L54:AP56, 23,FALSE)</f>
        <v>3x6</v>
      </c>
      <c r="G183" s="51" t="str">
        <f>VLOOKUP(B69, Формулы!L54:AP56, 24,FALSE)</f>
        <v>0 кг</v>
      </c>
      <c r="H183" s="51" t="str">
        <f>VLOOKUP(B69, Формулы!L54:AP56, 25,FALSE)</f>
        <v>1х3</v>
      </c>
      <c r="I183" s="51" t="str">
        <f>VLOOKUP(B69, Формулы!L54:AP56, 26,FALSE)</f>
        <v>0 кг</v>
      </c>
      <c r="J183" s="51" t="str">
        <f>VLOOKUP(B69, Формулы!L54:AP56, 27,FALSE)</f>
        <v>3х5</v>
      </c>
      <c r="K183" s="73" t="str">
        <f>VLOOKUP(B69, Формулы!L54:AP56, 28,FALSE)</f>
        <v>0 кг</v>
      </c>
      <c r="L183" s="51" t="str">
        <f>VLOOKUP(B69, Формулы!L54:AP56, 29,FALSE)</f>
        <v>1х1</v>
      </c>
      <c r="M183" s="51" t="str">
        <f>VLOOKUP(B69, Формулы!L54:AP56, 30,FALSE)</f>
        <v>0 кг</v>
      </c>
      <c r="N183" s="51">
        <f>VLOOKUP(B69, Формулы!L54:AP56, 31,FALSE)</f>
        <v>0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5.75" customHeight="1" x14ac:dyDescent="0.3">
      <c r="A184" s="1"/>
      <c r="B184" s="48" t="str">
        <f t="shared" si="6"/>
        <v>Махи с гантелями в стороны</v>
      </c>
      <c r="C184" s="51" t="str">
        <f>VLOOKUP(B70, Формулы!L21:AP22, 20,FALSE)</f>
        <v>0 кг</v>
      </c>
      <c r="D184" s="51" t="str">
        <f>VLOOKUP(B70, Формулы!L21:AP22, 21,FALSE)</f>
        <v>3х10</v>
      </c>
      <c r="E184" s="51">
        <f>VLOOKUP(B70, Формулы!L21:AP22, 22,FALSE)</f>
        <v>0</v>
      </c>
      <c r="F184" s="51">
        <f>VLOOKUP(B70, Формулы!L21:AP22, 23,FALSE)</f>
        <v>0</v>
      </c>
      <c r="G184" s="51" t="str">
        <f>VLOOKUP(B70, Формулы!L21:AP22, 24,FALSE)</f>
        <v>0 кг</v>
      </c>
      <c r="H184" s="51" t="str">
        <f>VLOOKUP(B70, Формулы!L21:AP22, 25,FALSE)</f>
        <v>3х8</v>
      </c>
      <c r="I184" s="51" t="e">
        <f>VLOOKUP(B70, Формулы!L21:AP22, 26,FALSE)</f>
        <v>#N/A</v>
      </c>
      <c r="J184" s="51" t="str">
        <f>VLOOKUP(B70, Формулы!L21:AP22, 27,FALSE)</f>
        <v>RIR-1</v>
      </c>
      <c r="K184" s="51" t="str">
        <f>VLOOKUP(B70, Формулы!L21:AP22, 28,FALSE)</f>
        <v>0 кг</v>
      </c>
      <c r="L184" s="51" t="str">
        <f>VLOOKUP(B70, Формулы!L21:AP22, 29,FALSE)</f>
        <v>1х4</v>
      </c>
      <c r="M184" s="51" t="str">
        <f>VLOOKUP(B70, Формулы!L21:AP22, 30,FALSE)</f>
        <v>0 кг</v>
      </c>
      <c r="N184" s="51">
        <f>VLOOKUP(B70, Формулы!L21:AP22, 31,FALSE)</f>
        <v>0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5.75" customHeight="1" x14ac:dyDescent="0.3">
      <c r="A185" s="1"/>
      <c r="B185" s="48" t="str">
        <f>IF(B158="+", "", B158)</f>
        <v/>
      </c>
      <c r="C185" s="51" t="str">
        <f>IF(B71=Формулы!L67,"",VLOOKUP(B71,Формулы!L67:AP69,20,FALSE))</f>
        <v/>
      </c>
      <c r="D185" s="51" t="str">
        <f>IF(B71=Формулы!L67,"",VLOOKUP(B71,Формулы!L67:AP69,21,FALSE))</f>
        <v/>
      </c>
      <c r="E185" s="51" t="str">
        <f>IF(B71=Формулы!L67,"",VLOOKUP(B71,Формулы!L67:AP69,22,FALSE))</f>
        <v/>
      </c>
      <c r="F185" s="51" t="str">
        <f>IF(B71=Формулы!L67,"",VLOOKUP(B71,Формулы!L67:AP69,23,FALSE))</f>
        <v/>
      </c>
      <c r="G185" s="51" t="str">
        <f>IF(B71=Формулы!L67,"",VLOOKUP(B71,Формулы!L67:AP69,24,FALSE))</f>
        <v/>
      </c>
      <c r="H185" s="51" t="str">
        <f>IF(B71=Формулы!L67,"",VLOOKUP(B71,Формулы!L67:AP69,25,FALSE))</f>
        <v/>
      </c>
      <c r="I185" s="51" t="str">
        <f>IF(B71=Формулы!L67,"",VLOOKUP(B71,Формулы!L67:AP69,26,FALSE))</f>
        <v/>
      </c>
      <c r="J185" s="51" t="str">
        <f>IF(B71=Формулы!L67,"",VLOOKUP(B71,Формулы!L67:AP69,27,FALSE))</f>
        <v/>
      </c>
      <c r="K185" s="51" t="str">
        <f>IF(B71=Формулы!L67,"",VLOOKUP(B71,Формулы!L67:AP69,28,FALSE))</f>
        <v/>
      </c>
      <c r="L185" s="51" t="str">
        <f>IF(B71=Формулы!L67,"",VLOOKUP(B71,Формулы!L67:AP69,29,FALSE))</f>
        <v/>
      </c>
      <c r="M185" s="51" t="str">
        <f>IF(B71=Формулы!L67,"",VLOOKUP(B71,Формулы!L67:AP69,30,FALSE))</f>
        <v/>
      </c>
      <c r="N185" s="51" t="str">
        <f>IF(B71=Формулы!L67,"",VLOOKUP(B71,Формулы!L67:AP69,31,FALSE))</f>
        <v/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5.75" customHeight="1" x14ac:dyDescent="0.3">
      <c r="A186" s="1"/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5.75" customHeight="1" x14ac:dyDescent="0.25">
      <c r="A187" s="1"/>
      <c r="B187" s="1"/>
      <c r="C187" s="126" t="s">
        <v>91</v>
      </c>
      <c r="D187" s="127"/>
      <c r="E187" s="127"/>
      <c r="F187" s="128"/>
      <c r="G187" s="126" t="s">
        <v>32</v>
      </c>
      <c r="H187" s="127"/>
      <c r="I187" s="127"/>
      <c r="J187" s="128"/>
      <c r="K187" s="126" t="s">
        <v>98</v>
      </c>
      <c r="L187" s="127"/>
      <c r="M187" s="127"/>
      <c r="N187" s="128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5.75" customHeight="1" x14ac:dyDescent="0.25">
      <c r="A188" s="1"/>
      <c r="B188" s="62" t="s">
        <v>45</v>
      </c>
      <c r="C188" s="66" t="s">
        <v>94</v>
      </c>
      <c r="D188" s="66" t="s">
        <v>95</v>
      </c>
      <c r="E188" s="66" t="s">
        <v>94</v>
      </c>
      <c r="F188" s="66" t="s">
        <v>95</v>
      </c>
      <c r="G188" s="66" t="s">
        <v>94</v>
      </c>
      <c r="H188" s="66" t="s">
        <v>95</v>
      </c>
      <c r="I188" s="66" t="s">
        <v>94</v>
      </c>
      <c r="J188" s="66" t="s">
        <v>95</v>
      </c>
      <c r="K188" s="66" t="s">
        <v>94</v>
      </c>
      <c r="L188" s="66" t="s">
        <v>95</v>
      </c>
      <c r="M188" s="66" t="s">
        <v>94</v>
      </c>
      <c r="N188" s="66" t="s">
        <v>96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5.75" customHeight="1" x14ac:dyDescent="0.3">
      <c r="A189" s="1"/>
      <c r="B189" s="45" t="str">
        <f t="shared" ref="B189:B192" si="7">B162</f>
        <v>Становая тяга</v>
      </c>
      <c r="C189" s="69" t="str">
        <f>VLOOKUP(B75, Формулы!L24:AP26, 20,FALSE)</f>
        <v>0 кг</v>
      </c>
      <c r="D189" s="69" t="str">
        <f>VLOOKUP(B75, Формулы!L24:AP26, 21,FALSE)</f>
        <v>1х1</v>
      </c>
      <c r="E189" s="69" t="str">
        <f>VLOOKUP(B75, Формулы!L24:AP26, 22,FALSE)</f>
        <v>0 кг</v>
      </c>
      <c r="F189" s="69" t="str">
        <f>VLOOKUP(B75, Формулы!L24:AP26, 23,FALSE)</f>
        <v>4х3</v>
      </c>
      <c r="G189" s="69" t="str">
        <f>VLOOKUP(B75, Формулы!L24:AP26, 24,FALSE)</f>
        <v>0 кг</v>
      </c>
      <c r="H189" s="69" t="str">
        <f>VLOOKUP(B75, Формулы!L24:AP26, 25,FALSE)</f>
        <v>1х1</v>
      </c>
      <c r="I189" s="69" t="str">
        <f>VLOOKUP(B75, Формулы!L24:AP26, 26,FALSE)</f>
        <v>0 кг</v>
      </c>
      <c r="J189" s="69" t="str">
        <f>VLOOKUP(B75, Формулы!L24:AP26, 27,FALSE)</f>
        <v>4х2</v>
      </c>
      <c r="K189" s="69" t="str">
        <f>VLOOKUP(B75, Формулы!L24:AP26, 28,FALSE)</f>
        <v>0 (±5) кг (≈100%ПМ)</v>
      </c>
      <c r="L189" s="69" t="str">
        <f>VLOOKUP(B75, Формулы!L24:AP26, 29,FALSE)</f>
        <v>1х1</v>
      </c>
      <c r="M189" s="69" t="str">
        <f>VLOOKUP(B75, Формулы!L24:AP26, 30,FALSE)</f>
        <v>0 кг</v>
      </c>
      <c r="N189" s="69">
        <f>VLOOKUP(B75, Формулы!L24:AP26, 31,FALSE)</f>
        <v>0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5.75" customHeight="1" x14ac:dyDescent="0.3">
      <c r="A190" s="1"/>
      <c r="B190" s="48" t="str">
        <f t="shared" si="7"/>
        <v>Подъём штанги на бицепс</v>
      </c>
      <c r="C190" s="51" t="str">
        <f>VLOOKUP(B76, Формулы!L33:AP34, 20,FALSE)</f>
        <v>0 кг</v>
      </c>
      <c r="D190" s="51" t="str">
        <f>VLOOKUP(B76, Формулы!L33:AP34, 21,FALSE)</f>
        <v>1х1</v>
      </c>
      <c r="E190" s="51" t="str">
        <f>VLOOKUP(B76, Формулы!L33:AP34, 22,FALSE)</f>
        <v>0 кг</v>
      </c>
      <c r="F190" s="51" t="str">
        <f>VLOOKUP(B76, Формулы!L33:AP34, 23,FALSE)</f>
        <v>4х3</v>
      </c>
      <c r="G190" s="51" t="str">
        <f>VLOOKUP(B76, Формулы!L33:AP34, 24,FALSE)</f>
        <v>0 кг</v>
      </c>
      <c r="H190" s="51" t="str">
        <f>VLOOKUP(B76, Формулы!L33:AP34, 25,FALSE)</f>
        <v>1х1</v>
      </c>
      <c r="I190" s="51" t="str">
        <f>VLOOKUP(B76, Формулы!L33:AP34, 26,FALSE)</f>
        <v>0 кг</v>
      </c>
      <c r="J190" s="51" t="str">
        <f>VLOOKUP(B76, Формулы!L33:AP34, 27,FALSE)</f>
        <v>4х2</v>
      </c>
      <c r="K190" s="51" t="str">
        <f>VLOOKUP(B76, Формулы!L33:AP34, 28,FALSE)</f>
        <v>0 (±5) кг (≈100%ПМ)</v>
      </c>
      <c r="L190" s="51" t="str">
        <f>VLOOKUP(B76, Формулы!L33:AP34, 29,FALSE)</f>
        <v>1х1</v>
      </c>
      <c r="M190" s="51" t="str">
        <f>VLOOKUP(B76, Формулы!L33:AP34, 30,FALSE)</f>
        <v>0 кг</v>
      </c>
      <c r="N190" s="51">
        <f>VLOOKUP(B76, Формулы!L33:AP34, 31,FALSE)</f>
        <v>0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5.75" customHeight="1" x14ac:dyDescent="0.3">
      <c r="A191" s="1"/>
      <c r="B191" s="48" t="str">
        <f t="shared" si="7"/>
        <v xml:space="preserve">Жим гантелей лёжа </v>
      </c>
      <c r="C191" s="51" t="str">
        <f>VLOOKUP(B77, Формулы!L28:AP30, 20,FALSE)</f>
        <v>0 кг</v>
      </c>
      <c r="D191" s="51" t="str">
        <f>VLOOKUP(B77, Формулы!L28:AP30, 21,FALSE)</f>
        <v>1х3</v>
      </c>
      <c r="E191" s="51" t="str">
        <f>VLOOKUP(B77, Формулы!L28:AP30, 22,FALSE)</f>
        <v>0 кг</v>
      </c>
      <c r="F191" s="51" t="str">
        <f>VLOOKUP(B77, Формулы!L28:AP30, 23,FALSE)</f>
        <v>3x4</v>
      </c>
      <c r="G191" s="51" t="str">
        <f>VLOOKUP(B77, Формулы!L28:AP30, 24,FALSE)</f>
        <v>0 кг</v>
      </c>
      <c r="H191" s="51" t="str">
        <f>VLOOKUP(B77, Формулы!L28:AP30, 25,FALSE)</f>
        <v>1х2</v>
      </c>
      <c r="I191" s="51" t="str">
        <f>VLOOKUP(B77, Формулы!L28:AP30, 26,FALSE)</f>
        <v>0 кг</v>
      </c>
      <c r="J191" s="51" t="str">
        <f>VLOOKUP(B77, Формулы!L28:AP30, 27,FALSE)</f>
        <v>3х3</v>
      </c>
      <c r="K191" s="73" t="str">
        <f>VLOOKUP(B77, Формулы!L28:AP30, 28,FALSE)</f>
        <v>0 кг</v>
      </c>
      <c r="L191" s="51" t="str">
        <f>VLOOKUP(B77, Формулы!L28:AP30, 29,FALSE)</f>
        <v>1х2</v>
      </c>
      <c r="M191" s="51" t="str">
        <f>VLOOKUP(B77, Формулы!L28:AP30, 30,FALSE)</f>
        <v>0 кг</v>
      </c>
      <c r="N191" s="51">
        <f>VLOOKUP(B77, Формулы!L28:AP30, 31,FALSE)</f>
        <v>0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5.75" customHeight="1" x14ac:dyDescent="0.3">
      <c r="A192" s="1"/>
      <c r="B192" s="48" t="str">
        <f t="shared" si="7"/>
        <v>Разгибания рук на блоке</v>
      </c>
      <c r="C192" s="51" t="str">
        <f>VLOOKUP(B78, Формулы!L36:AP38, 20,FALSE)</f>
        <v>0 кг</v>
      </c>
      <c r="D192" s="51" t="str">
        <f>VLOOKUP(B78, Формулы!L36:AP38, 21,FALSE)</f>
        <v>1х3</v>
      </c>
      <c r="E192" s="51" t="str">
        <f>VLOOKUP(B78, Формулы!L36:AP38, 22,FALSE)</f>
        <v>0 кг</v>
      </c>
      <c r="F192" s="51" t="str">
        <f>VLOOKUP(B78, Формулы!L36:AP38, 23,FALSE)</f>
        <v>3x5</v>
      </c>
      <c r="G192" s="51" t="str">
        <f>VLOOKUP(B78, Формулы!L36:AP38, 24,FALSE)</f>
        <v>0 кг</v>
      </c>
      <c r="H192" s="51" t="str">
        <f>VLOOKUP(B78, Формулы!L36:AP38, 25,FALSE)</f>
        <v>1х2</v>
      </c>
      <c r="I192" s="51" t="str">
        <f>VLOOKUP(B78, Формулы!L36:AP38, 26,FALSE)</f>
        <v>0 кг</v>
      </c>
      <c r="J192" s="51" t="str">
        <f>VLOOKUP(B78, Формулы!L36:AP38, 27,FALSE)</f>
        <v>3х4</v>
      </c>
      <c r="K192" s="73" t="str">
        <f>VLOOKUP(B78, Формулы!L36:AP38, 28,FALSE)</f>
        <v>0 кг</v>
      </c>
      <c r="L192" s="51" t="str">
        <f>VLOOKUP(B78, Формулы!L36:AP38, 29,FALSE)</f>
        <v>3х1</v>
      </c>
      <c r="M192" s="51" t="str">
        <f>VLOOKUP(B78, Формулы!L36:AP38, 30,FALSE)</f>
        <v>0 кг</v>
      </c>
      <c r="N192" s="51">
        <f>VLOOKUP(B78, Формулы!L36:AP38, 31,FALSE)</f>
        <v>0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5.75" customHeight="1" x14ac:dyDescent="0.3">
      <c r="A193" s="1"/>
      <c r="B193" s="48" t="str">
        <f>IF(B166="+", "", B166)</f>
        <v/>
      </c>
      <c r="C193" s="51" t="str">
        <f>IF(B79=Формулы!L63,"",VLOOKUP(B79,Формулы!L39:AP41,20,FALSE))</f>
        <v/>
      </c>
      <c r="D193" s="51" t="str">
        <f>IF(B79=Формулы!L63,"",VLOOKUP(B79,Формулы!L39:AP41,21,FALSE))</f>
        <v/>
      </c>
      <c r="E193" s="51" t="str">
        <f>IF(B79=Формулы!L63,"",VLOOKUP(B79,Формулы!L39:AP41,22,FALSE))</f>
        <v/>
      </c>
      <c r="F193" s="51" t="str">
        <f>IF(B79=Формулы!L63,"",VLOOKUP(B79,Формулы!L39:AP41,23,FALSE))</f>
        <v/>
      </c>
      <c r="G193" s="51" t="str">
        <f>IF(B79=Формулы!L63,"",VLOOKUP(B79,Формулы!L39:AP41,24,FALSE))</f>
        <v/>
      </c>
      <c r="H193" s="51" t="str">
        <f>IF(B79=Формулы!L63,"",VLOOKUP(B79,Формулы!L39:AP41,25,FALSE))</f>
        <v/>
      </c>
      <c r="I193" s="51" t="str">
        <f>IF(B79=Формулы!L63,"",VLOOKUP(B79,Формулы!L39:AP41,26,FALSE))</f>
        <v/>
      </c>
      <c r="J193" s="51" t="str">
        <f>IF(B79=Формулы!L63,"",VLOOKUP(B79,Формулы!L39:AP41,27,FALSE))</f>
        <v/>
      </c>
      <c r="K193" s="51" t="str">
        <f>IF(B79=Формулы!L63,"",VLOOKUP(B79,Формулы!L39:AP41,28,FALSE))</f>
        <v/>
      </c>
      <c r="L193" s="51" t="str">
        <f>IF(B79=Формулы!L63,"",VLOOKUP(B79,Формулы!L39:AP41,29,FALSE))</f>
        <v/>
      </c>
      <c r="M193" s="51" t="str">
        <f>IF(B79=Формулы!L63,"",VLOOKUP(B79,Формулы!L39:AP41,30,FALSE))</f>
        <v/>
      </c>
      <c r="N193" s="51" t="str">
        <f>IF(B79=Формулы!L63,"",VLOOKUP(B79,Формулы!L39:AP41,31,FALSE))</f>
        <v/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5.75" customHeight="1" x14ac:dyDescent="0.25">
      <c r="A195" s="1"/>
      <c r="B195" s="1"/>
      <c r="C195" s="126" t="s">
        <v>91</v>
      </c>
      <c r="D195" s="127"/>
      <c r="E195" s="127"/>
      <c r="F195" s="128"/>
      <c r="G195" s="126" t="s">
        <v>32</v>
      </c>
      <c r="H195" s="127"/>
      <c r="I195" s="127"/>
      <c r="J195" s="128"/>
      <c r="K195" s="126" t="s">
        <v>98</v>
      </c>
      <c r="L195" s="127"/>
      <c r="M195" s="127"/>
      <c r="N195" s="128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5.75" customHeight="1" x14ac:dyDescent="0.25">
      <c r="A196" s="1"/>
      <c r="B196" s="90" t="s">
        <v>50</v>
      </c>
      <c r="C196" s="66" t="s">
        <v>94</v>
      </c>
      <c r="D196" s="66" t="s">
        <v>95</v>
      </c>
      <c r="E196" s="66" t="s">
        <v>94</v>
      </c>
      <c r="F196" s="66" t="s">
        <v>95</v>
      </c>
      <c r="G196" s="66" t="s">
        <v>94</v>
      </c>
      <c r="H196" s="66" t="s">
        <v>95</v>
      </c>
      <c r="I196" s="66" t="s">
        <v>94</v>
      </c>
      <c r="J196" s="66" t="s">
        <v>95</v>
      </c>
      <c r="K196" s="66" t="s">
        <v>94</v>
      </c>
      <c r="L196" s="66" t="s">
        <v>95</v>
      </c>
      <c r="M196" s="66" t="s">
        <v>94</v>
      </c>
      <c r="N196" s="66" t="s">
        <v>96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5.75" customHeight="1" x14ac:dyDescent="0.3">
      <c r="A197" s="1"/>
      <c r="B197" s="48" t="str">
        <f t="shared" ref="B197:B200" si="8">B170</f>
        <v>Приседания со штангой</v>
      </c>
      <c r="C197" s="69" t="str">
        <f>VLOOKUP(B83, Формулы!L17:AP19, 20,FALSE)</f>
        <v>0 кг</v>
      </c>
      <c r="D197" s="69" t="str">
        <f>VLOOKUP(B83, Формулы!L17:AP19, 21,FALSE)</f>
        <v>1х1</v>
      </c>
      <c r="E197" s="69" t="str">
        <f>VLOOKUP(B83, Формулы!L17:AP19, 22,FALSE)</f>
        <v>0 кг</v>
      </c>
      <c r="F197" s="69" t="str">
        <f>VLOOKUP(B83, Формулы!L17:AP19, 23,FALSE)</f>
        <v>4х3</v>
      </c>
      <c r="G197" s="69" t="str">
        <f>VLOOKUP(B83, Формулы!L17:AP19, 24,FALSE)</f>
        <v>0 кг</v>
      </c>
      <c r="H197" s="69" t="str">
        <f>VLOOKUP(B83, Формулы!L17:AP19, 25,FALSE)</f>
        <v>1х1</v>
      </c>
      <c r="I197" s="69" t="str">
        <f>VLOOKUP(B83, Формулы!L17:AP19, 26,FALSE)</f>
        <v>0 кг</v>
      </c>
      <c r="J197" s="69" t="str">
        <f>VLOOKUP(B83, Формулы!L17:AP19, 27,FALSE)</f>
        <v>4х2</v>
      </c>
      <c r="K197" s="91" t="str">
        <f>VLOOKUP(B83, Формулы!L17:AP19, 28,FALSE)</f>
        <v>0 (±5) кг (≈100%ПМ)</v>
      </c>
      <c r="L197" s="69" t="str">
        <f>VLOOKUP(B83, Формулы!L17:AP19, 29,FALSE)</f>
        <v>1х1</v>
      </c>
      <c r="M197" s="69" t="str">
        <f>VLOOKUP(B83, Формулы!L17:AP19, 30,FALSE)</f>
        <v>0 кг</v>
      </c>
      <c r="N197" s="69">
        <f>VLOOKUP(B83, Формулы!L17:AP19, 31,FALSE)</f>
        <v>0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5.75" customHeight="1" x14ac:dyDescent="0.3">
      <c r="A198" s="1"/>
      <c r="B198" s="48" t="str">
        <f t="shared" si="8"/>
        <v>Армейский жим</v>
      </c>
      <c r="C198" s="51" t="str">
        <f>VLOOKUP(B84, Формулы!L44:AP45, 20,FALSE)</f>
        <v>0 кг</v>
      </c>
      <c r="D198" s="51" t="str">
        <f>VLOOKUP(B84, Формулы!L44:AP45, 21,FALSE)</f>
        <v>1х1</v>
      </c>
      <c r="E198" s="51" t="str">
        <f>VLOOKUP(B84, Формулы!L44:AP45, 22,FALSE)</f>
        <v>0 кг</v>
      </c>
      <c r="F198" s="51" t="str">
        <f>VLOOKUP(B84, Формулы!L44:AP45, 23,FALSE)</f>
        <v>4х3</v>
      </c>
      <c r="G198" s="51" t="str">
        <f>VLOOKUP(B84, Формулы!L44:AP45, 24,FALSE)</f>
        <v>0 кг</v>
      </c>
      <c r="H198" s="51" t="str">
        <f>VLOOKUP(B84, Формулы!L44:AP45, 25,FALSE)</f>
        <v>1х1</v>
      </c>
      <c r="I198" s="51" t="str">
        <f>VLOOKUP(B84, Формулы!L44:AP45, 26,FALSE)</f>
        <v>0 кг</v>
      </c>
      <c r="J198" s="51" t="str">
        <f>VLOOKUP(B84, Формулы!L44:AP45, 27,FALSE)</f>
        <v>4х2</v>
      </c>
      <c r="K198" s="51" t="str">
        <f>VLOOKUP(B84, Формулы!L44:AP45, 26,FALSE)</f>
        <v>0 кг</v>
      </c>
      <c r="L198" s="51" t="str">
        <f>VLOOKUP(B84, Формулы!L44:AP45, 29,FALSE)</f>
        <v>1х1</v>
      </c>
      <c r="M198" s="51" t="str">
        <f>VLOOKUP(B84, Формулы!L44:AP45, 30,FALSE)</f>
        <v>0 кг</v>
      </c>
      <c r="N198" s="51">
        <f>VLOOKUP(B84, Формулы!L44:AP45, 31,FALSE)</f>
        <v>0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5.75" customHeight="1" x14ac:dyDescent="0.3">
      <c r="A199" s="1"/>
      <c r="B199" s="48" t="str">
        <f t="shared" si="8"/>
        <v>Тяга штанги в наклоне</v>
      </c>
      <c r="C199" s="51" t="str">
        <f>VLOOKUP(B85, Формулы!L48:AP50, 20,FALSE)</f>
        <v>0 кг</v>
      </c>
      <c r="D199" s="51" t="str">
        <f>VLOOKUP(B85, Формулы!L48:AP50, 21,FALSE)</f>
        <v>1х2</v>
      </c>
      <c r="E199" s="51" t="str">
        <f>VLOOKUP(B85, Формулы!L48:AP50, 22,FALSE)</f>
        <v>0 кг</v>
      </c>
      <c r="F199" s="51" t="str">
        <f>VLOOKUP(B85, Формулы!L48:AP50, 23,FALSE)</f>
        <v>4х4</v>
      </c>
      <c r="G199" s="51" t="str">
        <f>VLOOKUP(B85, Формулы!L48:AP50, 24,FALSE)</f>
        <v>0 кг</v>
      </c>
      <c r="H199" s="51" t="str">
        <f>VLOOKUP(B85, Формулы!L48:AP50, 25,FALSE)</f>
        <v>1х2</v>
      </c>
      <c r="I199" s="51" t="str">
        <f>VLOOKUP(B85, Формулы!L48:AP50, 26,FALSE)</f>
        <v>0 кг</v>
      </c>
      <c r="J199" s="51" t="str">
        <f>VLOOKUP(B85, Формулы!L48:AP50, 27,FALSE)</f>
        <v>4х3</v>
      </c>
      <c r="K199" s="51" t="str">
        <f>VLOOKUP(B85, Формулы!L48:AP50, 28,FALSE)</f>
        <v>0 кг (≈90%ПМ)</v>
      </c>
      <c r="L199" s="51" t="str">
        <f>VLOOKUP(B85, Формулы!L48:AP50, 29,FALSE)</f>
        <v>3х1</v>
      </c>
      <c r="M199" s="51" t="str">
        <f>VLOOKUP(B85, Формулы!L48:AP50, 30,FALSE)</f>
        <v>0 кг</v>
      </c>
      <c r="N199" s="51">
        <f>VLOOKUP(B85, Формулы!L48:AP50, 31,FALSE)</f>
        <v>0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5.75" customHeight="1" x14ac:dyDescent="0.3">
      <c r="A200" s="1"/>
      <c r="B200" s="48" t="str">
        <f t="shared" si="8"/>
        <v>Тяга горизонтального блока к поясу</v>
      </c>
      <c r="C200" s="73" t="str">
        <f>VLOOKUP(B86, Формулы!L59:AP61, 20,FALSE)</f>
        <v>0 кг</v>
      </c>
      <c r="D200" s="73" t="str">
        <f>VLOOKUP(B86, Формулы!L59:AP61, 21,FALSE)</f>
        <v>1х3</v>
      </c>
      <c r="E200" s="73" t="str">
        <f>VLOOKUP(B86, Формулы!L59:AP61, 22,FALSE)</f>
        <v>0 кг</v>
      </c>
      <c r="F200" s="73" t="str">
        <f>VLOOKUP(B86, Формулы!L59:AP61, 23,FALSE)</f>
        <v>3x8</v>
      </c>
      <c r="G200" s="73" t="str">
        <f>VLOOKUP(B86, Формулы!L59:AP61, 24,FALSE)</f>
        <v>0 кг</v>
      </c>
      <c r="H200" s="73" t="str">
        <f>VLOOKUP(B86, Формулы!L59:AP61, 25,FALSE)</f>
        <v>1х2</v>
      </c>
      <c r="I200" s="73" t="str">
        <f>VLOOKUP(B86, Формулы!L59:AP61, 26,FALSE)</f>
        <v>0 кг</v>
      </c>
      <c r="J200" s="73" t="str">
        <f>VLOOKUP(B86, Формулы!L59:AP61, 27,FALSE)</f>
        <v>3х6</v>
      </c>
      <c r="K200" s="73" t="str">
        <f>VLOOKUP(B86, Формулы!L59:AP61, 28,FALSE)</f>
        <v>0 кг</v>
      </c>
      <c r="L200" s="73" t="str">
        <f>VLOOKUP(B86, Формулы!L59:AP61, 29,FALSE)</f>
        <v>1х2</v>
      </c>
      <c r="M200" s="73" t="str">
        <f>VLOOKUP(B86, Формулы!L59:AP61, 30,FALSE)</f>
        <v>0 кг</v>
      </c>
      <c r="N200" s="73">
        <f>VLOOKUP(B86, Формулы!L59:AP61, 31,FALSE)</f>
        <v>0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5.75" customHeight="1" x14ac:dyDescent="0.3">
      <c r="A201" s="1"/>
      <c r="B201" s="48" t="str">
        <f>IF(B87="+", "", B87)</f>
        <v/>
      </c>
      <c r="C201" s="51" t="str">
        <f>IF(B87=Формулы!L63,"",VLOOKUP(B87,Формулы!L63:AP65,20,FALSE))</f>
        <v/>
      </c>
      <c r="D201" s="51" t="str">
        <f>IF(B87=Формулы!L63,"",VLOOKUP(B87,Формулы!L63:AP65,21,FALSE))</f>
        <v/>
      </c>
      <c r="E201" s="51" t="str">
        <f>IF(B87=Формулы!L63,"",VLOOKUP(B87,Формулы!L63:AP65,22,FALSE))</f>
        <v/>
      </c>
      <c r="F201" s="51" t="str">
        <f>IF(B87=Формулы!L63,"",VLOOKUP(B87,Формулы!L63:AP65,23,FALSE))</f>
        <v/>
      </c>
      <c r="G201" s="51" t="str">
        <f>IF(B87=Формулы!L63,"",VLOOKUP(B87,Формулы!L63:AP65,24,FALSE))</f>
        <v/>
      </c>
      <c r="H201" s="51" t="str">
        <f>IF(B87=Формулы!L63,"",VLOOKUP(B87,Формулы!L63:AP65,25,FALSE))</f>
        <v/>
      </c>
      <c r="I201" s="51" t="str">
        <f>IF(B87=Формулы!L63,"",VLOOKUP(B87,Формулы!L63:AP65,26,FALSE))</f>
        <v/>
      </c>
      <c r="J201" s="51" t="str">
        <f>IF(B87=Формулы!L63,"",VLOOKUP(B87,Формулы!L63:AP65,27,FALSE))</f>
        <v/>
      </c>
      <c r="K201" s="51" t="str">
        <f>IF(B87=Формулы!L63,"",VLOOKUP(B87,Формулы!L63:AP65,28,FALSE))</f>
        <v/>
      </c>
      <c r="L201" s="51" t="str">
        <f>IF(B87=Формулы!L63,"",VLOOKUP(B87,Формулы!L63:AP65,29,FALSE))</f>
        <v/>
      </c>
      <c r="M201" s="51" t="str">
        <f>IF(B87=Формулы!L63,"",VLOOKUP(B87,Формулы!L63:AP65,30,FALSE))</f>
        <v/>
      </c>
      <c r="N201" s="51" t="str">
        <f>IF(B87=Формулы!L63,"",VLOOKUP(B87,Формулы!L63:AP65,31,FALSE))</f>
        <v/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21.75" customHeight="1" x14ac:dyDescent="0.35">
      <c r="A205" s="1"/>
      <c r="B205" s="2" t="s">
        <v>99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26.25" customHeight="1" x14ac:dyDescent="0.35">
      <c r="A206" s="1"/>
      <c r="B206" s="1"/>
      <c r="C206" s="92"/>
      <c r="D206" s="92" t="s">
        <v>100</v>
      </c>
      <c r="E206" s="92"/>
      <c r="F206" s="92"/>
      <c r="G206" s="9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5.75" customHeight="1" x14ac:dyDescent="0.3">
      <c r="A211" s="1"/>
      <c r="B211" s="18" t="s">
        <v>101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5.75" customHeight="1" x14ac:dyDescent="0.3">
      <c r="A212" s="1"/>
      <c r="B212" s="18" t="s">
        <v>102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5.75" customHeight="1" x14ac:dyDescent="0.3">
      <c r="A213" s="1"/>
      <c r="B213" s="18" t="s">
        <v>53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5.75" customHeight="1" x14ac:dyDescent="0.3">
      <c r="A214" s="1"/>
      <c r="B214" s="18" t="s">
        <v>37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5.75" customHeight="1" x14ac:dyDescent="0.3">
      <c r="A215" s="1"/>
      <c r="B215" s="18" t="s">
        <v>103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5.75" customHeight="1" x14ac:dyDescent="0.3">
      <c r="A216" s="1"/>
      <c r="B216" s="18" t="s">
        <v>52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5.75" customHeight="1" x14ac:dyDescent="0.3">
      <c r="A217" s="1"/>
      <c r="B217" s="18" t="s">
        <v>104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5.75" customHeight="1" x14ac:dyDescent="0.3">
      <c r="A218" s="1"/>
      <c r="B218" s="18" t="s">
        <v>54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5.75" customHeight="1" x14ac:dyDescent="0.3">
      <c r="A219" s="1"/>
      <c r="B219" s="18" t="s">
        <v>105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5.75" customHeight="1" x14ac:dyDescent="0.3">
      <c r="A220" s="1"/>
      <c r="B220" s="18" t="s">
        <v>106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5.75" customHeight="1" x14ac:dyDescent="0.3">
      <c r="A221" s="1"/>
      <c r="B221" s="18" t="s">
        <v>107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5.75" customHeight="1" x14ac:dyDescent="0.3">
      <c r="A222" s="1"/>
      <c r="B222" s="18" t="s">
        <v>108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5.75" customHeight="1" x14ac:dyDescent="0.3">
      <c r="A223" s="1"/>
      <c r="B223" s="18" t="s">
        <v>109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5.75" customHeight="1" x14ac:dyDescent="0.3">
      <c r="A224" s="1"/>
      <c r="B224" s="18" t="s">
        <v>110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5.75" customHeight="1" x14ac:dyDescent="0.3">
      <c r="A225" s="1"/>
      <c r="B225" s="18" t="s">
        <v>47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5.75" customHeight="1" x14ac:dyDescent="0.3">
      <c r="A226" s="1"/>
      <c r="B226" s="18" t="s">
        <v>111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5.75" customHeight="1" x14ac:dyDescent="0.3">
      <c r="A227" s="1"/>
      <c r="B227" s="18" t="s">
        <v>112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5.75" customHeight="1" x14ac:dyDescent="0.3">
      <c r="A231" s="1"/>
      <c r="B231" s="18" t="s">
        <v>51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5.75" customHeight="1" x14ac:dyDescent="0.3">
      <c r="A232" s="1"/>
      <c r="B232" s="18" t="s">
        <v>113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5.75" customHeight="1" x14ac:dyDescent="0.3">
      <c r="A233" s="1"/>
      <c r="B233" s="18" t="s">
        <v>46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5.75" customHeight="1" x14ac:dyDescent="0.3">
      <c r="A234" s="1"/>
      <c r="B234" s="18" t="s">
        <v>114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5.75" customHeight="1" x14ac:dyDescent="0.3">
      <c r="A235" s="1"/>
      <c r="B235" s="18" t="s">
        <v>115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5.75" customHeight="1" x14ac:dyDescent="0.3">
      <c r="A236" s="1"/>
      <c r="B236" s="18" t="s">
        <v>116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5.75" customHeight="1" x14ac:dyDescent="0.3">
      <c r="A237" s="1"/>
      <c r="B237" s="18" t="s">
        <v>117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5.75" customHeight="1" x14ac:dyDescent="0.3">
      <c r="A238" s="1"/>
      <c r="B238" s="18" t="s">
        <v>118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5.75" customHeight="1" x14ac:dyDescent="0.3">
      <c r="A239" s="1"/>
      <c r="B239" s="18" t="s">
        <v>119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5.75" customHeight="1" x14ac:dyDescent="0.3">
      <c r="A240" s="1"/>
      <c r="B240" s="18" t="s">
        <v>120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5.75" customHeight="1" x14ac:dyDescent="0.3">
      <c r="A241" s="1"/>
      <c r="B241" s="18" t="s">
        <v>121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5.75" customHeight="1" x14ac:dyDescent="0.3">
      <c r="A242" s="1"/>
      <c r="B242" s="18" t="s">
        <v>122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5.75" customHeight="1" x14ac:dyDescent="0.3">
      <c r="A243" s="1"/>
      <c r="B243" s="18" t="s">
        <v>123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5.75" customHeight="1" x14ac:dyDescent="0.3">
      <c r="A247" s="1"/>
      <c r="B247" s="18" t="s">
        <v>124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5.75" customHeight="1" x14ac:dyDescent="0.3">
      <c r="A248" s="1"/>
      <c r="B248" s="18" t="s">
        <v>125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5.75" customHeight="1" x14ac:dyDescent="0.3">
      <c r="A249" s="1"/>
      <c r="B249" s="18" t="s">
        <v>126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5.75" customHeight="1" x14ac:dyDescent="0.3">
      <c r="A250" s="1"/>
      <c r="B250" s="18" t="s">
        <v>127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5.75" customHeight="1" x14ac:dyDescent="0.3">
      <c r="A251" s="1"/>
      <c r="B251" s="18" t="s">
        <v>128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5.75" customHeight="1" x14ac:dyDescent="0.3">
      <c r="A252" s="1"/>
      <c r="B252" s="18" t="s">
        <v>129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5.75" customHeight="1" x14ac:dyDescent="0.3">
      <c r="A253" s="1"/>
      <c r="B253" s="93" t="s">
        <v>130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5.75" customHeight="1" x14ac:dyDescent="0.25"/>
    <row r="454" spans="1:36" ht="15.75" customHeight="1" x14ac:dyDescent="0.25"/>
    <row r="455" spans="1:36" ht="15.75" customHeight="1" x14ac:dyDescent="0.25"/>
    <row r="456" spans="1:36" ht="15.75" customHeight="1" x14ac:dyDescent="0.25"/>
    <row r="457" spans="1:36" ht="15.75" customHeight="1" x14ac:dyDescent="0.25"/>
    <row r="458" spans="1:36" ht="15.75" customHeight="1" x14ac:dyDescent="0.25"/>
    <row r="459" spans="1:36" ht="15.75" customHeight="1" x14ac:dyDescent="0.25"/>
    <row r="460" spans="1:36" ht="15.75" customHeight="1" x14ac:dyDescent="0.25"/>
    <row r="461" spans="1:36" ht="15.75" customHeight="1" x14ac:dyDescent="0.25"/>
    <row r="462" spans="1:36" ht="15.75" customHeight="1" x14ac:dyDescent="0.25"/>
    <row r="463" spans="1:36" ht="15.75" customHeight="1" x14ac:dyDescent="0.25"/>
    <row r="464" spans="1:36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6">
    <mergeCell ref="C195:F195"/>
    <mergeCell ref="G195:J195"/>
    <mergeCell ref="K195:N195"/>
    <mergeCell ref="K152:N152"/>
    <mergeCell ref="O152:P152"/>
    <mergeCell ref="C177:N178"/>
    <mergeCell ref="C179:F179"/>
    <mergeCell ref="G179:J179"/>
    <mergeCell ref="K179:N179"/>
    <mergeCell ref="C187:F187"/>
    <mergeCell ref="C150:P151"/>
    <mergeCell ref="C152:F152"/>
    <mergeCell ref="G152:J152"/>
    <mergeCell ref="G187:J187"/>
    <mergeCell ref="K187:N187"/>
    <mergeCell ref="C63:H64"/>
    <mergeCell ref="C65:E65"/>
    <mergeCell ref="F65:H65"/>
    <mergeCell ref="B92:C93"/>
    <mergeCell ref="C112:D114"/>
    <mergeCell ref="B31:E32"/>
    <mergeCell ref="AD43:AI43"/>
    <mergeCell ref="AJ43:AJ44"/>
    <mergeCell ref="AD44:AE44"/>
    <mergeCell ref="AF44:AG44"/>
    <mergeCell ref="AH44:AI44"/>
  </mergeCells>
  <hyperlinks>
    <hyperlink ref="B7" r:id="rId1" xr:uid="{00000000-0004-0000-0000-000000000000}"/>
    <hyperlink ref="D206" r:id="rId2" xr:uid="{00000000-0004-0000-0000-000001000000}"/>
    <hyperlink ref="B211" r:id="rId3" xr:uid="{00000000-0004-0000-0000-000002000000}"/>
    <hyperlink ref="B212" r:id="rId4" xr:uid="{00000000-0004-0000-0000-000003000000}"/>
    <hyperlink ref="B213" r:id="rId5" xr:uid="{00000000-0004-0000-0000-000004000000}"/>
    <hyperlink ref="B214" r:id="rId6" xr:uid="{00000000-0004-0000-0000-000005000000}"/>
    <hyperlink ref="B215" r:id="rId7" xr:uid="{00000000-0004-0000-0000-000006000000}"/>
    <hyperlink ref="B216" r:id="rId8" xr:uid="{00000000-0004-0000-0000-000007000000}"/>
    <hyperlink ref="B217" r:id="rId9" xr:uid="{00000000-0004-0000-0000-000008000000}"/>
    <hyperlink ref="B218" r:id="rId10" xr:uid="{00000000-0004-0000-0000-000009000000}"/>
    <hyperlink ref="B219" r:id="rId11" xr:uid="{00000000-0004-0000-0000-00000A000000}"/>
    <hyperlink ref="B220" r:id="rId12" xr:uid="{00000000-0004-0000-0000-00000B000000}"/>
    <hyperlink ref="B221" r:id="rId13" xr:uid="{00000000-0004-0000-0000-00000C000000}"/>
    <hyperlink ref="B222" r:id="rId14" xr:uid="{00000000-0004-0000-0000-00000D000000}"/>
    <hyperlink ref="B223" r:id="rId15" xr:uid="{00000000-0004-0000-0000-00000E000000}"/>
    <hyperlink ref="B224" r:id="rId16" xr:uid="{00000000-0004-0000-0000-00000F000000}"/>
    <hyperlink ref="B225" r:id="rId17" xr:uid="{00000000-0004-0000-0000-000010000000}"/>
    <hyperlink ref="B226" r:id="rId18" xr:uid="{00000000-0004-0000-0000-000011000000}"/>
    <hyperlink ref="B227" r:id="rId19" xr:uid="{00000000-0004-0000-0000-000012000000}"/>
    <hyperlink ref="B231" r:id="rId20" xr:uid="{00000000-0004-0000-0000-000013000000}"/>
    <hyperlink ref="B232" r:id="rId21" xr:uid="{00000000-0004-0000-0000-000014000000}"/>
    <hyperlink ref="B233" r:id="rId22" xr:uid="{00000000-0004-0000-0000-000015000000}"/>
    <hyperlink ref="B234" r:id="rId23" xr:uid="{00000000-0004-0000-0000-000016000000}"/>
    <hyperlink ref="B235" r:id="rId24" xr:uid="{00000000-0004-0000-0000-000017000000}"/>
    <hyperlink ref="B236" r:id="rId25" xr:uid="{00000000-0004-0000-0000-000018000000}"/>
    <hyperlink ref="B237" r:id="rId26" xr:uid="{00000000-0004-0000-0000-000019000000}"/>
    <hyperlink ref="B238" r:id="rId27" xr:uid="{00000000-0004-0000-0000-00001A000000}"/>
    <hyperlink ref="B239" r:id="rId28" xr:uid="{00000000-0004-0000-0000-00001B000000}"/>
    <hyperlink ref="B240" r:id="rId29" xr:uid="{00000000-0004-0000-0000-00001C000000}"/>
    <hyperlink ref="B241" r:id="rId30" xr:uid="{00000000-0004-0000-0000-00001D000000}"/>
    <hyperlink ref="B242" r:id="rId31" xr:uid="{00000000-0004-0000-0000-00001E000000}"/>
    <hyperlink ref="B243" r:id="rId32" xr:uid="{00000000-0004-0000-0000-00001F000000}"/>
    <hyperlink ref="B247" r:id="rId33" xr:uid="{00000000-0004-0000-0000-000020000000}"/>
    <hyperlink ref="B248" r:id="rId34" xr:uid="{00000000-0004-0000-0000-000021000000}"/>
    <hyperlink ref="B249" r:id="rId35" xr:uid="{00000000-0004-0000-0000-000022000000}"/>
    <hyperlink ref="B250" r:id="rId36" xr:uid="{00000000-0004-0000-0000-000023000000}"/>
    <hyperlink ref="B251" r:id="rId37" xr:uid="{00000000-0004-0000-0000-000024000000}"/>
    <hyperlink ref="B252" r:id="rId38" xr:uid="{00000000-0004-0000-0000-000025000000}"/>
    <hyperlink ref="B253" r:id="rId39" xr:uid="{00000000-0004-0000-0000-000026000000}"/>
  </hyperlinks>
  <pageMargins left="0.7" right="0.7" top="0.75" bottom="0.75" header="0" footer="0"/>
  <pageSetup paperSize="9" orientation="portrait"/>
  <drawing r:id="rId40"/>
  <extLst>
    <ext xmlns:x14="http://schemas.microsoft.com/office/spreadsheetml/2009/9/main" uri="{CCE6A557-97BC-4b89-ADB6-D9C93CAAB3DF}">
      <x14:dataValidations xmlns:xm="http://schemas.microsoft.com/office/excel/2006/main" count="29">
        <x14:dataValidation type="list" allowBlank="1" showErrorMessage="1" xr:uid="{00000000-0002-0000-0000-000000000000}">
          <x14:formula1>
            <xm:f>IF($B$86=Формулы!$L$59, Коэффициенты!$E$16:$E$61, Коэффициенты!$N$3:$N$11)</xm:f>
          </x14:formula1>
          <xm:sqref>D135</xm:sqref>
        </x14:dataValidation>
        <x14:dataValidation type="list" allowBlank="1" showErrorMessage="1" xr:uid="{00000000-0002-0000-0000-000001000000}">
          <x14:formula1>
            <xm:f>IF($B$125=Формулы!$L$33, Коэффициенты!$C$2, Коэффициенты!$N$3:$N$6)</xm:f>
          </x14:formula1>
          <xm:sqref>D125</xm:sqref>
        </x14:dataValidation>
        <x14:dataValidation type="list" allowBlank="1" showErrorMessage="1" xr:uid="{00000000-0002-0000-0000-000002000000}">
          <x14:formula1>
            <xm:f>Формулы!$L$54:$L$56</xm:f>
          </x14:formula1>
          <xm:sqref>B69</xm:sqref>
        </x14:dataValidation>
        <x14:dataValidation type="list" allowBlank="1" showErrorMessage="1" xr:uid="{00000000-0002-0000-0000-000003000000}">
          <x14:formula1>
            <xm:f>Формулы!$L$44:$L$45</xm:f>
          </x14:formula1>
          <xm:sqref>B84</xm:sqref>
        </x14:dataValidation>
        <x14:dataValidation type="list" allowBlank="1" showErrorMessage="1" xr:uid="{00000000-0002-0000-0000-000004000000}">
          <x14:formula1>
            <xm:f>Формулы!$L$24:$L$26</xm:f>
          </x14:formula1>
          <xm:sqref>B75</xm:sqref>
        </x14:dataValidation>
        <x14:dataValidation type="list" allowBlank="1" showErrorMessage="1" xr:uid="{00000000-0002-0000-0000-000005000000}">
          <x14:formula1>
            <xm:f>Формулы!$L$36:$L$38</xm:f>
          </x14:formula1>
          <xm:sqref>B78</xm:sqref>
        </x14:dataValidation>
        <x14:dataValidation type="list" allowBlank="1" showErrorMessage="1" xr:uid="{00000000-0002-0000-0000-000006000000}">
          <x14:formula1>
            <xm:f>Формулы!$L$28:$L$30</xm:f>
          </x14:formula1>
          <xm:sqref>B77</xm:sqref>
        </x14:dataValidation>
        <x14:dataValidation type="list" allowBlank="1" showErrorMessage="1" xr:uid="{00000000-0002-0000-0000-000007000000}">
          <x14:formula1>
            <xm:f>IF($B$117=Формулы!$L$13, Коэффициенты!$C$2, Коэффициенты!$N$3:$N$11)</xm:f>
          </x14:formula1>
          <xm:sqref>D117</xm:sqref>
        </x14:dataValidation>
        <x14:dataValidation type="list" allowBlank="1" showErrorMessage="1" xr:uid="{00000000-0002-0000-0000-000008000000}">
          <x14:formula1>
            <xm:f>Коэффициенты!$O$18:$O$22</xm:f>
          </x14:formula1>
          <xm:sqref>E116:E120 E124:E128 E132:E136</xm:sqref>
        </x14:dataValidation>
        <x14:dataValidation type="list" allowBlank="1" showErrorMessage="1" xr:uid="{00000000-0002-0000-0000-000009000000}">
          <x14:formula1>
            <xm:f>Коэффициенты!$K$3:$K$6</xm:f>
          </x14:formula1>
          <xm:sqref>D118 D134</xm:sqref>
        </x14:dataValidation>
        <x14:dataValidation type="list" allowBlank="1" showErrorMessage="1" xr:uid="{00000000-0002-0000-0000-00000A000000}">
          <x14:formula1>
            <xm:f>Формулы!$L$63:$L$65</xm:f>
          </x14:formula1>
          <xm:sqref>B87</xm:sqref>
        </x14:dataValidation>
        <x14:dataValidation type="list" allowBlank="1" showErrorMessage="1" xr:uid="{00000000-0002-0000-0000-00000B000000}">
          <x14:formula1>
            <xm:f>Формулы!$L$67:$L$69</xm:f>
          </x14:formula1>
          <xm:sqref>B71</xm:sqref>
        </x14:dataValidation>
        <x14:dataValidation type="list" allowBlank="1" showErrorMessage="1" xr:uid="{00000000-0002-0000-0000-00000C000000}">
          <x14:formula1>
            <xm:f>Формулы!$L$39:$L$41</xm:f>
          </x14:formula1>
          <xm:sqref>B79</xm:sqref>
        </x14:dataValidation>
        <x14:dataValidation type="list" allowBlank="1" showErrorMessage="1" xr:uid="{00000000-0002-0000-0000-00000D000000}">
          <x14:formula1>
            <xm:f>Формулы!$L$48:$L$50</xm:f>
          </x14:formula1>
          <xm:sqref>B85</xm:sqref>
        </x14:dataValidation>
        <x14:dataValidation type="list" allowBlank="1" showErrorMessage="1" xr:uid="{00000000-0002-0000-0000-00000E000000}">
          <x14:formula1>
            <xm:f>IF($B$116=Формулы!$L$9, Коэффициенты!$C$2, Коэффициенты!$N$3:$N$6)</xm:f>
          </x14:formula1>
          <xm:sqref>D116</xm:sqref>
        </x14:dataValidation>
        <x14:dataValidation type="list" allowBlank="1" showErrorMessage="1" xr:uid="{00000000-0002-0000-0000-00000F000000}">
          <x14:formula1>
            <xm:f>Формулы!$L$21:$L$22</xm:f>
          </x14:formula1>
          <xm:sqref>B70</xm:sqref>
        </x14:dataValidation>
        <x14:dataValidation type="list" allowBlank="1" showErrorMessage="1" xr:uid="{00000000-0002-0000-0000-000010000000}">
          <x14:formula1>
            <xm:f>IF($B$79=Формулы!$L$39, Коэффициенты!$K$21, Коэффициенты!$N$3:$N$11)</xm:f>
          </x14:formula1>
          <xm:sqref>D128</xm:sqref>
        </x14:dataValidation>
        <x14:dataValidation type="list" allowBlank="1" showErrorMessage="1" xr:uid="{00000000-0002-0000-0000-000011000000}">
          <x14:formula1>
            <xm:f>Формулы!$L$33:$L$34</xm:f>
          </x14:formula1>
          <xm:sqref>B76</xm:sqref>
        </x14:dataValidation>
        <x14:dataValidation type="list" allowBlank="1" showErrorMessage="1" xr:uid="{00000000-0002-0000-0000-000012000000}">
          <x14:formula1>
            <xm:f>Формулы!$L$59:$L$61</xm:f>
          </x14:formula1>
          <xm:sqref>B86</xm:sqref>
        </x14:dataValidation>
        <x14:dataValidation type="list" allowBlank="1" showErrorMessage="1" xr:uid="{00000000-0002-0000-0000-000013000000}">
          <x14:formula1>
            <xm:f>Формулы!$L$13:$L$15</xm:f>
          </x14:formula1>
          <xm:sqref>B68</xm:sqref>
        </x14:dataValidation>
        <x14:dataValidation type="list" allowBlank="1" showErrorMessage="1" xr:uid="{00000000-0002-0000-0000-000014000000}">
          <x14:formula1>
            <xm:f>Формулы!$L$17:$L$19</xm:f>
          </x14:formula1>
          <xm:sqref>B83</xm:sqref>
        </x14:dataValidation>
        <x14:dataValidation type="list" allowBlank="1" showErrorMessage="1" xr:uid="{00000000-0002-0000-0000-000015000000}">
          <x14:formula1>
            <xm:f>Коэффициенты!$N$3:$N$6</xm:f>
          </x14:formula1>
          <xm:sqref>D126</xm:sqref>
        </x14:dataValidation>
        <x14:dataValidation type="list" allowBlank="1" showErrorMessage="1" xr:uid="{00000000-0002-0000-0000-000016000000}">
          <x14:formula1>
            <xm:f>IF($B$132=Формулы!$L$54, Коэффициенты!$C$2, Коэффициенты!$N$3:$N$6)</xm:f>
          </x14:formula1>
          <xm:sqref>D132</xm:sqref>
        </x14:dataValidation>
        <x14:dataValidation type="list" allowBlank="1" showErrorMessage="1" xr:uid="{00000000-0002-0000-0000-000017000000}">
          <x14:formula1>
            <xm:f>IF($B$70=Формулы!$L$21, Коэффициенты!$N$5:$N$11, Коэффициенты!$N$3:$N$6)</xm:f>
          </x14:formula1>
          <xm:sqref>D119</xm:sqref>
        </x14:dataValidation>
        <x14:dataValidation type="list" allowBlank="1" showErrorMessage="1" xr:uid="{00000000-0002-0000-0000-000018000000}">
          <x14:formula1>
            <xm:f>IF($B$124=Формулы!$L$24, Коэффициенты!$C$2, Коэффициенты!$N$3:$N$6)</xm:f>
          </x14:formula1>
          <xm:sqref>D124</xm:sqref>
        </x14:dataValidation>
        <x14:dataValidation type="list" allowBlank="1" showErrorMessage="1" xr:uid="{00000000-0002-0000-0000-000019000000}">
          <x14:formula1>
            <xm:f>IF($B$87=Формулы!$L$63, Коэффициенты!$J$16, Коэффициенты!$N$5:$N$11)</xm:f>
          </x14:formula1>
          <xm:sqref>D136</xm:sqref>
        </x14:dataValidation>
        <x14:dataValidation type="list" allowBlank="1" showErrorMessage="1" xr:uid="{00000000-0002-0000-0000-00001A000000}">
          <x14:formula1>
            <xm:f>Формулы!$L$9:$L$11</xm:f>
          </x14:formula1>
          <xm:sqref>B67</xm:sqref>
        </x14:dataValidation>
        <x14:dataValidation type="list" allowBlank="1" showErrorMessage="1" xr:uid="{00000000-0002-0000-0000-00001B000000}">
          <x14:formula1>
            <xm:f>IF($B$78=Формулы!$L$37, Коэффициенты!$E$16:$E$61, IF($B$78=Формулы!$L$38, Коэффициенты!$N$5:$N$11, Коэффициенты!$N$3:$N$6))</xm:f>
          </x14:formula1>
          <xm:sqref>D127</xm:sqref>
        </x14:dataValidation>
        <x14:dataValidation type="list" allowBlank="1" showErrorMessage="1" xr:uid="{00000000-0002-0000-0000-00001C000000}">
          <x14:formula1>
            <xm:f>IF($B$133=Формулы!$L$44,Коэффициенты!$C$2, Коэффициенты!$N$3:$N$6)</xm:f>
          </x14:formula1>
          <xm:sqref>D133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R1000"/>
  <sheetViews>
    <sheetView workbookViewId="0"/>
  </sheetViews>
  <sheetFormatPr defaultColWidth="14.42578125" defaultRowHeight="15" customHeight="1" x14ac:dyDescent="0.25"/>
  <cols>
    <col min="1" max="2" width="8.7109375" customWidth="1"/>
    <col min="3" max="3" width="10.28515625" customWidth="1"/>
    <col min="4" max="5" width="8.7109375" customWidth="1"/>
    <col min="6" max="6" width="13.85546875" customWidth="1"/>
    <col min="7" max="26" width="8.7109375" customWidth="1"/>
  </cols>
  <sheetData>
    <row r="4" spans="3:18" x14ac:dyDescent="0.25">
      <c r="C4" s="6" t="s">
        <v>131</v>
      </c>
      <c r="D4" s="1"/>
      <c r="E4" s="1"/>
      <c r="F4" s="1"/>
      <c r="G4" s="1"/>
      <c r="H4" s="1"/>
      <c r="I4" s="1"/>
      <c r="K4" s="6" t="s">
        <v>132</v>
      </c>
      <c r="L4" s="1"/>
      <c r="M4" s="1"/>
      <c r="N4" s="1"/>
      <c r="O4" s="1"/>
      <c r="P4" s="1"/>
      <c r="Q4" s="1"/>
      <c r="R4" s="1"/>
    </row>
    <row r="5" spans="3:18" x14ac:dyDescent="0.25">
      <c r="C5" s="1"/>
      <c r="D5" s="1"/>
      <c r="E5" s="1"/>
      <c r="F5" s="1"/>
      <c r="G5" s="1"/>
      <c r="H5" s="1"/>
      <c r="I5" s="1"/>
      <c r="K5" s="1"/>
      <c r="L5" s="1"/>
      <c r="M5" s="1"/>
      <c r="N5" s="1"/>
      <c r="O5" s="1"/>
      <c r="P5" s="1"/>
      <c r="Q5" s="1"/>
      <c r="R5" s="1"/>
    </row>
    <row r="6" spans="3:18" x14ac:dyDescent="0.25">
      <c r="C6" s="6" t="s">
        <v>133</v>
      </c>
      <c r="D6" s="94">
        <v>95</v>
      </c>
      <c r="E6" s="1"/>
      <c r="F6" s="1"/>
      <c r="G6" s="1"/>
      <c r="H6" s="1"/>
      <c r="I6" s="1"/>
      <c r="K6" s="6" t="s">
        <v>133</v>
      </c>
      <c r="L6" s="94">
        <v>150</v>
      </c>
      <c r="M6" s="1"/>
      <c r="N6" s="1"/>
      <c r="O6" s="1"/>
      <c r="P6" s="1"/>
      <c r="Q6" s="1"/>
      <c r="R6" s="1"/>
    </row>
    <row r="7" spans="3:18" x14ac:dyDescent="0.25">
      <c r="C7" s="1"/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  <c r="Q7" s="1"/>
      <c r="R7" s="1"/>
    </row>
    <row r="8" spans="3:18" x14ac:dyDescent="0.25">
      <c r="C8" s="1"/>
      <c r="D8" s="1" t="s">
        <v>94</v>
      </c>
      <c r="E8" s="1" t="s">
        <v>134</v>
      </c>
      <c r="F8" s="1" t="s">
        <v>135</v>
      </c>
      <c r="G8" s="1"/>
      <c r="H8" s="1"/>
      <c r="I8" s="1"/>
      <c r="K8" s="1"/>
      <c r="L8" s="1" t="s">
        <v>94</v>
      </c>
      <c r="M8" s="1" t="s">
        <v>134</v>
      </c>
      <c r="N8" s="1" t="s">
        <v>135</v>
      </c>
      <c r="O8" s="1"/>
      <c r="P8" s="1"/>
      <c r="Q8" s="1"/>
      <c r="R8" s="1"/>
    </row>
    <row r="9" spans="3:18" x14ac:dyDescent="0.25">
      <c r="C9" s="51" t="s">
        <v>136</v>
      </c>
      <c r="D9" s="51">
        <v>20</v>
      </c>
      <c r="E9" s="51">
        <v>10</v>
      </c>
      <c r="F9" s="51" t="s">
        <v>137</v>
      </c>
      <c r="G9" s="1"/>
      <c r="H9" s="1"/>
      <c r="I9" s="1"/>
      <c r="K9" s="51" t="s">
        <v>136</v>
      </c>
      <c r="L9" s="51">
        <v>60</v>
      </c>
      <c r="M9" s="51">
        <v>6</v>
      </c>
      <c r="N9" s="51" t="s">
        <v>138</v>
      </c>
      <c r="O9" s="1"/>
      <c r="P9" s="1"/>
      <c r="Q9" s="1"/>
      <c r="R9" s="1"/>
    </row>
    <row r="10" spans="3:18" x14ac:dyDescent="0.25">
      <c r="C10" s="51" t="s">
        <v>139</v>
      </c>
      <c r="D10" s="51">
        <f>CEILING(D6*0.5,5)</f>
        <v>50</v>
      </c>
      <c r="E10" s="51">
        <v>4</v>
      </c>
      <c r="F10" s="51" t="s">
        <v>137</v>
      </c>
      <c r="G10" s="1"/>
      <c r="H10" s="1"/>
      <c r="I10" s="1"/>
      <c r="K10" s="51" t="s">
        <v>139</v>
      </c>
      <c r="L10" s="51">
        <f>CEILING(L6*0.5,5)</f>
        <v>75</v>
      </c>
      <c r="M10" s="51">
        <v>4</v>
      </c>
      <c r="N10" s="51" t="s">
        <v>138</v>
      </c>
      <c r="O10" s="1"/>
      <c r="P10" s="1"/>
      <c r="Q10" s="1"/>
      <c r="R10" s="1"/>
    </row>
    <row r="11" spans="3:18" x14ac:dyDescent="0.25">
      <c r="C11" s="51" t="s">
        <v>140</v>
      </c>
      <c r="D11" s="51">
        <f>CEILING(D6*0.65,5)</f>
        <v>65</v>
      </c>
      <c r="E11" s="51">
        <v>3</v>
      </c>
      <c r="F11" s="51" t="s">
        <v>141</v>
      </c>
      <c r="G11" s="1"/>
      <c r="H11" s="1"/>
      <c r="I11" s="1"/>
      <c r="K11" s="51" t="s">
        <v>140</v>
      </c>
      <c r="L11" s="51">
        <f>CEILING(L6*0.65,5)</f>
        <v>100</v>
      </c>
      <c r="M11" s="51">
        <v>3</v>
      </c>
      <c r="N11" s="51" t="s">
        <v>142</v>
      </c>
      <c r="O11" s="1"/>
      <c r="P11" s="1"/>
      <c r="Q11" s="1"/>
      <c r="R11" s="1"/>
    </row>
    <row r="12" spans="3:18" x14ac:dyDescent="0.25">
      <c r="C12" s="51" t="s">
        <v>143</v>
      </c>
      <c r="D12" s="51">
        <f>CEILING(D6*0.75,5)</f>
        <v>75</v>
      </c>
      <c r="E12" s="51">
        <v>2</v>
      </c>
      <c r="F12" s="51" t="s">
        <v>141</v>
      </c>
      <c r="G12" s="1"/>
      <c r="H12" s="1"/>
      <c r="I12" s="1"/>
      <c r="K12" s="51" t="s">
        <v>143</v>
      </c>
      <c r="L12" s="51">
        <f>CEILING(L6*0.75,5)</f>
        <v>115</v>
      </c>
      <c r="M12" s="51">
        <v>2</v>
      </c>
      <c r="N12" s="51" t="s">
        <v>142</v>
      </c>
      <c r="O12" s="1"/>
      <c r="P12" s="1"/>
      <c r="Q12" s="1"/>
      <c r="R12" s="1"/>
    </row>
    <row r="13" spans="3:18" x14ac:dyDescent="0.25">
      <c r="C13" s="51" t="s">
        <v>144</v>
      </c>
      <c r="D13" s="51">
        <f>CEILING(D6*0.825,2.5)</f>
        <v>80</v>
      </c>
      <c r="E13" s="51">
        <v>1</v>
      </c>
      <c r="F13" s="51" t="s">
        <v>145</v>
      </c>
      <c r="G13" s="1"/>
      <c r="H13" s="1"/>
      <c r="I13" s="1"/>
      <c r="K13" s="51" t="s">
        <v>144</v>
      </c>
      <c r="L13" s="51">
        <f>CEILING(L6*0.825,2.5)</f>
        <v>125</v>
      </c>
      <c r="M13" s="51">
        <v>1</v>
      </c>
      <c r="N13" s="51" t="s">
        <v>145</v>
      </c>
      <c r="O13" s="1"/>
      <c r="P13" s="1"/>
      <c r="Q13" s="1"/>
      <c r="R13" s="1"/>
    </row>
    <row r="14" spans="3:18" x14ac:dyDescent="0.25">
      <c r="C14" s="51" t="s">
        <v>146</v>
      </c>
      <c r="D14" s="51">
        <f>CEILING(D6*0.875,2.5)</f>
        <v>85</v>
      </c>
      <c r="E14" s="51">
        <v>1</v>
      </c>
      <c r="F14" s="51" t="s">
        <v>147</v>
      </c>
      <c r="G14" s="1"/>
      <c r="H14" s="1"/>
      <c r="I14" s="1"/>
      <c r="K14" s="51" t="s">
        <v>146</v>
      </c>
      <c r="L14" s="51">
        <f>CEILING(L6*0.875,2.5)</f>
        <v>132.5</v>
      </c>
      <c r="M14" s="51">
        <v>1</v>
      </c>
      <c r="N14" s="51" t="s">
        <v>147</v>
      </c>
      <c r="O14" s="1"/>
      <c r="P14" s="1"/>
      <c r="Q14" s="1"/>
      <c r="R14" s="1"/>
    </row>
    <row r="15" spans="3:18" x14ac:dyDescent="0.25">
      <c r="C15" s="51" t="s">
        <v>148</v>
      </c>
      <c r="D15" s="51">
        <f>CEILING(D6*0.925,2.5)</f>
        <v>90</v>
      </c>
      <c r="E15" s="51">
        <v>1</v>
      </c>
      <c r="F15" s="51" t="s">
        <v>149</v>
      </c>
      <c r="G15" s="1"/>
      <c r="H15" s="1"/>
      <c r="I15" s="1"/>
      <c r="K15" s="51" t="s">
        <v>148</v>
      </c>
      <c r="L15" s="51">
        <f>CEILING(L6*0.925,2.5)</f>
        <v>140</v>
      </c>
      <c r="M15" s="51">
        <v>1</v>
      </c>
      <c r="N15" s="51" t="s">
        <v>149</v>
      </c>
      <c r="O15" s="1"/>
      <c r="P15" s="1"/>
      <c r="Q15" s="1"/>
      <c r="R15" s="1"/>
    </row>
    <row r="16" spans="3:18" x14ac:dyDescent="0.25">
      <c r="C16" s="51" t="s">
        <v>150</v>
      </c>
      <c r="D16" s="51">
        <f>FLOOR(D6*0.975,2.5)</f>
        <v>92.5</v>
      </c>
      <c r="E16" s="51">
        <v>1</v>
      </c>
      <c r="F16" s="51" t="s">
        <v>149</v>
      </c>
      <c r="G16" s="1"/>
      <c r="H16" s="1"/>
      <c r="I16" s="1"/>
      <c r="K16" s="51" t="s">
        <v>150</v>
      </c>
      <c r="L16" s="51">
        <f>FLOOR(L6*0.975,2.5)</f>
        <v>145</v>
      </c>
      <c r="M16" s="51">
        <v>1</v>
      </c>
      <c r="N16" s="51" t="s">
        <v>149</v>
      </c>
      <c r="O16" s="1"/>
      <c r="P16" s="1"/>
      <c r="Q16" s="1"/>
      <c r="R16" s="1"/>
    </row>
    <row r="17" spans="3:18" x14ac:dyDescent="0.25">
      <c r="C17" s="51" t="s">
        <v>151</v>
      </c>
      <c r="D17" s="51">
        <f>CEILING(D6*1,2.5)</f>
        <v>95</v>
      </c>
      <c r="E17" s="51">
        <v>1</v>
      </c>
      <c r="F17" s="51" t="s">
        <v>152</v>
      </c>
      <c r="G17" s="1"/>
      <c r="H17" s="1"/>
      <c r="I17" s="1"/>
      <c r="K17" s="51" t="s">
        <v>151</v>
      </c>
      <c r="L17" s="51">
        <f>CEILING(L6*1,2.5)</f>
        <v>150</v>
      </c>
      <c r="M17" s="51">
        <v>1</v>
      </c>
      <c r="N17" s="51" t="s">
        <v>152</v>
      </c>
      <c r="O17" s="1"/>
      <c r="P17" s="1"/>
      <c r="Q17" s="1"/>
      <c r="R17" s="1"/>
    </row>
    <row r="18" spans="3:18" x14ac:dyDescent="0.25">
      <c r="C18" s="1"/>
      <c r="D18" s="1"/>
      <c r="E18" s="1"/>
      <c r="F18" s="1"/>
      <c r="G18" s="1"/>
      <c r="H18" s="1"/>
      <c r="I18" s="1"/>
      <c r="K18" s="1"/>
      <c r="L18" s="1"/>
      <c r="M18" s="1"/>
      <c r="N18" s="1"/>
      <c r="O18" s="1"/>
      <c r="P18" s="1"/>
      <c r="Q18" s="1"/>
      <c r="R18" s="1"/>
    </row>
    <row r="19" spans="3:18" x14ac:dyDescent="0.25">
      <c r="C19" s="1"/>
      <c r="D19" s="1"/>
      <c r="E19" s="1"/>
      <c r="F19" s="1"/>
      <c r="G19" s="1"/>
      <c r="K19" s="1"/>
      <c r="L19" s="1"/>
      <c r="M19" s="1"/>
      <c r="N19" s="1"/>
      <c r="O19" s="1"/>
      <c r="P19" s="1"/>
      <c r="Q19" s="1"/>
      <c r="R19" s="1"/>
    </row>
    <row r="20" spans="3:18" x14ac:dyDescent="0.25">
      <c r="K20" s="1"/>
      <c r="L20" s="1"/>
      <c r="M20" s="1"/>
      <c r="N20" s="1"/>
      <c r="O20" s="1"/>
      <c r="P20" s="1"/>
      <c r="Q20" s="1"/>
      <c r="R20" s="1"/>
    </row>
    <row r="21" spans="3:18" ht="15.75" customHeight="1" x14ac:dyDescent="0.25">
      <c r="C21" s="6" t="s">
        <v>153</v>
      </c>
      <c r="K21" s="6" t="s">
        <v>154</v>
      </c>
      <c r="L21" s="1"/>
      <c r="M21" s="1"/>
      <c r="N21" s="1"/>
      <c r="O21" s="1"/>
      <c r="P21" s="1"/>
      <c r="Q21" s="1"/>
      <c r="R21" s="1"/>
    </row>
    <row r="22" spans="3:18" ht="15.75" customHeight="1" x14ac:dyDescent="0.25">
      <c r="C22" s="1"/>
      <c r="K22" s="1"/>
      <c r="L22" s="1"/>
      <c r="M22" s="1"/>
      <c r="N22" s="1"/>
      <c r="O22" s="1"/>
      <c r="P22" s="1"/>
      <c r="Q22" s="1"/>
      <c r="R22" s="1"/>
    </row>
    <row r="23" spans="3:18" ht="15.75" customHeight="1" x14ac:dyDescent="0.25">
      <c r="C23" s="6" t="s">
        <v>133</v>
      </c>
      <c r="D23" s="94">
        <v>140</v>
      </c>
      <c r="K23" s="6" t="s">
        <v>133</v>
      </c>
      <c r="L23" s="94">
        <v>220</v>
      </c>
      <c r="M23" s="1"/>
      <c r="N23" s="1"/>
      <c r="O23" s="1"/>
      <c r="P23" s="1"/>
      <c r="Q23" s="1"/>
      <c r="R23" s="1"/>
    </row>
    <row r="24" spans="3:18" ht="15.75" customHeight="1" x14ac:dyDescent="0.25">
      <c r="K24" s="1"/>
      <c r="L24" s="1"/>
      <c r="M24" s="1"/>
      <c r="N24" s="1"/>
      <c r="O24" s="1"/>
      <c r="P24" s="1"/>
      <c r="Q24" s="1"/>
      <c r="R24" s="1"/>
    </row>
    <row r="25" spans="3:18" ht="15.75" customHeight="1" x14ac:dyDescent="0.25">
      <c r="D25" s="1" t="s">
        <v>94</v>
      </c>
      <c r="E25" s="1" t="s">
        <v>134</v>
      </c>
      <c r="F25" s="1" t="s">
        <v>135</v>
      </c>
      <c r="K25" s="1"/>
      <c r="L25" s="1" t="s">
        <v>94</v>
      </c>
      <c r="M25" s="1" t="s">
        <v>134</v>
      </c>
      <c r="N25" s="1" t="s">
        <v>135</v>
      </c>
      <c r="O25" s="1"/>
      <c r="P25" s="1"/>
      <c r="Q25" s="1"/>
      <c r="R25" s="1"/>
    </row>
    <row r="26" spans="3:18" ht="15.75" customHeight="1" x14ac:dyDescent="0.25">
      <c r="C26" s="51" t="s">
        <v>136</v>
      </c>
      <c r="D26" s="51">
        <v>20</v>
      </c>
      <c r="E26" s="51">
        <v>10</v>
      </c>
      <c r="F26" s="51" t="s">
        <v>137</v>
      </c>
      <c r="K26" s="51" t="s">
        <v>136</v>
      </c>
      <c r="L26" s="51">
        <v>70</v>
      </c>
      <c r="M26" s="51">
        <v>10</v>
      </c>
      <c r="N26" s="51" t="s">
        <v>138</v>
      </c>
      <c r="O26" s="1"/>
      <c r="P26" s="1"/>
      <c r="Q26" s="1"/>
      <c r="R26" s="1"/>
    </row>
    <row r="27" spans="3:18" ht="15.75" customHeight="1" x14ac:dyDescent="0.25">
      <c r="C27" s="51" t="s">
        <v>139</v>
      </c>
      <c r="D27" s="51">
        <f>CEILING(D23*0.4,5)</f>
        <v>60</v>
      </c>
      <c r="E27" s="51">
        <v>6</v>
      </c>
      <c r="F27" s="51" t="s">
        <v>137</v>
      </c>
      <c r="K27" s="51" t="s">
        <v>139</v>
      </c>
      <c r="L27" s="51">
        <f>CEILING(L23*0.4,5)</f>
        <v>90</v>
      </c>
      <c r="M27" s="51">
        <v>6</v>
      </c>
      <c r="N27" s="51" t="s">
        <v>138</v>
      </c>
      <c r="O27" s="1"/>
      <c r="P27" s="1"/>
      <c r="Q27" s="1"/>
      <c r="R27" s="1"/>
    </row>
    <row r="28" spans="3:18" ht="15.75" customHeight="1" x14ac:dyDescent="0.25">
      <c r="C28" s="51" t="s">
        <v>140</v>
      </c>
      <c r="D28" s="51">
        <f>CEILING(D23*0.55,5)</f>
        <v>80</v>
      </c>
      <c r="E28" s="51">
        <v>4</v>
      </c>
      <c r="F28" s="51" t="s">
        <v>141</v>
      </c>
      <c r="K28" s="51" t="s">
        <v>140</v>
      </c>
      <c r="L28" s="51">
        <f>CEILING(L23*0.55,5)</f>
        <v>125</v>
      </c>
      <c r="M28" s="51">
        <v>4</v>
      </c>
      <c r="N28" s="51" t="s">
        <v>142</v>
      </c>
      <c r="O28" s="1"/>
      <c r="P28" s="1"/>
      <c r="Q28" s="1"/>
      <c r="R28" s="1"/>
    </row>
    <row r="29" spans="3:18" ht="15.75" customHeight="1" x14ac:dyDescent="0.25">
      <c r="C29" s="51" t="s">
        <v>143</v>
      </c>
      <c r="D29" s="51">
        <f>CEILING(D23*0.7,5)</f>
        <v>100</v>
      </c>
      <c r="E29" s="51">
        <v>2</v>
      </c>
      <c r="F29" s="51" t="s">
        <v>141</v>
      </c>
      <c r="K29" s="51" t="s">
        <v>143</v>
      </c>
      <c r="L29" s="51">
        <f>CEILING(L23*0.7,5)</f>
        <v>155</v>
      </c>
      <c r="M29" s="51">
        <v>2</v>
      </c>
      <c r="N29" s="51" t="s">
        <v>142</v>
      </c>
      <c r="O29" s="1"/>
      <c r="P29" s="1"/>
      <c r="Q29" s="1"/>
      <c r="R29" s="1"/>
    </row>
    <row r="30" spans="3:18" ht="15.75" customHeight="1" x14ac:dyDescent="0.25">
      <c r="C30" s="51" t="s">
        <v>144</v>
      </c>
      <c r="D30" s="51">
        <f>CEILING(D23*0.775,2.5)</f>
        <v>110</v>
      </c>
      <c r="E30" s="51">
        <v>1</v>
      </c>
      <c r="F30" s="51" t="s">
        <v>145</v>
      </c>
      <c r="K30" s="51" t="s">
        <v>144</v>
      </c>
      <c r="L30" s="51">
        <f>CEILING(L23*0.775,2.5)</f>
        <v>172.5</v>
      </c>
      <c r="M30" s="51">
        <v>1</v>
      </c>
      <c r="N30" s="51" t="s">
        <v>145</v>
      </c>
      <c r="O30" s="1"/>
      <c r="P30" s="1"/>
      <c r="Q30" s="1"/>
      <c r="R30" s="1"/>
    </row>
    <row r="31" spans="3:18" ht="15.75" customHeight="1" x14ac:dyDescent="0.25">
      <c r="C31" s="51" t="s">
        <v>146</v>
      </c>
      <c r="D31" s="51">
        <f>CEILING(D23*0.825,2.5)</f>
        <v>117.5</v>
      </c>
      <c r="E31" s="51">
        <v>1</v>
      </c>
      <c r="F31" s="51" t="s">
        <v>147</v>
      </c>
      <c r="K31" s="51" t="s">
        <v>146</v>
      </c>
      <c r="L31" s="51">
        <f>CEILING(L23*0.825,2.5)</f>
        <v>182.5</v>
      </c>
      <c r="M31" s="51">
        <v>1</v>
      </c>
      <c r="N31" s="51" t="s">
        <v>147</v>
      </c>
      <c r="O31" s="1"/>
      <c r="P31" s="1"/>
      <c r="Q31" s="1"/>
      <c r="R31" s="1"/>
    </row>
    <row r="32" spans="3:18" ht="15.75" customHeight="1" x14ac:dyDescent="0.25">
      <c r="C32" s="51" t="s">
        <v>148</v>
      </c>
      <c r="D32" s="51">
        <f>CEILING(D23*0.875,2.5)</f>
        <v>122.5</v>
      </c>
      <c r="E32" s="51">
        <v>1</v>
      </c>
      <c r="F32" s="51" t="s">
        <v>149</v>
      </c>
      <c r="K32" s="51" t="s">
        <v>148</v>
      </c>
      <c r="L32" s="51">
        <f>CEILING(L23*0.875,2.5)</f>
        <v>192.5</v>
      </c>
      <c r="M32" s="51">
        <v>1</v>
      </c>
      <c r="N32" s="51" t="s">
        <v>149</v>
      </c>
      <c r="O32" s="1"/>
      <c r="P32" s="1"/>
      <c r="Q32" s="1"/>
      <c r="R32" s="1"/>
    </row>
    <row r="33" spans="3:18" ht="15.75" customHeight="1" x14ac:dyDescent="0.25">
      <c r="C33" s="51" t="s">
        <v>150</v>
      </c>
      <c r="D33" s="51">
        <f>FLOOR(D23*0.925,2.5)</f>
        <v>127.5</v>
      </c>
      <c r="E33" s="51">
        <v>1</v>
      </c>
      <c r="F33" s="51" t="s">
        <v>149</v>
      </c>
      <c r="K33" s="51" t="s">
        <v>150</v>
      </c>
      <c r="L33" s="51">
        <f>FLOOR(L23*0.925,2.5)</f>
        <v>202.5</v>
      </c>
      <c r="M33" s="51">
        <v>1</v>
      </c>
      <c r="N33" s="51" t="s">
        <v>149</v>
      </c>
      <c r="O33" s="1"/>
      <c r="P33" s="1"/>
      <c r="Q33" s="1"/>
      <c r="R33" s="1"/>
    </row>
    <row r="34" spans="3:18" ht="15.75" customHeight="1" x14ac:dyDescent="0.25">
      <c r="C34" s="51" t="s">
        <v>151</v>
      </c>
      <c r="D34" s="51">
        <f>CEILING(D23*0.95,2.5)</f>
        <v>135</v>
      </c>
      <c r="E34" s="51">
        <v>1</v>
      </c>
      <c r="F34" s="51" t="s">
        <v>152</v>
      </c>
      <c r="K34" s="51" t="s">
        <v>151</v>
      </c>
      <c r="L34" s="51">
        <f>CEILING(L23*0.95,2.5)</f>
        <v>210</v>
      </c>
      <c r="M34" s="51">
        <v>1</v>
      </c>
      <c r="N34" s="51" t="s">
        <v>152</v>
      </c>
      <c r="O34" s="1"/>
      <c r="P34" s="1"/>
      <c r="Q34" s="1"/>
      <c r="R34" s="1"/>
    </row>
    <row r="35" spans="3:18" ht="15.75" customHeight="1" x14ac:dyDescent="0.25">
      <c r="C35" s="51" t="s">
        <v>155</v>
      </c>
      <c r="D35" s="51">
        <f>CEILING(D23*1,2.5)</f>
        <v>140</v>
      </c>
      <c r="E35" s="51">
        <v>1</v>
      </c>
      <c r="F35" s="51" t="s">
        <v>152</v>
      </c>
      <c r="G35" s="1"/>
      <c r="K35" s="51" t="s">
        <v>155</v>
      </c>
      <c r="L35" s="51">
        <f>CEILING(L23*1,2.5)</f>
        <v>220</v>
      </c>
      <c r="M35" s="51">
        <v>1</v>
      </c>
      <c r="N35" s="51" t="s">
        <v>152</v>
      </c>
      <c r="O35" s="1"/>
      <c r="P35" s="1"/>
      <c r="Q35" s="1"/>
      <c r="R35" s="1"/>
    </row>
    <row r="36" spans="3:18" ht="15.75" customHeight="1" x14ac:dyDescent="0.25">
      <c r="C36" s="1"/>
      <c r="D36" s="1"/>
      <c r="E36" s="1"/>
      <c r="F36" s="1"/>
      <c r="G36" s="1"/>
      <c r="K36" s="1"/>
      <c r="L36" s="1"/>
      <c r="M36" s="1"/>
      <c r="N36" s="1"/>
      <c r="O36" s="1"/>
      <c r="P36" s="1"/>
      <c r="Q36" s="1"/>
      <c r="R36" s="1"/>
    </row>
    <row r="37" spans="3:18" ht="15.75" customHeight="1" x14ac:dyDescent="0.25">
      <c r="C37" s="1"/>
      <c r="D37" s="1"/>
      <c r="E37" s="1"/>
      <c r="F37" s="1"/>
      <c r="G37" s="1"/>
      <c r="K37" s="1"/>
      <c r="L37" s="1"/>
      <c r="M37" s="1"/>
      <c r="N37" s="1"/>
      <c r="O37" s="1"/>
      <c r="P37" s="1"/>
      <c r="Q37" s="1"/>
      <c r="R37" s="1"/>
    </row>
    <row r="38" spans="3:18" ht="15.75" customHeight="1" x14ac:dyDescent="0.25">
      <c r="K38" s="1"/>
      <c r="L38" s="1"/>
      <c r="M38" s="1"/>
      <c r="N38" s="1"/>
      <c r="O38" s="1"/>
      <c r="P38" s="1"/>
      <c r="Q38" s="1"/>
      <c r="R38" s="1"/>
    </row>
    <row r="39" spans="3:18" ht="15.75" customHeight="1" x14ac:dyDescent="0.25">
      <c r="K39" s="1"/>
      <c r="L39" s="1"/>
      <c r="M39" s="1"/>
      <c r="N39" s="1"/>
      <c r="O39" s="1"/>
      <c r="P39" s="1"/>
      <c r="Q39" s="1"/>
      <c r="R39" s="1"/>
    </row>
    <row r="40" spans="3:18" ht="15.75" customHeight="1" x14ac:dyDescent="0.25">
      <c r="C40" s="6" t="s">
        <v>156</v>
      </c>
      <c r="D40" s="1"/>
      <c r="E40" s="1"/>
      <c r="F40" s="1"/>
      <c r="G40" s="1"/>
      <c r="H40" s="1"/>
      <c r="K40" s="6" t="s">
        <v>157</v>
      </c>
      <c r="L40" s="1"/>
      <c r="M40" s="1"/>
      <c r="N40" s="1"/>
      <c r="O40" s="1"/>
      <c r="P40" s="1"/>
      <c r="Q40" s="1"/>
      <c r="R40" s="1"/>
    </row>
    <row r="41" spans="3:18" ht="15.75" customHeight="1" x14ac:dyDescent="0.25">
      <c r="C41" s="1"/>
      <c r="D41" s="1"/>
      <c r="E41" s="1"/>
      <c r="F41" s="1"/>
      <c r="G41" s="1"/>
      <c r="H41" s="1"/>
      <c r="K41" s="1"/>
      <c r="L41" s="1"/>
      <c r="M41" s="1"/>
      <c r="N41" s="1"/>
      <c r="O41" s="1"/>
      <c r="P41" s="1"/>
      <c r="Q41" s="1"/>
      <c r="R41" s="1"/>
    </row>
    <row r="42" spans="3:18" ht="15.75" customHeight="1" x14ac:dyDescent="0.25">
      <c r="C42" s="6" t="s">
        <v>133</v>
      </c>
      <c r="D42" s="94">
        <v>150</v>
      </c>
      <c r="E42" s="1"/>
      <c r="F42" s="1"/>
      <c r="G42" s="1"/>
      <c r="H42" s="1"/>
      <c r="K42" s="6" t="s">
        <v>133</v>
      </c>
      <c r="L42" s="94">
        <v>310</v>
      </c>
      <c r="M42" s="1"/>
      <c r="N42" s="1"/>
      <c r="O42" s="1"/>
      <c r="P42" s="1"/>
      <c r="Q42" s="1"/>
      <c r="R42" s="1"/>
    </row>
    <row r="43" spans="3:18" ht="15.75" customHeight="1" x14ac:dyDescent="0.25">
      <c r="C43" s="1"/>
      <c r="D43" s="1"/>
      <c r="E43" s="1"/>
      <c r="F43" s="1"/>
      <c r="G43" s="1"/>
      <c r="H43" s="1"/>
      <c r="K43" s="1"/>
      <c r="L43" s="1"/>
      <c r="M43" s="1"/>
      <c r="N43" s="1"/>
      <c r="O43" s="1"/>
      <c r="P43" s="1"/>
      <c r="Q43" s="1"/>
      <c r="R43" s="1"/>
    </row>
    <row r="44" spans="3:18" ht="15.75" customHeight="1" x14ac:dyDescent="0.25">
      <c r="C44" s="1"/>
      <c r="D44" s="1" t="s">
        <v>94</v>
      </c>
      <c r="E44" s="1" t="s">
        <v>134</v>
      </c>
      <c r="F44" s="1" t="s">
        <v>135</v>
      </c>
      <c r="G44" s="1"/>
      <c r="H44" s="1"/>
      <c r="K44" s="1"/>
      <c r="L44" s="1" t="s">
        <v>94</v>
      </c>
      <c r="M44" s="1" t="s">
        <v>134</v>
      </c>
      <c r="N44" s="1" t="s">
        <v>135</v>
      </c>
      <c r="O44" s="1"/>
      <c r="P44" s="1"/>
      <c r="Q44" s="1"/>
      <c r="R44" s="1"/>
    </row>
    <row r="45" spans="3:18" ht="15.75" customHeight="1" x14ac:dyDescent="0.25">
      <c r="C45" s="51" t="s">
        <v>136</v>
      </c>
      <c r="D45" s="51">
        <v>20</v>
      </c>
      <c r="E45" s="51">
        <v>10</v>
      </c>
      <c r="F45" s="1" t="s">
        <v>137</v>
      </c>
      <c r="G45" s="1"/>
      <c r="H45" s="1"/>
      <c r="K45" s="51" t="s">
        <v>136</v>
      </c>
      <c r="L45" s="51">
        <v>20</v>
      </c>
      <c r="M45" s="51">
        <v>10</v>
      </c>
      <c r="N45" s="51" t="s">
        <v>138</v>
      </c>
      <c r="O45" s="1"/>
      <c r="P45" s="1"/>
      <c r="Q45" s="1"/>
      <c r="R45" s="1"/>
    </row>
    <row r="46" spans="3:18" ht="15.75" customHeight="1" x14ac:dyDescent="0.25">
      <c r="C46" s="51" t="s">
        <v>139</v>
      </c>
      <c r="D46" s="51">
        <f>CEILING(D42*0.4,5)</f>
        <v>60</v>
      </c>
      <c r="E46" s="51">
        <v>6</v>
      </c>
      <c r="F46" s="1" t="s">
        <v>137</v>
      </c>
      <c r="G46" s="1"/>
      <c r="H46" s="1"/>
      <c r="K46" s="51" t="s">
        <v>139</v>
      </c>
      <c r="L46" s="51">
        <f>CEILING(L42*0.4,5)</f>
        <v>125</v>
      </c>
      <c r="M46" s="51">
        <v>6</v>
      </c>
      <c r="N46" s="51" t="s">
        <v>138</v>
      </c>
      <c r="O46" s="1"/>
      <c r="P46" s="1"/>
      <c r="Q46" s="1"/>
      <c r="R46" s="1"/>
    </row>
    <row r="47" spans="3:18" ht="15.75" customHeight="1" x14ac:dyDescent="0.25">
      <c r="C47" s="51" t="s">
        <v>140</v>
      </c>
      <c r="D47" s="51">
        <f>CEILING(D42*0.55,5)</f>
        <v>85</v>
      </c>
      <c r="E47" s="51">
        <v>4</v>
      </c>
      <c r="F47" s="1" t="s">
        <v>141</v>
      </c>
      <c r="G47" s="1"/>
      <c r="H47" s="1"/>
      <c r="K47" s="51" t="s">
        <v>140</v>
      </c>
      <c r="L47" s="51">
        <f>CEILING(L42*0.55,5)</f>
        <v>175</v>
      </c>
      <c r="M47" s="51">
        <v>4</v>
      </c>
      <c r="N47" s="51" t="s">
        <v>142</v>
      </c>
      <c r="O47" s="1"/>
      <c r="P47" s="1"/>
      <c r="Q47" s="1"/>
      <c r="R47" s="1"/>
    </row>
    <row r="48" spans="3:18" ht="15.75" customHeight="1" x14ac:dyDescent="0.25">
      <c r="C48" s="51" t="s">
        <v>143</v>
      </c>
      <c r="D48" s="51">
        <f>CEILING(D42*0.65,5)</f>
        <v>100</v>
      </c>
      <c r="E48" s="51">
        <v>3</v>
      </c>
      <c r="F48" s="1" t="s">
        <v>141</v>
      </c>
      <c r="G48" s="1"/>
      <c r="H48" s="1"/>
      <c r="K48" s="51" t="s">
        <v>143</v>
      </c>
      <c r="L48" s="51">
        <f>CEILING(L42*0.65,5)</f>
        <v>205</v>
      </c>
      <c r="M48" s="51">
        <v>3</v>
      </c>
      <c r="N48" s="51" t="s">
        <v>142</v>
      </c>
      <c r="O48" s="1"/>
      <c r="P48" s="1"/>
      <c r="Q48" s="1"/>
      <c r="R48" s="1"/>
    </row>
    <row r="49" spans="3:18" ht="15.75" customHeight="1" x14ac:dyDescent="0.25">
      <c r="C49" s="51" t="s">
        <v>144</v>
      </c>
      <c r="D49" s="51">
        <f>CEILING(D42*0.75,2.5)</f>
        <v>112.5</v>
      </c>
      <c r="E49" s="51">
        <v>2</v>
      </c>
      <c r="F49" s="1" t="s">
        <v>145</v>
      </c>
      <c r="G49" s="1"/>
      <c r="H49" s="1"/>
      <c r="K49" s="51" t="s">
        <v>144</v>
      </c>
      <c r="L49" s="51">
        <f>CEILING(L42*0.75,2.5)</f>
        <v>232.5</v>
      </c>
      <c r="M49" s="51">
        <v>2</v>
      </c>
      <c r="N49" s="51" t="s">
        <v>145</v>
      </c>
      <c r="O49" s="1"/>
      <c r="P49" s="1"/>
      <c r="Q49" s="1"/>
      <c r="R49" s="1"/>
    </row>
    <row r="50" spans="3:18" ht="15.75" customHeight="1" x14ac:dyDescent="0.25">
      <c r="C50" s="51" t="s">
        <v>146</v>
      </c>
      <c r="D50" s="51">
        <f>CEILING(D42*0.8,2.5)</f>
        <v>120</v>
      </c>
      <c r="E50" s="51">
        <v>1</v>
      </c>
      <c r="F50" s="1" t="s">
        <v>147</v>
      </c>
      <c r="G50" s="1"/>
      <c r="H50" s="1"/>
      <c r="K50" s="51" t="s">
        <v>146</v>
      </c>
      <c r="L50" s="51">
        <f>CEILING(L42*0.8,2.5)</f>
        <v>250</v>
      </c>
      <c r="M50" s="51">
        <v>1</v>
      </c>
      <c r="N50" s="51" t="s">
        <v>147</v>
      </c>
      <c r="O50" s="1"/>
      <c r="P50" s="1"/>
      <c r="Q50" s="1"/>
      <c r="R50" s="1"/>
    </row>
    <row r="51" spans="3:18" ht="15.75" customHeight="1" x14ac:dyDescent="0.25">
      <c r="C51" s="51" t="s">
        <v>148</v>
      </c>
      <c r="D51" s="51">
        <f>CEILING(D42*0.85,2.5)</f>
        <v>127.5</v>
      </c>
      <c r="E51" s="51">
        <v>1</v>
      </c>
      <c r="F51" s="1" t="s">
        <v>149</v>
      </c>
      <c r="G51" s="1"/>
      <c r="H51" s="1"/>
      <c r="K51" s="51" t="s">
        <v>148</v>
      </c>
      <c r="L51" s="51">
        <f>CEILING(L42*0.85,2.5)</f>
        <v>265</v>
      </c>
      <c r="M51" s="51">
        <v>1</v>
      </c>
      <c r="N51" s="51" t="s">
        <v>149</v>
      </c>
      <c r="O51" s="1"/>
      <c r="P51" s="1"/>
      <c r="Q51" s="1"/>
      <c r="R51" s="1"/>
    </row>
    <row r="52" spans="3:18" ht="15.75" customHeight="1" x14ac:dyDescent="0.25">
      <c r="C52" s="51" t="s">
        <v>150</v>
      </c>
      <c r="D52" s="51">
        <f>FLOOR(D42*0.9,2.5)</f>
        <v>135</v>
      </c>
      <c r="E52" s="51">
        <v>1</v>
      </c>
      <c r="F52" s="1" t="s">
        <v>149</v>
      </c>
      <c r="G52" s="1"/>
      <c r="H52" s="1"/>
      <c r="K52" s="51" t="s">
        <v>150</v>
      </c>
      <c r="L52" s="51">
        <f>FLOOR(L42*0.9,2.5)</f>
        <v>277.5</v>
      </c>
      <c r="M52" s="51">
        <v>1</v>
      </c>
      <c r="N52" s="1" t="s">
        <v>149</v>
      </c>
      <c r="O52" s="1"/>
      <c r="P52" s="1"/>
      <c r="Q52" s="1"/>
      <c r="R52" s="1"/>
    </row>
    <row r="53" spans="3:18" ht="15.75" customHeight="1" x14ac:dyDescent="0.25">
      <c r="C53" s="51" t="s">
        <v>151</v>
      </c>
      <c r="D53" s="51">
        <f>CEILING(D42*0.925,2.5)</f>
        <v>140</v>
      </c>
      <c r="E53" s="51">
        <v>1</v>
      </c>
      <c r="F53" s="1" t="s">
        <v>152</v>
      </c>
      <c r="G53" s="1"/>
      <c r="H53" s="1"/>
      <c r="K53" s="51" t="s">
        <v>151</v>
      </c>
      <c r="L53" s="51">
        <f>CEILING(L42*0.925,2.5)</f>
        <v>287.5</v>
      </c>
      <c r="M53" s="51">
        <v>1</v>
      </c>
      <c r="N53" s="1" t="s">
        <v>152</v>
      </c>
      <c r="O53" s="1"/>
      <c r="P53" s="1"/>
      <c r="Q53" s="1"/>
      <c r="R53" s="1"/>
    </row>
    <row r="54" spans="3:18" ht="15.75" customHeight="1" x14ac:dyDescent="0.25">
      <c r="C54" s="51" t="s">
        <v>155</v>
      </c>
      <c r="D54" s="51">
        <f>CEILING(D42*0.95,2.5)</f>
        <v>142.5</v>
      </c>
      <c r="E54" s="51">
        <v>1</v>
      </c>
      <c r="F54" s="1" t="s">
        <v>152</v>
      </c>
      <c r="G54" s="1"/>
      <c r="H54" s="1"/>
      <c r="K54" s="51" t="s">
        <v>155</v>
      </c>
      <c r="L54" s="51">
        <f>CEILING(L42*0.95,2.5)</f>
        <v>295</v>
      </c>
      <c r="M54" s="51">
        <v>1</v>
      </c>
      <c r="N54" s="1" t="s">
        <v>152</v>
      </c>
      <c r="O54" s="1"/>
      <c r="P54" s="1"/>
      <c r="Q54" s="1"/>
      <c r="R54" s="1"/>
    </row>
    <row r="55" spans="3:18" ht="15.75" customHeight="1" x14ac:dyDescent="0.25">
      <c r="C55" s="51" t="s">
        <v>158</v>
      </c>
      <c r="D55" s="51">
        <f>CEILING(D42*0.975,2.5)</f>
        <v>147.5</v>
      </c>
      <c r="E55" s="51">
        <v>1</v>
      </c>
      <c r="F55" s="1" t="s">
        <v>152</v>
      </c>
      <c r="G55" s="1"/>
      <c r="H55" s="1"/>
      <c r="K55" s="51" t="s">
        <v>158</v>
      </c>
      <c r="L55" s="51">
        <f>CEILING(L42*0.975,2.5)</f>
        <v>302.5</v>
      </c>
      <c r="M55" s="51">
        <v>1</v>
      </c>
      <c r="N55" s="1" t="s">
        <v>152</v>
      </c>
      <c r="O55" s="1"/>
      <c r="P55" s="1"/>
      <c r="Q55" s="1"/>
      <c r="R55" s="1"/>
    </row>
    <row r="56" spans="3:18" ht="15.75" customHeight="1" x14ac:dyDescent="0.25">
      <c r="C56" s="51" t="s">
        <v>159</v>
      </c>
      <c r="D56" s="51">
        <f>CEILING(D42*1,2.5)</f>
        <v>150</v>
      </c>
      <c r="E56" s="51">
        <v>1</v>
      </c>
      <c r="F56" s="1" t="s">
        <v>152</v>
      </c>
      <c r="G56" s="1"/>
      <c r="H56" s="1"/>
      <c r="K56" s="51" t="s">
        <v>159</v>
      </c>
      <c r="L56" s="51">
        <f>CEILING(L42*1,2.5)</f>
        <v>310</v>
      </c>
      <c r="M56" s="51">
        <v>1</v>
      </c>
      <c r="N56" s="1" t="s">
        <v>152</v>
      </c>
      <c r="O56" s="1"/>
      <c r="P56" s="1"/>
      <c r="Q56" s="1"/>
      <c r="R56" s="1"/>
    </row>
    <row r="57" spans="3:18" ht="15.75" customHeight="1" x14ac:dyDescent="0.25">
      <c r="K57" s="1"/>
      <c r="L57" s="1"/>
      <c r="M57" s="1"/>
      <c r="N57" s="1"/>
      <c r="O57" s="1"/>
      <c r="P57" s="1"/>
      <c r="Q57" s="1"/>
      <c r="R57" s="1"/>
    </row>
    <row r="58" spans="3:18" ht="15.75" customHeight="1" x14ac:dyDescent="0.25">
      <c r="K58" s="1"/>
      <c r="L58" s="1"/>
      <c r="M58" s="1"/>
      <c r="N58" s="1"/>
      <c r="O58" s="1"/>
      <c r="P58" s="1"/>
      <c r="Q58" s="1"/>
      <c r="R58" s="1"/>
    </row>
    <row r="59" spans="3:18" ht="15.75" customHeight="1" x14ac:dyDescent="0.25">
      <c r="K59" s="1"/>
      <c r="L59" s="1"/>
      <c r="M59" s="1"/>
      <c r="N59" s="1"/>
      <c r="O59" s="1"/>
      <c r="P59" s="1"/>
      <c r="Q59" s="1"/>
      <c r="R59" s="1"/>
    </row>
    <row r="60" spans="3:18" ht="15.75" customHeight="1" x14ac:dyDescent="0.25"/>
    <row r="61" spans="3:18" ht="15.75" customHeight="1" x14ac:dyDescent="0.25"/>
    <row r="62" spans="3:18" ht="15.75" customHeight="1" x14ac:dyDescent="0.25"/>
    <row r="63" spans="3:18" ht="15.75" customHeight="1" x14ac:dyDescent="0.25"/>
    <row r="64" spans="3:1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J3:AP1000"/>
  <sheetViews>
    <sheetView topLeftCell="G7" workbookViewId="0">
      <selection activeCell="S30" sqref="S30"/>
    </sheetView>
  </sheetViews>
  <sheetFormatPr defaultColWidth="14.42578125" defaultRowHeight="15" customHeight="1" x14ac:dyDescent="0.25"/>
  <cols>
    <col min="1" max="11" width="8.7109375" customWidth="1"/>
    <col min="12" max="12" width="20.5703125" customWidth="1"/>
    <col min="13" max="13" width="31.42578125" customWidth="1"/>
    <col min="14" max="14" width="16.42578125" customWidth="1"/>
    <col min="15" max="15" width="21" customWidth="1"/>
    <col min="16" max="16" width="21.42578125" customWidth="1"/>
    <col min="17" max="17" width="15.85546875" customWidth="1"/>
    <col min="18" max="18" width="12.42578125" customWidth="1"/>
    <col min="19" max="19" width="14" customWidth="1"/>
    <col min="20" max="20" width="12.28515625" customWidth="1"/>
    <col min="21" max="21" width="13.28515625" customWidth="1"/>
    <col min="22" max="22" width="13.7109375" customWidth="1"/>
    <col min="23" max="23" width="13.140625" customWidth="1"/>
    <col min="24" max="24" width="14.28515625" customWidth="1"/>
    <col min="25" max="25" width="10" customWidth="1"/>
    <col min="26" max="26" width="11.85546875" customWidth="1"/>
    <col min="27" max="27" width="12.5703125" customWidth="1"/>
    <col min="28" max="28" width="12.28515625" customWidth="1"/>
    <col min="29" max="29" width="10.28515625" customWidth="1"/>
    <col min="30" max="30" width="8.7109375" customWidth="1"/>
    <col min="31" max="32" width="12" customWidth="1"/>
    <col min="33" max="33" width="12.85546875" customWidth="1"/>
    <col min="34" max="35" width="12.140625" customWidth="1"/>
    <col min="36" max="36" width="12.42578125" customWidth="1"/>
    <col min="37" max="37" width="11.42578125" customWidth="1"/>
    <col min="38" max="38" width="12.140625" customWidth="1"/>
    <col min="39" max="39" width="19.7109375" customWidth="1"/>
    <col min="40" max="40" width="12.42578125" customWidth="1"/>
    <col min="41" max="41" width="11.140625" customWidth="1"/>
    <col min="42" max="42" width="12" customWidth="1"/>
  </cols>
  <sheetData>
    <row r="3" spans="11:42" x14ac:dyDescent="0.25">
      <c r="M3" s="94">
        <v>100</v>
      </c>
    </row>
    <row r="5" spans="11:42" ht="15" customHeight="1" x14ac:dyDescent="0.25">
      <c r="AB5" s="1"/>
      <c r="AC5" s="95"/>
      <c r="AD5" s="35"/>
      <c r="AE5" s="1"/>
    </row>
    <row r="6" spans="11:42" ht="15" customHeight="1" x14ac:dyDescent="0.25">
      <c r="AB6" s="1"/>
      <c r="AC6" s="38"/>
      <c r="AD6" s="37"/>
      <c r="AE6" s="1"/>
    </row>
    <row r="7" spans="11:42" x14ac:dyDescent="0.25">
      <c r="N7" s="6" t="s">
        <v>160</v>
      </c>
      <c r="Q7" s="136" t="s">
        <v>31</v>
      </c>
      <c r="R7" s="137"/>
      <c r="S7" s="137"/>
      <c r="T7" s="138"/>
      <c r="U7" s="136" t="s">
        <v>32</v>
      </c>
      <c r="V7" s="137"/>
      <c r="W7" s="137"/>
      <c r="X7" s="137"/>
      <c r="Y7" s="136" t="s">
        <v>98</v>
      </c>
      <c r="Z7" s="137"/>
      <c r="AA7" s="137"/>
      <c r="AB7" s="137"/>
      <c r="AC7" s="96" t="s">
        <v>161</v>
      </c>
      <c r="AD7" s="97"/>
      <c r="AE7" s="139" t="s">
        <v>162</v>
      </c>
      <c r="AF7" s="137"/>
      <c r="AG7" s="137"/>
      <c r="AH7" s="138"/>
      <c r="AI7" s="136" t="s">
        <v>163</v>
      </c>
      <c r="AJ7" s="137"/>
      <c r="AK7" s="137"/>
      <c r="AL7" s="138"/>
      <c r="AM7" s="136" t="s">
        <v>164</v>
      </c>
      <c r="AN7" s="137"/>
      <c r="AO7" s="137"/>
      <c r="AP7" s="138"/>
    </row>
    <row r="8" spans="11:42" x14ac:dyDescent="0.25">
      <c r="K8" s="1"/>
      <c r="L8" s="1"/>
      <c r="M8" s="1"/>
      <c r="N8" s="6" t="s">
        <v>165</v>
      </c>
      <c r="O8" s="6" t="s">
        <v>166</v>
      </c>
      <c r="P8" s="6" t="s">
        <v>167</v>
      </c>
      <c r="Q8" s="49" t="s">
        <v>94</v>
      </c>
      <c r="R8" s="49" t="s">
        <v>95</v>
      </c>
      <c r="S8" s="49" t="s">
        <v>94</v>
      </c>
      <c r="T8" s="49" t="s">
        <v>95</v>
      </c>
      <c r="U8" s="49" t="s">
        <v>94</v>
      </c>
      <c r="V8" s="49" t="s">
        <v>95</v>
      </c>
      <c r="W8" s="49" t="s">
        <v>94</v>
      </c>
      <c r="X8" s="49" t="s">
        <v>95</v>
      </c>
      <c r="Y8" s="46" t="s">
        <v>94</v>
      </c>
      <c r="Z8" s="46" t="s">
        <v>95</v>
      </c>
      <c r="AA8" s="46" t="s">
        <v>94</v>
      </c>
      <c r="AB8" s="98" t="s">
        <v>95</v>
      </c>
      <c r="AC8" s="99"/>
      <c r="AD8" s="100"/>
      <c r="AE8" s="101" t="s">
        <v>94</v>
      </c>
      <c r="AF8" s="49" t="s">
        <v>95</v>
      </c>
      <c r="AG8" s="49" t="s">
        <v>94</v>
      </c>
      <c r="AH8" s="49" t="s">
        <v>95</v>
      </c>
      <c r="AI8" s="49" t="s">
        <v>94</v>
      </c>
      <c r="AJ8" s="49" t="s">
        <v>95</v>
      </c>
      <c r="AK8" s="49" t="s">
        <v>94</v>
      </c>
      <c r="AL8" s="49" t="s">
        <v>134</v>
      </c>
      <c r="AM8" s="49" t="s">
        <v>94</v>
      </c>
      <c r="AN8" s="49" t="s">
        <v>95</v>
      </c>
      <c r="AO8" s="49" t="s">
        <v>94</v>
      </c>
      <c r="AP8" s="49" t="s">
        <v>95</v>
      </c>
    </row>
    <row r="9" spans="11:42" ht="20.25" customHeight="1" x14ac:dyDescent="0.3">
      <c r="K9" s="6"/>
      <c r="L9" s="18" t="s">
        <v>37</v>
      </c>
      <c r="M9" s="6"/>
      <c r="N9" s="102">
        <f>'Программа тренировок '!C116</f>
        <v>0</v>
      </c>
      <c r="O9" s="103">
        <f>'Программа тренировок '!D116</f>
        <v>0</v>
      </c>
      <c r="P9" s="104">
        <f>'Программа тренировок '!E116</f>
        <v>0</v>
      </c>
      <c r="Q9" s="51" t="str">
        <f t="shared" ref="Q9:Q10" si="0">CEILING(N9*0.85,P9)&amp;" кг"</f>
        <v>0 кг</v>
      </c>
      <c r="R9" s="51" t="s">
        <v>168</v>
      </c>
      <c r="S9" s="51" t="str">
        <f t="shared" ref="S9:S10" si="1">CEILING(N9*0.8,P9)&amp;" кг"</f>
        <v>0 кг</v>
      </c>
      <c r="T9" s="51" t="s">
        <v>169</v>
      </c>
      <c r="U9" s="51" t="str">
        <f t="shared" ref="U9:U10" si="2">CEILING(N9*0.925,P9)&amp;" кг"</f>
        <v>0 кг</v>
      </c>
      <c r="V9" s="51" t="s">
        <v>168</v>
      </c>
      <c r="W9" s="51" t="str">
        <f t="shared" ref="W9:W10" si="3">CEILING(N9*0.875,P9)&amp;" кг"</f>
        <v>0 кг</v>
      </c>
      <c r="X9" s="51" t="s">
        <v>170</v>
      </c>
      <c r="Y9" s="51" t="str">
        <f t="shared" ref="Y9:Y10" si="4">CEILING(N9*0.95,P9)&amp;" кг"</f>
        <v>0 кг</v>
      </c>
      <c r="Z9" s="51" t="s">
        <v>171</v>
      </c>
      <c r="AA9" s="51" t="str">
        <f t="shared" ref="AA9:AA10" si="5">CEILING(N9*0.9,P9)&amp;" кг"</f>
        <v>0 кг</v>
      </c>
      <c r="AB9" s="78">
        <f>'Программа тренировок '!N154</f>
        <v>0</v>
      </c>
      <c r="AC9" s="76" t="str">
        <f t="shared" ref="AC9:AC10" si="6">CEILING((100*(CEILING(N9*0.9,P9)))/(101.3-2.67123*(AB9+1))*0.65,P9)&amp;" кг"</f>
        <v>0 кг</v>
      </c>
      <c r="AD9" s="77" t="s">
        <v>172</v>
      </c>
      <c r="AE9" s="105" t="str">
        <f t="shared" ref="AE9:AE10" si="7">CEILING((100*(CEILING(N9*0.9,P9)))/(101.3-2.67123*(AB9+1))*0.875,P9)&amp;" кг"</f>
        <v>0 кг</v>
      </c>
      <c r="AF9" s="51" t="s">
        <v>168</v>
      </c>
      <c r="AG9" s="51" t="str">
        <f t="shared" ref="AG9:AG10" si="8">CEILING((100*(CEILING(N9*0.9,P9)))/(101.3-2.67123*(AB9+1))*0.825,P9)&amp;" кг"</f>
        <v>0 кг</v>
      </c>
      <c r="AH9" s="51" t="s">
        <v>173</v>
      </c>
      <c r="AI9" s="51" t="str">
        <f t="shared" ref="AI9:AI10" si="9">CEILING((100*(CEILING(N9*0.9,P9)))/(101.3-2.67123*(AB9+1))*0.925,P9)&amp;" кг"</f>
        <v>0 кг</v>
      </c>
      <c r="AJ9" s="51" t="s">
        <v>168</v>
      </c>
      <c r="AK9" s="51" t="str">
        <f t="shared" ref="AK9:AK10" si="10">CEILING((100*(CEILING(N9*0.9,P9)))/(101.3-2.67123*(AB9+1))*0.875,P9)&amp;" кг"</f>
        <v>0 кг</v>
      </c>
      <c r="AL9" s="51" t="s">
        <v>174</v>
      </c>
      <c r="AM9" s="51" t="str">
        <f t="shared" ref="AM9:AM10" si="11">CEILING((100*(CEILING(N9*0.9,P9)))/(101.3-2.67123*(AB9))*0.975,P9)&amp;" (±5) кг (≈100%ПМ)"</f>
        <v>0 (±5) кг (≈100%ПМ)</v>
      </c>
      <c r="AN9" s="51" t="s">
        <v>168</v>
      </c>
      <c r="AO9" s="51" t="str">
        <f t="shared" ref="AO9:AO10" si="12">CEILING((100*(CEILING(N9*0.9,P9)))/(101.3-2.67123*(AB9))*0.9,P9)&amp;" кг"</f>
        <v>0 кг</v>
      </c>
      <c r="AP9" s="51"/>
    </row>
    <row r="10" spans="11:42" ht="18.75" x14ac:dyDescent="0.3">
      <c r="L10" s="18" t="s">
        <v>175</v>
      </c>
      <c r="N10" s="106">
        <f>'Программа тренировок '!C116</f>
        <v>0</v>
      </c>
      <c r="O10" s="106">
        <f>'Программа тренировок '!D116</f>
        <v>0</v>
      </c>
      <c r="P10" s="102">
        <f>'Программа тренировок '!E116</f>
        <v>0</v>
      </c>
      <c r="Q10" s="51" t="str">
        <f t="shared" si="0"/>
        <v>0 кг</v>
      </c>
      <c r="R10" s="51" t="s">
        <v>168</v>
      </c>
      <c r="S10" s="51" t="str">
        <f t="shared" si="1"/>
        <v>0 кг</v>
      </c>
      <c r="T10" s="51" t="s">
        <v>169</v>
      </c>
      <c r="U10" s="51" t="str">
        <f t="shared" si="2"/>
        <v>0 кг</v>
      </c>
      <c r="V10" s="51" t="s">
        <v>168</v>
      </c>
      <c r="W10" s="51" t="str">
        <f t="shared" si="3"/>
        <v>0 кг</v>
      </c>
      <c r="X10" s="51" t="s">
        <v>170</v>
      </c>
      <c r="Y10" s="51" t="str">
        <f t="shared" si="4"/>
        <v>0 кг</v>
      </c>
      <c r="Z10" s="51" t="s">
        <v>171</v>
      </c>
      <c r="AA10" s="51" t="str">
        <f t="shared" si="5"/>
        <v>0 кг</v>
      </c>
      <c r="AB10" s="78">
        <f>'Программа тренировок '!N154</f>
        <v>0</v>
      </c>
      <c r="AC10" s="76" t="str">
        <f t="shared" si="6"/>
        <v>0 кг</v>
      </c>
      <c r="AD10" s="77" t="s">
        <v>172</v>
      </c>
      <c r="AE10" s="105" t="str">
        <f t="shared" si="7"/>
        <v>0 кг</v>
      </c>
      <c r="AF10" s="51" t="s">
        <v>168</v>
      </c>
      <c r="AG10" s="51" t="str">
        <f t="shared" si="8"/>
        <v>0 кг</v>
      </c>
      <c r="AH10" s="51" t="s">
        <v>173</v>
      </c>
      <c r="AI10" s="51" t="str">
        <f t="shared" si="9"/>
        <v>0 кг</v>
      </c>
      <c r="AJ10" s="51" t="s">
        <v>168</v>
      </c>
      <c r="AK10" s="51" t="str">
        <f t="shared" si="10"/>
        <v>0 кг</v>
      </c>
      <c r="AL10" s="51" t="s">
        <v>174</v>
      </c>
      <c r="AM10" s="51" t="str">
        <f t="shared" si="11"/>
        <v>0 (±5) кг (≈100%ПМ)</v>
      </c>
      <c r="AN10" s="51" t="s">
        <v>168</v>
      </c>
      <c r="AO10" s="51" t="str">
        <f t="shared" si="12"/>
        <v>0 кг</v>
      </c>
      <c r="AP10" s="51"/>
    </row>
    <row r="11" spans="11:42" ht="20.25" customHeight="1" x14ac:dyDescent="0.3">
      <c r="L11" s="18" t="s">
        <v>176</v>
      </c>
      <c r="N11" s="102">
        <f>'Программа тренировок '!C116</f>
        <v>0</v>
      </c>
      <c r="O11" s="107">
        <f>'Программа тренировок '!D116</f>
        <v>0</v>
      </c>
      <c r="P11" s="108">
        <f>'Программа тренировок '!E116</f>
        <v>0</v>
      </c>
      <c r="Q11" s="51" t="e">
        <f>CEILING(N11*VLOOKUP(O11, Коэффициенты!N3:O11, 2,FALSE)*0.8,P11)&amp;" кг"</f>
        <v>#N/A</v>
      </c>
      <c r="R11" s="51" t="s">
        <v>177</v>
      </c>
      <c r="S11" s="51" t="e">
        <f>CEILING(N11*VLOOKUP(O11, Коэффициенты!N3:O11, 2,FALSE)*0.75,P11)&amp;" кг"</f>
        <v>#N/A</v>
      </c>
      <c r="T11" s="51" t="s">
        <v>172</v>
      </c>
      <c r="U11" s="51" t="e">
        <f>CEILING(N11*VLOOKUP(O11, Коэффициенты!N3:O11, 2,FALSE)*0.85,P11)&amp;" кг"</f>
        <v>#N/A</v>
      </c>
      <c r="V11" s="51" t="s">
        <v>177</v>
      </c>
      <c r="W11" s="51" t="e">
        <f>CEILING(N11*VLOOKUP(O11, Коэффициенты!N3:O11, 2,FALSE)*0.8,P11)&amp;" кг"</f>
        <v>#N/A</v>
      </c>
      <c r="X11" s="51" t="s">
        <v>173</v>
      </c>
      <c r="Y11" s="51" t="e">
        <f>CEILING(N11*VLOOKUP(O11, Коэффициенты!N3:O11, 2,FALSE)*0.9,P11)&amp;" кг"</f>
        <v>#N/A</v>
      </c>
      <c r="Z11" s="51" t="s">
        <v>171</v>
      </c>
      <c r="AA11" s="51" t="e">
        <f>CEILING((N11*VLOOKUP(O11, Коэффициенты!N3:O11, 2,FALSE))*0.85,P11)&amp;" кг"</f>
        <v>#N/A</v>
      </c>
      <c r="AB11" s="78">
        <f>'Программа тренировок '!N154</f>
        <v>0</v>
      </c>
      <c r="AC11" s="76" t="str">
        <f>CEILING((100*(CEILING(N11*0.85,P11)))/(101.3-2.67123*(AB11+1))*0.65,P11)&amp;" кг"</f>
        <v>0 кг</v>
      </c>
      <c r="AD11" s="77" t="s">
        <v>172</v>
      </c>
      <c r="AE11" s="105" t="str">
        <f>CEILING((100*(CEILING(N11*0.85,P11)))/(101.3-2.67123*(AB11+1))*0.825,P11)&amp;" кг"</f>
        <v>0 кг</v>
      </c>
      <c r="AF11" s="51" t="s">
        <v>177</v>
      </c>
      <c r="AG11" s="51" t="str">
        <f>CEILING((100*(CEILING(N11*0.85,P11)))/(101.3-2.67123*(AB11+1))*0.775,P11)&amp;" кг"</f>
        <v>0 кг</v>
      </c>
      <c r="AH11" s="51" t="s">
        <v>172</v>
      </c>
      <c r="AI11" s="51" t="str">
        <f>CEILING((100*(CEILING(N11*0.85,P11)))/(101.3-2.67123*(AB11+1))*0.875,P11)&amp;" кг"</f>
        <v>0 кг</v>
      </c>
      <c r="AJ11" s="51" t="s">
        <v>177</v>
      </c>
      <c r="AK11" s="51" t="str">
        <f>CEILING((100*(CEILING(N11*0.85,P11)))/(101.3-2.67123*(AB11+1))*0.825,P11)&amp;" кг"</f>
        <v>0 кг</v>
      </c>
      <c r="AL11" s="51" t="s">
        <v>173</v>
      </c>
      <c r="AM11" s="51" t="str">
        <f>CEILING((100*(CEILING(N11*0.85,P11)))/(101.3-2.67123*(AB11))*0.95,P11)&amp;" кг (≈95%ПМ)"</f>
        <v>0 кг (≈95%ПМ)</v>
      </c>
      <c r="AN11" s="51" t="s">
        <v>178</v>
      </c>
      <c r="AO11" s="51" t="str">
        <f>CEILING((100*(CEILING(N11*0.85,P11)))/(101.3-2.67123*(AB11))*0.875,P11)&amp;" кг"</f>
        <v>0 кг</v>
      </c>
      <c r="AP11" s="51"/>
    </row>
    <row r="12" spans="11:42" ht="15" customHeight="1" x14ac:dyDescent="0.25">
      <c r="AB12" s="1"/>
      <c r="AC12" s="38"/>
      <c r="AD12" s="37"/>
      <c r="AE12" s="1"/>
    </row>
    <row r="13" spans="11:42" ht="18.75" x14ac:dyDescent="0.3">
      <c r="L13" s="18" t="s">
        <v>40</v>
      </c>
      <c r="N13" s="102">
        <f>'Программа тренировок '!C117</f>
        <v>0</v>
      </c>
      <c r="O13" s="102">
        <f>'Программа тренировок '!D117</f>
        <v>0</v>
      </c>
      <c r="P13" s="106">
        <f>'Программа тренировок '!E117</f>
        <v>0</v>
      </c>
      <c r="Q13" s="51" t="str">
        <f>CEILING(N13*0.85,P13)&amp;" кг"</f>
        <v>0 кг</v>
      </c>
      <c r="R13" s="51" t="s">
        <v>168</v>
      </c>
      <c r="S13" s="51" t="str">
        <f>CEILING(N13*0.8,P13)&amp;" кг"</f>
        <v>0 кг</v>
      </c>
      <c r="T13" s="51" t="s">
        <v>169</v>
      </c>
      <c r="U13" s="51" t="str">
        <f>CEILING(N13*0.925,P13)&amp;" кг"</f>
        <v>0 кг</v>
      </c>
      <c r="V13" s="51" t="s">
        <v>168</v>
      </c>
      <c r="W13" s="51" t="str">
        <f>CEILING(N13*0.875,P13)&amp;" кг"</f>
        <v>0 кг</v>
      </c>
      <c r="X13" s="51" t="s">
        <v>170</v>
      </c>
      <c r="Y13" s="51" t="str">
        <f>CEILING(N13*0.95,P13)&amp;" кг"</f>
        <v>0 кг</v>
      </c>
      <c r="Z13" s="51" t="s">
        <v>171</v>
      </c>
      <c r="AA13" s="51" t="str">
        <f>CEILING(N13*0.9,P13)&amp;" кг"</f>
        <v>0 кг</v>
      </c>
      <c r="AB13" s="74">
        <f>'Программа тренировок '!N155</f>
        <v>0</v>
      </c>
      <c r="AC13" s="76" t="str">
        <f>CEILING((100*(CEILING(N13*0.9,P13)))/(101.3-2.67123*(AB13+1))*0.65,P13)&amp;" кг"</f>
        <v>0 кг</v>
      </c>
      <c r="AD13" s="77" t="s">
        <v>172</v>
      </c>
      <c r="AE13" s="105" t="str">
        <f>CEILING((100*(CEILING(N13*0.9,P13)))/(101.3-2.67123*(AB13+1))*0.875,P13)&amp;" кг"</f>
        <v>0 кг</v>
      </c>
      <c r="AF13" s="51" t="s">
        <v>168</v>
      </c>
      <c r="AG13" s="51" t="str">
        <f>CEILING((100*(CEILING(N13*0.9,P13)))/(101.3-2.67123*(AB13+1))*0.825,P13)&amp;" кг"</f>
        <v>0 кг</v>
      </c>
      <c r="AH13" s="51" t="s">
        <v>173</v>
      </c>
      <c r="AI13" s="51" t="str">
        <f>CEILING((100*(CEILING(N13*0.9,P13)))/(101.3-2.67123*(AB13+1))*0.925,P13)&amp;" кг"</f>
        <v>0 кг</v>
      </c>
      <c r="AJ13" s="51" t="s">
        <v>168</v>
      </c>
      <c r="AK13" s="51" t="str">
        <f>CEILING((100*(CEILING(N13*0.9,P13)))/(101.3-2.67123*(AB13+1))*0.875,P13)&amp;" кг"</f>
        <v>0 кг</v>
      </c>
      <c r="AL13" s="51" t="s">
        <v>174</v>
      </c>
      <c r="AM13" s="73" t="str">
        <f>CEILING((100*(CEILING(N13*0.9,P13)))/(101.3-2.67123*(AB13+1))*0.975,P13)&amp;"(±5) кг (≈100%ПМ)"</f>
        <v>0(±5) кг (≈100%ПМ)</v>
      </c>
      <c r="AN13" s="51" t="s">
        <v>168</v>
      </c>
      <c r="AO13" s="51" t="str">
        <f>CEILING((100*(CEILING(N13*0.9,P13)))/(101.3-2.67123*(AB13+1))*0.9,P13)&amp;" кг"</f>
        <v>0 кг</v>
      </c>
      <c r="AP13" s="51"/>
    </row>
    <row r="14" spans="11:42" ht="18.75" x14ac:dyDescent="0.3">
      <c r="L14" s="18" t="s">
        <v>179</v>
      </c>
      <c r="N14" s="102">
        <f>'Программа тренировок '!C117</f>
        <v>0</v>
      </c>
      <c r="O14" s="109">
        <f>'Программа тренировок '!D117</f>
        <v>0</v>
      </c>
      <c r="P14" s="106">
        <f>'Программа тренировок '!E117</f>
        <v>0</v>
      </c>
      <c r="Q14" s="110" t="s">
        <v>180</v>
      </c>
      <c r="R14" s="73" t="str">
        <f>FLOOR(0.45*O14,1)&amp;" повт"</f>
        <v>0 повт</v>
      </c>
      <c r="S14" s="73" t="s">
        <v>136</v>
      </c>
      <c r="T14" s="73" t="str">
        <f>FLOOR(0.7*O14,1)&amp;" повт"</f>
        <v>0 повт</v>
      </c>
      <c r="U14" s="73" t="s">
        <v>181</v>
      </c>
      <c r="V14" s="73" t="str">
        <f>FLOOR(0.6*O14,1)&amp;" повт"</f>
        <v>0 повт</v>
      </c>
      <c r="W14" s="73" t="s">
        <v>136</v>
      </c>
      <c r="X14" s="73" t="str">
        <f>CEILING(0.75*O14,1)&amp;" повт"</f>
        <v>0 повт</v>
      </c>
      <c r="Y14" s="73" t="s">
        <v>182</v>
      </c>
      <c r="Z14" s="74" t="str">
        <f>CEILING(0.5*O14,1)&amp;" повт"</f>
        <v>0 повт</v>
      </c>
      <c r="AA14" s="73" t="s">
        <v>183</v>
      </c>
      <c r="AB14" s="74">
        <f>'Программа тренировок '!N155</f>
        <v>0</v>
      </c>
      <c r="AC14" s="72" t="s">
        <v>181</v>
      </c>
      <c r="AD14" s="75" t="str">
        <f>FLOOR(0.45*AB14,1)&amp;" повт"</f>
        <v>0 повт</v>
      </c>
      <c r="AE14" s="110" t="s">
        <v>184</v>
      </c>
      <c r="AF14" s="73" t="str">
        <f>FLOOR(0.5*AB14,1)&amp;" повт"</f>
        <v>0 повт</v>
      </c>
      <c r="AG14" s="73" t="s">
        <v>182</v>
      </c>
      <c r="AH14" s="73" t="str">
        <f>FLOOR(0.65*AB14,1)&amp;" повт"</f>
        <v>0 повт</v>
      </c>
      <c r="AI14" s="73" t="s">
        <v>182</v>
      </c>
      <c r="AJ14" s="73" t="str">
        <f>FLOOR(0.65*AB14,1)&amp;" повт"</f>
        <v>0 повт</v>
      </c>
      <c r="AK14" s="73" t="s">
        <v>182</v>
      </c>
      <c r="AL14" s="73" t="str">
        <f>FLOOR(0.75*AB14,1)&amp;" повт"</f>
        <v>0 повт</v>
      </c>
      <c r="AM14" s="73" t="str">
        <f>"1 подход"</f>
        <v>1 подход</v>
      </c>
      <c r="AN14" s="73" t="s">
        <v>185</v>
      </c>
      <c r="AO14" s="73"/>
      <c r="AP14" s="73"/>
    </row>
    <row r="15" spans="11:42" ht="18.75" x14ac:dyDescent="0.3">
      <c r="L15" s="18" t="s">
        <v>186</v>
      </c>
      <c r="N15" s="102">
        <f>'Программа тренировок '!C117</f>
        <v>0</v>
      </c>
      <c r="O15" s="102">
        <f>'Программа тренировок '!D117</f>
        <v>0</v>
      </c>
      <c r="P15" s="106">
        <f>'Программа тренировок '!E117</f>
        <v>0</v>
      </c>
      <c r="Q15" s="51" t="e">
        <f>CEILING(N15*VLOOKUP(O15, Коэффициенты!N3:O11, 2,FALSE)*0.775,P15)&amp;" кг"</f>
        <v>#N/A</v>
      </c>
      <c r="R15" s="51" t="s">
        <v>187</v>
      </c>
      <c r="S15" s="51" t="e">
        <f>CEILING(N15*VLOOKUP(O15, Коэффициенты!N3:O11, 2,FALSE)*0.725,P15)&amp;" кг"</f>
        <v>#N/A</v>
      </c>
      <c r="T15" s="51" t="s">
        <v>188</v>
      </c>
      <c r="U15" s="51" t="e">
        <f>CEILING(N15*VLOOKUP(O15, Коэффициенты!N3:O11, 2,FALSE)*0.825,P15)&amp;" кг"</f>
        <v>#N/A</v>
      </c>
      <c r="V15" s="51" t="s">
        <v>177</v>
      </c>
      <c r="W15" s="51" t="e">
        <f>CEILING(N15*VLOOKUP(O15, Коэффициенты!N3:O11, 2,FALSE)*0.775,P15)&amp;" кг"</f>
        <v>#N/A</v>
      </c>
      <c r="X15" s="51" t="s">
        <v>172</v>
      </c>
      <c r="Y15" s="51" t="e">
        <f>CEILING(N15*VLOOKUP(O15, Коэффициенты!N3:O11, 2,FALSE)*0.85,P15)&amp;" кг"</f>
        <v>#N/A</v>
      </c>
      <c r="Z15" s="51" t="s">
        <v>189</v>
      </c>
      <c r="AA15" s="51" t="e">
        <f>CEILING(N15*VLOOKUP(O15, Коэффициенты!N3:O11, 2,FALSE)*0.8,P15)&amp;" кг"</f>
        <v>#N/A</v>
      </c>
      <c r="AB15" s="74">
        <f>'Программа тренировок '!N155</f>
        <v>0</v>
      </c>
      <c r="AC15" s="76" t="str">
        <f>CEILING((100*(CEILING(N15*0.9,P15)))/(101.3-2.67123*(AB15+1))*0.675,P15)&amp;" кг"</f>
        <v>0 кг</v>
      </c>
      <c r="AD15" s="77" t="s">
        <v>172</v>
      </c>
      <c r="AE15" s="105" t="str">
        <f>CEILING((100*(CEILING(N15*0.9,P15)))/(101.3-2.67123*(AB15))*0.8,P15)&amp;" кг"</f>
        <v>0 кг</v>
      </c>
      <c r="AF15" s="51" t="s">
        <v>187</v>
      </c>
      <c r="AG15" s="51" t="str">
        <f>CEILING((100*(CEILING(N15*0.9,P15)))/(101.3-2.67123*(AB15))*0.75,P15)&amp;" кг"</f>
        <v>0 кг</v>
      </c>
      <c r="AH15" s="51" t="s">
        <v>190</v>
      </c>
      <c r="AI15" s="51" t="str">
        <f>CEILING((100*(CEILING(N15*0.9,P15)))/(101.3-2.67123*(AB15))*0.85,P15)&amp;" кг"</f>
        <v>0 кг</v>
      </c>
      <c r="AJ15" s="51" t="s">
        <v>177</v>
      </c>
      <c r="AK15" s="51" t="str">
        <f>CEILING((100*(CEILING(N15*0.9,P15)))/(101.3-2.67123*(AB15))*0.8,P15)&amp;" кг"</f>
        <v>0 кг</v>
      </c>
      <c r="AL15" s="51" t="s">
        <v>173</v>
      </c>
      <c r="AM15" s="73" t="str">
        <f>CEILING((100*(CEILING(N15*0.9,P15)))/(101.3-2.67123*(AB15))*0.9,P15)&amp;" кг (≈90%ПМ)"</f>
        <v>0 кг (≈90%ПМ)</v>
      </c>
      <c r="AN15" s="51" t="s">
        <v>178</v>
      </c>
      <c r="AO15" s="51" t="str">
        <f>CEILING((100*(CEILING(N15*0.9,P15)))/(101.3-2.67123*(AB15))*0.825,P15)&amp;" кг"</f>
        <v>0 кг</v>
      </c>
      <c r="AP15" s="51"/>
    </row>
    <row r="16" spans="11:42" ht="15" customHeight="1" x14ac:dyDescent="0.25">
      <c r="AB16" s="1"/>
      <c r="AC16" s="38"/>
      <c r="AD16" s="37"/>
      <c r="AE16" s="1"/>
    </row>
    <row r="17" spans="10:42" ht="18.75" x14ac:dyDescent="0.3">
      <c r="L17" s="18" t="s">
        <v>51</v>
      </c>
      <c r="N17" s="102">
        <f>IF('Программа тренировок '!B132='Программа тренировок '!B118,'Программа тренировок '!C118,'Программа тренировок '!C132)</f>
        <v>0</v>
      </c>
      <c r="O17" s="102">
        <f>IF('Программа тренировок '!B132='Программа тренировок '!B118,O54,'Программа тренировок '!D132)</f>
        <v>0</v>
      </c>
      <c r="P17" s="106">
        <f>IF('Программа тренировок '!B132='Программа тренировок '!B118,P54,'Программа тренировок '!E132)</f>
        <v>0</v>
      </c>
      <c r="Q17" s="51" t="str">
        <f t="shared" ref="Q17:Q18" si="13">CEILING(N17*0.85,P17)&amp;" кг"</f>
        <v>0 кг</v>
      </c>
      <c r="R17" s="51" t="s">
        <v>168</v>
      </c>
      <c r="S17" s="51" t="str">
        <f t="shared" ref="S17:S18" si="14">CEILING(N17*0.8,P17)&amp;" кг"</f>
        <v>0 кг</v>
      </c>
      <c r="T17" s="51" t="s">
        <v>173</v>
      </c>
      <c r="U17" s="51" t="str">
        <f t="shared" ref="U17:U18" si="15">CEILING(N17*0.925,P17)&amp;" кг"</f>
        <v>0 кг</v>
      </c>
      <c r="V17" s="51" t="s">
        <v>168</v>
      </c>
      <c r="W17" s="51" t="str">
        <f t="shared" ref="W17:W18" si="16">CEILING(N17*0.875,P17)&amp;" кг"</f>
        <v>0 кг</v>
      </c>
      <c r="X17" s="51" t="s">
        <v>170</v>
      </c>
      <c r="Y17" s="51" t="str">
        <f t="shared" ref="Y17:Y18" si="17">CEILING(N17*0.95,P17)&amp;" кг"</f>
        <v>0 кг</v>
      </c>
      <c r="Z17" s="51" t="s">
        <v>171</v>
      </c>
      <c r="AA17" s="51" t="str">
        <f t="shared" ref="AA17:AA18" si="18">CEILING(N17*0.9,P17)&amp;" кг"</f>
        <v>0 кг</v>
      </c>
      <c r="AB17" s="78">
        <f>'Программа тренировок '!N170</f>
        <v>0</v>
      </c>
      <c r="AC17" s="76" t="str">
        <f t="shared" ref="AC17:AC18" si="19">CEILING((100*(CEILING(N17*0.9,P17)))/(101.3-2.67123*(AB17+1))*0.65,P17)&amp;" кг"</f>
        <v>0 кг</v>
      </c>
      <c r="AD17" s="77" t="s">
        <v>172</v>
      </c>
      <c r="AE17" s="105" t="str">
        <f t="shared" ref="AE17:AE18" si="20">CEILING((100*(CEILING(N17*0.9,P17)))/(101.3-2.67123*(AB17+1))*0.85,P17)&amp;" кг"</f>
        <v>0 кг</v>
      </c>
      <c r="AF17" s="51" t="s">
        <v>168</v>
      </c>
      <c r="AG17" s="51" t="str">
        <f t="shared" ref="AG17:AG18" si="21">CEILING((100*(CEILING(N17*0.9,P17)))/(101.3-2.67123*(AB17+1))*0.8,P17)&amp;" кг"</f>
        <v>0 кг</v>
      </c>
      <c r="AH17" s="51" t="s">
        <v>173</v>
      </c>
      <c r="AI17" s="51" t="str">
        <f t="shared" ref="AI17:AI18" si="22">CEILING((100*(CEILING(N17*0.9,P17)))/(101.3-2.67123*(AB17+1))*0.925,P17)&amp;" кг"</f>
        <v>0 кг</v>
      </c>
      <c r="AJ17" s="51" t="s">
        <v>168</v>
      </c>
      <c r="AK17" s="51" t="str">
        <f t="shared" ref="AK17:AK18" si="23">CEILING((100*(CEILING(N17*0.9,P17)))/(101.3-2.67123*(AB17+1))*0.875,P17)&amp;" кг"</f>
        <v>0 кг</v>
      </c>
      <c r="AL17" s="51" t="s">
        <v>174</v>
      </c>
      <c r="AM17" s="73" t="str">
        <f t="shared" ref="AM17:AM18" si="24">CEILING((100*(CEILING(N17*0.9,P17)))/(101.3-2.67123*(AB17+1))*0.975,P17)&amp;" (±5) кг (≈100%ПМ)"</f>
        <v>0 (±5) кг (≈100%ПМ)</v>
      </c>
      <c r="AN17" s="51" t="s">
        <v>168</v>
      </c>
      <c r="AO17" s="51" t="str">
        <f t="shared" ref="AO17:AO18" si="25">CEILING((100*(CEILING(N17*0.9,P17)))/(101.3-2.67123*(AB17+1))*0.9,P17)&amp;" кг"</f>
        <v>0 кг</v>
      </c>
      <c r="AP17" s="51"/>
    </row>
    <row r="18" spans="10:42" ht="18.75" x14ac:dyDescent="0.3">
      <c r="L18" s="18" t="s">
        <v>191</v>
      </c>
      <c r="N18" s="102">
        <f>'Программа тренировок '!C132</f>
        <v>0</v>
      </c>
      <c r="O18" s="102">
        <f>'Программа тренировок '!D132</f>
        <v>0</v>
      </c>
      <c r="P18" s="106">
        <f>'Программа тренировок '!E132</f>
        <v>0</v>
      </c>
      <c r="Q18" s="51" t="str">
        <f t="shared" si="13"/>
        <v>0 кг</v>
      </c>
      <c r="R18" s="51" t="s">
        <v>168</v>
      </c>
      <c r="S18" s="51" t="str">
        <f t="shared" si="14"/>
        <v>0 кг</v>
      </c>
      <c r="T18" s="51" t="s">
        <v>173</v>
      </c>
      <c r="U18" s="51" t="str">
        <f t="shared" si="15"/>
        <v>0 кг</v>
      </c>
      <c r="V18" s="51" t="s">
        <v>168</v>
      </c>
      <c r="W18" s="51" t="str">
        <f t="shared" si="16"/>
        <v>0 кг</v>
      </c>
      <c r="X18" s="51" t="s">
        <v>170</v>
      </c>
      <c r="Y18" s="51" t="str">
        <f t="shared" si="17"/>
        <v>0 кг</v>
      </c>
      <c r="Z18" s="51" t="s">
        <v>171</v>
      </c>
      <c r="AA18" s="51" t="str">
        <f t="shared" si="18"/>
        <v>0 кг</v>
      </c>
      <c r="AB18" s="78">
        <f>'Программа тренировок '!N170</f>
        <v>0</v>
      </c>
      <c r="AC18" s="76" t="str">
        <f t="shared" si="19"/>
        <v>0 кг</v>
      </c>
      <c r="AD18" s="77" t="s">
        <v>172</v>
      </c>
      <c r="AE18" s="105" t="str">
        <f t="shared" si="20"/>
        <v>0 кг</v>
      </c>
      <c r="AF18" s="51" t="s">
        <v>168</v>
      </c>
      <c r="AG18" s="51" t="str">
        <f t="shared" si="21"/>
        <v>0 кг</v>
      </c>
      <c r="AH18" s="51" t="s">
        <v>173</v>
      </c>
      <c r="AI18" s="51" t="str">
        <f t="shared" si="22"/>
        <v>0 кг</v>
      </c>
      <c r="AJ18" s="51" t="s">
        <v>168</v>
      </c>
      <c r="AK18" s="51" t="str">
        <f t="shared" si="23"/>
        <v>0 кг</v>
      </c>
      <c r="AL18" s="51" t="s">
        <v>174</v>
      </c>
      <c r="AM18" s="73" t="str">
        <f t="shared" si="24"/>
        <v>0 (±5) кг (≈100%ПМ)</v>
      </c>
      <c r="AN18" s="51" t="s">
        <v>168</v>
      </c>
      <c r="AO18" s="51" t="str">
        <f t="shared" si="25"/>
        <v>0 кг</v>
      </c>
      <c r="AP18" s="51"/>
    </row>
    <row r="19" spans="10:42" ht="18.75" x14ac:dyDescent="0.3">
      <c r="L19" s="18" t="s">
        <v>115</v>
      </c>
      <c r="N19" s="102">
        <f>IF('Программа тренировок '!B124='Программа тренировок '!B132,'Программа тренировок '!C124,'Программа тренировок '!C132)</f>
        <v>0</v>
      </c>
      <c r="O19" s="102">
        <f>IF('Программа тренировок '!B124='Программа тренировок '!B132,'Программа тренировок '!D124,'Программа тренировок '!D132)</f>
        <v>0</v>
      </c>
      <c r="P19" s="106">
        <f>IF('Программа тренировок '!B124='Программа тренировок '!B132,'Программа тренировок '!E124,'Программа тренировок '!E132)</f>
        <v>0</v>
      </c>
      <c r="Q19" s="51" t="e">
        <f>CEILING(N19*VLOOKUP(O19, Коэффициенты!N3:O11, 2,FALSE)*0.7,P19)&amp;" кг"</f>
        <v>#N/A</v>
      </c>
      <c r="R19" s="51" t="s">
        <v>187</v>
      </c>
      <c r="S19" s="51" t="e">
        <f>CEILING(N19*VLOOKUP(O19, Коэффициенты!N3:O11, 2,FALSE)*0.65,P19)&amp;" кг"</f>
        <v>#N/A</v>
      </c>
      <c r="T19" s="51" t="s">
        <v>192</v>
      </c>
      <c r="U19" s="51" t="e">
        <f>CEILING(N19*VLOOKUP(O19, Коэффициенты!N3:O11, 2,FALSE)*0.75,P19)&amp;" кг"</f>
        <v>#N/A</v>
      </c>
      <c r="V19" s="51" t="s">
        <v>177</v>
      </c>
      <c r="W19" s="51" t="e">
        <f>CEILING(N19*VLOOKUP(O19, Коэффициенты!N3:O11, 2,FALSE)*0.7,P19)&amp;" кг"</f>
        <v>#N/A</v>
      </c>
      <c r="X19" s="51" t="s">
        <v>193</v>
      </c>
      <c r="Y19" s="51" t="e">
        <f>CEILING(N19*VLOOKUP(O19, Коэффициенты!N3:O11, 2,FALSE)*0.75,P19)&amp;" кг"</f>
        <v>#N/A</v>
      </c>
      <c r="Z19" s="51" t="s">
        <v>189</v>
      </c>
      <c r="AA19" s="51"/>
      <c r="AB19" s="74"/>
      <c r="AC19" s="76" t="e">
        <f>CEILING(N19*VLOOKUP(O19, Коэффициенты!N3:O11, 2,FALSE)*0.65,P19)&amp;" кг"</f>
        <v>#N/A</v>
      </c>
      <c r="AD19" s="77" t="s">
        <v>172</v>
      </c>
      <c r="AE19" s="105" t="e">
        <f>CEILING(N19*VLOOKUP(O19, Коэффициенты!N3:O11, 2,FALSE)*0.725,P19)&amp;" кг"</f>
        <v>#N/A</v>
      </c>
      <c r="AF19" s="51" t="s">
        <v>187</v>
      </c>
      <c r="AG19" s="51" t="e">
        <f>CEILING(N19*VLOOKUP(O19, Коэффициенты!N3:O11, 2,FALSE)*0.675,P19)&amp;" кг"</f>
        <v>#N/A</v>
      </c>
      <c r="AH19" s="51" t="s">
        <v>194</v>
      </c>
      <c r="AI19" s="51" t="e">
        <f>CEILING(N19*VLOOKUP(O19, Коэффициенты!N3:O11, 2,FALSE)*0.775,P19)&amp;" кг"</f>
        <v>#N/A</v>
      </c>
      <c r="AJ19" s="51" t="s">
        <v>177</v>
      </c>
      <c r="AK19" s="51" t="e">
        <f>CEILING(N19*VLOOKUP(O19, Коэффициенты!N3:O11, 2,FALSE)*0.725,P19)&amp;" кг"</f>
        <v>#N/A</v>
      </c>
      <c r="AL19" s="51" t="s">
        <v>193</v>
      </c>
      <c r="AM19" s="73" t="e">
        <f>CEILING(N19*VLOOKUP(O19, Коэффициенты!N3:O11, 2,FALSE)*0.775,P19)&amp;" кг"</f>
        <v>#N/A</v>
      </c>
      <c r="AN19" s="51" t="s">
        <v>189</v>
      </c>
      <c r="AO19" s="51"/>
      <c r="AP19" s="51"/>
    </row>
    <row r="20" spans="10:42" ht="15" customHeight="1" x14ac:dyDescent="0.25">
      <c r="J20" s="111"/>
      <c r="AB20" s="1"/>
      <c r="AC20" s="38"/>
      <c r="AD20" s="37"/>
      <c r="AE20" s="1"/>
    </row>
    <row r="21" spans="10:42" ht="15.75" customHeight="1" x14ac:dyDescent="0.3">
      <c r="L21" s="18" t="s">
        <v>42</v>
      </c>
      <c r="N21" s="102">
        <f>'Программа тренировок '!C119</f>
        <v>0</v>
      </c>
      <c r="O21" s="102">
        <f>'Программа тренировок '!D119</f>
        <v>0</v>
      </c>
      <c r="P21" s="106">
        <f>'Программа тренировок '!E119</f>
        <v>0</v>
      </c>
      <c r="Q21" s="51" t="e">
        <f>CEILING(N21*VLOOKUP(O21, Коэффициенты!N3:O11, 2,FALSE)*0.6,P21)&amp;" кг"</f>
        <v>#N/A</v>
      </c>
      <c r="R21" s="51" t="s">
        <v>195</v>
      </c>
      <c r="S21" s="51"/>
      <c r="T21" s="51"/>
      <c r="U21" s="51" t="e">
        <f>CEILING(N21*VLOOKUP(O21, Коэффициенты!N3:O11, 2,FALSE)*0.7,P21)&amp;" кг"</f>
        <v>#N/A</v>
      </c>
      <c r="V21" s="51" t="s">
        <v>196</v>
      </c>
      <c r="W21" s="51" t="e">
        <f>CEILING(N21*VLOOKUP(O21, Коэффициенты!N3:O11, 2,FALSE)*0.65,P21)&amp;" кг"</f>
        <v>#N/A</v>
      </c>
      <c r="X21" s="51" t="s">
        <v>197</v>
      </c>
      <c r="Y21" s="51" t="e">
        <f>CEILING(N21*VLOOKUP(O21, Коэффициенты!N3:O11, 2,FALSE)*0.85,P21)&amp;" кг"</f>
        <v>#N/A</v>
      </c>
      <c r="Z21" s="51" t="s">
        <v>187</v>
      </c>
      <c r="AA21" s="51" t="e">
        <f>CEILING((N21*VLOOKUP(O21, Коэффициенты!N3:O11, 2,FALSE))*0.8,P21)&amp;" кг"</f>
        <v>#N/A</v>
      </c>
      <c r="AB21" s="78">
        <f>'Программа тренировок '!N157</f>
        <v>0</v>
      </c>
      <c r="AC21" s="76"/>
      <c r="AD21" s="77"/>
      <c r="AE21" s="105" t="str">
        <f>CEILING((100*(CEILING(N21*0.8,P21)))/(101.3-2.67123*(AB21+1))*0.65,P21)&amp;" кг"</f>
        <v>0 кг</v>
      </c>
      <c r="AF21" s="51" t="s">
        <v>196</v>
      </c>
      <c r="AG21" s="51"/>
      <c r="AH21" s="51"/>
      <c r="AI21" s="51" t="str">
        <f>CEILING((100*(CEILING(N21*0.8,P21)))/(101.3-2.67123*(AB21+1))*0.75,P21)&amp;" кг"</f>
        <v>0 кг</v>
      </c>
      <c r="AJ21" s="51" t="s">
        <v>198</v>
      </c>
      <c r="AK21" s="51" t="e">
        <f>CEILING(N21*VLOOKUP(O21, Коэффициенты!N3:O11, 2,FALSE)*0.7,P21)&amp;" кг"</f>
        <v>#N/A</v>
      </c>
      <c r="AL21" s="51" t="s">
        <v>197</v>
      </c>
      <c r="AM21" s="51" t="str">
        <f>CEILING((100*(CEILING(N21*0.8,P21)))/(101.3-2.67123*(AB21+1))*0.85,P21)&amp;" кг"</f>
        <v>0 кг</v>
      </c>
      <c r="AN21" s="51" t="s">
        <v>199</v>
      </c>
      <c r="AO21" s="51" t="str">
        <f>CEILING((100*(CEILING(N21*0.85,P21)))/(101.3-2.67123*(AB21))*0.8,P21)&amp;" кг"</f>
        <v>0 кг</v>
      </c>
      <c r="AP21" s="51"/>
    </row>
    <row r="22" spans="10:42" ht="15.75" customHeight="1" x14ac:dyDescent="0.25">
      <c r="L22" s="1" t="s">
        <v>200</v>
      </c>
      <c r="N22" s="102">
        <f>'Программа тренировок '!C119</f>
        <v>0</v>
      </c>
      <c r="O22" s="102">
        <f>'Программа тренировок '!D119</f>
        <v>0</v>
      </c>
      <c r="P22" s="106">
        <f>'Программа тренировок '!E119</f>
        <v>0</v>
      </c>
      <c r="Q22" s="51" t="e">
        <f>CEILING(N22*VLOOKUP(O22, Коэффициенты!N3:O11, 2,FALSE)*0.8,P22)&amp;" кг"</f>
        <v>#N/A</v>
      </c>
      <c r="R22" s="51" t="s">
        <v>177</v>
      </c>
      <c r="S22" s="51" t="e">
        <f>CEILING(N22*VLOOKUP(O22, Коэффициенты!N3:O11, 2,FALSE)*0.7,P22)&amp;" кг"</f>
        <v>#N/A</v>
      </c>
      <c r="T22" s="51" t="s">
        <v>201</v>
      </c>
      <c r="U22" s="51" t="e">
        <f>CEILING(N22*VLOOKUP(O22, Коэффициенты!N3:O11, 2,FALSE)*0.85,P22)&amp;" кг"</f>
        <v>#N/A</v>
      </c>
      <c r="V22" s="51" t="s">
        <v>177</v>
      </c>
      <c r="W22" s="51" t="e">
        <f>CEILING(N22*VLOOKUP(O22, Коэффициенты!N3:O11, 2,FALSE)*0.75,P22)&amp;" кг"</f>
        <v>#N/A</v>
      </c>
      <c r="X22" s="51" t="s">
        <v>192</v>
      </c>
      <c r="Y22" s="51" t="e">
        <f>CEILING(N22*VLOOKUP(O22, Коэффициенты!N3:O11, 2,FALSE)*0.9,P22)&amp;" кг"</f>
        <v>#N/A</v>
      </c>
      <c r="Z22" s="51" t="s">
        <v>171</v>
      </c>
      <c r="AA22" s="51" t="e">
        <f>CEILING((N22*VLOOKUP(O22, Коэффициенты!N3:O11, 2,FALSE))*0.8,P22)&amp;" кг"</f>
        <v>#N/A</v>
      </c>
      <c r="AB22" s="78">
        <f>'Программа тренировок '!N157</f>
        <v>0</v>
      </c>
      <c r="AC22" s="76" t="str">
        <f>CEILING((100*(CEILING(N22*0.8,P22)))/(101.3-2.67123*(AB22+1))*0.65,P22)&amp;" кг"</f>
        <v>0 кг</v>
      </c>
      <c r="AD22" s="77" t="s">
        <v>192</v>
      </c>
      <c r="AE22" s="105" t="str">
        <f>CEILING((100*(CEILING(N22*0.8,P22)))/(101.3-2.67123*(AB22+1))*0.825,P22)&amp;" кг"</f>
        <v>0 кг</v>
      </c>
      <c r="AF22" s="51" t="s">
        <v>177</v>
      </c>
      <c r="AG22" s="51" t="str">
        <f>CEILING((100*(CEILING(N22*0.8,P22)))/(101.3-2.67123*(AB22+1))*0.725,P22)&amp;" кг"</f>
        <v>0 кг</v>
      </c>
      <c r="AH22" s="51" t="s">
        <v>201</v>
      </c>
      <c r="AI22" s="51" t="str">
        <f>CEILING((100*(CEILING(N22*0.8,P22)))/(101.3-2.67123*(AB22+1))*0.85,P22)&amp;" кг"</f>
        <v>0 кг</v>
      </c>
      <c r="AJ22" s="51" t="s">
        <v>177</v>
      </c>
      <c r="AK22" s="51" t="str">
        <f>CEILING((100*(CEILING(N22*0.8,P22)))/(101.3-2.67123*(AB22+1))*0.75,P22)&amp;" кг"</f>
        <v>0 кг</v>
      </c>
      <c r="AL22" s="51" t="s">
        <v>173</v>
      </c>
      <c r="AM22" s="51" t="str">
        <f>CEILING((100*(CEILING(N22*0.8,P22)))/(101.3-2.67123*(AB22+1))*0.9,P22)&amp;" кг"</f>
        <v>0 кг</v>
      </c>
      <c r="AN22" s="51" t="s">
        <v>177</v>
      </c>
      <c r="AO22" s="51" t="str">
        <f>CEILING((100*(CEILING(N22*0.8,P22)))/(101.3-2.67123*(AB22+1))*0.8,P22)&amp;" кг"</f>
        <v>0 кг</v>
      </c>
      <c r="AP22" s="51"/>
    </row>
    <row r="23" spans="10:42" ht="15.75" customHeight="1" x14ac:dyDescent="0.25">
      <c r="AB23" s="1"/>
      <c r="AC23" s="38"/>
      <c r="AD23" s="37"/>
      <c r="AE23" s="1"/>
    </row>
    <row r="24" spans="10:42" ht="15.75" customHeight="1" x14ac:dyDescent="0.3">
      <c r="L24" s="18" t="s">
        <v>46</v>
      </c>
      <c r="N24" s="102">
        <f>'Программа тренировок '!C124</f>
        <v>0</v>
      </c>
      <c r="O24" s="102">
        <f>'Программа тренировок '!D124</f>
        <v>0</v>
      </c>
      <c r="P24" s="106">
        <f>'Программа тренировок '!E124</f>
        <v>0</v>
      </c>
      <c r="Q24" s="51" t="str">
        <f>CEILING(N24*0.85,P24)&amp;" кг"</f>
        <v>0 кг</v>
      </c>
      <c r="R24" s="51" t="s">
        <v>168</v>
      </c>
      <c r="S24" s="51" t="str">
        <f>CEILING(N24*0.8,P24)&amp;" кг"</f>
        <v>0 кг</v>
      </c>
      <c r="T24" s="51" t="s">
        <v>173</v>
      </c>
      <c r="U24" s="51" t="str">
        <f>CEILING(N24*0.925,P24)&amp;" кг"</f>
        <v>0 кг</v>
      </c>
      <c r="V24" s="51" t="s">
        <v>168</v>
      </c>
      <c r="W24" s="51" t="str">
        <f>CEILING(N24*0.875,P24)&amp;" кг"</f>
        <v>0 кг</v>
      </c>
      <c r="X24" s="51" t="s">
        <v>170</v>
      </c>
      <c r="Y24" s="51" t="str">
        <f>CEILING(N24*0.95,P24)&amp;" кг"</f>
        <v>0 кг</v>
      </c>
      <c r="Z24" s="51" t="s">
        <v>171</v>
      </c>
      <c r="AA24" s="51" t="str">
        <f>CEILING(N24*0.9,P24)&amp;" кг"</f>
        <v>0 кг</v>
      </c>
      <c r="AB24" s="78">
        <f>'Программа тренировок '!N162</f>
        <v>0</v>
      </c>
      <c r="AC24" s="76" t="str">
        <f>CEILING((100*(CEILING(N24*0.9,P24)))/(101.3-2.67123*(AB24+1))*0.65,P24)&amp;" кг"</f>
        <v>0 кг</v>
      </c>
      <c r="AD24" s="77" t="s">
        <v>172</v>
      </c>
      <c r="AE24" s="105" t="str">
        <f>CEILING((100*(CEILING(N24*0.9,P24)))/(101.3-2.67123*(AB24+1))*0.85,P24)&amp;" кг"</f>
        <v>0 кг</v>
      </c>
      <c r="AF24" s="51" t="s">
        <v>168</v>
      </c>
      <c r="AG24" s="51" t="str">
        <f>CEILING((100*(CEILING(N24*0.9,P24)))/(101.3-2.67123*(AB24+1))*0.8,P24)&amp;" кг"</f>
        <v>0 кг</v>
      </c>
      <c r="AH24" s="51" t="s">
        <v>173</v>
      </c>
      <c r="AI24" s="51" t="str">
        <f>CEILING((100*(CEILING(N24*0.9,P24)))/(101.3-2.67123*(AB24+1))*0.925,P24)&amp;" кг"</f>
        <v>0 кг</v>
      </c>
      <c r="AJ24" s="51" t="s">
        <v>168</v>
      </c>
      <c r="AK24" s="51" t="str">
        <f>CEILING((100*(CEILING(N24*0.9,P24)))/(101.3-2.67123*(AB24+1))*0.875,P24)&amp;" кг"</f>
        <v>0 кг</v>
      </c>
      <c r="AL24" s="51" t="s">
        <v>174</v>
      </c>
      <c r="AM24" s="51" t="str">
        <f>CEILING((100*(CEILING(N24*0.9,P24)))/(101.3-2.67123*(AB24+1))*0.975,P24)&amp;" (±5) кг (≈100%ПМ)"</f>
        <v>0 (±5) кг (≈100%ПМ)</v>
      </c>
      <c r="AN24" s="51" t="s">
        <v>168</v>
      </c>
      <c r="AO24" s="51" t="str">
        <f>CEILING((100*(CEILING(N24*0.9,P24)))/(101.3-2.67123*(AB24+1))*0.9,P24)&amp;" кг"</f>
        <v>0 кг</v>
      </c>
      <c r="AP24" s="51"/>
    </row>
    <row r="25" spans="10:42" ht="15.75" customHeight="1" x14ac:dyDescent="0.3">
      <c r="L25" s="18" t="s">
        <v>117</v>
      </c>
      <c r="N25" s="102">
        <f>'Программа тренировок '!C124</f>
        <v>0</v>
      </c>
      <c r="O25" s="102">
        <f>'Программа тренировок '!D124</f>
        <v>0</v>
      </c>
      <c r="P25" s="106">
        <f>'Программа тренировок '!E124</f>
        <v>0</v>
      </c>
      <c r="Q25" s="51" t="e">
        <f>CEILING(N25*VLOOKUP(O25, Коэффициенты!N3:O11, 2,FALSE)*0.8,P25)&amp;" кг"</f>
        <v>#N/A</v>
      </c>
      <c r="R25" s="51" t="s">
        <v>177</v>
      </c>
      <c r="S25" s="51" t="e">
        <f>CEILING(N25*VLOOKUP(O25, Коэффициенты!N3:O11, 2,FALSE)*0.75,P25)&amp;" кг"</f>
        <v>#N/A</v>
      </c>
      <c r="T25" s="51" t="s">
        <v>202</v>
      </c>
      <c r="U25" s="51" t="e">
        <f>CEILING(N25*VLOOKUP(O25, Коэффициенты!N3:O11, 2,FALSE)*0.85,P25)&amp;" кг"</f>
        <v>#N/A</v>
      </c>
      <c r="V25" s="51" t="s">
        <v>177</v>
      </c>
      <c r="W25" s="51" t="e">
        <f>CEILING(N25*VLOOKUP(O25, Коэффициенты!N3:O11, 2,FALSE)*0.8,P25)&amp;" кг"</f>
        <v>#N/A</v>
      </c>
      <c r="X25" s="51" t="s">
        <v>173</v>
      </c>
      <c r="Y25" s="51" t="e">
        <f>CEILING(N25*VLOOKUP(O25, Коэффициенты!N3:O11, 2,FALSE)*0.9,P25)&amp;" кг"</f>
        <v>#N/A</v>
      </c>
      <c r="Z25" s="51" t="s">
        <v>171</v>
      </c>
      <c r="AA25" s="51" t="e">
        <f>CEILING((N25*VLOOKUP(O25, Коэффициенты!N3:O11, 2,FALSE))*0.85,P25)&amp;" кг"</f>
        <v>#N/A</v>
      </c>
      <c r="AB25" s="78">
        <f>'Программа тренировок '!N162</f>
        <v>0</v>
      </c>
      <c r="AC25" s="76" t="str">
        <f>CEILING((100*(CEILING(N25*0.85,P25)))/(101.3-2.67123*(AB25+1))*0.65,P25)&amp;" кг"</f>
        <v>0 кг</v>
      </c>
      <c r="AD25" s="77" t="s">
        <v>172</v>
      </c>
      <c r="AE25" s="105" t="str">
        <f>CEILING((100*(CEILING(N25*0.85,P25)))/(101.3-2.67123*(AB25+1))*0.825,P25)&amp;" кг"</f>
        <v>0 кг</v>
      </c>
      <c r="AF25" s="51" t="s">
        <v>177</v>
      </c>
      <c r="AG25" s="51" t="str">
        <f>CEILING((100*(CEILING(N25*0.85,P25)))/(101.3-2.67123*(AB25+1))*0.775,P25)&amp;" кг"</f>
        <v>0 кг</v>
      </c>
      <c r="AH25" s="51" t="s">
        <v>172</v>
      </c>
      <c r="AI25" s="51" t="str">
        <f>CEILING((100*(CEILING(N25*0.85,P25)))/(101.3-2.67123*(AB25+1))*0.875,P25)&amp;" кг"</f>
        <v>0 кг</v>
      </c>
      <c r="AJ25" s="51" t="s">
        <v>177</v>
      </c>
      <c r="AK25" s="51" t="str">
        <f>CEILING((100*(CEILING(N25*0.85,P25)))/(101.3-2.67123*(AB25+1))*0.825,P25)&amp;" кг"</f>
        <v>0 кг</v>
      </c>
      <c r="AL25" s="51" t="s">
        <v>173</v>
      </c>
      <c r="AM25" s="51" t="str">
        <f>CEILING((100*(CEILING(N25*0.85,P25)))/(101.3-2.67123*(AB25))*0.95,P25)&amp;" кг (≈95%ПМ)"</f>
        <v>0 кг (≈95%ПМ)</v>
      </c>
      <c r="AN25" s="51" t="s">
        <v>178</v>
      </c>
      <c r="AO25" s="51" t="str">
        <f>CEILING((100*(CEILING(N25*0.85,P25)))/(101.3-2.67123*(AB25))*0.875,P25)&amp;" кг"</f>
        <v>0 кг</v>
      </c>
      <c r="AP25" s="51"/>
    </row>
    <row r="26" spans="10:42" ht="15.75" customHeight="1" x14ac:dyDescent="0.3">
      <c r="L26" s="18" t="s">
        <v>115</v>
      </c>
      <c r="N26" s="102">
        <f>'Программа тренировок '!C124</f>
        <v>0</v>
      </c>
      <c r="O26" s="102">
        <f>'Программа тренировок '!D124</f>
        <v>0</v>
      </c>
      <c r="P26" s="106">
        <f>'Программа тренировок '!E124</f>
        <v>0</v>
      </c>
      <c r="Q26" s="51" t="str">
        <f>CEILING(N26*0.85,P26)&amp;" кг"</f>
        <v>0 кг</v>
      </c>
      <c r="R26" s="51" t="s">
        <v>168</v>
      </c>
      <c r="S26" s="51" t="str">
        <f>CEILING(N26*0.8,P26)&amp;" кг"</f>
        <v>0 кг</v>
      </c>
      <c r="T26" s="51" t="s">
        <v>173</v>
      </c>
      <c r="U26" s="51" t="str">
        <f>CEILING(N26*0.925,P26)&amp;" кг"</f>
        <v>0 кг</v>
      </c>
      <c r="V26" s="51" t="s">
        <v>168</v>
      </c>
      <c r="W26" s="51" t="str">
        <f>CEILING(N26*0.875,P26)&amp;" кг"</f>
        <v>0 кг</v>
      </c>
      <c r="X26" s="51" t="s">
        <v>170</v>
      </c>
      <c r="Y26" s="51" t="str">
        <f>CEILING(N26*0.95,P26)&amp;" кг"</f>
        <v>0 кг</v>
      </c>
      <c r="Z26" s="51" t="s">
        <v>171</v>
      </c>
      <c r="AA26" s="51" t="str">
        <f>CEILING(N26*0.9,P26)&amp;" кг"</f>
        <v>0 кг</v>
      </c>
      <c r="AB26" s="78">
        <f>'Программа тренировок '!N162</f>
        <v>0</v>
      </c>
      <c r="AC26" s="76" t="str">
        <f>CEILING((100*(CEILING(N26*0.9,P26)))/(101.3-2.67123*(AB26+1))*0.65,P26)&amp;" кг"</f>
        <v>0 кг</v>
      </c>
      <c r="AD26" s="77" t="s">
        <v>172</v>
      </c>
      <c r="AE26" s="105" t="str">
        <f>CEILING((100*(CEILING(N26*0.9,P26)))/(101.3-2.67123*(AB26+1))*0.85,P26)&amp;" кг"</f>
        <v>0 кг</v>
      </c>
      <c r="AF26" s="51" t="s">
        <v>168</v>
      </c>
      <c r="AG26" s="51" t="str">
        <f>CEILING((100*(CEILING(N26*0.9,P26)))/(101.3-2.67123*(AB26+1))*0.8,P26)&amp;" кг"</f>
        <v>0 кг</v>
      </c>
      <c r="AH26" s="51" t="s">
        <v>173</v>
      </c>
      <c r="AI26" s="51" t="str">
        <f>CEILING((100*(CEILING(N26*0.9,P26)))/(101.3-2.67123*(AB26+1))*0.925,P26)&amp;" кг"</f>
        <v>0 кг</v>
      </c>
      <c r="AJ26" s="51" t="s">
        <v>168</v>
      </c>
      <c r="AK26" s="51" t="str">
        <f>CEILING((100*(CEILING(N26*0.9,P26)))/(101.3-2.67123*(AB26+1))*0.875,P26)&amp;" кг"</f>
        <v>0 кг</v>
      </c>
      <c r="AL26" s="51" t="s">
        <v>174</v>
      </c>
      <c r="AM26" s="73" t="str">
        <f>CEILING((100*(CEILING(N26*0.9,P26)))/(101.3-2.67123*(AB26+1))*0.975,P26)&amp;" (±5) кг (≈100%ПМ)"</f>
        <v>0 (±5) кг (≈100%ПМ)</v>
      </c>
      <c r="AN26" s="51" t="s">
        <v>168</v>
      </c>
      <c r="AO26" s="51" t="str">
        <f>CEILING((100*(CEILING(N26*0.9,P26)))/(101.3-2.67123*(AB26+1))*0.9,P26)&amp;" кг"</f>
        <v>0 кг</v>
      </c>
      <c r="AP26" s="51"/>
    </row>
    <row r="27" spans="10:42" ht="15.75" customHeight="1" x14ac:dyDescent="0.25">
      <c r="AB27" s="1"/>
      <c r="AC27" s="38"/>
      <c r="AD27" s="37"/>
      <c r="AE27" s="1"/>
    </row>
    <row r="28" spans="10:42" ht="15.75" customHeight="1" x14ac:dyDescent="0.3">
      <c r="L28" s="18" t="s">
        <v>37</v>
      </c>
      <c r="M28" s="6"/>
      <c r="N28" s="102">
        <f>IF('Программа тренировок '!B67='Программа тренировок '!B77, Формулы!N9, 'Программа тренировок '!C126)</f>
        <v>0</v>
      </c>
      <c r="O28" s="102">
        <f>IF('Программа тренировок '!B67='Программа тренировок '!B77, Формулы!O9, 'Программа тренировок '!D126)</f>
        <v>0</v>
      </c>
      <c r="P28" s="106">
        <f>IF('Программа тренировок '!B67='Программа тренировок '!B77, P9, 'Программа тренировок '!E126)</f>
        <v>0</v>
      </c>
      <c r="Q28" s="51" t="e">
        <f>CEILING(N28*VLOOKUP(O28, Коэффициенты!N1:O9, 2,FALSE)*0.7,P28)&amp;" кг"</f>
        <v>#N/A</v>
      </c>
      <c r="R28" s="51" t="s">
        <v>177</v>
      </c>
      <c r="S28" s="51" t="e">
        <f>CEILING(N28*VLOOKUP(O28, Коэффициенты!N1:O9, 2,FALSE)*0.65,P28)&amp;" кг"</f>
        <v>#N/A</v>
      </c>
      <c r="T28" s="51" t="s">
        <v>201</v>
      </c>
      <c r="U28" s="51" t="e">
        <f>CEILING(N28*VLOOKUP(O28, Коэффициенты!N1:O9, 2,FALSE)*0.75,P28)&amp;" кг"</f>
        <v>#N/A</v>
      </c>
      <c r="V28" s="51" t="s">
        <v>177</v>
      </c>
      <c r="W28" s="51" t="e">
        <f>CEILING(N28*VLOOKUP(O28, Коэффициенты!N1:O9, 2,FALSE)*0.7,P28)&amp;" кг"</f>
        <v>#N/A</v>
      </c>
      <c r="X28" s="51" t="s">
        <v>192</v>
      </c>
      <c r="Y28" s="51" t="e">
        <f>CEILING(N28*VLOOKUP(O28, Коэффициенты!N1:O9, 2,FALSE)*0.8,P28)&amp;" кг"</f>
        <v>#N/A</v>
      </c>
      <c r="Z28" s="51" t="s">
        <v>193</v>
      </c>
      <c r="AA28" s="51"/>
      <c r="AB28" s="78"/>
      <c r="AC28" s="76" t="e">
        <f>CEILING(N28*VLOOKUP(O28, Коэффициенты!N1:O9, 2,FALSE)*0.65,P28)&amp;" кг"</f>
        <v>#N/A</v>
      </c>
      <c r="AD28" s="77" t="s">
        <v>172</v>
      </c>
      <c r="AE28" s="105" t="e">
        <f>CEILING(N28*VLOOKUP(O28, Коэффициенты!N1:O9, 2,FALSE)*0.725,P28)&amp;" кг"</f>
        <v>#N/A</v>
      </c>
      <c r="AF28" s="51" t="s">
        <v>177</v>
      </c>
      <c r="AG28" s="51" t="e">
        <f>CEILING(N28*VLOOKUP(O28, Коэффициенты!N1:O9, 2,FALSE)*0.675,P28)&amp;" кг"</f>
        <v>#N/A</v>
      </c>
      <c r="AH28" s="51" t="s">
        <v>201</v>
      </c>
      <c r="AI28" s="51" t="e">
        <f>CEILING(N28*VLOOKUP(O28, Коэффициенты!N1:O9, 2,FALSE)*0.775,P28)&amp;" кг"</f>
        <v>#N/A</v>
      </c>
      <c r="AJ28" s="51" t="s">
        <v>177</v>
      </c>
      <c r="AK28" s="51" t="e">
        <f>CEILING(N28*VLOOKUP(O28, Коэффициенты!N1:O9, 2,FALSE)*0.725,P28)&amp;" кг"</f>
        <v>#N/A</v>
      </c>
      <c r="AL28" s="51" t="s">
        <v>192</v>
      </c>
      <c r="AM28" s="51" t="e">
        <f>CEILING(N28*VLOOKUP(O28, Коэффициенты!N1:O9, 2,FALSE)*0.825,P28)&amp;" кг"</f>
        <v>#N/A</v>
      </c>
      <c r="AN28" s="51" t="s">
        <v>193</v>
      </c>
      <c r="AO28" s="51"/>
      <c r="AP28" s="51"/>
    </row>
    <row r="29" spans="10:42" ht="15.75" customHeight="1" thickBot="1" x14ac:dyDescent="0.35">
      <c r="L29" s="18" t="s">
        <v>48</v>
      </c>
      <c r="N29" s="102">
        <f>'Программа тренировок '!C126</f>
        <v>0</v>
      </c>
      <c r="O29" s="102">
        <f>'Программа тренировок '!D126</f>
        <v>0</v>
      </c>
      <c r="P29" s="106">
        <f>'Программа тренировок '!E126</f>
        <v>0</v>
      </c>
      <c r="Q29" s="51" t="e">
        <f>CEILING(N29*VLOOKUP(O29, Коэффициенты!N3:O11, 2,FALSE)*0.775,P29)&amp;" кг"</f>
        <v>#N/A</v>
      </c>
      <c r="R29" s="51" t="s">
        <v>187</v>
      </c>
      <c r="S29" s="51" t="e">
        <f>CEILING(N29*VLOOKUP(O29, Коэффициенты!N3:O11, 2,FALSE)*0.725,P29)&amp;" кг"</f>
        <v>#N/A</v>
      </c>
      <c r="T29" s="51" t="s">
        <v>201</v>
      </c>
      <c r="U29" s="51" t="e">
        <f>CEILING(N29*VLOOKUP(O29, Коэффициенты!N3:O11, 2,FALSE)*0.825,P29)&amp;" кг"</f>
        <v>#N/A</v>
      </c>
      <c r="V29" s="51" t="s">
        <v>177</v>
      </c>
      <c r="W29" s="51" t="e">
        <f>CEILING(N29*VLOOKUP(O29, Коэффициенты!N3:O11, 2,FALSE)*0.775,P29)&amp;" кг"</f>
        <v>#N/A</v>
      </c>
      <c r="X29" s="51" t="s">
        <v>172</v>
      </c>
      <c r="Y29" s="51" t="e">
        <f>CEILING(N29*VLOOKUP(O29, Коэффициенты!N3:O11, 2,FALSE)*0.85,P29)&amp;" кг"</f>
        <v>#N/A</v>
      </c>
      <c r="Z29" s="51" t="s">
        <v>189</v>
      </c>
      <c r="AA29" s="51" t="e">
        <f>CEILING(N29*VLOOKUP(O29, Коэффициенты!N3:O11, 2,FALSE)*0.8,P29)&amp;" кг"</f>
        <v>#N/A</v>
      </c>
      <c r="AB29" s="74">
        <f>'Программа тренировок '!N164</f>
        <v>0</v>
      </c>
      <c r="AC29" s="76" t="str">
        <f>CEILING((100*(CEILING(N29*0.8,P29)))/(101.3-2.67123*(AB29+1))*0.65,P29)&amp;" кг"</f>
        <v>0 кг</v>
      </c>
      <c r="AD29" s="77" t="s">
        <v>172</v>
      </c>
      <c r="AE29" s="105" t="str">
        <f>CEILING((100*(CEILING(N29*0.8,P29)))/(101.3-2.67123*(AB29))*0.8,P29)&amp;" кг"</f>
        <v>0 кг</v>
      </c>
      <c r="AF29" s="51" t="s">
        <v>187</v>
      </c>
      <c r="AG29" s="51" t="str">
        <f>CEILING((100*(CEILING(N29*0.8,P29)))/(101.3-2.67123*(AB29))*0.75,P29)&amp;" кг"</f>
        <v>0 кг</v>
      </c>
      <c r="AH29" s="51" t="s">
        <v>194</v>
      </c>
      <c r="AI29" s="51" t="str">
        <f>CEILING((100*(CEILING(N29*0.8,P29)))/(101.3-2.67123*(AB29))*0.85,P29)&amp;" кг"</f>
        <v>0 кг</v>
      </c>
      <c r="AJ29" s="51" t="s">
        <v>177</v>
      </c>
      <c r="AK29" s="51" t="str">
        <f>CEILING((100*(CEILING(N29*0.8,P29)))/(101.3-2.67123*(AB29))*0.8,P29)&amp;" кг"</f>
        <v>0 кг</v>
      </c>
      <c r="AL29" s="51" t="s">
        <v>193</v>
      </c>
      <c r="AM29" s="73" t="str">
        <f>CEILING((100*(CEILING(N29*0.8,P29)))/(101.3-2.67123*(AB29))*0.875,P29)&amp;" кг"</f>
        <v>0 кг</v>
      </c>
      <c r="AN29" s="51" t="s">
        <v>177</v>
      </c>
      <c r="AO29" s="51" t="str">
        <f>CEILING((100*(CEILING(N29*0.8,P29)))/(101.3-2.67123*(AB29))*0.825,P29)&amp;" кг"</f>
        <v>0 кг</v>
      </c>
      <c r="AP29" s="51"/>
    </row>
    <row r="30" spans="10:42" ht="15.75" customHeight="1" thickBot="1" x14ac:dyDescent="0.35">
      <c r="L30" s="18" t="s">
        <v>176</v>
      </c>
      <c r="N30" s="102">
        <f>IF('Программа тренировок '!B67='Программа тренировок '!B77, Формулы!N9, 'Программа тренировок '!C126)</f>
        <v>0</v>
      </c>
      <c r="O30" s="102">
        <f>IF('Программа тренировок '!B67='Программа тренировок '!B77, Формулы!O11, 'Программа тренировок '!D126)</f>
        <v>0</v>
      </c>
      <c r="P30" s="106">
        <f>IF('Программа тренировок '!B67='Программа тренировок '!B77, P11, 'Программа тренировок '!E126)</f>
        <v>0</v>
      </c>
      <c r="Q30" s="51" t="e">
        <f>CEILING(N30*VLOOKUP(O30, Коэффициенты!N3:O11, 2,FALSE)*0.7,P30)&amp;" кг"</f>
        <v>#N/A</v>
      </c>
      <c r="R30" s="51" t="s">
        <v>177</v>
      </c>
      <c r="S30" s="51" t="e">
        <f>CEILING(N30*VLOOKUP(O30, Коэффициенты!N3:O11, 2,FALSE)*0.65,P30)&amp;" кг"</f>
        <v>#N/A</v>
      </c>
      <c r="T30" s="51" t="s">
        <v>201</v>
      </c>
      <c r="U30" s="51" t="e">
        <f>CEILING(N30*VLOOKUP(O30, Коэффициенты!N3:O11, 2,FALSE)*0.75,P30)&amp;" кг"</f>
        <v>#N/A</v>
      </c>
      <c r="V30" s="51" t="s">
        <v>177</v>
      </c>
      <c r="W30" s="51" t="e">
        <f>CEILING(N30*VLOOKUP(O30, Коэффициенты!N3:O11, 2,FALSE)*0.7,P30)&amp;" кг"</f>
        <v>#N/A</v>
      </c>
      <c r="X30" s="51" t="s">
        <v>192</v>
      </c>
      <c r="Y30" s="51" t="e">
        <f>CEILING(N30*VLOOKUP(O30, Коэффициенты!N3:O11, 2,FALSE)*0.8,P30)&amp;" кг"</f>
        <v>#N/A</v>
      </c>
      <c r="Z30" s="51" t="s">
        <v>193</v>
      </c>
      <c r="AA30" s="51"/>
      <c r="AB30" s="78"/>
      <c r="AC30" s="76" t="e">
        <f>CEILING(N30*VLOOKUP(O30, Коэффициенты!N3:O11, 2,FALSE)*0.65,P30)&amp;" кг"</f>
        <v>#N/A</v>
      </c>
      <c r="AD30" s="77" t="s">
        <v>172</v>
      </c>
      <c r="AE30" s="105" t="e">
        <f>CEILING(N30*VLOOKUP(O30, Коэффициенты!N3:O11, 2,FALSE)*0.725,P30)&amp;" кг"</f>
        <v>#N/A</v>
      </c>
      <c r="AF30" s="51" t="s">
        <v>177</v>
      </c>
      <c r="AG30" s="51" t="e">
        <f>CEILING(N30*VLOOKUP(O30, Коэффициенты!N3:O11, 2,FALSE)*0.675,P30)&amp;" кг"</f>
        <v>#N/A</v>
      </c>
      <c r="AH30" s="51" t="s">
        <v>201</v>
      </c>
      <c r="AI30" s="51" t="e">
        <f>CEILING(N30*VLOOKUP(O30, Коэффициенты!N3:O11, 2,FALSE)*0.775,P30)&amp;" кг"</f>
        <v>#N/A</v>
      </c>
      <c r="AJ30" s="51" t="s">
        <v>177</v>
      </c>
      <c r="AK30" s="51" t="e">
        <f>CEILING(N30*VLOOKUP(O30, Коэффициенты!N3:O11, 2,FALSE)*0.725,P30)&amp;" кг"</f>
        <v>#N/A</v>
      </c>
      <c r="AL30" s="51" t="s">
        <v>192</v>
      </c>
      <c r="AM30" s="51" t="e">
        <f>CEILING(N30*VLOOKUP(O30, Коэффициенты!N3:O11, 2,FALSE)*0.825,P30)&amp;" кг"</f>
        <v>#N/A</v>
      </c>
      <c r="AN30" s="51" t="s">
        <v>193</v>
      </c>
      <c r="AO30" s="51"/>
      <c r="AP30" s="51"/>
    </row>
    <row r="31" spans="10:42" ht="15.75" customHeight="1" x14ac:dyDescent="0.25">
      <c r="AB31" s="1"/>
      <c r="AC31" s="38"/>
      <c r="AD31" s="37"/>
      <c r="AE31" s="1"/>
    </row>
    <row r="32" spans="10:42" ht="15.75" customHeight="1" x14ac:dyDescent="0.25">
      <c r="AB32" s="1"/>
      <c r="AC32" s="38"/>
      <c r="AD32" s="37"/>
      <c r="AE32" s="1"/>
    </row>
    <row r="33" spans="12:42" ht="15.75" customHeight="1" x14ac:dyDescent="0.3">
      <c r="L33" s="18" t="s">
        <v>47</v>
      </c>
      <c r="N33" s="102">
        <f>'Программа тренировок '!C125</f>
        <v>0</v>
      </c>
      <c r="O33" s="102">
        <f>'Программа тренировок '!D125</f>
        <v>0</v>
      </c>
      <c r="P33" s="106">
        <f>'Программа тренировок '!E125</f>
        <v>0</v>
      </c>
      <c r="Q33" s="51" t="str">
        <f>CEILING(N33*0.85,P33)&amp;" кг"</f>
        <v>0 кг</v>
      </c>
      <c r="R33" s="51" t="s">
        <v>168</v>
      </c>
      <c r="S33" s="51" t="str">
        <f>CEILING(N33*0.8,P33)&amp;" кг"</f>
        <v>0 кг</v>
      </c>
      <c r="T33" s="51" t="s">
        <v>173</v>
      </c>
      <c r="U33" s="51" t="str">
        <f>CEILING(N33*0.925,P33)&amp;" кг"</f>
        <v>0 кг</v>
      </c>
      <c r="V33" s="51" t="s">
        <v>168</v>
      </c>
      <c r="W33" s="51" t="str">
        <f>CEILING(N33*0.875,P33)&amp;" кг"</f>
        <v>0 кг</v>
      </c>
      <c r="X33" s="51" t="s">
        <v>170</v>
      </c>
      <c r="Y33" s="51" t="str">
        <f>CEILING(N33*0.95,P33)&amp;" кг"</f>
        <v>0 кг</v>
      </c>
      <c r="Z33" s="51" t="s">
        <v>171</v>
      </c>
      <c r="AA33" s="51" t="str">
        <f>CEILING(N33*0.9,P33)&amp;" кг"</f>
        <v>0 кг</v>
      </c>
      <c r="AB33" s="78">
        <f>'Программа тренировок '!N160</f>
        <v>0</v>
      </c>
      <c r="AC33" s="76" t="str">
        <f>CEILING((100*(CEILING(N33*0.9,P33)))/(101.3-2.67123*(AB33+1))*0.65,P33)&amp;" кг"</f>
        <v>0 кг</v>
      </c>
      <c r="AD33" s="77" t="s">
        <v>172</v>
      </c>
      <c r="AE33" s="105" t="str">
        <f>CEILING((100*(CEILING(N33*0.9,P33)))/(101.3-2.67123*(AB33+1))*0.875,P33)&amp;" кг"</f>
        <v>0 кг</v>
      </c>
      <c r="AF33" s="51" t="s">
        <v>168</v>
      </c>
      <c r="AG33" s="51" t="str">
        <f>CEILING((100*(CEILING(N33*0.9,P33)))/(101.3-2.67123*(AB33+1))*0.825,P33)&amp;" кг"</f>
        <v>0 кг</v>
      </c>
      <c r="AH33" s="51" t="s">
        <v>173</v>
      </c>
      <c r="AI33" s="51" t="str">
        <f>CEILING((100*(CEILING(N33*0.9,P33)))/(101.3-2.67123*(AB33+1))*0.925,P33)&amp;" кг"</f>
        <v>0 кг</v>
      </c>
      <c r="AJ33" s="51" t="s">
        <v>168</v>
      </c>
      <c r="AK33" s="51" t="str">
        <f>CEILING((100*(CEILING(N33*0.9,P33)))/(101.3-2.67123*(AB33+1))*0.875,P33)&amp;" кг"</f>
        <v>0 кг</v>
      </c>
      <c r="AL33" s="51" t="s">
        <v>174</v>
      </c>
      <c r="AM33" s="51" t="str">
        <f>CEILING((100*(CEILING(N33*0.9,P33)))/(101.3-2.67123*(AB33+1))*0.975,P33)&amp;" (±5) кг (≈100%ПМ)"</f>
        <v>0 (±5) кг (≈100%ПМ)</v>
      </c>
      <c r="AN33" s="51" t="s">
        <v>168</v>
      </c>
      <c r="AO33" s="51" t="str">
        <f>CEILING((100*(CEILING(N33*0.9,P33)))/(101.3-2.67123*(AB33+1))*0.9,P33)&amp;" кг"</f>
        <v>0 кг</v>
      </c>
      <c r="AP33" s="51"/>
    </row>
    <row r="34" spans="12:42" ht="15.75" customHeight="1" x14ac:dyDescent="0.3">
      <c r="L34" s="5" t="s">
        <v>204</v>
      </c>
      <c r="N34" s="102">
        <f>'Программа тренировок '!C125</f>
        <v>0</v>
      </c>
      <c r="O34" s="102">
        <f>'Программа тренировок '!D125</f>
        <v>0</v>
      </c>
      <c r="P34" s="106">
        <f>'Программа тренировок '!E125</f>
        <v>0</v>
      </c>
      <c r="Q34" s="51" t="e">
        <f>CEILING(N34*VLOOKUP(O34, Коэффициенты!N3:O11, 2,FALSE)*0.775,P34)&amp;" кг"</f>
        <v>#N/A</v>
      </c>
      <c r="R34" s="51" t="s">
        <v>187</v>
      </c>
      <c r="S34" s="51" t="e">
        <f>CEILING(N34*VLOOKUP(O34, Коэффициенты!N3:O11, 2,FALSE)*0.725,P34)&amp;" кг"</f>
        <v>#N/A</v>
      </c>
      <c r="T34" s="51" t="s">
        <v>188</v>
      </c>
      <c r="U34" s="51" t="e">
        <f>CEILING(N34*VLOOKUP(O34, Коэффициенты!N3:O11, 2,FALSE)*0.825,P34)&amp;" кг"</f>
        <v>#N/A</v>
      </c>
      <c r="V34" s="51" t="s">
        <v>177</v>
      </c>
      <c r="W34" s="51" t="e">
        <f>CEILING(N34*VLOOKUP(O34, Коэффициенты!N3:O11, 2,FALSE)*0.775,P34)&amp;" кг"</f>
        <v>#N/A</v>
      </c>
      <c r="X34" s="51" t="s">
        <v>172</v>
      </c>
      <c r="Y34" s="51" t="e">
        <f>CEILING(N34*VLOOKUP(O34, Коэффициенты!N3:O11, 2,FALSE)*0.85,P34)&amp;" кг"</f>
        <v>#N/A</v>
      </c>
      <c r="Z34" s="51" t="s">
        <v>189</v>
      </c>
      <c r="AA34" s="51" t="e">
        <f>CEILING(N34*VLOOKUP(O34, Коэффициенты!N3:O11, 2,FALSE)*0.8,P34)&amp;" кг"</f>
        <v>#N/A</v>
      </c>
      <c r="AB34" s="74">
        <f>'Программа тренировок '!N160</f>
        <v>0</v>
      </c>
      <c r="AC34" s="76" t="str">
        <f>CEILING((100*(CEILING(N34*0.9,P34)))/(101.3-2.67123*(AB34+1))*0.675,P34)&amp;" кг"</f>
        <v>0 кг</v>
      </c>
      <c r="AD34" s="77" t="s">
        <v>172</v>
      </c>
      <c r="AE34" s="105" t="str">
        <f>CEILING((100*(CEILING(N34*0.8,P34)))/(101.3-2.67123*(AB34))*0.8,P34)&amp;" кг"</f>
        <v>0 кг</v>
      </c>
      <c r="AF34" s="51" t="s">
        <v>187</v>
      </c>
      <c r="AG34" s="51" t="str">
        <f>CEILING((100*(CEILING(N34*0.8,P34)))/(101.3-2.67123*(AB34))*0.75,P34)&amp;" кг"</f>
        <v>0 кг</v>
      </c>
      <c r="AH34" s="51" t="s">
        <v>190</v>
      </c>
      <c r="AI34" s="51" t="str">
        <f>CEILING((100*(CEILING(N34*0.8,P34)))/(101.3-2.67123*(AB34))*0.85,P34)&amp;" кг"</f>
        <v>0 кг</v>
      </c>
      <c r="AJ34" s="51" t="s">
        <v>177</v>
      </c>
      <c r="AK34" s="51" t="str">
        <f>CEILING((100*(CEILING(N34*0.8,P34)))/(101.3-2.67123*(AB34))*0.8,P34)&amp;" кг"</f>
        <v>0 кг</v>
      </c>
      <c r="AL34" s="51" t="s">
        <v>173</v>
      </c>
      <c r="AM34" s="73" t="str">
        <f>CEILING((100*(CEILING(N34*0.8,P34)))/(101.3-2.67123*(AB34))*0.9,P34)&amp;" кг (≈90%ПМ)"</f>
        <v>0 кг (≈90%ПМ)</v>
      </c>
      <c r="AN34" s="51" t="s">
        <v>178</v>
      </c>
      <c r="AO34" s="51" t="str">
        <f>CEILING((100*(CEILING(N34*0.8,P34)))/(101.3-2.67123*(AB34))*0.825,P34)&amp;" кг"</f>
        <v>0 кг</v>
      </c>
      <c r="AP34" s="51"/>
    </row>
    <row r="35" spans="12:42" ht="15.75" customHeight="1" x14ac:dyDescent="0.25">
      <c r="AB35" s="1"/>
      <c r="AC35" s="38"/>
      <c r="AD35" s="37"/>
      <c r="AE35" s="1"/>
    </row>
    <row r="36" spans="12:42" ht="15.75" customHeight="1" x14ac:dyDescent="0.3">
      <c r="L36" s="18" t="s">
        <v>205</v>
      </c>
      <c r="N36" s="102">
        <f>'Программа тренировок '!C127</f>
        <v>0</v>
      </c>
      <c r="O36" s="102">
        <f>'Программа тренировок '!D127</f>
        <v>0</v>
      </c>
      <c r="P36" s="106">
        <f>'Программа тренировок '!E127</f>
        <v>0</v>
      </c>
      <c r="Q36" s="51" t="e">
        <f>CEILING(N36*VLOOKUP(O36, Коэффициенты!N3:O11, 2,FALSE)*0.775,P36)&amp;" кг"</f>
        <v>#N/A</v>
      </c>
      <c r="R36" s="51" t="s">
        <v>177</v>
      </c>
      <c r="S36" s="51" t="e">
        <f>CEILING(N36*VLOOKUP(O36, Коэффициенты!N3:O11, 2,FALSE)*0.725,P36)&amp;" кг"</f>
        <v>#N/A</v>
      </c>
      <c r="T36" s="51" t="s">
        <v>188</v>
      </c>
      <c r="U36" s="51" t="e">
        <f>CEILING(N36*VLOOKUP(O36, Коэффициенты!N3:O11, 2,FALSE)*0.825,P36)&amp;" кг"</f>
        <v>#N/A</v>
      </c>
      <c r="V36" s="51" t="s">
        <v>177</v>
      </c>
      <c r="W36" s="51" t="e">
        <f>CEILING(N36*VLOOKUP(O36, Коэффициенты!N3:O11, 2,FALSE)*0.775,P36)&amp;" кг"</f>
        <v>#N/A</v>
      </c>
      <c r="X36" s="51" t="s">
        <v>172</v>
      </c>
      <c r="Y36" s="51" t="e">
        <f>CEILING(N36*VLOOKUP(O36, Коэффициенты!N3:O11, 2,FALSE)*0.85,P36)&amp;" кг"</f>
        <v>#N/A</v>
      </c>
      <c r="Z36" s="51" t="s">
        <v>189</v>
      </c>
      <c r="AA36" s="51" t="e">
        <f>CEILING(N36*VLOOKUP(O36, Коэффициенты!N3:O11, 2,FALSE)*0.8,P36)&amp;" кг"</f>
        <v>#N/A</v>
      </c>
      <c r="AB36" s="74">
        <f>'Программа тренировок '!N165</f>
        <v>0</v>
      </c>
      <c r="AC36" s="76" t="str">
        <f>CEILING((100*(CEILING(N36*0.8,P36)))/(101.3-2.67123*(AB36+1))*0.675,P36)&amp;" кг"</f>
        <v>0 кг</v>
      </c>
      <c r="AD36" s="77" t="s">
        <v>172</v>
      </c>
      <c r="AE36" s="105" t="str">
        <f>CEILING((100*(CEILING(N36*0.8,P36)))/(101.3-2.67123*(AB36))*0.8,P36)&amp;" кг"</f>
        <v>0 кг</v>
      </c>
      <c r="AF36" s="51" t="s">
        <v>187</v>
      </c>
      <c r="AG36" s="51" t="str">
        <f>CEILING((100*(CEILING(N36*0.8,P36)))/(101.3-2.67123*(AB36))*0.75,P36)&amp;" кг"</f>
        <v>0 кг</v>
      </c>
      <c r="AH36" s="51" t="s">
        <v>190</v>
      </c>
      <c r="AI36" s="51" t="str">
        <f>CEILING((100*(CEILING(N36*0.8,P36)))/(101.3-2.67123*(AB36))*0.85,P36)&amp;" кг"</f>
        <v>0 кг</v>
      </c>
      <c r="AJ36" s="51" t="s">
        <v>177</v>
      </c>
      <c r="AK36" s="51" t="str">
        <f>CEILING((100*(CEILING(N36*0.8,P36)))/(101.3-2.67123*(AB36))*0.8,P36)&amp;" кг"</f>
        <v>0 кг</v>
      </c>
      <c r="AL36" s="51" t="s">
        <v>173</v>
      </c>
      <c r="AM36" s="73" t="str">
        <f>CEILING((100*(CEILING(N36*0.8,P36)))/(101.3-2.67123*(AB36))*0.9,P36)&amp;" кг (≈90%ПМ)"</f>
        <v>0 кг (≈90%ПМ)</v>
      </c>
      <c r="AN36" s="51" t="s">
        <v>178</v>
      </c>
      <c r="AO36" s="51" t="str">
        <f>CEILING((100*(CEILING(N36*0.8,P36)))/(101.3-2.67123*(AB36))*0.825,P36)&amp;" кг"</f>
        <v>0 кг</v>
      </c>
      <c r="AP36" s="51"/>
    </row>
    <row r="37" spans="12:42" ht="15.75" customHeight="1" x14ac:dyDescent="0.3">
      <c r="L37" s="112" t="s">
        <v>206</v>
      </c>
      <c r="N37" s="113">
        <f>'Программа тренировок '!C127</f>
        <v>0</v>
      </c>
      <c r="O37" s="109">
        <f>'Программа тренировок '!D127</f>
        <v>0</v>
      </c>
      <c r="P37" s="102">
        <f>'Программа тренировок '!E127</f>
        <v>0</v>
      </c>
      <c r="Q37" s="110" t="s">
        <v>180</v>
      </c>
      <c r="R37" s="73" t="str">
        <f>FLOOR(0.45*O37,1)&amp;" повт"</f>
        <v>0 повт</v>
      </c>
      <c r="S37" s="73" t="s">
        <v>136</v>
      </c>
      <c r="T37" s="73" t="str">
        <f>FLOOR(0.7*O37,1)&amp;" повт"</f>
        <v>0 повт</v>
      </c>
      <c r="U37" s="73" t="s">
        <v>181</v>
      </c>
      <c r="V37" s="73" t="str">
        <f>FLOOR(0.6*O37,1)&amp;" повт"</f>
        <v>0 повт</v>
      </c>
      <c r="W37" s="73" t="s">
        <v>136</v>
      </c>
      <c r="X37" s="73" t="str">
        <f>CEILING(0.75*O37,1)&amp;" повт"</f>
        <v>0 повт</v>
      </c>
      <c r="Y37" s="73" t="s">
        <v>182</v>
      </c>
      <c r="Z37" s="74" t="str">
        <f>CEILING(0.5*O37,1)&amp;" повт"</f>
        <v>0 повт</v>
      </c>
      <c r="AA37" s="73" t="s">
        <v>183</v>
      </c>
      <c r="AB37" s="74">
        <f>'Программа тренировок '!N178</f>
        <v>0</v>
      </c>
      <c r="AC37" s="72" t="s">
        <v>181</v>
      </c>
      <c r="AD37" s="75" t="str">
        <f>FLOOR(0.45*AB37,1)&amp;" повт"</f>
        <v>0 повт</v>
      </c>
      <c r="AE37" s="110" t="s">
        <v>184</v>
      </c>
      <c r="AF37" s="73" t="str">
        <f>FLOOR(0.5*AB37,1)&amp;" повт"</f>
        <v>0 повт</v>
      </c>
      <c r="AG37" s="73" t="s">
        <v>182</v>
      </c>
      <c r="AH37" s="73" t="str">
        <f>FLOOR(0.65*AB37,1)&amp;" повт"</f>
        <v>0 повт</v>
      </c>
      <c r="AI37" s="73" t="s">
        <v>182</v>
      </c>
      <c r="AJ37" s="73" t="str">
        <f>FLOOR(0.65*AB37,1)&amp;" повт"</f>
        <v>0 повт</v>
      </c>
      <c r="AK37" s="73" t="s">
        <v>182</v>
      </c>
      <c r="AL37" s="73" t="str">
        <f>FLOOR(0.75*AB37,1)&amp;" повт"</f>
        <v>0 повт</v>
      </c>
      <c r="AM37" s="73" t="str">
        <f>"1 подход"</f>
        <v>1 подход</v>
      </c>
      <c r="AN37" s="73" t="s">
        <v>185</v>
      </c>
      <c r="AO37" s="73"/>
      <c r="AP37" s="73"/>
    </row>
    <row r="38" spans="12:42" ht="15.75" customHeight="1" x14ac:dyDescent="0.3">
      <c r="L38" s="18" t="s">
        <v>49</v>
      </c>
      <c r="N38" s="102">
        <f>'Программа тренировок '!C127</f>
        <v>0</v>
      </c>
      <c r="O38" s="102">
        <f>'Программа тренировок '!D127</f>
        <v>0</v>
      </c>
      <c r="P38" s="106">
        <f>'Программа тренировок '!E127</f>
        <v>0</v>
      </c>
      <c r="Q38" s="51" t="e">
        <f>CEILING(N38*VLOOKUP(O38, Коэффициенты!N3:O11, 2,FALSE)*0.775,P38)&amp;" кг"</f>
        <v>#N/A</v>
      </c>
      <c r="R38" s="51" t="s">
        <v>199</v>
      </c>
      <c r="S38" s="51" t="e">
        <f>CEILING(N38*VLOOKUP(O38, Коэффициенты!N3:O11, 2,FALSE)*0.725,P38)&amp;" кг"</f>
        <v>#N/A</v>
      </c>
      <c r="T38" s="51" t="s">
        <v>203</v>
      </c>
      <c r="U38" s="51" t="e">
        <f>CEILING(N38*VLOOKUP(O38, Коэффициенты!N3:O11, 2,FALSE)*0.825,P38)&amp;" кг"</f>
        <v>#N/A</v>
      </c>
      <c r="V38" s="51" t="s">
        <v>187</v>
      </c>
      <c r="W38" s="51" t="e">
        <f>CEILING(N38*VLOOKUP(O38, Коэффициенты!N3:O11, 2,FALSE)*0.775,P38)&amp;" кг"</f>
        <v>#N/A</v>
      </c>
      <c r="X38" s="51" t="s">
        <v>201</v>
      </c>
      <c r="Y38" s="51" t="e">
        <f>CEILING(N38*VLOOKUP(O38, Коэффициенты!N3:O11, 2,FALSE)*0.875,P38)&amp;" кг"</f>
        <v>#N/A</v>
      </c>
      <c r="Z38" s="51" t="s">
        <v>177</v>
      </c>
      <c r="AA38" s="51" t="e">
        <f>CEILING(N38*VLOOKUP(O38, Коэффициенты!N3:O11, 2,FALSE)*0.825,P38)&amp;" кг"</f>
        <v>#N/A</v>
      </c>
      <c r="AB38" s="74">
        <f>'Программа тренировок '!N165</f>
        <v>0</v>
      </c>
      <c r="AC38" s="76" t="str">
        <f>CEILING((100*(CEILING(N38*0.825,P38)))/(101.3-2.67123*(AB38+1))*0.65,P38)&amp;" кг"</f>
        <v>0 кг</v>
      </c>
      <c r="AD38" s="77" t="s">
        <v>172</v>
      </c>
      <c r="AE38" s="105" t="str">
        <f>CEILING((100*(CEILING(N38*0.825,P38)))/(101.3-2.67123*(AB38))*0.8,P38)&amp;" кг"</f>
        <v>0 кг</v>
      </c>
      <c r="AF38" s="51" t="s">
        <v>187</v>
      </c>
      <c r="AG38" s="51" t="str">
        <f>CEILING((100*(CEILING(N38*0.825,P38)))/(101.3-2.67123*(AB38))*0.75,P38)&amp;" кг"</f>
        <v>0 кг</v>
      </c>
      <c r="AH38" s="51" t="s">
        <v>207</v>
      </c>
      <c r="AI38" s="51" t="str">
        <f>CEILING((100*(CEILING(N38*0.825,P38)))/(101.3-2.67123*(AB38))*0.85,P38)&amp;" кг"</f>
        <v>0 кг</v>
      </c>
      <c r="AJ38" s="51" t="s">
        <v>177</v>
      </c>
      <c r="AK38" s="51" t="str">
        <f>CEILING((100*(CEILING(N38*0.825,P38)))/(101.3-2.67123*(AB38))*0.8,P38)&amp;" кг"</f>
        <v>0 кг</v>
      </c>
      <c r="AL38" s="51" t="s">
        <v>192</v>
      </c>
      <c r="AM38" s="73" t="str">
        <f>CEILING((100*(CEILING(N38*0.825,P38)))/(101.3-2.67123*(AB38))*0.9,P38)&amp;" кг"</f>
        <v>0 кг</v>
      </c>
      <c r="AN38" s="51" t="s">
        <v>178</v>
      </c>
      <c r="AO38" s="51" t="str">
        <f>CEILING((100*(CEILING(N38*0.825,P38)))/(101.3-2.67123*(AB38))*0.825,P38)&amp;" кг"</f>
        <v>0 кг</v>
      </c>
      <c r="AP38" s="51"/>
    </row>
    <row r="39" spans="12:42" ht="15.75" customHeight="1" x14ac:dyDescent="0.25">
      <c r="L39" s="1" t="s">
        <v>44</v>
      </c>
      <c r="AB39" s="1"/>
      <c r="AC39" s="38"/>
      <c r="AD39" s="37"/>
      <c r="AE39" s="1"/>
      <c r="AH39" s="114" t="e">
        <f>+AH3AH39:AI39</f>
        <v>#NAME?</v>
      </c>
    </row>
    <row r="40" spans="12:42" ht="15.75" customHeight="1" x14ac:dyDescent="0.3">
      <c r="L40" s="18" t="s">
        <v>208</v>
      </c>
      <c r="N40" s="102">
        <f>'Программа тренировок '!C128</f>
        <v>0</v>
      </c>
      <c r="O40" s="102">
        <f>'Программа тренировок '!D128</f>
        <v>0</v>
      </c>
      <c r="P40" s="106">
        <f>'Программа тренировок '!E128</f>
        <v>0</v>
      </c>
      <c r="Q40" s="51" t="e">
        <f>CEILING(N40*VLOOKUP(O40, Коэффициенты!N3:O11, 2,FALSE)*0.8,P40)&amp;" кг"</f>
        <v>#N/A</v>
      </c>
      <c r="R40" s="51" t="s">
        <v>177</v>
      </c>
      <c r="S40" s="51" t="e">
        <f>CEILING(N40*VLOOKUP(O40, Коэффициенты!N3:O11, 2,FALSE)*0.7,P40)&amp;" кг"</f>
        <v>#N/A</v>
      </c>
      <c r="T40" s="51" t="s">
        <v>201</v>
      </c>
      <c r="U40" s="51" t="e">
        <f>CEILING(N40*VLOOKUP(O40, Коэффициенты!N3:O11, 2,FALSE)*0.85,P40)&amp;" кг"</f>
        <v>#N/A</v>
      </c>
      <c r="V40" s="51" t="s">
        <v>177</v>
      </c>
      <c r="W40" s="51" t="e">
        <f>CEILING(N40*VLOOKUP(O40, Коэффициенты!N3:O11, 2,FALSE)*0.75,P40)&amp;" кг"</f>
        <v>#N/A</v>
      </c>
      <c r="X40" s="51" t="s">
        <v>192</v>
      </c>
      <c r="Y40" s="51" t="e">
        <f>CEILING(N40*VLOOKUP(O40, Коэффициенты!N3:O11, 2,FALSE)*0.9,P40)&amp;" кг"</f>
        <v>#N/A</v>
      </c>
      <c r="Z40" s="51" t="s">
        <v>171</v>
      </c>
      <c r="AA40" s="51" t="e">
        <f>CEILING((N40*VLOOKUP(O40, Коэффициенты!N3:O11, 2,FALSE))*0.8,P40)&amp;" кг"</f>
        <v>#N/A</v>
      </c>
      <c r="AB40" s="78">
        <f>'Программа тренировок '!N166</f>
        <v>0</v>
      </c>
      <c r="AC40" s="76" t="str">
        <f>CEILING((100*(CEILING(N40*0.8,P40)))/(101.3-2.67123*(AB40+1))*0.65,P40)&amp;" кг"</f>
        <v>0 кг</v>
      </c>
      <c r="AD40" s="77" t="s">
        <v>192</v>
      </c>
      <c r="AE40" s="105" t="str">
        <f>CEILING((100*(CEILING(N40*0.8,P40)))/(101.3-2.67123*(AB40+1))*0.825,P40)&amp;" кг"</f>
        <v>0 кг</v>
      </c>
      <c r="AF40" s="51" t="s">
        <v>177</v>
      </c>
      <c r="AG40" s="51" t="str">
        <f>CEILING((100*(CEILING(N40*0.8,P40)))/(101.3-2.67123*(AB40+1))*0.725,P40)&amp;" кг"</f>
        <v>0 кг</v>
      </c>
      <c r="AH40" s="51" t="s">
        <v>201</v>
      </c>
      <c r="AI40" s="51" t="str">
        <f>CEILING((100*(CEILING(N40*0.8,P40)))/(101.3-2.67123*(AB40+1))*0.85,P40)&amp;" кг"</f>
        <v>0 кг</v>
      </c>
      <c r="AJ40" s="51" t="s">
        <v>177</v>
      </c>
      <c r="AK40" s="51" t="str">
        <f>CEILING((100*(CEILING(N40*0.8,P40)))/(101.3-2.67123*(AB40+1))*0.75,P40)&amp;" кг"</f>
        <v>0 кг</v>
      </c>
      <c r="AL40" s="51" t="s">
        <v>173</v>
      </c>
      <c r="AM40" s="51" t="str">
        <f>CEILING((100*(CEILING(N40*0.8,P40)))/(101.3-2.67123*(AB40+1))*0.9,P40)&amp;" кг"</f>
        <v>0 кг</v>
      </c>
      <c r="AN40" s="51" t="s">
        <v>177</v>
      </c>
      <c r="AO40" s="51" t="str">
        <f>CEILING((100*(CEILING(N40*0.8,P40)))/(101.3-2.67123*(AB40+1))*0.8,P40)&amp;" кг"</f>
        <v>0 кг</v>
      </c>
      <c r="AP40" s="51"/>
    </row>
    <row r="41" spans="12:42" ht="15.75" customHeight="1" x14ac:dyDescent="0.3">
      <c r="L41" s="18" t="s">
        <v>209</v>
      </c>
      <c r="N41" s="102">
        <f>'Программа тренировок '!C128</f>
        <v>0</v>
      </c>
      <c r="O41" s="102">
        <f>'Программа тренировок '!D128</f>
        <v>0</v>
      </c>
      <c r="P41" s="106">
        <f>'Программа тренировок '!E128</f>
        <v>0</v>
      </c>
      <c r="Q41" s="51" t="e">
        <f>CEILING(N41*VLOOKUP(O41, Коэффициенты!N3:O11, 2,FALSE)*0.6,P41)&amp;" кг"</f>
        <v>#N/A</v>
      </c>
      <c r="R41" s="51" t="s">
        <v>196</v>
      </c>
      <c r="S41" s="51"/>
      <c r="T41" s="51"/>
      <c r="U41" s="51" t="e">
        <f>CEILING(N41*VLOOKUP(O41, Коэффициенты!N3:O11, 2,FALSE)*0.7,P41)&amp;" кг"</f>
        <v>#N/A</v>
      </c>
      <c r="V41" s="51" t="s">
        <v>198</v>
      </c>
      <c r="W41" s="51"/>
      <c r="X41" s="51"/>
      <c r="Y41" s="51"/>
      <c r="Z41" s="51"/>
      <c r="AA41" s="51" t="e">
        <f>CEILING(N41*VLOOKUP(O41, Коэффициенты!N3:O11, 2,FALSE)*0.75,P41)&amp;" кг"</f>
        <v>#N/A</v>
      </c>
      <c r="AB41" s="74">
        <f>'Программа тренировок '!N151</f>
        <v>0</v>
      </c>
      <c r="AC41" s="76" t="str">
        <f>CEILING((100*(CEILING(N41*0.75,P41)))/(101.3-2.67123*(AB41+1))*0.675,P41)&amp;" кг"</f>
        <v>0 кг</v>
      </c>
      <c r="AD41" s="77" t="s">
        <v>172</v>
      </c>
      <c r="AE41" s="105" t="str">
        <f>CEILING((100*(CEILING(N41*0.75,P41)))/(101.3-2.67123*(AB41))*0.625,P41)&amp;" кг"</f>
        <v>0 кг</v>
      </c>
      <c r="AF41" s="51" t="s">
        <v>210</v>
      </c>
      <c r="AG41" s="51"/>
      <c r="AH41" s="51"/>
      <c r="AI41" s="51" t="str">
        <f>CEILING((100*(CEILING(N41*0.8,P41)))/(101.3-2.67123*(AB41))*0.7,P41)&amp;" кг"</f>
        <v>0 кг</v>
      </c>
      <c r="AJ41" s="51" t="s">
        <v>211</v>
      </c>
      <c r="AK41" s="51"/>
      <c r="AL41" s="51"/>
      <c r="AM41" s="73"/>
      <c r="AN41" s="51"/>
      <c r="AO41" s="51" t="str">
        <f>CEILING((100*(CEILING(N41*0.8,P41)))/(101.3-2.67123*(AB41))*0.75,P41)&amp;" кг"</f>
        <v>0 кг</v>
      </c>
      <c r="AP41" s="51"/>
    </row>
    <row r="42" spans="12:42" ht="15.75" customHeight="1" x14ac:dyDescent="0.25">
      <c r="AB42" s="1"/>
      <c r="AC42" s="38"/>
      <c r="AD42" s="37"/>
      <c r="AE42" s="1"/>
    </row>
    <row r="43" spans="12:42" ht="15.75" customHeight="1" x14ac:dyDescent="0.25">
      <c r="AB43" s="1"/>
      <c r="AC43" s="38"/>
      <c r="AD43" s="37"/>
      <c r="AE43" s="1"/>
    </row>
    <row r="44" spans="12:42" ht="15.75" customHeight="1" x14ac:dyDescent="0.3">
      <c r="L44" s="18" t="s">
        <v>52</v>
      </c>
      <c r="N44" s="102">
        <f>'Программа тренировок '!C133</f>
        <v>0</v>
      </c>
      <c r="O44" s="102">
        <f>'Программа тренировок '!D133</f>
        <v>0</v>
      </c>
      <c r="P44" s="106">
        <f>'Программа тренировок '!E133</f>
        <v>0</v>
      </c>
      <c r="Q44" s="51" t="str">
        <f>CEILING(N44*0.85,P44)&amp;" кг"</f>
        <v>0 кг</v>
      </c>
      <c r="R44" s="51" t="s">
        <v>168</v>
      </c>
      <c r="S44" s="51" t="str">
        <f>CEILING(N44*0.8,P44)&amp;" кг"</f>
        <v>0 кг</v>
      </c>
      <c r="T44" s="51" t="s">
        <v>173</v>
      </c>
      <c r="U44" s="51" t="str">
        <f>CEILING(N44*0.925,P44)&amp;" кг"</f>
        <v>0 кг</v>
      </c>
      <c r="V44" s="51" t="s">
        <v>168</v>
      </c>
      <c r="W44" s="51" t="str">
        <f>CEILING(N44*0.875,P44)&amp;" кг"</f>
        <v>0 кг</v>
      </c>
      <c r="X44" s="51" t="s">
        <v>170</v>
      </c>
      <c r="Y44" s="51" t="str">
        <f>CEILING(N44*0.95,P44)&amp;" кг"</f>
        <v>0 кг</v>
      </c>
      <c r="Z44" s="51" t="s">
        <v>171</v>
      </c>
      <c r="AA44" s="51" t="str">
        <f>CEILING(N44*0.9,P44)&amp;" кг"</f>
        <v>0 кг</v>
      </c>
      <c r="AB44" s="78">
        <f>'Программа тренировок '!N171</f>
        <v>0</v>
      </c>
      <c r="AC44" s="76" t="str">
        <f t="shared" ref="AC44:AC45" si="26">CEILING((100*(CEILING(N44*0.9,P44)))/(101.3-2.67123*(AB44+1))*0.65,P44)&amp;" кг"</f>
        <v>0 кг</v>
      </c>
      <c r="AD44" s="77" t="s">
        <v>172</v>
      </c>
      <c r="AE44" s="105" t="str">
        <f>CEILING((100*(CEILING(N44*0.9,P44)))/(101.3-2.67123*(AB44+1))*0.875,P44)&amp;" кг"</f>
        <v>0 кг</v>
      </c>
      <c r="AF44" s="51" t="s">
        <v>168</v>
      </c>
      <c r="AG44" s="51" t="str">
        <f>CEILING((100*(CEILING(N44*0.9,P44)))/(101.3-2.67123*(AB44+1))*0.825,P44)&amp;" кг"</f>
        <v>0 кг</v>
      </c>
      <c r="AH44" s="51" t="s">
        <v>173</v>
      </c>
      <c r="AI44" s="51" t="str">
        <f>CEILING((100*(CEILING(N44*0.9,P44)))/(101.3-2.67123*(AB44+1))*0.925,P44)&amp;" кг"</f>
        <v>0 кг</v>
      </c>
      <c r="AJ44" s="51" t="s">
        <v>168</v>
      </c>
      <c r="AK44" s="51" t="str">
        <f>CEILING((100*(CEILING(N44*0.9,P44)))/(101.3-2.67123*(AB44+1))*0.875,P44)&amp;" кг"</f>
        <v>0 кг</v>
      </c>
      <c r="AL44" s="51" t="s">
        <v>174</v>
      </c>
      <c r="AM44" s="51" t="str">
        <f>CEILING((100*(CEILING(N44*0.9,P44)))/(101.3-2.67123*(AB44+1))*0.975,P44)&amp;" (±5) кг (≈100%ПМ)"</f>
        <v>0 (±5) кг (≈100%ПМ)</v>
      </c>
      <c r="AN44" s="51" t="s">
        <v>168</v>
      </c>
      <c r="AO44" s="51" t="str">
        <f>CEILING((100*(CEILING(N44*0.9,P44)))/(101.3-2.67123*(AB44+1))*0.9,P44)&amp;" кг"</f>
        <v>0 кг</v>
      </c>
      <c r="AP44" s="51"/>
    </row>
    <row r="45" spans="12:42" ht="15.75" customHeight="1" x14ac:dyDescent="0.3">
      <c r="L45" s="18" t="s">
        <v>212</v>
      </c>
      <c r="N45" s="102">
        <f>'Программа тренировок '!C133</f>
        <v>0</v>
      </c>
      <c r="O45" s="102">
        <f>'Программа тренировок '!D133</f>
        <v>0</v>
      </c>
      <c r="P45" s="106">
        <f>'Программа тренировок '!E133</f>
        <v>0</v>
      </c>
      <c r="Q45" s="51" t="e">
        <f>CEILING(N45*VLOOKUP(O45, Коэффициенты!N3:O11, 2,FALSE)*0.775,P45)&amp;" кг"</f>
        <v>#N/A</v>
      </c>
      <c r="R45" s="51" t="s">
        <v>187</v>
      </c>
      <c r="S45" s="51" t="e">
        <f>CEILING(N45*VLOOKUP(O45, Коэффициенты!N3:O11, 2,FALSE)*0.725,P45)&amp;" кг"</f>
        <v>#N/A</v>
      </c>
      <c r="T45" s="51" t="s">
        <v>188</v>
      </c>
      <c r="U45" s="51" t="e">
        <f>CEILING(N45*VLOOKUP(O45, Коэффициенты!N3:O11, 2,FALSE)*0.825,P45)&amp;" кг"</f>
        <v>#N/A</v>
      </c>
      <c r="V45" s="51" t="s">
        <v>177</v>
      </c>
      <c r="W45" s="51" t="e">
        <f>CEILING(N45*VLOOKUP(O45, Коэффициенты!N3:O11, 2,FALSE)*0.775,P45)&amp;" кг"</f>
        <v>#N/A</v>
      </c>
      <c r="X45" s="51" t="s">
        <v>172</v>
      </c>
      <c r="Y45" s="51" t="e">
        <f>CEILING(N45*VLOOKUP(O45, Коэффициенты!N3:O11, 2,FALSE)*0.85,P45)&amp;" кг"</f>
        <v>#N/A</v>
      </c>
      <c r="Z45" s="51" t="s">
        <v>189</v>
      </c>
      <c r="AA45" s="51" t="e">
        <f>CEILING(N45*VLOOKUP(O45, Коэффициенты!N3:O11, 2,FALSE)*0.8,P45)&amp;" кг"</f>
        <v>#N/A</v>
      </c>
      <c r="AB45" s="74">
        <f>'Программа тренировок '!N171</f>
        <v>0</v>
      </c>
      <c r="AC45" s="76" t="str">
        <f t="shared" si="26"/>
        <v>0 кг</v>
      </c>
      <c r="AD45" s="77" t="s">
        <v>172</v>
      </c>
      <c r="AE45" s="105" t="str">
        <f>CEILING((100*(CEILING(N45*0.9,P45)))/(101.3-2.67123*(AB45))*0.8,P45)&amp;" кг"</f>
        <v>0 кг</v>
      </c>
      <c r="AF45" s="51" t="s">
        <v>187</v>
      </c>
      <c r="AG45" s="51" t="str">
        <f>CEILING((100*(CEILING(N45*0.9,P45)))/(101.3-2.67123*(AB45))*0.75,P45)&amp;" кг"</f>
        <v>0 кг</v>
      </c>
      <c r="AH45" s="51" t="s">
        <v>190</v>
      </c>
      <c r="AI45" s="51" t="str">
        <f>CEILING((100*(CEILING(N45*0.9,P45)))/(101.3-2.67123*(AB45))*0.85,P45)&amp;" кг"</f>
        <v>0 кг</v>
      </c>
      <c r="AJ45" s="51" t="s">
        <v>177</v>
      </c>
      <c r="AK45" s="51" t="str">
        <f>CEILING((100*(CEILING(N45*0.9,P45)))/(101.3-2.67123*(AB45))*0.8,P45)&amp;" кг"</f>
        <v>0 кг</v>
      </c>
      <c r="AL45" s="51" t="s">
        <v>173</v>
      </c>
      <c r="AM45" s="73" t="str">
        <f>CEILING((100*(CEILING(N45*0.9,P45)))/(101.3-2.67123*(AB45))*0.9,P45)&amp;" кг (≈90%ПМ)"</f>
        <v>0 кг (≈90%ПМ)</v>
      </c>
      <c r="AN45" s="51" t="s">
        <v>178</v>
      </c>
      <c r="AO45" s="51" t="str">
        <f>CEILING((100*(CEILING(N45*0.9,P45)))/(101.3-2.67123*(AB45))*0.825,P45)&amp;" кг"</f>
        <v>0 кг</v>
      </c>
      <c r="AP45" s="51"/>
    </row>
    <row r="46" spans="12:42" ht="15.75" customHeight="1" x14ac:dyDescent="0.25">
      <c r="AB46" s="1"/>
      <c r="AC46" s="38"/>
      <c r="AD46" s="37"/>
      <c r="AE46" s="1"/>
    </row>
    <row r="47" spans="12:42" ht="15.75" customHeight="1" x14ac:dyDescent="0.25">
      <c r="AB47" s="1"/>
      <c r="AC47" s="38"/>
      <c r="AD47" s="37"/>
      <c r="AE47" s="1"/>
    </row>
    <row r="48" spans="12:42" ht="15.75" customHeight="1" x14ac:dyDescent="0.3">
      <c r="L48" s="18" t="s">
        <v>53</v>
      </c>
      <c r="N48" s="102">
        <f>'Программа тренировок '!C134</f>
        <v>0</v>
      </c>
      <c r="O48" s="102">
        <f>'Программа тренировок '!D134</f>
        <v>0</v>
      </c>
      <c r="P48" s="106">
        <f>'Программа тренировок '!E134</f>
        <v>0</v>
      </c>
      <c r="Q48" s="51" t="e">
        <f>CEILING(N48*VLOOKUP(O48, Коэффициенты!N3:O11, 2,FALSE)*0.8,P48)&amp;" кг"</f>
        <v>#N/A</v>
      </c>
      <c r="R48" s="51" t="s">
        <v>177</v>
      </c>
      <c r="S48" s="51" t="e">
        <f>CEILING(N48*VLOOKUP(O48, Коэффициенты!N3:O11, 2,FALSE)*0.75,P48)&amp;" кг"</f>
        <v>#N/A</v>
      </c>
      <c r="T48" s="51" t="s">
        <v>172</v>
      </c>
      <c r="U48" s="51" t="e">
        <f>CEILING(N48*VLOOKUP(O48, Коэффициенты!N3:O11, 2,FALSE)*0.85,P48)&amp;" кг"</f>
        <v>#N/A</v>
      </c>
      <c r="V48" s="51" t="s">
        <v>177</v>
      </c>
      <c r="W48" s="51" t="e">
        <f>CEILING(N48*VLOOKUP(O48, Коэффициенты!N3:O11, 2,FALSE)*0.8,P48)&amp;" кг"</f>
        <v>#N/A</v>
      </c>
      <c r="X48" s="51" t="s">
        <v>173</v>
      </c>
      <c r="Y48" s="51" t="e">
        <f>CEILING(N48*VLOOKUP(O48, Коэффициенты!N3:O11, 2,FALSE)*0.9,P48)&amp;" кг"</f>
        <v>#N/A</v>
      </c>
      <c r="Z48" s="51" t="s">
        <v>171</v>
      </c>
      <c r="AA48" s="51" t="e">
        <f>CEILING((N48*VLOOKUP(O48, Коэффициенты!N3:O11, 2,FALSE))*0.85,P48)&amp;" кг"</f>
        <v>#N/A</v>
      </c>
      <c r="AB48" s="78">
        <f>'Программа тренировок '!N172</f>
        <v>0</v>
      </c>
      <c r="AC48" s="76" t="str">
        <f>CEILING((100*(CEILING(N48*0.85,P48)))/(101.3-2.67123*(AB48+1))*0.65,P48)&amp;" кг"</f>
        <v>0 кг</v>
      </c>
      <c r="AD48" s="77" t="s">
        <v>192</v>
      </c>
      <c r="AE48" s="105" t="str">
        <f>CEILING((100*(CEILING(N48*0.85,P48)))/(101.3-2.67123*(AB48+1))*0.825,P48)&amp;" кг"</f>
        <v>0 кг</v>
      </c>
      <c r="AF48" s="51" t="s">
        <v>177</v>
      </c>
      <c r="AG48" s="51" t="str">
        <f>CEILING((100*(CEILING(N48*0.85,P48)))/(101.3-2.67123*(AB48+1))*0.775,P48)&amp;" кг"</f>
        <v>0 кг</v>
      </c>
      <c r="AH48" s="51" t="s">
        <v>172</v>
      </c>
      <c r="AI48" s="51" t="str">
        <f>CEILING((100*(CEILING(N48*0.85,P48)))/(101.3-2.67123*(AB48+1))*0.875,P48)&amp;" кг"</f>
        <v>0 кг</v>
      </c>
      <c r="AJ48" s="51" t="s">
        <v>177</v>
      </c>
      <c r="AK48" s="51" t="str">
        <f>CEILING((100*(CEILING(N48*0.85,P48)))/(101.3-2.67123*(AB48+1))*0.825,P48)&amp;" кг"</f>
        <v>0 кг</v>
      </c>
      <c r="AL48" s="51" t="s">
        <v>173</v>
      </c>
      <c r="AM48" s="51" t="str">
        <f>CEILING((100*(CEILING(N48*0.85,P48)))/(101.3-2.67123*(AB48+1))*0.9,P48)&amp;" кг (≈90%ПМ)"</f>
        <v>0 кг (≈90%ПМ)</v>
      </c>
      <c r="AN48" s="51" t="s">
        <v>178</v>
      </c>
      <c r="AO48" s="51" t="str">
        <f>CEILING((100*(CEILING(N48*0.85,P48)))/(101.3-2.67123*(AB48+1))*0.85,P48)&amp;" кг"</f>
        <v>0 кг</v>
      </c>
      <c r="AP48" s="51"/>
    </row>
    <row r="49" spans="12:42" ht="15.75" customHeight="1" x14ac:dyDescent="0.3">
      <c r="L49" s="5" t="s">
        <v>213</v>
      </c>
      <c r="N49" s="102">
        <f>'Программа тренировок '!C134</f>
        <v>0</v>
      </c>
      <c r="O49" s="102">
        <f>'Программа тренировок '!D134</f>
        <v>0</v>
      </c>
      <c r="P49" s="106">
        <f>'Программа тренировок '!E134</f>
        <v>0</v>
      </c>
      <c r="Q49" s="51" t="e">
        <f>CEILING(N49*VLOOKUP(O49, Коэффициенты!N3:O11, 2,FALSE)*0.775,P49)&amp;" кг"</f>
        <v>#N/A</v>
      </c>
      <c r="R49" s="51" t="s">
        <v>187</v>
      </c>
      <c r="S49" s="51" t="e">
        <f>CEILING(N49*VLOOKUP(O49, Коэффициенты!N3:O11, 2,FALSE)*0.725,P49)&amp;" кг"</f>
        <v>#N/A</v>
      </c>
      <c r="T49" s="51" t="s">
        <v>188</v>
      </c>
      <c r="U49" s="51" t="e">
        <f>CEILING(N49*VLOOKUP(O49, Коэффициенты!N3:O11, 2,FALSE)*0.825,P49)&amp;" кг"</f>
        <v>#N/A</v>
      </c>
      <c r="V49" s="51" t="s">
        <v>177</v>
      </c>
      <c r="W49" s="51" t="e">
        <f>CEILING(N49*VLOOKUP(O49, Коэффициенты!N3:O11, 2,FALSE)*0.775,P49)&amp;" кг"</f>
        <v>#N/A</v>
      </c>
      <c r="X49" s="51" t="s">
        <v>172</v>
      </c>
      <c r="Y49" s="51" t="e">
        <f>CEILING(N49*VLOOKUP(O49, Коэффициенты!N3:O11, 2,FALSE)*0.85,P49)&amp;" кг"</f>
        <v>#N/A</v>
      </c>
      <c r="Z49" s="51" t="s">
        <v>189</v>
      </c>
      <c r="AA49" s="51" t="e">
        <f>CEILING(N49*VLOOKUP(O49, Коэффициенты!N3:O11, 2,FALSE)*0.8,P49)&amp;" кг"</f>
        <v>#N/A</v>
      </c>
      <c r="AB49" s="74">
        <f>'Программа тренировок '!N172</f>
        <v>0</v>
      </c>
      <c r="AC49" s="76" t="str">
        <f>CEILING((100*(CEILING(N49*0.8,P49)))/(101.3-2.67123*(AB49+1))*0.65,P49)&amp;" кг"</f>
        <v>0 кг</v>
      </c>
      <c r="AD49" s="77" t="s">
        <v>172</v>
      </c>
      <c r="AE49" s="105" t="str">
        <f>CEILING((100*(CEILING(N49*0.8,P49)))/(101.3-2.67123*(AB49))*0.8,P49)&amp;" кг"</f>
        <v>0 кг</v>
      </c>
      <c r="AF49" s="51" t="s">
        <v>187</v>
      </c>
      <c r="AG49" s="51" t="str">
        <f>CEILING((100*(CEILING(N49*0.8,P49)))/(101.3-2.67123*(AB49))*0.75,P49)&amp;" кг"</f>
        <v>0 кг</v>
      </c>
      <c r="AH49" s="51" t="s">
        <v>190</v>
      </c>
      <c r="AI49" s="51" t="str">
        <f>CEILING((100*(CEILING(N49*0.8,P49)))/(101.3-2.67123*(AB49))*0.85,P49)&amp;" кг"</f>
        <v>0 кг</v>
      </c>
      <c r="AJ49" s="51" t="s">
        <v>177</v>
      </c>
      <c r="AK49" s="51" t="str">
        <f>CEILING((100*(CEILING(N49*0.8,P49)))/(101.3-2.67123*(AB49))*0.8,P49)&amp;" кг"</f>
        <v>0 кг</v>
      </c>
      <c r="AL49" s="51" t="s">
        <v>173</v>
      </c>
      <c r="AM49" s="73" t="str">
        <f>CEILING((100*(CEILING(N49*0.8,P49)))/(101.3-2.67123*(AB49))*0.9,P49)&amp;" кг (≈90%ПМ)"</f>
        <v>0 кг (≈90%ПМ)</v>
      </c>
      <c r="AN49" s="51" t="s">
        <v>178</v>
      </c>
      <c r="AO49" s="51" t="str">
        <f>CEILING((100*(CEILING(N49*0.8,P49)))/(101.3-2.67123*(AB49))*0.825,P49)&amp;" кг"</f>
        <v>0 кг</v>
      </c>
      <c r="AP49" s="51"/>
    </row>
    <row r="50" spans="12:42" ht="15.75" customHeight="1" x14ac:dyDescent="0.3">
      <c r="L50" s="5" t="s">
        <v>214</v>
      </c>
      <c r="N50" s="102">
        <f>'Программа тренировок '!C134</f>
        <v>0</v>
      </c>
      <c r="O50" s="102">
        <f>'Программа тренировок '!D134</f>
        <v>0</v>
      </c>
      <c r="P50" s="106">
        <f>'Программа тренировок '!E134</f>
        <v>0</v>
      </c>
      <c r="Q50" s="51" t="e">
        <f>CEILING(N50*VLOOKUP(O50, Коэффициенты!N3:O11, 2,FALSE)*0.8,P50)&amp;" кг"</f>
        <v>#N/A</v>
      </c>
      <c r="R50" s="51" t="s">
        <v>177</v>
      </c>
      <c r="S50" s="51" t="e">
        <f>CEILING(N50*VLOOKUP(O50, Коэффициенты!N3:O11, 2,FALSE)*0.75,P50)&amp;" кг"</f>
        <v>#N/A</v>
      </c>
      <c r="T50" s="51" t="s">
        <v>172</v>
      </c>
      <c r="U50" s="51" t="e">
        <f>CEILING(N50*VLOOKUP(O50, Коэффициенты!N3:O11, 2,FALSE)*0.85,P50)&amp;" кг"</f>
        <v>#N/A</v>
      </c>
      <c r="V50" s="51" t="s">
        <v>177</v>
      </c>
      <c r="W50" s="51" t="e">
        <f>CEILING(N50*VLOOKUP(O50, Коэффициенты!N3:O11, 2,FALSE)*0.8,P50)&amp;" кг"</f>
        <v>#N/A</v>
      </c>
      <c r="X50" s="51" t="s">
        <v>173</v>
      </c>
      <c r="Y50" s="51" t="e">
        <f>CEILING(N50*VLOOKUP(O50, Коэффициенты!N3:O11, 2,FALSE)*0.9,P50)&amp;" кг"</f>
        <v>#N/A</v>
      </c>
      <c r="Z50" s="51" t="s">
        <v>171</v>
      </c>
      <c r="AA50" s="51" t="e">
        <f>CEILING((N50*VLOOKUP(O50, Коэффициенты!N3:O11, 2,FALSE))*0.85,P50)&amp;" кг"</f>
        <v>#N/A</v>
      </c>
      <c r="AB50" s="78">
        <f>'Программа тренировок '!N172</f>
        <v>0</v>
      </c>
      <c r="AC50" s="76" t="str">
        <f>CEILING((100*(CEILING(N50*0.85,P50)))/(101.3-2.67123*(AB50+1))*0.65,P50)&amp;" кг"</f>
        <v>0 кг</v>
      </c>
      <c r="AD50" s="77" t="s">
        <v>192</v>
      </c>
      <c r="AE50" s="105" t="str">
        <f>CEILING((100*(CEILING(N50*0.85,P50)))/(101.3-2.67123*(AB50+1))*0.825,P50)&amp;" кг"</f>
        <v>0 кг</v>
      </c>
      <c r="AF50" s="51" t="s">
        <v>177</v>
      </c>
      <c r="AG50" s="51" t="str">
        <f>CEILING((100*(CEILING(N50*0.85,P50)))/(101.3-2.67123*(AB50+1))*0.775,P50)&amp;" кг"</f>
        <v>0 кг</v>
      </c>
      <c r="AH50" s="51" t="s">
        <v>172</v>
      </c>
      <c r="AI50" s="51" t="str">
        <f>CEILING((100*(CEILING(N50*0.85,P50)))/(101.3-2.67123*(AB50+1))*0.875,P50)&amp;" кг"</f>
        <v>0 кг</v>
      </c>
      <c r="AJ50" s="51" t="s">
        <v>177</v>
      </c>
      <c r="AK50" s="51" t="str">
        <f>CEILING((100*(CEILING(N50*0.85,P50)))/(101.3-2.67123*(AB50+1))*0.825,P50)&amp;" кг"</f>
        <v>0 кг</v>
      </c>
      <c r="AL50" s="51" t="s">
        <v>173</v>
      </c>
      <c r="AM50" s="51" t="str">
        <f>CEILING((100*(CEILING(N50*0.85,P50)))/(101.3-2.67123*(AB50+1))*0.9,P50)&amp;" кг (≈90%ПМ)"</f>
        <v>0 кг (≈90%ПМ)</v>
      </c>
      <c r="AN50" s="51" t="s">
        <v>178</v>
      </c>
      <c r="AO50" s="51" t="str">
        <f>CEILING((100*(CEILING(N50*0.85,P50)))/(101.3-2.67123*(AB50+1))*0.85,P50)&amp;" кг"</f>
        <v>0 кг</v>
      </c>
      <c r="AP50" s="51"/>
    </row>
    <row r="51" spans="12:42" ht="15.75" customHeight="1" x14ac:dyDescent="0.25">
      <c r="AB51" s="1"/>
      <c r="AC51" s="38"/>
      <c r="AD51" s="37"/>
      <c r="AE51" s="1"/>
    </row>
    <row r="52" spans="12:42" ht="15.75" customHeight="1" x14ac:dyDescent="0.25">
      <c r="AB52" s="1"/>
      <c r="AC52" s="38"/>
      <c r="AD52" s="37"/>
      <c r="AE52" s="1"/>
    </row>
    <row r="53" spans="12:42" ht="15.75" customHeight="1" x14ac:dyDescent="0.25">
      <c r="AB53" s="1"/>
      <c r="AC53" s="38"/>
      <c r="AD53" s="37"/>
      <c r="AE53" s="1"/>
    </row>
    <row r="54" spans="12:42" ht="15.75" customHeight="1" x14ac:dyDescent="0.3">
      <c r="L54" s="18" t="s">
        <v>51</v>
      </c>
      <c r="N54" s="102">
        <f>'Программа тренировок '!C118</f>
        <v>0</v>
      </c>
      <c r="O54" s="102">
        <f>'Программа тренировок '!D118</f>
        <v>0</v>
      </c>
      <c r="P54" s="106">
        <f>'Программа тренировок '!E118</f>
        <v>0</v>
      </c>
      <c r="Q54" s="51" t="e">
        <f>CEILING(N54*VLOOKUP(O54, Коэффициенты!N3:O11, 2,FALSE)*0.7,P54)&amp;" кг"</f>
        <v>#N/A</v>
      </c>
      <c r="R54" s="51" t="s">
        <v>187</v>
      </c>
      <c r="S54" s="51" t="e">
        <f>CEILING(N54*VLOOKUP(O54, Коэффициенты!N3:O11, 2,FALSE)*0.65,P54)&amp;" кг"</f>
        <v>#N/A</v>
      </c>
      <c r="T54" s="51" t="s">
        <v>192</v>
      </c>
      <c r="U54" s="51" t="e">
        <f>CEILING(N54*VLOOKUP(O54, Коэффициенты!N3:O11, 2,FALSE)*0.75,P54)&amp;" кг"</f>
        <v>#N/A</v>
      </c>
      <c r="V54" s="51" t="s">
        <v>177</v>
      </c>
      <c r="W54" s="51" t="e">
        <f>CEILING(N54*VLOOKUP(O54, Коэффициенты!N3:O11, 2,FALSE)*0.7,P54)&amp;" кг"</f>
        <v>#N/A</v>
      </c>
      <c r="X54" s="51" t="s">
        <v>193</v>
      </c>
      <c r="Y54" s="51" t="e">
        <f>CEILING(N54*VLOOKUP(O54, Коэффициенты!N3:O11, 2,FALSE)*0.75,P54)&amp;" кг"</f>
        <v>#N/A</v>
      </c>
      <c r="Z54" s="51" t="s">
        <v>189</v>
      </c>
      <c r="AA54" s="51"/>
      <c r="AB54" s="74"/>
      <c r="AC54" s="76" t="e">
        <f>CEILING(N54*VLOOKUP(O54, Коэффициенты!N3:O11, 2,FALSE)*0.65,P54)&amp;" кг"</f>
        <v>#N/A</v>
      </c>
      <c r="AD54" s="77" t="s">
        <v>172</v>
      </c>
      <c r="AE54" s="105" t="e">
        <f>CEILING(N54*VLOOKUP(O54, Коэффициенты!N3:O11, 2,FALSE)*0.725,P54)&amp;" кг"</f>
        <v>#N/A</v>
      </c>
      <c r="AF54" s="51" t="s">
        <v>187</v>
      </c>
      <c r="AG54" s="51" t="e">
        <f>CEILING(N54*VLOOKUP(O54, Коэффициенты!N3:O11, 2,FALSE)*0.675,P54)&amp;" кг"</f>
        <v>#N/A</v>
      </c>
      <c r="AH54" s="51" t="s">
        <v>194</v>
      </c>
      <c r="AI54" s="51" t="e">
        <f>CEILING(N54*VLOOKUP(O54, Коэффициенты!N3:O11, 2,FALSE)*0.775,P54)&amp;" кг"</f>
        <v>#N/A</v>
      </c>
      <c r="AJ54" s="51" t="s">
        <v>177</v>
      </c>
      <c r="AK54" s="51" t="e">
        <f>CEILING(N54*VLOOKUP(O54, Коэффициенты!N3:O11, 2,FALSE)*0.725,P54)&amp;" кг"</f>
        <v>#N/A</v>
      </c>
      <c r="AL54" s="51" t="s">
        <v>193</v>
      </c>
      <c r="AM54" s="73" t="e">
        <f>CEILING(N54*VLOOKUP(O54, Коэффициенты!N3:O11, 2,FALSE)*0.775,P54)&amp;" кг"</f>
        <v>#N/A</v>
      </c>
      <c r="AN54" s="51" t="s">
        <v>189</v>
      </c>
      <c r="AO54" s="51"/>
      <c r="AP54" s="51"/>
    </row>
    <row r="55" spans="12:42" ht="15.75" customHeight="1" x14ac:dyDescent="0.3">
      <c r="L55" s="18" t="s">
        <v>41</v>
      </c>
      <c r="N55" s="102">
        <f>'Программа тренировок '!C118</f>
        <v>0</v>
      </c>
      <c r="O55" s="102">
        <f>'Программа тренировок '!D118</f>
        <v>0</v>
      </c>
      <c r="P55" s="106">
        <f>'Программа тренировок '!E118</f>
        <v>0</v>
      </c>
      <c r="Q55" s="51" t="e">
        <f>CEILING(N55*VLOOKUP(O55, Коэффициенты!N3:O11, 2,FALSE)*0.775,P55)&amp;" кг"</f>
        <v>#N/A</v>
      </c>
      <c r="R55" s="51" t="s">
        <v>199</v>
      </c>
      <c r="S55" s="51" t="e">
        <f>CEILING(N55*VLOOKUP(O55, Коэффициенты!N3:O11, 2,FALSE)*0.725,P55)&amp;" кг"</f>
        <v>#N/A</v>
      </c>
      <c r="T55" s="51" t="s">
        <v>215</v>
      </c>
      <c r="U55" s="51" t="e">
        <f>CEILING(N55*VLOOKUP(O55, Коэффициенты!N3:O11, 2,FALSE)*0.825,P55)&amp;" кг"</f>
        <v>#N/A</v>
      </c>
      <c r="V55" s="51" t="s">
        <v>187</v>
      </c>
      <c r="W55" s="51" t="e">
        <f>CEILING(N55*VLOOKUP(O55, Коэффициенты!N3:O11, 2,FALSE)*0.775,P55)&amp;" кг"</f>
        <v>#N/A</v>
      </c>
      <c r="X55" s="51" t="s">
        <v>188</v>
      </c>
      <c r="Y55" s="51" t="e">
        <f>CEILING(N55*VLOOKUP(O55, Коэффициенты!N3:O11, 2,FALSE)*0.9,P55)&amp;" кг"</f>
        <v>#N/A</v>
      </c>
      <c r="Z55" s="51" t="s">
        <v>177</v>
      </c>
      <c r="AA55" s="51" t="e">
        <f>CEILING(N55*VLOOKUP(O55, Коэффициенты!N3:O11, 2,FALSE)*0.85,P55)&amp;" кг"</f>
        <v>#N/A</v>
      </c>
      <c r="AB55" s="74">
        <f>'Программа тренировок '!N156</f>
        <v>0</v>
      </c>
      <c r="AC55" s="76" t="str">
        <f>CEILING((100*(CEILING(N55*0.85,P55)))/(101.3-2.67123*(AB55+1))*0.65,P55)&amp;" кг"</f>
        <v>0 кг</v>
      </c>
      <c r="AD55" s="77" t="s">
        <v>172</v>
      </c>
      <c r="AE55" s="105" t="str">
        <f>CEILING((100*(CEILING(N55*0.85,P55)))/(101.3-2.67123*(AB55))*0.8,P55)&amp;" кг"</f>
        <v>0 кг</v>
      </c>
      <c r="AF55" s="51" t="s">
        <v>199</v>
      </c>
      <c r="AG55" s="51" t="str">
        <f>CEILING((100*(CEILING(N55*0.85,P55)))/(101.3-2.67123*(AB55))*0.75,P55)&amp;" кг"</f>
        <v>0 кг</v>
      </c>
      <c r="AH55" s="51" t="s">
        <v>216</v>
      </c>
      <c r="AI55" s="51" t="str">
        <f>CEILING((100*(CEILING(N55*0.85,P55)))/(101.3-2.67123*(AB55))*0.85,P55)&amp;" кг"</f>
        <v>0 кг</v>
      </c>
      <c r="AJ55" s="51" t="s">
        <v>187</v>
      </c>
      <c r="AK55" s="51" t="str">
        <f>CEILING((100*(CEILING(N55*0.85,P55)))/(101.3-2.67123*(AB55))*0.8,P55)&amp;" кг"</f>
        <v>0 кг</v>
      </c>
      <c r="AL55" s="51" t="s">
        <v>201</v>
      </c>
      <c r="AM55" s="73" t="str">
        <f>CEILING((100*(CEILING(N55*0.85,P55)))/(101.3-2.67123*(AB55))*0.9,P55)&amp;" кг"</f>
        <v>0 кг</v>
      </c>
      <c r="AN55" s="51" t="s">
        <v>168</v>
      </c>
      <c r="AO55" s="51" t="str">
        <f>CEILING((100*(CEILING(N55*0.85,P55)))/(101.3-2.67123*(AB55))*0.85,P55)&amp;" кг"</f>
        <v>0 кг</v>
      </c>
      <c r="AP55" s="51"/>
    </row>
    <row r="56" spans="12:42" ht="15.75" customHeight="1" x14ac:dyDescent="0.3">
      <c r="L56" s="18" t="s">
        <v>217</v>
      </c>
      <c r="N56" s="102">
        <f>'Программа тренировок '!C118</f>
        <v>0</v>
      </c>
      <c r="O56" s="102">
        <f>'Программа тренировок '!D118</f>
        <v>0</v>
      </c>
      <c r="P56" s="106">
        <f>'Программа тренировок '!E118</f>
        <v>0</v>
      </c>
      <c r="Q56" s="51" t="e">
        <f>CEILING(N56*VLOOKUP(O56, Коэффициенты!N3:O11, 2,FALSE)*0.775,P56)&amp;" кг"</f>
        <v>#N/A</v>
      </c>
      <c r="R56" s="51" t="s">
        <v>187</v>
      </c>
      <c r="S56" s="51" t="e">
        <f>CEILING(N56*VLOOKUP(O56, Коэффициенты!N3:O11, 2,FALSE)*0.725,P56)&amp;" кг"</f>
        <v>#N/A</v>
      </c>
      <c r="T56" s="51" t="s">
        <v>188</v>
      </c>
      <c r="U56" s="51" t="e">
        <f>CEILING(N56*VLOOKUP(O56, Коэффициенты!N3:O11, 2,FALSE)*0.825,P56)&amp;" кг"</f>
        <v>#N/A</v>
      </c>
      <c r="V56" s="51" t="s">
        <v>177</v>
      </c>
      <c r="W56" s="51" t="e">
        <f>CEILING(N56*VLOOKUP(O56, Коэффициенты!N3:O11, 2,FALSE)*0.775,P56)&amp;" кг"</f>
        <v>#N/A</v>
      </c>
      <c r="X56" s="51" t="s">
        <v>172</v>
      </c>
      <c r="Y56" s="51" t="e">
        <f>CEILING(N56*VLOOKUP(O56, Коэффициенты!N3:O11, 2,FALSE)*0.85,P56)&amp;" кг"</f>
        <v>#N/A</v>
      </c>
      <c r="Z56" s="51" t="s">
        <v>189</v>
      </c>
      <c r="AA56" s="51" t="e">
        <f>CEILING(N56*VLOOKUP(O56, Коэффициенты!N3:O11, 2,FALSE)*0.8,P56)&amp;" кг"</f>
        <v>#N/A</v>
      </c>
      <c r="AB56" s="74">
        <f>'Программа тренировок '!N156</f>
        <v>0</v>
      </c>
      <c r="AC56" s="76" t="str">
        <f>CEILING((100*(CEILING(N56*0.8,P56)))/(101.3-2.67123*(AB56+1))*0.65,P56)&amp;" кг"</f>
        <v>0 кг</v>
      </c>
      <c r="AD56" s="77" t="s">
        <v>172</v>
      </c>
      <c r="AE56" s="105" t="str">
        <f>CEILING((100*(CEILING(N56*0.8,P56)))/(101.3-2.67123*(AB56))*0.8,P56)&amp;" кг"</f>
        <v>0 кг</v>
      </c>
      <c r="AF56" s="51" t="s">
        <v>187</v>
      </c>
      <c r="AG56" s="51" t="str">
        <f>CEILING((100*(CEILING(N56*0.8,P56)))/(101.3-2.67123*(AB56))*0.75,P56)&amp;" кг"</f>
        <v>0 кг</v>
      </c>
      <c r="AH56" s="51" t="s">
        <v>190</v>
      </c>
      <c r="AI56" s="51" t="str">
        <f>CEILING((100*(CEILING(N56*0.8,P56)))/(101.3-2.67123*(AB56))*0.85,P56)&amp;" кг"</f>
        <v>0 кг</v>
      </c>
      <c r="AJ56" s="51" t="s">
        <v>177</v>
      </c>
      <c r="AK56" s="51" t="str">
        <f>CEILING((100*(CEILING(N56*0.8,P56)))/(101.3-2.67123*(AB56))*0.8,P56)&amp;" кг"</f>
        <v>0 кг</v>
      </c>
      <c r="AL56" s="51" t="s">
        <v>173</v>
      </c>
      <c r="AM56" s="73" t="str">
        <f>CEILING((100*(CEILING(N56*0.8,P56)))/(101.3-2.67123*(AB56))*0.9,P56)&amp;" кг (≈90%ПМ)"</f>
        <v>0 кг (≈90%ПМ)</v>
      </c>
      <c r="AN56" s="51" t="s">
        <v>178</v>
      </c>
      <c r="AO56" s="51" t="str">
        <f>CEILING((100*(CEILING(N56*0.8,P56)))/(101.3-2.67123*(AB56))*0.825,P56)&amp;" кг"</f>
        <v>0 кг</v>
      </c>
      <c r="AP56" s="51"/>
    </row>
    <row r="57" spans="12:42" ht="15.75" customHeight="1" x14ac:dyDescent="0.25">
      <c r="AB57" s="1"/>
      <c r="AC57" s="38"/>
      <c r="AD57" s="37"/>
      <c r="AE57" s="1"/>
    </row>
    <row r="58" spans="12:42" ht="15.75" customHeight="1" x14ac:dyDescent="0.25">
      <c r="AB58" s="1"/>
      <c r="AC58" s="38"/>
      <c r="AD58" s="37"/>
      <c r="AE58" s="1"/>
    </row>
    <row r="59" spans="12:42" ht="15.75" customHeight="1" x14ac:dyDescent="0.3">
      <c r="L59" s="18" t="s">
        <v>179</v>
      </c>
      <c r="N59" s="102">
        <f>IF('Программа тренировок '!B155='Программа тренировок '!B173, Формулы!N14, 'Программа тренировок '!C135)</f>
        <v>0</v>
      </c>
      <c r="O59" s="109">
        <f>IF('Программа тренировок '!B117='Программа тренировок '!B135, O14, 'Программа тренировок '!D135)</f>
        <v>0</v>
      </c>
      <c r="P59" s="102">
        <f>IF('Программа тренировок '!B117='Программа тренировок '!B135, P14, 'Программа тренировок '!E135)</f>
        <v>0</v>
      </c>
      <c r="Q59" s="110" t="s">
        <v>184</v>
      </c>
      <c r="R59" s="73" t="str">
        <f>FLOOR(0.6*O59,1)&amp;" повт"</f>
        <v>0 повт</v>
      </c>
      <c r="S59" s="73" t="s">
        <v>136</v>
      </c>
      <c r="T59" s="73" t="str">
        <f>FLOOR(0.75*O59,1)&amp;" повт"</f>
        <v>0 повт</v>
      </c>
      <c r="U59" s="73" t="s">
        <v>182</v>
      </c>
      <c r="V59" s="73" t="str">
        <f>FLOOR(0.65*O59,1)&amp;" повт"</f>
        <v>0 повт</v>
      </c>
      <c r="W59" s="73" t="s">
        <v>182</v>
      </c>
      <c r="X59" s="73" t="str">
        <f>CEILING(0.75*O59,1)&amp;" повт"</f>
        <v>0 повт</v>
      </c>
      <c r="Y59" s="73" t="s">
        <v>136</v>
      </c>
      <c r="Z59" s="74" t="str">
        <f>CEILING(0.5*O59,1)&amp;" повт"</f>
        <v>0 повт</v>
      </c>
      <c r="AA59" s="73" t="s">
        <v>183</v>
      </c>
      <c r="AB59" s="74">
        <f>IF('Программа тренировок '!B117='Программа тренировок '!B135, AB14, 'Программа тренировок '!N173)</f>
        <v>0</v>
      </c>
      <c r="AC59" s="72" t="s">
        <v>184</v>
      </c>
      <c r="AD59" s="75" t="str">
        <f>FLOOR(0.45*AB59,1)&amp;" повт"</f>
        <v>0 повт</v>
      </c>
      <c r="AE59" s="110" t="s">
        <v>182</v>
      </c>
      <c r="AF59" s="73" t="str">
        <f>FLOOR(0.5*AB59,1)&amp;" повт"</f>
        <v>0 повт</v>
      </c>
      <c r="AG59" s="73" t="s">
        <v>182</v>
      </c>
      <c r="AH59" s="73" t="str">
        <f>FLOOR(0.65*AB59,1)&amp;" повт"</f>
        <v>0 повт</v>
      </c>
      <c r="AI59" s="73" t="s">
        <v>182</v>
      </c>
      <c r="AJ59" s="73" t="str">
        <f>FLOOR(0.65*AB59,1)&amp;" повт"</f>
        <v>0 повт</v>
      </c>
      <c r="AK59" s="73" t="s">
        <v>182</v>
      </c>
      <c r="AL59" s="73" t="str">
        <f>FLOOR(0.75*AB59,1)&amp;" повт"</f>
        <v>0 повт</v>
      </c>
      <c r="AM59" s="73" t="s">
        <v>182</v>
      </c>
      <c r="AN59" s="73" t="str">
        <f>FLOOR(0.85*AB59,1)&amp;" повт"</f>
        <v>0 повт</v>
      </c>
      <c r="AO59" s="73"/>
      <c r="AP59" s="73"/>
    </row>
    <row r="60" spans="12:42" ht="15.75" customHeight="1" x14ac:dyDescent="0.3">
      <c r="L60" s="18" t="s">
        <v>218</v>
      </c>
      <c r="N60" s="102">
        <f>'Программа тренировок '!C135</f>
        <v>0</v>
      </c>
      <c r="O60" s="102">
        <f>'Программа тренировок '!D135</f>
        <v>0</v>
      </c>
      <c r="P60" s="106">
        <f>'Программа тренировок '!E135</f>
        <v>0</v>
      </c>
      <c r="Q60" s="51" t="e">
        <f>CEILING(N60*VLOOKUP(O60, Коэффициенты!N3:O11, 2,FALSE)*0.6,P60)&amp;" кг"</f>
        <v>#N/A</v>
      </c>
      <c r="R60" s="51" t="s">
        <v>196</v>
      </c>
      <c r="S60" s="51"/>
      <c r="T60" s="51"/>
      <c r="U60" s="51" t="e">
        <f>CEILING(N60*VLOOKUP(O60, Коэффициенты!N3:O11, 2,FALSE)*0.7,P60)&amp;" кг"</f>
        <v>#N/A</v>
      </c>
      <c r="V60" s="51" t="s">
        <v>198</v>
      </c>
      <c r="W60" s="51"/>
      <c r="X60" s="51"/>
      <c r="Y60" s="51"/>
      <c r="Z60" s="51"/>
      <c r="AA60" s="51" t="e">
        <f>CEILING(N60*VLOOKUP(O60, Коэффициенты!N3:O11, 2,FALSE)*0.75,P60)&amp;" кг"</f>
        <v>#N/A</v>
      </c>
      <c r="AB60" s="74">
        <f>'Программа тренировок '!N173</f>
        <v>0</v>
      </c>
      <c r="AC60" s="76" t="str">
        <f>CEILING((100*(CEILING(N60*0.75,P60)))/(101.3-2.67123*(AB60+1))*0.65,P60)&amp;" кг"</f>
        <v>0 кг</v>
      </c>
      <c r="AD60" s="77" t="s">
        <v>172</v>
      </c>
      <c r="AE60" s="105" t="str">
        <f>CEILING((100*(CEILING(N60*0.75,P60)))/(101.3-2.67123*(AB60))*0.625,P60)&amp;" кг"</f>
        <v>0 кг</v>
      </c>
      <c r="AF60" s="51" t="s">
        <v>210</v>
      </c>
      <c r="AG60" s="51"/>
      <c r="AH60" s="51"/>
      <c r="AI60" s="51" t="str">
        <f>CEILING((100*(CEILING(N60*0.8,P60)))/(101.3-2.67123*(AB60))*0.7,P60)&amp;" кг"</f>
        <v>0 кг</v>
      </c>
      <c r="AJ60" s="51" t="s">
        <v>211</v>
      </c>
      <c r="AK60" s="51"/>
      <c r="AL60" s="51"/>
      <c r="AM60" s="73"/>
      <c r="AN60" s="51"/>
      <c r="AO60" s="51" t="str">
        <f>CEILING((100*(CEILING(N60*0.8,P60)))/(101.3-2.67123*(AB60))*0.75,P60)&amp;" кг"</f>
        <v>0 кг</v>
      </c>
      <c r="AP60" s="51"/>
    </row>
    <row r="61" spans="12:42" ht="15.75" customHeight="1" x14ac:dyDescent="0.3">
      <c r="L61" s="18" t="s">
        <v>54</v>
      </c>
      <c r="N61" s="102">
        <f>'Программа тренировок '!C135</f>
        <v>0</v>
      </c>
      <c r="O61" s="102">
        <f>'Программа тренировок '!D135</f>
        <v>0</v>
      </c>
      <c r="P61" s="106">
        <f>'Программа тренировок '!E135</f>
        <v>0</v>
      </c>
      <c r="Q61" s="51" t="e">
        <f>CEILING(N61*VLOOKUP(O61, Коэффициенты!N3:O11, 2,FALSE)*0.775,P61)&amp;" кг"</f>
        <v>#N/A</v>
      </c>
      <c r="R61" s="51" t="s">
        <v>199</v>
      </c>
      <c r="S61" s="51" t="e">
        <f>CEILING(N61*VLOOKUP(O61, Коэффициенты!N3:O11, 2,FALSE)*0.7,P61)&amp;" кг"</f>
        <v>#N/A</v>
      </c>
      <c r="T61" s="51" t="s">
        <v>198</v>
      </c>
      <c r="U61" s="51" t="e">
        <f>CEILING(N61*VLOOKUP(O61, Коэффициенты!N3:O11, 2,FALSE)*0.825,P61)&amp;" кг"</f>
        <v>#N/A</v>
      </c>
      <c r="V61" s="51" t="s">
        <v>187</v>
      </c>
      <c r="W61" s="51" t="e">
        <f>CEILING(N61*VLOOKUP(O61, Коэффициенты!N3:O11, 2,FALSE)*0.75,P61)&amp;" кг"</f>
        <v>#N/A</v>
      </c>
      <c r="X61" s="51" t="s">
        <v>203</v>
      </c>
      <c r="Y61" s="51" t="e">
        <f>CEILING(N61*VLOOKUP(O61, Коэффициенты!N3:O11, 2,FALSE)*0.85,P61)&amp;" кг"</f>
        <v>#N/A</v>
      </c>
      <c r="Z61" s="51" t="s">
        <v>177</v>
      </c>
      <c r="AA61" s="51" t="e">
        <f>CEILING(N61*VLOOKUP(O61, Коэффициенты!N3:O11, 2,FALSE)*0.8,P61)&amp;" кг"</f>
        <v>#N/A</v>
      </c>
      <c r="AB61" s="74">
        <f>'Программа тренировок '!N173</f>
        <v>0</v>
      </c>
      <c r="AC61" s="76" t="str">
        <f>CEILING((100*(CEILING(N61*0.8,P61)))/(101.3-2.67123*(AB61+1))*0.65,P61)&amp;" кг"</f>
        <v>0 кг</v>
      </c>
      <c r="AD61" s="77" t="s">
        <v>172</v>
      </c>
      <c r="AE61" s="105" t="str">
        <f>CEILING((100*(CEILING(N61*0.8,P61)))/(101.3-2.67123*(AB61))*0.8,P61)&amp;" кг"</f>
        <v>0 кг</v>
      </c>
      <c r="AF61" s="51" t="s">
        <v>187</v>
      </c>
      <c r="AG61" s="51" t="str">
        <f>CEILING((100*(CEILING(N61*0.8,P61)))/(101.3-2.67123*(AB61))*0.725,P61)&amp;" кг"</f>
        <v>0 кг</v>
      </c>
      <c r="AH61" s="51" t="s">
        <v>211</v>
      </c>
      <c r="AI61" s="51" t="str">
        <f>CEILING((100*(CEILING(N61*0.8,P61)))/(101.3-2.67123*(AB61))*0.825,P61)&amp;" кг"</f>
        <v>0 кг</v>
      </c>
      <c r="AJ61" s="51" t="s">
        <v>177</v>
      </c>
      <c r="AK61" s="51" t="str">
        <f>CEILING((100*(CEILING(N61*0.8,P61)))/(101.3-2.67123*(AB61))*0.75,P61)&amp;" кг"</f>
        <v>0 кг</v>
      </c>
      <c r="AL61" s="51" t="s">
        <v>203</v>
      </c>
      <c r="AM61" s="73" t="str">
        <f>CEILING((100*(CEILING(N61*0.8,P61)))/(101.3-2.67123*(AB61))*0.875,P61)&amp;" кг"</f>
        <v>0 кг</v>
      </c>
      <c r="AN61" s="51" t="s">
        <v>177</v>
      </c>
      <c r="AO61" s="51" t="str">
        <f>CEILING((100*(CEILING(N61*0.8,P61)))/(101.3-2.67123*(AB61))*0.825,P61)&amp;" кг"</f>
        <v>0 кг</v>
      </c>
      <c r="AP61" s="51"/>
    </row>
    <row r="62" spans="12:42" ht="15.75" customHeight="1" x14ac:dyDescent="0.25">
      <c r="AB62" s="1"/>
      <c r="AC62" s="38"/>
      <c r="AD62" s="37"/>
      <c r="AE62" s="1"/>
    </row>
    <row r="63" spans="12:42" ht="15.75" customHeight="1" x14ac:dyDescent="0.25">
      <c r="L63" s="1" t="s">
        <v>44</v>
      </c>
      <c r="AB63" s="1"/>
      <c r="AC63" s="38"/>
      <c r="AD63" s="37"/>
      <c r="AE63" s="1"/>
    </row>
    <row r="64" spans="12:42" ht="15.75" customHeight="1" x14ac:dyDescent="0.3">
      <c r="L64" s="18" t="s">
        <v>219</v>
      </c>
      <c r="N64" s="102">
        <f>'Программа тренировок '!C136</f>
        <v>0</v>
      </c>
      <c r="O64" s="102">
        <f>'Программа тренировок '!D136</f>
        <v>0</v>
      </c>
      <c r="P64" s="106">
        <f>'Программа тренировок '!E136</f>
        <v>0</v>
      </c>
      <c r="Q64" s="51" t="e">
        <f>CEILING(N64*VLOOKUP(O64, Коэффициенты!N3:O11, 2,FALSE)*0.6,P64)&amp;" кг"</f>
        <v>#N/A</v>
      </c>
      <c r="R64" s="51" t="s">
        <v>196</v>
      </c>
      <c r="S64" s="51"/>
      <c r="T64" s="51"/>
      <c r="U64" s="51" t="e">
        <f>CEILING(N64*VLOOKUP(O64, Коэффициенты!N3:O11, 2,FALSE)*0.7,P64)&amp;" кг"</f>
        <v>#N/A</v>
      </c>
      <c r="V64" s="51" t="s">
        <v>198</v>
      </c>
      <c r="W64" s="51"/>
      <c r="X64" s="51"/>
      <c r="Y64" s="51"/>
      <c r="Z64" s="51"/>
      <c r="AA64" s="51" t="e">
        <f>CEILING(N64*VLOOKUP(O64, Коэффициенты!N3:O11, 2,FALSE)*0.75,P64)&amp;" кг"</f>
        <v>#N/A</v>
      </c>
      <c r="AB64" s="74">
        <f>'Программа тренировок '!N174</f>
        <v>0</v>
      </c>
      <c r="AC64" s="76" t="str">
        <f t="shared" ref="AC64:AC65" si="27">CEILING((100*(CEILING(N64*0.75,P64)))/(101.3-2.67123*(AB64+1))*0.65,P64)&amp;" кг"</f>
        <v>0 кг</v>
      </c>
      <c r="AD64" s="77" t="s">
        <v>172</v>
      </c>
      <c r="AE64" s="105" t="str">
        <f t="shared" ref="AE64:AE65" si="28">CEILING((100*(CEILING(N64*0.75,P64)))/(101.3-2.67123*(AB64))*0.625,P64)&amp;" кг"</f>
        <v>0 кг</v>
      </c>
      <c r="AF64" s="51" t="s">
        <v>210</v>
      </c>
      <c r="AG64" s="51"/>
      <c r="AH64" s="51"/>
      <c r="AI64" s="51" t="str">
        <f t="shared" ref="AI64:AI65" si="29">CEILING((100*(CEILING(N64*0.8,P64)))/(101.3-2.67123*(AB64))*0.7,P64)&amp;" кг"</f>
        <v>0 кг</v>
      </c>
      <c r="AJ64" s="51" t="s">
        <v>211</v>
      </c>
      <c r="AK64" s="51"/>
      <c r="AL64" s="51"/>
      <c r="AM64" s="73"/>
      <c r="AN64" s="51"/>
      <c r="AO64" s="51" t="str">
        <f t="shared" ref="AO64:AO65" si="30">CEILING((100*(CEILING(N64*0.8,P64)))/(101.3-2.67123*(AB64))*0.75,P64)&amp;" кг"</f>
        <v>0 кг</v>
      </c>
      <c r="AP64" s="51"/>
    </row>
    <row r="65" spans="12:42" ht="15.75" customHeight="1" x14ac:dyDescent="0.3">
      <c r="L65" s="18" t="s">
        <v>220</v>
      </c>
      <c r="N65" s="102">
        <f>'Программа тренировок '!C136</f>
        <v>0</v>
      </c>
      <c r="O65" s="102">
        <f>'Программа тренировок '!D136</f>
        <v>0</v>
      </c>
      <c r="P65" s="106">
        <f>'Программа тренировок '!E136</f>
        <v>0</v>
      </c>
      <c r="Q65" s="51" t="e">
        <f>CEILING(N65*VLOOKUP(O65, Коэффициенты!N3:O11, 2,FALSE)*0.6,P65)&amp;" кг"</f>
        <v>#N/A</v>
      </c>
      <c r="R65" s="51" t="s">
        <v>196</v>
      </c>
      <c r="S65" s="51"/>
      <c r="T65" s="51"/>
      <c r="U65" s="51" t="e">
        <f>CEILING(N65*VLOOKUP(O65, Коэффициенты!N3:O11, 2,FALSE)*0.7,P65)&amp;" кг"</f>
        <v>#N/A</v>
      </c>
      <c r="V65" s="51" t="s">
        <v>198</v>
      </c>
      <c r="W65" s="51"/>
      <c r="X65" s="51"/>
      <c r="Y65" s="51"/>
      <c r="Z65" s="51"/>
      <c r="AA65" s="51" t="e">
        <f>CEILING(N65*VLOOKUP(O65, Коэффициенты!N3:O11, 2,FALSE)*0.75,P65)&amp;" кг"</f>
        <v>#N/A</v>
      </c>
      <c r="AB65" s="74">
        <f>'Программа тренировок '!N174</f>
        <v>0</v>
      </c>
      <c r="AC65" s="76" t="str">
        <f t="shared" si="27"/>
        <v>0 кг</v>
      </c>
      <c r="AD65" s="77" t="s">
        <v>172</v>
      </c>
      <c r="AE65" s="105" t="str">
        <f t="shared" si="28"/>
        <v>0 кг</v>
      </c>
      <c r="AF65" s="51" t="s">
        <v>210</v>
      </c>
      <c r="AG65" s="51"/>
      <c r="AH65" s="51"/>
      <c r="AI65" s="51" t="str">
        <f t="shared" si="29"/>
        <v>0 кг</v>
      </c>
      <c r="AJ65" s="51" t="s">
        <v>211</v>
      </c>
      <c r="AK65" s="51"/>
      <c r="AL65" s="51"/>
      <c r="AM65" s="73"/>
      <c r="AN65" s="51"/>
      <c r="AO65" s="51" t="str">
        <f t="shared" si="30"/>
        <v>0 кг</v>
      </c>
      <c r="AP65" s="51"/>
    </row>
    <row r="66" spans="12:42" ht="15.75" customHeight="1" x14ac:dyDescent="0.25">
      <c r="AB66" s="1"/>
      <c r="AC66" s="38"/>
      <c r="AD66" s="37"/>
      <c r="AE66" s="1"/>
    </row>
    <row r="67" spans="12:42" ht="15.75" customHeight="1" x14ac:dyDescent="0.25">
      <c r="L67" s="1" t="s">
        <v>44</v>
      </c>
      <c r="AB67" s="1"/>
      <c r="AC67" s="38"/>
      <c r="AD67" s="37"/>
      <c r="AE67" s="1"/>
    </row>
    <row r="68" spans="12:42" ht="15.75" customHeight="1" x14ac:dyDescent="0.3">
      <c r="L68" s="18" t="s">
        <v>221</v>
      </c>
      <c r="N68" s="1"/>
      <c r="O68" s="1"/>
      <c r="P68" s="1"/>
      <c r="Q68" s="1" t="s">
        <v>222</v>
      </c>
      <c r="R68" s="1" t="s">
        <v>198</v>
      </c>
      <c r="S68" s="1" t="s">
        <v>222</v>
      </c>
      <c r="T68" s="1" t="s">
        <v>223</v>
      </c>
      <c r="U68" s="1" t="s">
        <v>222</v>
      </c>
      <c r="V68" s="1" t="s">
        <v>224</v>
      </c>
      <c r="W68" s="1" t="s">
        <v>222</v>
      </c>
      <c r="X68" s="1" t="s">
        <v>225</v>
      </c>
      <c r="Y68" s="1" t="s">
        <v>222</v>
      </c>
      <c r="Z68" s="1" t="s">
        <v>223</v>
      </c>
      <c r="AA68" s="1" t="s">
        <v>222</v>
      </c>
      <c r="AB68" s="1" t="s">
        <v>196</v>
      </c>
      <c r="AC68" s="1" t="s">
        <v>222</v>
      </c>
      <c r="AD68" s="1" t="s">
        <v>225</v>
      </c>
      <c r="AE68" s="1" t="s">
        <v>222</v>
      </c>
      <c r="AF68" s="1" t="s">
        <v>196</v>
      </c>
      <c r="AG68" s="1" t="s">
        <v>222</v>
      </c>
      <c r="AH68" s="1" t="s">
        <v>223</v>
      </c>
      <c r="AI68" s="1" t="s">
        <v>222</v>
      </c>
      <c r="AJ68" s="1" t="s">
        <v>225</v>
      </c>
      <c r="AK68" s="1" t="s">
        <v>222</v>
      </c>
      <c r="AL68" s="1" t="s">
        <v>226</v>
      </c>
      <c r="AM68" s="1" t="s">
        <v>222</v>
      </c>
      <c r="AN68" s="1" t="s">
        <v>227</v>
      </c>
      <c r="AO68" s="1" t="s">
        <v>222</v>
      </c>
      <c r="AP68" s="1" t="s">
        <v>195</v>
      </c>
    </row>
    <row r="69" spans="12:42" ht="15.75" customHeight="1" x14ac:dyDescent="0.3">
      <c r="L69" s="18" t="s">
        <v>112</v>
      </c>
      <c r="N69" s="1"/>
      <c r="O69" s="1"/>
      <c r="Q69" s="1" t="s">
        <v>222</v>
      </c>
      <c r="R69" s="1" t="s">
        <v>228</v>
      </c>
      <c r="S69" s="1" t="s">
        <v>222</v>
      </c>
      <c r="T69" s="1" t="s">
        <v>229</v>
      </c>
      <c r="U69" s="1" t="s">
        <v>222</v>
      </c>
      <c r="V69" s="1" t="s">
        <v>230</v>
      </c>
      <c r="W69" s="1" t="s">
        <v>222</v>
      </c>
      <c r="X69" s="1" t="s">
        <v>231</v>
      </c>
      <c r="Y69" s="1" t="s">
        <v>222</v>
      </c>
      <c r="Z69" s="1" t="s">
        <v>232</v>
      </c>
      <c r="AA69" s="1" t="s">
        <v>222</v>
      </c>
      <c r="AB69" s="1" t="s">
        <v>233</v>
      </c>
      <c r="AC69" s="1" t="s">
        <v>222</v>
      </c>
      <c r="AD69" s="1" t="s">
        <v>234</v>
      </c>
      <c r="AE69" s="1" t="s">
        <v>222</v>
      </c>
      <c r="AF69" s="1" t="s">
        <v>233</v>
      </c>
      <c r="AG69" s="1" t="s">
        <v>222</v>
      </c>
      <c r="AH69" s="1" t="s">
        <v>235</v>
      </c>
      <c r="AI69" s="1" t="s">
        <v>222</v>
      </c>
      <c r="AJ69" s="1" t="s">
        <v>231</v>
      </c>
      <c r="AK69" s="1" t="s">
        <v>222</v>
      </c>
      <c r="AL69" s="1" t="s">
        <v>234</v>
      </c>
      <c r="AM69" s="1" t="s">
        <v>222</v>
      </c>
      <c r="AN69" s="1" t="s">
        <v>235</v>
      </c>
      <c r="AO69" s="1" t="s">
        <v>222</v>
      </c>
      <c r="AP69" s="1" t="s">
        <v>236</v>
      </c>
    </row>
    <row r="70" spans="12:42" ht="15.75" customHeight="1" x14ac:dyDescent="0.25">
      <c r="AB70" s="1"/>
      <c r="AC70" s="38"/>
      <c r="AD70" s="37"/>
      <c r="AE70" s="1"/>
    </row>
    <row r="71" spans="12:42" ht="15.75" customHeight="1" x14ac:dyDescent="0.25">
      <c r="AB71" s="1"/>
      <c r="AC71" s="38"/>
      <c r="AD71" s="37"/>
      <c r="AE71" s="1"/>
    </row>
    <row r="72" spans="12:42" ht="15.75" customHeight="1" x14ac:dyDescent="0.25">
      <c r="AB72" s="1"/>
      <c r="AC72" s="38"/>
      <c r="AD72" s="37"/>
      <c r="AE72" s="1"/>
    </row>
    <row r="73" spans="12:42" ht="15.75" customHeight="1" x14ac:dyDescent="0.3">
      <c r="L73" s="18" t="s">
        <v>179</v>
      </c>
      <c r="N73" s="102"/>
      <c r="O73" s="109"/>
      <c r="P73" s="102"/>
      <c r="Q73" s="110" t="s">
        <v>237</v>
      </c>
      <c r="R73" s="73" t="str">
        <f>FLOOR(0.4*O73,1)&amp;" повт"</f>
        <v>0 повт</v>
      </c>
      <c r="S73" s="73" t="s">
        <v>180</v>
      </c>
      <c r="T73" s="73" t="str">
        <f>FLOOR(0.5*O73,1)&amp;" повт"</f>
        <v>0 повт</v>
      </c>
      <c r="U73" s="73" t="s">
        <v>181</v>
      </c>
      <c r="V73" s="73" t="str">
        <f>FLOOR(0.6*O73,1)&amp;" повт"</f>
        <v>0 повт</v>
      </c>
      <c r="W73" s="73" t="s">
        <v>184</v>
      </c>
      <c r="X73" s="73" t="str">
        <f>CEILING(0.7*O73,1)&amp;" повт"</f>
        <v>0 повт</v>
      </c>
      <c r="Y73" s="73" t="s">
        <v>182</v>
      </c>
      <c r="Z73" s="74" t="str">
        <f>FLOOR(IF(0.8*O73-0.7*O73&lt;1,0.8*O73+1,0.8*O73),1)&amp;" повт"</f>
        <v>1 повт</v>
      </c>
      <c r="AA73" s="73" t="s">
        <v>183</v>
      </c>
      <c r="AB73" s="74" t="str">
        <f>O73+P73&amp;" повт"</f>
        <v>0 повт</v>
      </c>
      <c r="AC73" s="72"/>
      <c r="AD73" s="75"/>
      <c r="AE73" s="110" t="s">
        <v>237</v>
      </c>
      <c r="AF73" s="73" t="str">
        <f>FLOOR(0.4*O73+P73,1)&amp;" повт"</f>
        <v>0 повт</v>
      </c>
      <c r="AG73" s="73" t="s">
        <v>180</v>
      </c>
      <c r="AH73" s="73" t="str">
        <f>FLOOR(0.5*O73+P73,1)&amp;" повт"</f>
        <v>0 повт</v>
      </c>
      <c r="AI73" s="73" t="s">
        <v>181</v>
      </c>
      <c r="AJ73" s="73" t="str">
        <f>FLOOR(0.6*O73+P73,1)&amp;" повт"</f>
        <v>0 повт</v>
      </c>
      <c r="AK73" s="73" t="s">
        <v>184</v>
      </c>
      <c r="AL73" s="73" t="str">
        <f>FLOOR(0.8*O73+P73,1)&amp;" повт"</f>
        <v>0 повт</v>
      </c>
      <c r="AM73" s="73" t="s">
        <v>182</v>
      </c>
      <c r="AN73" s="73" t="str">
        <f>CEILING(0.8*O73+P73,1)&amp;" повт"</f>
        <v>0 повт</v>
      </c>
      <c r="AO73" s="73" t="s">
        <v>136</v>
      </c>
      <c r="AP73" s="73" t="str">
        <f>O73+P73+P73&amp;" повт"</f>
        <v>0 повт</v>
      </c>
    </row>
    <row r="74" spans="12:42" ht="15.75" customHeight="1" x14ac:dyDescent="0.3">
      <c r="L74" s="18" t="s">
        <v>37</v>
      </c>
      <c r="M74" s="6"/>
      <c r="N74" s="102"/>
      <c r="O74" s="102"/>
      <c r="P74" s="106"/>
      <c r="Q74" s="51" t="e">
        <f>CEILING(N74*VLOOKUP(O74, Коэффициенты!H3:I6, 2,FALSE)*0.7,2.5)</f>
        <v>#N/A</v>
      </c>
      <c r="R74" s="51" t="s">
        <v>238</v>
      </c>
      <c r="S74" s="51" t="e">
        <f>CEILING(N74*VLOOKUP(O74, Коэффициенты!H3:I6, 2,FALSE)*0.75,2.5)</f>
        <v>#N/A</v>
      </c>
      <c r="T74" s="51" t="s">
        <v>188</v>
      </c>
      <c r="U74" s="51" t="e">
        <f>CEILING(N74*VLOOKUP(O74, Коэффициенты!H3:I6, 2,FALSE)*0.8,2.5)</f>
        <v>#N/A</v>
      </c>
      <c r="V74" s="51" t="s">
        <v>172</v>
      </c>
      <c r="W74" s="51" t="e">
        <f>CEILING(N74*VLOOKUP(O74, Коэффициенты!H3:I6, 2,FALSE)*0.85,2.5)</f>
        <v>#N/A</v>
      </c>
      <c r="X74" s="51" t="s">
        <v>192</v>
      </c>
      <c r="Y74" s="51" t="e">
        <f>CEILING(N74*VLOOKUP(O74, Коэффициенты!H3:I6, 2,FALSE)*0.9,2.5)</f>
        <v>#N/A</v>
      </c>
      <c r="Z74" s="51" t="s">
        <v>193</v>
      </c>
      <c r="AA74" s="51" t="e">
        <f>CEILING((N74*VLOOKUP(O74, Коэффициенты!H3:I6, 2,FALSE)+P74)*0.9,2.5)</f>
        <v>#N/A</v>
      </c>
      <c r="AB74" s="78" t="s">
        <v>239</v>
      </c>
      <c r="AC74" s="76"/>
      <c r="AD74" s="77"/>
      <c r="AE74" s="105" t="e">
        <f>CEILING((N74*VLOOKUP(O74, Коэффициенты!H3:I6, 2,FALSE)+P74)*0.7,2.5)</f>
        <v>#N/A</v>
      </c>
      <c r="AF74" s="51" t="s">
        <v>238</v>
      </c>
      <c r="AG74" s="51" t="e">
        <f>CEILING((N74*VLOOKUP(O74, Коэффициенты!H3:I6, 2,FALSE)+P74)*0.75,2.5)</f>
        <v>#N/A</v>
      </c>
      <c r="AH74" s="51" t="s">
        <v>188</v>
      </c>
      <c r="AI74" s="51" t="e">
        <f>CEILING((N74*VLOOKUP(O74, Коэффициенты!H3:I6, 2,FALSE)+P74)*0.8,2.5)</f>
        <v>#N/A</v>
      </c>
      <c r="AJ74" s="51" t="s">
        <v>172</v>
      </c>
      <c r="AK74" s="51" t="e">
        <f>CEILING((N74*VLOOKUP(O74, Коэффициенты!H3:I6, 2,FALSE)+P74)*0.85,2.5)</f>
        <v>#N/A</v>
      </c>
      <c r="AL74" s="51" t="s">
        <v>192</v>
      </c>
      <c r="AM74" s="51" t="e">
        <f>CEILING((N74*VLOOKUP(O74, Коэффициенты!H3:I6, 2,FALSE)+P74)*0.9,2.5)</f>
        <v>#N/A</v>
      </c>
      <c r="AN74" s="51" t="s">
        <v>193</v>
      </c>
      <c r="AO74" s="51" t="e">
        <f>CEILING((N74*VLOOKUP(O74, Коэффициенты!H3:I6, 2,FALSE)+P74+P74)*0.9,2.5)</f>
        <v>#N/A</v>
      </c>
      <c r="AP74" s="51" t="s">
        <v>239</v>
      </c>
    </row>
    <row r="75" spans="12:42" ht="15.75" customHeight="1" x14ac:dyDescent="0.25">
      <c r="AB75" s="1"/>
      <c r="AC75" s="38"/>
      <c r="AD75" s="37"/>
      <c r="AE75" s="1"/>
    </row>
    <row r="76" spans="12:42" ht="15.75" customHeight="1" x14ac:dyDescent="0.3">
      <c r="L76" s="18" t="s">
        <v>53</v>
      </c>
      <c r="N76" s="102"/>
      <c r="O76" s="102"/>
      <c r="P76" s="106"/>
      <c r="Q76" s="51" t="e">
        <f>CEILING(N76*VLOOKUP(O76, Коэффициенты!H3:I6, 2,FALSE)*0.7,2.5)&amp;" кг"</f>
        <v>#N/A</v>
      </c>
      <c r="R76" s="51" t="s">
        <v>238</v>
      </c>
      <c r="S76" s="51" t="e">
        <f>CEILING(N76*VLOOKUP(O76, Коэффициенты!H3:I6, 2,FALSE)*0.75,2.5)&amp;" кг"</f>
        <v>#N/A</v>
      </c>
      <c r="T76" s="51" t="s">
        <v>188</v>
      </c>
      <c r="U76" s="51" t="e">
        <f>CEILING(N76*VLOOKUP(O76, Коэффициенты!H3:I6, 2,FALSE)*0.8,2.5)&amp;" кг"</f>
        <v>#N/A</v>
      </c>
      <c r="V76" s="51" t="s">
        <v>172</v>
      </c>
      <c r="W76" s="51" t="e">
        <f>CEILING(N76*VLOOKUP(O76, Коэффициенты!H3:I6, 2,FALSE)*0.85,2.5)&amp;" кг"</f>
        <v>#N/A</v>
      </c>
      <c r="X76" s="51" t="s">
        <v>192</v>
      </c>
      <c r="Y76" s="51" t="e">
        <f>CEILING(N76*VLOOKUP(O76, Коэффициенты!H3:I6, 2,FALSE)*0.9,2.5)&amp;" кг"</f>
        <v>#N/A</v>
      </c>
      <c r="Z76" s="51" t="s">
        <v>193</v>
      </c>
      <c r="AA76" s="51" t="e">
        <f>CEILING((N76*VLOOKUP(O76, Коэффициенты!H3:I6, 2,FALSE)+P76)*0.9,2.5)&amp;" кг"</f>
        <v>#N/A</v>
      </c>
      <c r="AB76" s="78" t="s">
        <v>239</v>
      </c>
      <c r="AC76" s="76"/>
      <c r="AD76" s="77"/>
      <c r="AE76" s="105" t="e">
        <f>CEILING((N76*VLOOKUP(O76, Коэффициенты!H3:I6, 2,FALSE)+P76)*0.7,2.5)&amp;" кг"</f>
        <v>#N/A</v>
      </c>
      <c r="AF76" s="51" t="s">
        <v>238</v>
      </c>
      <c r="AG76" s="51" t="e">
        <f>CEILING((N76*VLOOKUP(O76, Коэффициенты!H3:I6, 2,FALSE)+P76)*0.75,2.5)&amp;" кг"</f>
        <v>#N/A</v>
      </c>
      <c r="AH76" s="51" t="s">
        <v>188</v>
      </c>
      <c r="AI76" s="51" t="e">
        <f>CEILING((N76*VLOOKUP(O76, Коэффициенты!H3:I6, 2,FALSE)+P76)*0.8,2.5)&amp;" кг"</f>
        <v>#N/A</v>
      </c>
      <c r="AJ76" s="51" t="s">
        <v>172</v>
      </c>
      <c r="AK76" s="51" t="e">
        <f>CEILING((N76*VLOOKUP(O76, Коэффициенты!H3:I6, 2,FALSE)+P76)*0.85,2.5)&amp;" кг"</f>
        <v>#N/A</v>
      </c>
      <c r="AL76" s="51" t="s">
        <v>192</v>
      </c>
      <c r="AM76" s="51" t="e">
        <f>CEILING((N76*VLOOKUP(O76, Коэффициенты!H3:I6, 2,FALSE)+P76)*0.9,2.5)&amp;" кг"</f>
        <v>#N/A</v>
      </c>
      <c r="AN76" s="51" t="s">
        <v>193</v>
      </c>
      <c r="AO76" s="51" t="e">
        <f>CEILING((N76*VLOOKUP(O76, Коэффициенты!H3:I6, 2,FALSE)+P76)*0.9,2.5)+P76&amp;" кг"</f>
        <v>#N/A</v>
      </c>
      <c r="AP76" s="51" t="s">
        <v>239</v>
      </c>
    </row>
    <row r="77" spans="12:42" ht="15.75" customHeight="1" x14ac:dyDescent="0.25">
      <c r="AB77" s="1"/>
      <c r="AC77" s="38"/>
      <c r="AD77" s="37"/>
      <c r="AE77" s="1"/>
    </row>
    <row r="78" spans="12:42" ht="15.75" customHeight="1" x14ac:dyDescent="0.25">
      <c r="AB78" s="1"/>
      <c r="AC78" s="38"/>
      <c r="AD78" s="37"/>
      <c r="AE78" s="1"/>
    </row>
    <row r="79" spans="12:42" ht="15.75" customHeight="1" x14ac:dyDescent="0.25">
      <c r="AB79" s="1"/>
      <c r="AC79" s="38"/>
      <c r="AD79" s="37"/>
      <c r="AE79" s="1"/>
    </row>
    <row r="80" spans="12:42" ht="15.75" customHeight="1" x14ac:dyDescent="0.25">
      <c r="AB80" s="1"/>
      <c r="AC80" s="38"/>
      <c r="AD80" s="37"/>
      <c r="AE80" s="1"/>
    </row>
    <row r="81" spans="12:42" ht="15.75" customHeight="1" x14ac:dyDescent="0.25">
      <c r="AB81" s="1"/>
      <c r="AC81" s="38"/>
      <c r="AD81" s="37"/>
      <c r="AE81" s="1"/>
    </row>
    <row r="82" spans="12:42" ht="15.75" customHeight="1" x14ac:dyDescent="0.25">
      <c r="AB82" s="1"/>
      <c r="AC82" s="38"/>
      <c r="AD82" s="37"/>
      <c r="AE82" s="1"/>
    </row>
    <row r="83" spans="12:42" ht="15.75" customHeight="1" x14ac:dyDescent="0.3">
      <c r="L83" s="18" t="s">
        <v>53</v>
      </c>
      <c r="N83" s="102"/>
      <c r="O83" s="102"/>
      <c r="P83" s="106"/>
      <c r="Q83" s="51" t="e">
        <f>CEILING(N83*VLOOKUP(O83, Коэффициенты!H3:I6, 2,FALSE)*0.7,2.5)&amp;" кг"</f>
        <v>#N/A</v>
      </c>
      <c r="R83" s="51" t="s">
        <v>238</v>
      </c>
      <c r="S83" s="51" t="e">
        <f>CEILING(N83*VLOOKUP(O83, Коэффициенты!H3:I6, 2,FALSE)*0.75,2.5)&amp;" кг"</f>
        <v>#N/A</v>
      </c>
      <c r="T83" s="51" t="s">
        <v>188</v>
      </c>
      <c r="U83" s="51" t="e">
        <f>CEILING(N83*VLOOKUP(O83, Коэффициенты!H3:I6, 2,FALSE)*0.8,2.5)&amp;" кг"</f>
        <v>#N/A</v>
      </c>
      <c r="V83" s="51" t="s">
        <v>172</v>
      </c>
      <c r="W83" s="51" t="e">
        <f>CEILING(N83*VLOOKUP(O83, Коэффициенты!H3:I6, 2,FALSE)*0.85,2.5)&amp;" кг"</f>
        <v>#N/A</v>
      </c>
      <c r="X83" s="51" t="s">
        <v>192</v>
      </c>
      <c r="Y83" s="51" t="e">
        <f>CEILING(N83*VLOOKUP(O83, Коэффициенты!H3:I6, 2,FALSE)*0.9,2.5)&amp;" кг"</f>
        <v>#N/A</v>
      </c>
      <c r="Z83" s="51" t="s">
        <v>193</v>
      </c>
      <c r="AA83" s="51" t="e">
        <f>CEILING((N83*VLOOKUP(O83, Коэффициенты!H3:I6, 2,FALSE)+P83)*0.9,2.5)&amp;" кг"</f>
        <v>#N/A</v>
      </c>
      <c r="AB83" s="78" t="s">
        <v>239</v>
      </c>
      <c r="AC83" s="76"/>
      <c r="AD83" s="77"/>
      <c r="AE83" s="105" t="e">
        <f>CEILING((N83*VLOOKUP(O83, Коэффициенты!H3:I6, 2,FALSE)+P83)*0.7,2.5)&amp;" кг"</f>
        <v>#N/A</v>
      </c>
      <c r="AF83" s="51" t="s">
        <v>238</v>
      </c>
      <c r="AG83" s="51" t="e">
        <f>CEILING((N83*VLOOKUP(O83, Коэффициенты!H3:I6, 2,FALSE)+P83)*0.75,2.5)&amp;" кг"</f>
        <v>#N/A</v>
      </c>
      <c r="AH83" s="51" t="s">
        <v>188</v>
      </c>
      <c r="AI83" s="51" t="e">
        <f>CEILING((N83*VLOOKUP(O83, Коэффициенты!H3:I6, 2,FALSE)+P83)*0.8,2.5)&amp;" кг"</f>
        <v>#N/A</v>
      </c>
      <c r="AJ83" s="51" t="s">
        <v>172</v>
      </c>
      <c r="AK83" s="51" t="e">
        <f>CEILING((N83*VLOOKUP(O83, Коэффициенты!H3:I6, 2,FALSE)+P83)*0.85,2.5)&amp;" кг"</f>
        <v>#N/A</v>
      </c>
      <c r="AL83" s="51" t="s">
        <v>192</v>
      </c>
      <c r="AM83" s="51" t="e">
        <f>CEILING((N83*VLOOKUP(O83, Коэффициенты!H3:I6, 2,FALSE)+P83)*0.9,2.5)&amp;" кг"</f>
        <v>#N/A</v>
      </c>
      <c r="AN83" s="51" t="s">
        <v>193</v>
      </c>
      <c r="AO83" s="51" t="e">
        <f>CEILING((N83*VLOOKUP(O83, Коэффициенты!H3:I6, 2,FALSE)+P83)*0.9,2.5)+P83&amp;" кг"</f>
        <v>#N/A</v>
      </c>
      <c r="AP83" s="51" t="s">
        <v>239</v>
      </c>
    </row>
    <row r="84" spans="12:42" ht="15.75" customHeight="1" x14ac:dyDescent="0.25">
      <c r="AB84" s="1"/>
      <c r="AC84" s="38"/>
      <c r="AD84" s="37"/>
      <c r="AE84" s="1"/>
    </row>
    <row r="85" spans="12:42" ht="15.75" customHeight="1" x14ac:dyDescent="0.25">
      <c r="AB85" s="1"/>
      <c r="AC85" s="38"/>
      <c r="AD85" s="37"/>
      <c r="AE85" s="1"/>
    </row>
    <row r="86" spans="12:42" ht="15.75" customHeight="1" x14ac:dyDescent="0.25">
      <c r="AB86" s="1"/>
      <c r="AC86" s="38"/>
      <c r="AD86" s="37"/>
      <c r="AE86" s="1"/>
    </row>
    <row r="87" spans="12:42" ht="15.75" customHeight="1" x14ac:dyDescent="0.25">
      <c r="AB87" s="1"/>
      <c r="AC87" s="38"/>
      <c r="AD87" s="37"/>
      <c r="AE87" s="1"/>
    </row>
    <row r="88" spans="12:42" ht="15.75" customHeight="1" x14ac:dyDescent="0.25">
      <c r="AB88" s="1"/>
      <c r="AC88" s="38"/>
      <c r="AD88" s="37"/>
      <c r="AE88" s="1"/>
    </row>
    <row r="89" spans="12:42" ht="15.75" customHeight="1" x14ac:dyDescent="0.25">
      <c r="AB89" s="1"/>
      <c r="AC89" s="38"/>
      <c r="AD89" s="37"/>
      <c r="AE89" s="1"/>
    </row>
    <row r="90" spans="12:42" ht="15.75" customHeight="1" x14ac:dyDescent="0.25">
      <c r="AB90" s="1"/>
      <c r="AC90" s="38"/>
      <c r="AD90" s="37"/>
      <c r="AE90" s="1"/>
    </row>
    <row r="91" spans="12:42" ht="15.75" customHeight="1" x14ac:dyDescent="0.25">
      <c r="AB91" s="1"/>
      <c r="AC91" s="38"/>
      <c r="AD91" s="37"/>
      <c r="AE91" s="1"/>
    </row>
    <row r="92" spans="12:42" ht="15.75" customHeight="1" x14ac:dyDescent="0.25">
      <c r="AB92" s="1"/>
      <c r="AC92" s="38"/>
      <c r="AD92" s="37"/>
      <c r="AE92" s="1"/>
    </row>
    <row r="93" spans="12:42" ht="15.75" customHeight="1" x14ac:dyDescent="0.25">
      <c r="AB93" s="1"/>
      <c r="AC93" s="38"/>
      <c r="AD93" s="37"/>
      <c r="AE93" s="1"/>
    </row>
    <row r="94" spans="12:42" ht="15.75" customHeight="1" x14ac:dyDescent="0.25">
      <c r="AB94" s="1"/>
      <c r="AC94" s="56"/>
      <c r="AD94" s="43"/>
      <c r="AE94" s="1"/>
    </row>
    <row r="95" spans="12:42" ht="15.75" customHeight="1" x14ac:dyDescent="0.25"/>
    <row r="96" spans="12:42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M7:AP7"/>
    <mergeCell ref="Q7:T7"/>
    <mergeCell ref="U7:X7"/>
    <mergeCell ref="Y7:AB7"/>
    <mergeCell ref="AE7:AH7"/>
    <mergeCell ref="AI7:AL7"/>
  </mergeCells>
  <hyperlinks>
    <hyperlink ref="L9" r:id="rId1" xr:uid="{00000000-0004-0000-0200-000000000000}"/>
    <hyperlink ref="L10" r:id="rId2" xr:uid="{00000000-0004-0000-0200-000001000000}"/>
    <hyperlink ref="L11" r:id="rId3" xr:uid="{00000000-0004-0000-0200-000002000000}"/>
    <hyperlink ref="L13" r:id="rId4" xr:uid="{00000000-0004-0000-0200-000003000000}"/>
    <hyperlink ref="L14" r:id="rId5" xr:uid="{00000000-0004-0000-0200-000004000000}"/>
    <hyperlink ref="L15" r:id="rId6" xr:uid="{00000000-0004-0000-0200-000005000000}"/>
    <hyperlink ref="L17" r:id="rId7" xr:uid="{00000000-0004-0000-0200-000006000000}"/>
    <hyperlink ref="L18" r:id="rId8" xr:uid="{00000000-0004-0000-0200-000007000000}"/>
    <hyperlink ref="L19" r:id="rId9" xr:uid="{00000000-0004-0000-0200-000008000000}"/>
    <hyperlink ref="L21" r:id="rId10" xr:uid="{00000000-0004-0000-0200-000009000000}"/>
    <hyperlink ref="L24" r:id="rId11" xr:uid="{00000000-0004-0000-0200-00000A000000}"/>
    <hyperlink ref="L25" r:id="rId12" xr:uid="{00000000-0004-0000-0200-00000B000000}"/>
    <hyperlink ref="L26" r:id="rId13" xr:uid="{00000000-0004-0000-0200-00000C000000}"/>
    <hyperlink ref="L28" r:id="rId14" xr:uid="{00000000-0004-0000-0200-00000D000000}"/>
    <hyperlink ref="L29" r:id="rId15" xr:uid="{00000000-0004-0000-0200-00000E000000}"/>
    <hyperlink ref="L30" r:id="rId16" xr:uid="{00000000-0004-0000-0200-00000F000000}"/>
    <hyperlink ref="L33" r:id="rId17" xr:uid="{00000000-0004-0000-0200-000010000000}"/>
    <hyperlink ref="L36" r:id="rId18" xr:uid="{00000000-0004-0000-0200-000011000000}"/>
    <hyperlink ref="L37" r:id="rId19" xr:uid="{00000000-0004-0000-0200-000012000000}"/>
    <hyperlink ref="L38" r:id="rId20" xr:uid="{00000000-0004-0000-0200-000013000000}"/>
    <hyperlink ref="L40" r:id="rId21" xr:uid="{00000000-0004-0000-0200-000014000000}"/>
    <hyperlink ref="L41" r:id="rId22" xr:uid="{00000000-0004-0000-0200-000015000000}"/>
    <hyperlink ref="L44" r:id="rId23" xr:uid="{00000000-0004-0000-0200-000016000000}"/>
    <hyperlink ref="L45" r:id="rId24" xr:uid="{00000000-0004-0000-0200-000017000000}"/>
    <hyperlink ref="L48" r:id="rId25" xr:uid="{00000000-0004-0000-0200-000018000000}"/>
    <hyperlink ref="L54" r:id="rId26" xr:uid="{00000000-0004-0000-0200-000019000000}"/>
    <hyperlink ref="L55" r:id="rId27" xr:uid="{00000000-0004-0000-0200-00001A000000}"/>
    <hyperlink ref="L59" r:id="rId28" xr:uid="{00000000-0004-0000-0200-00001B000000}"/>
    <hyperlink ref="L60" r:id="rId29" xr:uid="{00000000-0004-0000-0200-00001C000000}"/>
    <hyperlink ref="L61" r:id="rId30" xr:uid="{00000000-0004-0000-0200-00001D000000}"/>
    <hyperlink ref="L64" r:id="rId31" xr:uid="{00000000-0004-0000-0200-00001E000000}"/>
    <hyperlink ref="L65" r:id="rId32" xr:uid="{00000000-0004-0000-0200-00001F000000}"/>
    <hyperlink ref="L68" r:id="rId33" xr:uid="{00000000-0004-0000-0200-000020000000}"/>
    <hyperlink ref="L69" r:id="rId34" xr:uid="{00000000-0004-0000-0200-000021000000}"/>
    <hyperlink ref="L73" r:id="rId35" xr:uid="{00000000-0004-0000-0200-000022000000}"/>
    <hyperlink ref="L74" r:id="rId36" xr:uid="{00000000-0004-0000-0200-000023000000}"/>
    <hyperlink ref="L76" r:id="rId37" xr:uid="{00000000-0004-0000-0200-000024000000}"/>
    <hyperlink ref="L83" r:id="rId38" xr:uid="{00000000-0004-0000-0200-000025000000}"/>
  </hyperlink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S1000"/>
  <sheetViews>
    <sheetView workbookViewId="0"/>
  </sheetViews>
  <sheetFormatPr defaultColWidth="14.42578125" defaultRowHeight="15" customHeight="1" x14ac:dyDescent="0.25"/>
  <cols>
    <col min="1" max="7" width="8.7109375" customWidth="1"/>
    <col min="8" max="8" width="7.42578125" customWidth="1"/>
    <col min="9" max="19" width="8.7109375" customWidth="1"/>
  </cols>
  <sheetData>
    <row r="2" spans="3:17" x14ac:dyDescent="0.25">
      <c r="C2" s="1">
        <v>1</v>
      </c>
      <c r="H2" s="6" t="s">
        <v>240</v>
      </c>
      <c r="I2" s="6" t="s">
        <v>241</v>
      </c>
      <c r="K2" s="6" t="s">
        <v>240</v>
      </c>
      <c r="L2" s="6" t="s">
        <v>241</v>
      </c>
    </row>
    <row r="3" spans="3:17" x14ac:dyDescent="0.25">
      <c r="C3" s="1">
        <v>2</v>
      </c>
      <c r="D3" s="1">
        <v>2.5</v>
      </c>
      <c r="E3" s="1">
        <v>3</v>
      </c>
      <c r="F3" s="1">
        <v>2.5</v>
      </c>
      <c r="H3" s="1">
        <f>IF('Программа тренировок '!D206="boosty.to/yetiblog", 4, 9)</f>
        <v>4</v>
      </c>
      <c r="I3" s="1">
        <f>100/92</f>
        <v>1.0869565217391304</v>
      </c>
      <c r="K3" s="1">
        <v>4</v>
      </c>
      <c r="L3" s="1">
        <f>100/85</f>
        <v>1.1764705882352942</v>
      </c>
      <c r="N3" s="1">
        <v>4</v>
      </c>
      <c r="O3" s="1">
        <f>100/97</f>
        <v>1.0309278350515463</v>
      </c>
      <c r="Q3" s="1">
        <v>2</v>
      </c>
    </row>
    <row r="4" spans="3:17" x14ac:dyDescent="0.25">
      <c r="C4" s="1">
        <v>3</v>
      </c>
      <c r="D4" s="1">
        <v>5</v>
      </c>
      <c r="E4" s="1">
        <v>6</v>
      </c>
      <c r="F4" s="1">
        <v>3</v>
      </c>
      <c r="H4" s="1">
        <v>5</v>
      </c>
      <c r="I4" s="1">
        <f>100/89</f>
        <v>1.1235955056179776</v>
      </c>
      <c r="K4" s="1">
        <v>5</v>
      </c>
      <c r="L4" s="1">
        <f>100/80</f>
        <v>1.25</v>
      </c>
      <c r="N4" s="1">
        <v>5</v>
      </c>
      <c r="O4" s="1">
        <f>100/95</f>
        <v>1.0526315789473684</v>
      </c>
      <c r="Q4" s="1">
        <v>4</v>
      </c>
    </row>
    <row r="5" spans="3:17" x14ac:dyDescent="0.25">
      <c r="C5" s="1">
        <v>4</v>
      </c>
      <c r="D5" s="1">
        <v>7.5</v>
      </c>
      <c r="E5" s="1">
        <v>9</v>
      </c>
      <c r="F5" s="1">
        <v>5</v>
      </c>
      <c r="H5" s="1">
        <v>6</v>
      </c>
      <c r="I5" s="1">
        <f>IF('Программа тренировок '!B7=S154, 100/87, "")</f>
        <v>1.1494252873563218</v>
      </c>
      <c r="K5" s="1">
        <v>6</v>
      </c>
      <c r="L5" s="1">
        <f>100/75</f>
        <v>1.3333333333333333</v>
      </c>
      <c r="N5" s="1">
        <v>6</v>
      </c>
      <c r="O5" s="1">
        <f>100/92</f>
        <v>1.0869565217391304</v>
      </c>
      <c r="Q5" s="1">
        <v>6</v>
      </c>
    </row>
    <row r="6" spans="3:17" x14ac:dyDescent="0.25">
      <c r="C6" s="1">
        <v>5</v>
      </c>
      <c r="D6" s="1">
        <v>10</v>
      </c>
      <c r="F6" s="1">
        <v>6</v>
      </c>
      <c r="H6" s="1">
        <v>7</v>
      </c>
      <c r="I6" s="1">
        <f>100/85</f>
        <v>1.1764705882352942</v>
      </c>
      <c r="K6" s="1">
        <v>7</v>
      </c>
      <c r="L6" s="1">
        <f>100/70</f>
        <v>1.4285714285714286</v>
      </c>
      <c r="N6" s="115">
        <v>7</v>
      </c>
      <c r="O6" s="1">
        <f>IF('Программа тренировок '!B7=S154, 100/90,"")</f>
        <v>1.1111111111111112</v>
      </c>
    </row>
    <row r="7" spans="3:17" x14ac:dyDescent="0.25">
      <c r="C7" s="1">
        <v>6</v>
      </c>
      <c r="D7" s="1">
        <v>15</v>
      </c>
      <c r="F7" s="1">
        <v>7.5</v>
      </c>
      <c r="N7" s="116" t="str">
        <f>IF('Программа тренировок '!B205=S153, "8", "")</f>
        <v>8</v>
      </c>
      <c r="O7" s="1">
        <f>100/87</f>
        <v>1.1494252873563218</v>
      </c>
    </row>
    <row r="8" spans="3:17" x14ac:dyDescent="0.25">
      <c r="C8" s="1">
        <v>7</v>
      </c>
      <c r="D8" s="1">
        <v>20</v>
      </c>
      <c r="F8" s="1">
        <v>9</v>
      </c>
      <c r="N8" s="1">
        <v>9</v>
      </c>
      <c r="O8" s="1">
        <f>100/85</f>
        <v>1.1764705882352942</v>
      </c>
    </row>
    <row r="9" spans="3:17" x14ac:dyDescent="0.25">
      <c r="C9" s="1">
        <v>8</v>
      </c>
      <c r="F9" s="1">
        <v>10</v>
      </c>
      <c r="N9" s="1">
        <v>10</v>
      </c>
      <c r="O9" s="1">
        <f>100/83</f>
        <v>1.2048192771084338</v>
      </c>
    </row>
    <row r="10" spans="3:17" x14ac:dyDescent="0.25">
      <c r="C10" s="1">
        <v>9</v>
      </c>
      <c r="F10" s="1">
        <v>15</v>
      </c>
      <c r="N10" s="1">
        <v>11</v>
      </c>
      <c r="O10" s="1">
        <f>100/81</f>
        <v>1.2345679012345678</v>
      </c>
    </row>
    <row r="11" spans="3:17" x14ac:dyDescent="0.25">
      <c r="C11" s="1">
        <v>10</v>
      </c>
      <c r="F11" s="1">
        <v>20</v>
      </c>
      <c r="N11" s="1">
        <v>12</v>
      </c>
      <c r="O11" s="1">
        <f>100/79</f>
        <v>1.2658227848101267</v>
      </c>
    </row>
    <row r="16" spans="3:17" x14ac:dyDescent="0.25">
      <c r="E16" s="1">
        <v>1</v>
      </c>
    </row>
    <row r="17" spans="5:15" x14ac:dyDescent="0.25">
      <c r="E17" s="1">
        <v>2</v>
      </c>
    </row>
    <row r="18" spans="5:15" x14ac:dyDescent="0.25">
      <c r="E18" s="1">
        <v>3</v>
      </c>
      <c r="O18" s="114">
        <v>1</v>
      </c>
    </row>
    <row r="19" spans="5:15" x14ac:dyDescent="0.25">
      <c r="E19" s="1">
        <v>4</v>
      </c>
      <c r="O19" s="114">
        <v>2</v>
      </c>
    </row>
    <row r="20" spans="5:15" x14ac:dyDescent="0.25">
      <c r="E20" s="1">
        <v>5</v>
      </c>
      <c r="O20" s="114">
        <v>2.5</v>
      </c>
    </row>
    <row r="21" spans="5:15" ht="15.75" customHeight="1" x14ac:dyDescent="0.25">
      <c r="E21" s="1">
        <v>6</v>
      </c>
      <c r="O21" s="114">
        <v>3</v>
      </c>
    </row>
    <row r="22" spans="5:15" ht="15.75" customHeight="1" x14ac:dyDescent="0.25">
      <c r="E22" s="1">
        <v>7</v>
      </c>
      <c r="O22" s="114">
        <v>5</v>
      </c>
    </row>
    <row r="23" spans="5:15" ht="15.75" customHeight="1" x14ac:dyDescent="0.25">
      <c r="E23" s="1">
        <v>8</v>
      </c>
    </row>
    <row r="24" spans="5:15" ht="15.75" customHeight="1" x14ac:dyDescent="0.25">
      <c r="E24" s="1">
        <v>9</v>
      </c>
    </row>
    <row r="25" spans="5:15" ht="15.75" customHeight="1" x14ac:dyDescent="0.25">
      <c r="E25" s="1">
        <v>10</v>
      </c>
    </row>
    <row r="26" spans="5:15" ht="15.75" customHeight="1" x14ac:dyDescent="0.25">
      <c r="E26" s="1">
        <v>11</v>
      </c>
    </row>
    <row r="27" spans="5:15" ht="15.75" customHeight="1" x14ac:dyDescent="0.25">
      <c r="E27" s="1">
        <v>12</v>
      </c>
    </row>
    <row r="28" spans="5:15" ht="15.75" customHeight="1" x14ac:dyDescent="0.25">
      <c r="E28" s="1">
        <v>13</v>
      </c>
    </row>
    <row r="29" spans="5:15" ht="15.75" customHeight="1" x14ac:dyDescent="0.25">
      <c r="E29" s="1">
        <v>14</v>
      </c>
    </row>
    <row r="30" spans="5:15" ht="15.75" customHeight="1" x14ac:dyDescent="0.25">
      <c r="E30" s="1">
        <v>15</v>
      </c>
    </row>
    <row r="31" spans="5:15" ht="15.75" customHeight="1" x14ac:dyDescent="0.25">
      <c r="E31" s="1">
        <v>16</v>
      </c>
    </row>
    <row r="32" spans="5:15" ht="15.75" customHeight="1" x14ac:dyDescent="0.25">
      <c r="E32" s="1">
        <v>17</v>
      </c>
    </row>
    <row r="33" spans="5:5" ht="15.75" customHeight="1" x14ac:dyDescent="0.25">
      <c r="E33" s="1">
        <v>18</v>
      </c>
    </row>
    <row r="34" spans="5:5" ht="15.75" customHeight="1" x14ac:dyDescent="0.25">
      <c r="E34" s="1">
        <v>19</v>
      </c>
    </row>
    <row r="35" spans="5:5" ht="15.75" customHeight="1" x14ac:dyDescent="0.25">
      <c r="E35" s="1">
        <v>20</v>
      </c>
    </row>
    <row r="36" spans="5:5" ht="15.75" customHeight="1" x14ac:dyDescent="0.25">
      <c r="E36" s="1">
        <v>21</v>
      </c>
    </row>
    <row r="37" spans="5:5" ht="15.75" customHeight="1" x14ac:dyDescent="0.25">
      <c r="E37" s="1">
        <v>22</v>
      </c>
    </row>
    <row r="38" spans="5:5" ht="15.75" customHeight="1" x14ac:dyDescent="0.25">
      <c r="E38" s="1">
        <v>23</v>
      </c>
    </row>
    <row r="39" spans="5:5" ht="15.75" customHeight="1" x14ac:dyDescent="0.25">
      <c r="E39" s="1">
        <v>24</v>
      </c>
    </row>
    <row r="40" spans="5:5" ht="15.75" customHeight="1" x14ac:dyDescent="0.25">
      <c r="E40" s="1">
        <v>25</v>
      </c>
    </row>
    <row r="41" spans="5:5" ht="15.75" customHeight="1" x14ac:dyDescent="0.25">
      <c r="E41" s="1">
        <v>26</v>
      </c>
    </row>
    <row r="42" spans="5:5" ht="15.75" customHeight="1" x14ac:dyDescent="0.25">
      <c r="E42" s="1">
        <v>27</v>
      </c>
    </row>
    <row r="43" spans="5:5" ht="15.75" customHeight="1" x14ac:dyDescent="0.25">
      <c r="E43" s="1">
        <v>28</v>
      </c>
    </row>
    <row r="44" spans="5:5" ht="15.75" customHeight="1" x14ac:dyDescent="0.25">
      <c r="E44" s="1">
        <v>29</v>
      </c>
    </row>
    <row r="45" spans="5:5" ht="15.75" customHeight="1" x14ac:dyDescent="0.25">
      <c r="E45" s="1">
        <v>30</v>
      </c>
    </row>
    <row r="46" spans="5:5" ht="15.75" customHeight="1" x14ac:dyDescent="0.25">
      <c r="E46" s="1">
        <v>31</v>
      </c>
    </row>
    <row r="47" spans="5:5" ht="15.75" customHeight="1" x14ac:dyDescent="0.25">
      <c r="E47" s="1">
        <v>32</v>
      </c>
    </row>
    <row r="48" spans="5:5" ht="15.75" customHeight="1" x14ac:dyDescent="0.25">
      <c r="E48" s="1">
        <v>33</v>
      </c>
    </row>
    <row r="49" spans="5:5" ht="15.75" customHeight="1" x14ac:dyDescent="0.25">
      <c r="E49" s="1">
        <v>34</v>
      </c>
    </row>
    <row r="50" spans="5:5" ht="15.75" customHeight="1" x14ac:dyDescent="0.25">
      <c r="E50" s="1">
        <v>35</v>
      </c>
    </row>
    <row r="51" spans="5:5" ht="15.75" customHeight="1" x14ac:dyDescent="0.25">
      <c r="E51" s="1">
        <v>36</v>
      </c>
    </row>
    <row r="52" spans="5:5" ht="15.75" customHeight="1" x14ac:dyDescent="0.25">
      <c r="E52" s="1">
        <v>37</v>
      </c>
    </row>
    <row r="53" spans="5:5" ht="15.75" customHeight="1" x14ac:dyDescent="0.25">
      <c r="E53" s="1">
        <v>38</v>
      </c>
    </row>
    <row r="54" spans="5:5" ht="15.75" customHeight="1" x14ac:dyDescent="0.25">
      <c r="E54" s="1">
        <v>39</v>
      </c>
    </row>
    <row r="55" spans="5:5" ht="15.75" customHeight="1" x14ac:dyDescent="0.25">
      <c r="E55" s="1">
        <v>40</v>
      </c>
    </row>
    <row r="56" spans="5:5" ht="15.75" customHeight="1" x14ac:dyDescent="0.25">
      <c r="E56" s="1">
        <v>41</v>
      </c>
    </row>
    <row r="57" spans="5:5" ht="15.75" customHeight="1" x14ac:dyDescent="0.25">
      <c r="E57" s="1">
        <v>42</v>
      </c>
    </row>
    <row r="58" spans="5:5" ht="15.75" customHeight="1" x14ac:dyDescent="0.25">
      <c r="E58" s="1">
        <v>43</v>
      </c>
    </row>
    <row r="59" spans="5:5" ht="15.75" customHeight="1" x14ac:dyDescent="0.25">
      <c r="E59" s="1">
        <v>44</v>
      </c>
    </row>
    <row r="60" spans="5:5" ht="15.75" customHeight="1" x14ac:dyDescent="0.25">
      <c r="E60" s="1">
        <v>45</v>
      </c>
    </row>
    <row r="61" spans="5:5" ht="15.75" customHeight="1" x14ac:dyDescent="0.25">
      <c r="E61" s="1">
        <v>46</v>
      </c>
    </row>
    <row r="62" spans="5:5" ht="15.75" customHeight="1" x14ac:dyDescent="0.25"/>
    <row r="63" spans="5:5" ht="15.75" customHeight="1" x14ac:dyDescent="0.25"/>
    <row r="64" spans="5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spans="19:19" ht="15.75" customHeight="1" x14ac:dyDescent="0.25"/>
    <row r="146" spans="19:19" ht="15.75" customHeight="1" x14ac:dyDescent="0.25"/>
    <row r="147" spans="19:19" ht="15.75" customHeight="1" x14ac:dyDescent="0.25"/>
    <row r="148" spans="19:19" ht="15.75" customHeight="1" x14ac:dyDescent="0.25"/>
    <row r="149" spans="19:19" ht="15.75" customHeight="1" x14ac:dyDescent="0.25"/>
    <row r="150" spans="19:19" ht="15.75" customHeight="1" x14ac:dyDescent="0.25"/>
    <row r="151" spans="19:19" ht="15.75" customHeight="1" x14ac:dyDescent="0.25"/>
    <row r="152" spans="19:19" ht="15.75" customHeight="1" x14ac:dyDescent="0.25"/>
    <row r="153" spans="19:19" ht="15.75" customHeight="1" x14ac:dyDescent="0.25">
      <c r="S153" s="1" t="s">
        <v>99</v>
      </c>
    </row>
    <row r="154" spans="19:19" ht="15.75" customHeight="1" x14ac:dyDescent="0.25">
      <c r="S154" s="1" t="s">
        <v>0</v>
      </c>
    </row>
    <row r="155" spans="19:19" ht="15.75" customHeight="1" x14ac:dyDescent="0.25"/>
    <row r="156" spans="19:19" ht="15.75" customHeight="1" x14ac:dyDescent="0.25"/>
    <row r="157" spans="19:19" ht="15.75" customHeight="1" x14ac:dyDescent="0.25"/>
    <row r="158" spans="19:19" ht="15.75" customHeight="1" x14ac:dyDescent="0.25"/>
    <row r="159" spans="19:19" ht="15.75" customHeight="1" x14ac:dyDescent="0.25"/>
    <row r="160" spans="19:19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Программа тренировок </vt:lpstr>
      <vt:lpstr>Калькулятор подходов</vt:lpstr>
      <vt:lpstr>Формулы</vt:lpstr>
      <vt:lpstr>Коэффициенты</vt:lpstr>
      <vt:lpstr>Нет</vt:lpstr>
      <vt:lpstr>Подтягивания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User</cp:lastModifiedBy>
  <dcterms:created xsi:type="dcterms:W3CDTF">2017-11-22T10:19:40Z</dcterms:created>
  <dcterms:modified xsi:type="dcterms:W3CDTF">2025-07-20T18:11:11Z</dcterms:modified>
</cp:coreProperties>
</file>