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ограмма тренировок " sheetId="1" r:id="rId4"/>
    <sheet state="visible" name="Калькулятор подходов" sheetId="2" r:id="rId5"/>
    <sheet state="visible" name="Формулы" sheetId="3" r:id="rId6"/>
    <sheet state="visible" name="Коэффициенты" sheetId="4" r:id="rId7"/>
    <sheet state="visible" name="RPE" sheetId="5" r:id="rId8"/>
  </sheets>
  <definedNames>
    <definedName name="Подтягивания">'Коэффициенты'!$C$2:$C$7</definedName>
    <definedName name="Нет">'Коэффициенты'!$C$2:$C$7</definedName>
    <definedName hidden="1" name="Google_Sheet_Link_116204062">Подтягивания</definedName>
    <definedName hidden="1" name="Google_Sheet_Link_2082803515">Нет</definedName>
  </definedNames>
  <calcPr/>
  <extLst>
    <ext uri="GoogleSheetsCustomDataVersion2">
      <go:sheetsCustomData xmlns:go="http://customooxmlschemas.google.com/" r:id="rId9" roundtripDataChecksum="INjWmT/qjeJOXumWQ7S+I3ZerkTGA0eSVP3JPtfn8pc="/>
    </ext>
  </extLst>
</workbook>
</file>

<file path=xl/sharedStrings.xml><?xml version="1.0" encoding="utf-8"?>
<sst xmlns="http://schemas.openxmlformats.org/spreadsheetml/2006/main" count="940" uniqueCount="202">
  <si>
    <t xml:space="preserve">Если у вас возникнут вопросы, то у меня есть постоянная поддержка к программам тренировок для всех подписчиков Boosty </t>
  </si>
  <si>
    <t>ПРАВИЛА СИЛОВОЙ ТРЕНИРОВКИ:</t>
  </si>
  <si>
    <t>Разминка:</t>
  </si>
  <si>
    <t>Каждая тренировка начинается с суставной гимнастики - необходимо в течение 5-10 минут разогреть все суставы (выполнить вращательные, сгибательные и разгибательные движения всеми доступными частями тела) - уделить особое внимание плечевому суставу, позвоночнику, коленям</t>
  </si>
  <si>
    <t>Разминочные подходы:</t>
  </si>
  <si>
    <t xml:space="preserve">В каждом упражнении делаем от 1 до 4,5 или даже 6 разминочных подходов перед рабочим весом (чем больше рабочий вес - тем больше подходов необходимо чтобы подготовить тело). </t>
  </si>
  <si>
    <t>В упражнениях с маленьким весом в качестве разминки достаточно взять 50% от рабочего веса и медленно поработать на 8-10 повторений в одном подходе (не закисляясь)</t>
  </si>
  <si>
    <t>Чем больше рабочий вес, тем больше требуется разминочных подходов перед рабочим весом, при этом во время разминки не делать большого кол-ва повторений, чтобы не закисляться (1х8, 1х6, 1х4, 1х2, 1х1)</t>
  </si>
  <si>
    <t xml:space="preserve">Например если приседания 120 кг, то понадобится сделать 20*8, 50*6, 70*4, 90*2, 110*1, а только затем рабочий вес (делать большие шаги в увеличении веса после 50%ПМ травмоопасно - 10-20 кг оптимальный шаг) </t>
  </si>
  <si>
    <t>Отдых между подходами:</t>
  </si>
  <si>
    <t xml:space="preserve">Во время силовой тренировки на 3-6 повторений с субмаксимальными весами используются большие интервалы времени отдыха 5-10 минут </t>
  </si>
  <si>
    <t xml:space="preserve">Во время лёгких недель при работе со средними весами на 5-12 повторений можно выполнять по 3-5 минут отдыха между подходами </t>
  </si>
  <si>
    <t xml:space="preserve">Лучшим индикатором является ваше самочувствие - вы должны отдыхать настолько долго, насколько вам требуется чтобы не чувствовать утомление во время подхода </t>
  </si>
  <si>
    <t xml:space="preserve">Если вам кажется что вы слишком легко поднимаете указанный вес, то выполняйте его с акцентом на скорость </t>
  </si>
  <si>
    <t>Частота тренировок:</t>
  </si>
  <si>
    <t xml:space="preserve">Оптимальная частота тренировок 2-3 тренировочных дня в неделю </t>
  </si>
  <si>
    <t xml:space="preserve">Тренировочные дни при этом выполняются в указанном порядке </t>
  </si>
  <si>
    <t>После первого мезоцикла рекомендую взять отдых 1 неделю для полного восстановления</t>
  </si>
  <si>
    <t>Инструкция к подготовительному периоду:</t>
  </si>
  <si>
    <t>1. Выберите упражнения, которые наиболее точно соответствуют вашему уровню физической подготовки, состоянию здоровья и личным предпочтениям</t>
  </si>
  <si>
    <t>Для этого нажмите на название упражнения в списке подготовительного периода и программа выдаст доступные варианты на замену каждого упражнения</t>
  </si>
  <si>
    <t xml:space="preserve">Если нажать на "+", то в программу добавится ещё одно упражнение на выбор </t>
  </si>
  <si>
    <t>2. Выполните 1 рабочий подход с весом, который соответствует условиям приведённым в таблице</t>
  </si>
  <si>
    <t xml:space="preserve">Перед этим рабочим подходом обязательно выполняем разминочные! </t>
  </si>
  <si>
    <r>
      <rPr>
        <rFont val="Calibri"/>
        <b/>
        <color theme="1"/>
        <sz val="14.0"/>
      </rPr>
      <t>6-8ПМ - это</t>
    </r>
    <r>
      <rPr>
        <rFont val="Calibri"/>
        <color theme="1"/>
        <sz val="14.0"/>
      </rPr>
      <t xml:space="preserve"> вес, который соответствует 6-8 повторениям в отказ (то есть вы должны выбрать вес, с которым можете сделать не менее 6 и не более 8 повторений после чего произойдёт отказ)</t>
    </r>
  </si>
  <si>
    <r>
      <rPr>
        <rFont val="Calibri"/>
        <b/>
        <color theme="1"/>
        <sz val="14.0"/>
      </rPr>
      <t>7-9 RPE - это</t>
    </r>
    <r>
      <rPr>
        <rFont val="Calibri"/>
        <color theme="1"/>
        <sz val="14.0"/>
      </rPr>
      <t xml:space="preserve"> близость к отказу - то есть вы должны выполнить подход, сохранив от 1 до 3 повторений в запасе до отказа </t>
    </r>
  </si>
  <si>
    <r>
      <rPr>
        <rFont val="Calibri"/>
        <color theme="1"/>
        <sz val="14.0"/>
      </rPr>
      <t xml:space="preserve">Получается что </t>
    </r>
    <r>
      <rPr>
        <rFont val="Calibri"/>
        <b/>
        <color theme="1"/>
        <sz val="14.0"/>
      </rPr>
      <t>6-8ПМ и 7-9 RPE</t>
    </r>
    <r>
      <rPr>
        <rFont val="Calibri"/>
        <color theme="1"/>
        <sz val="14.0"/>
      </rPr>
      <t xml:space="preserve"> это подход с весом, который вы могли бы поднять 6-8 повторений, но сделаете с ним подход остановившись на 1-3 повторениях до отказа (получается от 3 до 7 повторений)</t>
    </r>
  </si>
  <si>
    <r>
      <rPr>
        <rFont val="Calibri"/>
        <color theme="1"/>
        <sz val="14.0"/>
      </rPr>
      <t xml:space="preserve">Вносим рабочий вес и полученное количество повторений в таблицу, а также оцениваем </t>
    </r>
    <r>
      <rPr>
        <rFont val="Calibri"/>
        <b/>
        <color theme="1"/>
        <sz val="14.0"/>
      </rPr>
      <t>RPE подхода</t>
    </r>
    <r>
      <rPr>
        <rFont val="Calibri"/>
        <color theme="1"/>
        <sz val="14.0"/>
      </rPr>
      <t xml:space="preserve"> по шкале от 6,5 до 10 </t>
    </r>
  </si>
  <si>
    <t>ЧТО ТАКОЕ RPE!?</t>
  </si>
  <si>
    <r>
      <rPr>
        <rFont val="Calibri"/>
        <color theme="1"/>
        <sz val="14.0"/>
      </rPr>
      <t xml:space="preserve">После этого таблица сама будет рассчитывать рабочий вес в следующих подходах, нужно только выставлять оценку </t>
    </r>
    <r>
      <rPr>
        <rFont val="Calibri"/>
        <b/>
        <color theme="1"/>
        <sz val="14.0"/>
      </rPr>
      <t>RPE</t>
    </r>
  </si>
  <si>
    <r>
      <rPr>
        <rFont val="Calibri"/>
        <color theme="1"/>
        <sz val="14.0"/>
      </rPr>
      <t xml:space="preserve">Колонка </t>
    </r>
    <r>
      <rPr>
        <rFont val="Calibri"/>
        <b/>
        <color theme="1"/>
        <sz val="14.0"/>
      </rPr>
      <t>"Округл"</t>
    </r>
    <r>
      <rPr>
        <rFont val="Calibri"/>
        <color theme="1"/>
        <sz val="14.0"/>
      </rPr>
      <t xml:space="preserve"> округляет рабочие веса до 1 или 2,5 (для удобства подбора веса отягощения)</t>
    </r>
  </si>
  <si>
    <t xml:space="preserve">например для штанги стандартный шаг 2,5 кг, а для гантелей 1 или 2 кг </t>
  </si>
  <si>
    <t>ПОДГОТОВИТЕЛЬНЫЙ ПЕРИОД</t>
  </si>
  <si>
    <t>Неделя 1</t>
  </si>
  <si>
    <t>Неделя 2</t>
  </si>
  <si>
    <t>УСЛОВИЯ 1 ПОДХОДА</t>
  </si>
  <si>
    <t>1 подход</t>
  </si>
  <si>
    <t>2 подход</t>
  </si>
  <si>
    <t>3 подход</t>
  </si>
  <si>
    <t>День 1:</t>
  </si>
  <si>
    <t>ПМ</t>
  </si>
  <si>
    <t>RPE</t>
  </si>
  <si>
    <t>Округл</t>
  </si>
  <si>
    <t>Вес</t>
  </si>
  <si>
    <t>Повт</t>
  </si>
  <si>
    <t xml:space="preserve">Вес </t>
  </si>
  <si>
    <t>Жим штанги лёжа</t>
  </si>
  <si>
    <t>6-8ПМ</t>
  </si>
  <si>
    <t>7-9</t>
  </si>
  <si>
    <t>Подтягивания (с отягощением)</t>
  </si>
  <si>
    <t xml:space="preserve">Повторения </t>
  </si>
  <si>
    <t>Жим платформы ногами</t>
  </si>
  <si>
    <t>8-10ПМ</t>
  </si>
  <si>
    <t>Махи с гантелями в стороны</t>
  </si>
  <si>
    <t>10-12ПМ</t>
  </si>
  <si>
    <t>+</t>
  </si>
  <si>
    <t>День 2:</t>
  </si>
  <si>
    <t>Ягодичный мост</t>
  </si>
  <si>
    <t>Подъём штанги на бицепс</t>
  </si>
  <si>
    <t>Разгибания рук на блоке</t>
  </si>
  <si>
    <t>День 3:</t>
  </si>
  <si>
    <t>Подх</t>
  </si>
  <si>
    <t>Приседания в колодец</t>
  </si>
  <si>
    <t>Жим гантелей сидя</t>
  </si>
  <si>
    <t>Тяга штанги в наклоне</t>
  </si>
  <si>
    <t>Подтягивания (собственный вес)</t>
  </si>
  <si>
    <t>Инструкция к "ТЕСТОВОЙ НЕДЕЛЕ":</t>
  </si>
  <si>
    <t>ТЕСТОВАЯ НЕДЕЛЯ</t>
  </si>
  <si>
    <t>Сразу после подготовительного периода мы проводим тестовую неделю</t>
  </si>
  <si>
    <t xml:space="preserve">Вес (кг) </t>
  </si>
  <si>
    <t>Повторений</t>
  </si>
  <si>
    <t>Нам необходимо оценить свои силовые показатели, чтобы программа рассчитала рабочие веса для следующего периода</t>
  </si>
  <si>
    <r>
      <rPr>
        <rFont val="Calibri"/>
        <color theme="1"/>
        <sz val="14.0"/>
      </rPr>
      <t xml:space="preserve">Для этого нам необходимо протестировать все упражнения по 1 подходу в отказ и вписать результаты </t>
    </r>
    <r>
      <rPr>
        <rFont val="Calibri"/>
        <b/>
        <color theme="1"/>
        <sz val="14.0"/>
      </rPr>
      <t>рабочего веса</t>
    </r>
    <r>
      <rPr>
        <rFont val="Calibri"/>
        <color theme="1"/>
        <sz val="14.0"/>
      </rPr>
      <t xml:space="preserve"> и </t>
    </r>
    <r>
      <rPr>
        <rFont val="Calibri"/>
        <b/>
        <color theme="1"/>
        <sz val="14.0"/>
      </rPr>
      <t>количества повторений</t>
    </r>
    <r>
      <rPr>
        <rFont val="Calibri"/>
        <color theme="1"/>
        <sz val="14.0"/>
      </rPr>
      <t xml:space="preserve">  </t>
    </r>
  </si>
  <si>
    <t>Вес (кг) ↓</t>
  </si>
  <si>
    <t>ПМ ↓</t>
  </si>
  <si>
    <t>Перед этим подходом нужно выполнить несколько разминочных подходов</t>
  </si>
  <si>
    <t>Затем отдохните 5-6 минут и выполните подход до отказа (без нарушений техники)</t>
  </si>
  <si>
    <t>Вес должен быть достаточно большим, так как только это обеспечит наилучшую точность вычислений</t>
  </si>
  <si>
    <t xml:space="preserve">Для базовых упражнений самый точный диапазон повторений от 3 до 6, поэтому вам нужно выбрать для этого подхода большой вес, </t>
  </si>
  <si>
    <t>но вы можете выполнить от 1 до 10 повторений - это имеет приемлемую точность</t>
  </si>
  <si>
    <t>В подтягиваниях и отжиманиях "с дополнительным весом", подставляем вес тела + вес отягощения</t>
  </si>
  <si>
    <t>(Если ваш вес 80 кг и вы подтягиваетесь с дополнительным весом 20 кг на 5 повторений, то подставляем 100 кг на 5 повторений)</t>
  </si>
  <si>
    <t xml:space="preserve">Если вы всё сделали правильно и ввели вручную результаты в ячейки, то программа рассчитает для вас рабочие веса, количество подходов и повторений, с которыми нужно заниматься в последующий период </t>
  </si>
  <si>
    <r>
      <rPr>
        <rFont val="Calibri"/>
        <color theme="1"/>
        <sz val="14.0"/>
      </rPr>
      <t>Если же в таблице присутствует</t>
    </r>
    <r>
      <rPr>
        <rFont val="Calibri"/>
        <b/>
        <color theme="1"/>
        <sz val="14.0"/>
      </rPr>
      <t xml:space="preserve"> #Н/Д, </t>
    </r>
    <r>
      <rPr>
        <rFont val="Calibri"/>
        <color theme="1"/>
        <sz val="14.0"/>
      </rPr>
      <t xml:space="preserve">то это говорит о том что вы где-то допустили ошибку (чаще всего вы ввели неверное значение ПМ, которое не попадает в указанный диапазон) </t>
    </r>
  </si>
  <si>
    <t xml:space="preserve">Перепроверьте правильно ли вы заполнили упражнения "с собственным весом" (если они присутствуют) - в них нам необходимо вместо шага подставить желаемую прибавку в количестве повторений  </t>
  </si>
  <si>
    <t>МЕЗОЦИКЛ 1</t>
  </si>
  <si>
    <t xml:space="preserve">Неделя 1 </t>
  </si>
  <si>
    <t>Неделя 3</t>
  </si>
  <si>
    <t>Подходы</t>
  </si>
  <si>
    <t>Повторения</t>
  </si>
  <si>
    <t>МЕЗОЦИКЛ 2</t>
  </si>
  <si>
    <t xml:space="preserve">Неделя 4 </t>
  </si>
  <si>
    <t>Неделя 5</t>
  </si>
  <si>
    <t>Неделя 6</t>
  </si>
  <si>
    <t>МЕЗОЦИКЛ 3</t>
  </si>
  <si>
    <t>Неделя 7</t>
  </si>
  <si>
    <t>Неделя 8</t>
  </si>
  <si>
    <t>Неделя 9</t>
  </si>
  <si>
    <t xml:space="preserve">Авторские видео-гайды по упражнениям и другие программы тренировок доступны подписчикам на Boosty </t>
  </si>
  <si>
    <t>boosty.to/yetiblog</t>
  </si>
  <si>
    <t>Подтягивания</t>
  </si>
  <si>
    <t>Подтягивания в гравитроне и тяга вертикального блока</t>
  </si>
  <si>
    <t>Жим гантелей лёжа</t>
  </si>
  <si>
    <t>Армейский жим</t>
  </si>
  <si>
    <t>Шраги со штангой или гантелями</t>
  </si>
  <si>
    <t>Тяга горизонтального блока к поясу</t>
  </si>
  <si>
    <t>Сгибания рук на скамье Скотта с гантелями</t>
  </si>
  <si>
    <t>Пуловер у верхнего блока</t>
  </si>
  <si>
    <t>Разгибания рук у верхнего блока</t>
  </si>
  <si>
    <t>Махи с гантелями</t>
  </si>
  <si>
    <t>Французский жим с гантелями </t>
  </si>
  <si>
    <t>Разведения рук </t>
  </si>
  <si>
    <t>Скручивания для пресса</t>
  </si>
  <si>
    <t>Планка</t>
  </si>
  <si>
    <t>Приседания со штангой</t>
  </si>
  <si>
    <t>Фронтальные приседания со штангой</t>
  </si>
  <si>
    <t>Становая тяга</t>
  </si>
  <si>
    <t>Выпады с гантелями</t>
  </si>
  <si>
    <t>Жим платформы</t>
  </si>
  <si>
    <t>Мёртвая тяга</t>
  </si>
  <si>
    <t>Сгибания ног в тренажёре (сидя/лёжа)</t>
  </si>
  <si>
    <t>Сгибания ног стоя на нижнем блоке</t>
  </si>
  <si>
    <t>Разгибание бедра</t>
  </si>
  <si>
    <t>Разгибания ног сидя</t>
  </si>
  <si>
    <t>Экстензия и Гудмонинг</t>
  </si>
  <si>
    <t>Подъёмы на носки стоя/сидя</t>
  </si>
  <si>
    <t>УМНАЯ ПРОГА 1.0  - САМАЯ ПОДРОБНАЯ ПРОГРАММА ДЛЯ НОВИЧКОВ</t>
  </si>
  <si>
    <t>УМНАЯ ПРОГА 2.0 - С АКЦЕНТОМ НА СИЛУ</t>
  </si>
  <si>
    <t>УМНАЯ ПРОГА 2.1 - С БОЛЬШИМ АКЦЕНТОМ НА СИЛУ</t>
  </si>
  <si>
    <t>УМНАЯ ПРОГА 3.0 - С АКЦЕНТОМ НА ГИПЕРТРОФИЮ</t>
  </si>
  <si>
    <t>УМНАЯ ПРОГА 4.0 - БЕЗ ОСЕВЫХ НАГРУЗОК  </t>
  </si>
  <si>
    <t>УМНАЯ ПРОГА 5.0 - ДЛЯ БОЛЕЕ ОПЫТНЫХ (БЛОКОВАЯ ПЕРИОДИЗАЦИЯ)</t>
  </si>
  <si>
    <t>УМНАЯ ПРОГА 6.0 - САМАЯ МИНИМАЛИСТИЧНАЯ ПРОГА (ЛИНЕЙНАЯ)</t>
  </si>
  <si>
    <t>ПРОХОДКА (ВЫХОД НА 1ПМ) В ЖИМЕ ЛЁЖА ДЛЯ ЖИМА ДО 100 КГ</t>
  </si>
  <si>
    <t>ПРОХОДКА (ВЫХОД НА 1ПМ) В СТАНОВОЙ ТЯГЕ ДО 200 КГ</t>
  </si>
  <si>
    <t>Ваш ПМ:</t>
  </si>
  <si>
    <t>Время отдыха</t>
  </si>
  <si>
    <t>1 мин</t>
  </si>
  <si>
    <t>1-2 мин</t>
  </si>
  <si>
    <t>2 мин</t>
  </si>
  <si>
    <t>2-3 мин</t>
  </si>
  <si>
    <t>4 подход</t>
  </si>
  <si>
    <t>5 подход</t>
  </si>
  <si>
    <t>3 мин</t>
  </si>
  <si>
    <t>6 подход</t>
  </si>
  <si>
    <t>4 мин</t>
  </si>
  <si>
    <t>7 подход</t>
  </si>
  <si>
    <t>5 мин</t>
  </si>
  <si>
    <t>8 подход</t>
  </si>
  <si>
    <t>9 подход</t>
  </si>
  <si>
    <t>6 мин</t>
  </si>
  <si>
    <t>ПРОХОДКА (ВЫХОД НА 1ПМ) В ЖИМЕ ЛЁЖА ДЛЯ ЖИМА 100-150 кг</t>
  </si>
  <si>
    <t>ПРОХОДКА (ВЫХОД НА 1ПМ) В СТАНОВОЙ ТЯГЕ 200-250 КГ</t>
  </si>
  <si>
    <t>10 подход</t>
  </si>
  <si>
    <t>ПРОХОДКА (ВЫХОД НА 1ПМ) В ЖИМЕ ЛЁЖА ДЛЯ ЖИМА БОЛЕЕ 150 КГ</t>
  </si>
  <si>
    <t>ПРОХОДКА (ВЫХОД НА 1ПМ) В СТАНОВОЙ СВЫШЕ 300 КГ</t>
  </si>
  <si>
    <t>11 подход</t>
  </si>
  <si>
    <t>12 подход</t>
  </si>
  <si>
    <t>Введите свой 4-7ПМ в ячейки:</t>
  </si>
  <si>
    <t>Неделя 4</t>
  </si>
  <si>
    <t>вес (кг) ↓</t>
  </si>
  <si>
    <t>ПМ (повт до отказа)↓</t>
  </si>
  <si>
    <t>Округл ↓:</t>
  </si>
  <si>
    <t>Округлить до↓</t>
  </si>
  <si>
    <t>Отжимания на брусьях (с доп весом)</t>
  </si>
  <si>
    <t>Жим штанги лёжа на наклонной скамье</t>
  </si>
  <si>
    <t>собств.</t>
  </si>
  <si>
    <t>Тяга вертикального блока</t>
  </si>
  <si>
    <t xml:space="preserve">до отказа </t>
  </si>
  <si>
    <t>до отказа</t>
  </si>
  <si>
    <t xml:space="preserve">Тяга к подбородку </t>
  </si>
  <si>
    <t xml:space="preserve">Жим гантелей лёжа </t>
  </si>
  <si>
    <t xml:space="preserve"> </t>
  </si>
  <si>
    <t>Молот</t>
  </si>
  <si>
    <t>Жим лёжа узким хватом</t>
  </si>
  <si>
    <t>Отжимания на брусьях (собственный вес)</t>
  </si>
  <si>
    <t>Шраги</t>
  </si>
  <si>
    <t>Подъёмы на носки</t>
  </si>
  <si>
    <t>Тяга гантели в наклоне</t>
  </si>
  <si>
    <t>Тяга в хаммере</t>
  </si>
  <si>
    <t>Фронтальные приседания</t>
  </si>
  <si>
    <t>Пуловер</t>
  </si>
  <si>
    <t xml:space="preserve">Сгибания ног </t>
  </si>
  <si>
    <t xml:space="preserve">Разгибания ног </t>
  </si>
  <si>
    <t xml:space="preserve">Скручивания </t>
  </si>
  <si>
    <t>Экстензия</t>
  </si>
  <si>
    <t>Шаг:</t>
  </si>
  <si>
    <t>1ПМ:</t>
  </si>
  <si>
    <t xml:space="preserve">ВИДЕО-ИНСТРУКЦИЯ К ДАННОЙ ПРОГРАММЕ ТРЕНИРОВОК </t>
  </si>
  <si>
    <r>
      <rPr>
        <rFont val="Arial"/>
        <b/>
        <color theme="1"/>
        <sz val="14.0"/>
      </rPr>
      <t xml:space="preserve">RPE (Rating of Perceived Exertion) - </t>
    </r>
    <r>
      <rPr>
        <rFont val="Arial"/>
        <color theme="1"/>
        <sz val="14.0"/>
      </rPr>
      <t xml:space="preserve">это субъективная оценка уровня нагрузки по шкале от 0 до 10 (где 0 лежание на диване, а 10 подход с максимально возможным усилием) </t>
    </r>
  </si>
  <si>
    <r>
      <rPr>
        <rFont val="Arial"/>
        <b/>
        <color rgb="FF000000"/>
        <sz val="12.0"/>
      </rPr>
      <t>• RPE 10</t>
    </r>
    <r>
      <rPr>
        <rFont val="Arial"/>
        <color rgb="FF000000"/>
        <sz val="12.0"/>
      </rPr>
      <t xml:space="preserve"> = Абсолютное максимальное усилие, без повторений оставшихся в запасе (отказ).</t>
    </r>
  </si>
  <si>
    <r>
      <rPr>
        <rFont val="Arial"/>
        <b/>
        <color theme="1"/>
        <sz val="12.0"/>
      </rPr>
      <t>• RPE 9.5</t>
    </r>
    <r>
      <rPr>
        <rFont val="Arial"/>
        <color theme="1"/>
        <sz val="12.0"/>
      </rPr>
      <t xml:space="preserve"> = Cубмаксимальное усилие, при котором у вас нет ни одного повторения в запасе, но есть возможность увеличить рабочий вес</t>
    </r>
  </si>
  <si>
    <r>
      <rPr>
        <rFont val="Arial"/>
        <b/>
        <color rgb="FF000000"/>
        <sz val="12.0"/>
      </rPr>
      <t>• RPE 9</t>
    </r>
    <r>
      <rPr>
        <rFont val="Arial"/>
        <color rgb="FF000000"/>
        <sz val="12.0"/>
      </rPr>
      <t xml:space="preserve"> = Очень тяжелый подход, при котором у вас есть 1 повторение в запасе</t>
    </r>
  </si>
  <si>
    <r>
      <rPr>
        <rFont val="Arial"/>
        <b/>
        <color rgb="FF000000"/>
        <sz val="12.0"/>
      </rPr>
      <t>• RPE 8.5</t>
    </r>
    <r>
      <rPr>
        <rFont val="Arial"/>
        <color rgb="FF000000"/>
        <sz val="12.0"/>
      </rPr>
      <t xml:space="preserve"> = Полтора повторения в запасе - вы не можете выполнить 2 повторения, но можете немного увеличить вес, выполнив с ним то же одно повторение</t>
    </r>
  </si>
  <si>
    <r>
      <rPr>
        <rFont val="Arial"/>
        <b/>
        <color rgb="FF000000"/>
        <sz val="12.0"/>
      </rPr>
      <t>• RPE 8</t>
    </r>
    <r>
      <rPr>
        <rFont val="Arial"/>
        <color rgb="FF000000"/>
        <sz val="12.0"/>
      </rPr>
      <t xml:space="preserve"> = Два повторения в запасе </t>
    </r>
  </si>
  <si>
    <r>
      <rPr>
        <rFont val="Arial"/>
        <b/>
        <color rgb="FF000000"/>
        <sz val="12.0"/>
      </rPr>
      <t>• RPE 7.5</t>
    </r>
    <r>
      <rPr>
        <rFont val="Arial"/>
        <color rgb="FF000000"/>
        <sz val="12.0"/>
      </rPr>
      <t xml:space="preserve"> = Два с половиной повторения в запасе - вы можете немного увеличить рабочий вес, оставив 2 повторения в запасе</t>
    </r>
  </si>
  <si>
    <r>
      <rPr>
        <rFont val="Arial"/>
        <b/>
        <color rgb="FF000000"/>
        <sz val="12.0"/>
      </rPr>
      <t>• RPE 7</t>
    </r>
    <r>
      <rPr>
        <rFont val="Arial"/>
        <color rgb="FF000000"/>
        <sz val="12.0"/>
      </rPr>
      <t xml:space="preserve"> = Три повторения в запасе</t>
    </r>
  </si>
  <si>
    <r>
      <rPr>
        <rFont val="Arial"/>
        <b/>
        <color rgb="FF000000"/>
        <sz val="12.0"/>
      </rPr>
      <t>• RPE 6.5</t>
    </r>
    <r>
      <rPr>
        <rFont val="Arial"/>
        <color rgb="FF000000"/>
        <sz val="12.0"/>
      </rPr>
      <t xml:space="preserve"> = Три с половиной повторения в запасе </t>
    </r>
  </si>
  <si>
    <t xml:space="preserve">Люди могут достаточно точно оценивать RPE тяжёлых подходов, в которых менее 4 повторений в запасе (от 6,5 до 10 RPE), но не лёгких подходов где в запасе 8 или 9 повторений (RPE 1-2), </t>
  </si>
  <si>
    <t>поэтому в программе тренировок не будет полной шкалы и будут оцениваться именно тяжёлые подходы</t>
  </si>
  <si>
    <t>Конечно всё это требует практики, поэтому вам отведены 2 подготовительные недели чтобы этому научиться</t>
  </si>
  <si>
    <t xml:space="preserve">Оценивайте сложность каждого подхода по шкале от 6,5 до 10 - со временем точность ваших оценок будет возрастать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</si>
</sst>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9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theme="1"/>
      <name val="Calibri"/>
    </font>
    <font>
      <b/>
      <u/>
      <sz val="14.0"/>
      <color rgb="FF0000FF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1.0"/>
      <color theme="1"/>
      <name val="Calibri"/>
    </font>
    <font>
      <b/>
      <sz val="16.0"/>
      <color theme="1"/>
      <name val="Calibri"/>
    </font>
    <font/>
    <font>
      <i/>
      <sz val="14.0"/>
      <color theme="1"/>
      <name val="Calibri"/>
    </font>
    <font>
      <b/>
      <sz val="14.0"/>
      <color rgb="FF000000"/>
      <name val="Arial"/>
    </font>
    <font>
      <u/>
      <sz val="14.0"/>
      <color theme="10"/>
      <name val="Calibri"/>
    </font>
    <font>
      <sz val="12.0"/>
      <color rgb="FFFF0000"/>
      <name val="Calibri"/>
    </font>
    <font>
      <sz val="12.0"/>
      <color theme="1"/>
      <name val="Calibri"/>
    </font>
    <font>
      <u/>
      <sz val="14.0"/>
      <color theme="1"/>
      <name val="Calibri"/>
    </font>
    <font>
      <b/>
      <u/>
      <sz val="16.0"/>
      <color theme="10"/>
      <name val="Calibri"/>
    </font>
    <font>
      <b/>
      <sz val="12.0"/>
      <color theme="1"/>
      <name val="Calibri"/>
    </font>
    <font>
      <sz val="14.0"/>
      <color rgb="FFFF0000"/>
      <name val="Calibri"/>
    </font>
    <font>
      <b/>
      <i/>
      <sz val="11.0"/>
      <color theme="1"/>
      <name val="Calibri"/>
    </font>
    <font>
      <u/>
      <sz val="14.0"/>
      <color theme="10"/>
      <name val="Calibri"/>
    </font>
    <font>
      <u/>
      <sz val="18.0"/>
      <color theme="10"/>
      <name val="Calibri"/>
    </font>
    <font>
      <u/>
      <sz val="14.0"/>
      <color rgb="FF0000FF"/>
      <name val="Calibri"/>
    </font>
    <font>
      <color theme="1"/>
      <name val="Calibri"/>
      <scheme val="minor"/>
    </font>
    <font>
      <u/>
      <sz val="14.0"/>
      <color theme="10"/>
      <name val="Calibri"/>
    </font>
    <font>
      <u/>
      <sz val="11.0"/>
      <color theme="10"/>
      <name val="Calibri"/>
    </font>
    <font>
      <sz val="14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sz val="16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</fills>
  <borders count="7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theme="1"/>
      </left>
      <right/>
      <top style="medium">
        <color theme="1"/>
      </top>
      <bottom/>
    </border>
    <border>
      <left/>
      <right/>
      <top style="medium">
        <color theme="1"/>
      </top>
      <bottom/>
    </border>
    <border>
      <left/>
      <right style="medium">
        <color theme="1"/>
      </right>
      <top style="medium">
        <color theme="1"/>
      </top>
      <bottom/>
    </border>
    <border>
      <left style="medium">
        <color theme="1"/>
      </left>
      <right/>
      <top/>
      <bottom/>
    </border>
    <border>
      <left/>
      <right/>
      <top/>
      <bottom/>
    </border>
    <border>
      <left/>
      <right style="medium">
        <color theme="1"/>
      </right>
      <top/>
      <bottom/>
    </border>
    <border>
      <left style="medium">
        <color theme="1"/>
      </left>
      <right/>
      <top/>
      <bottom style="medium">
        <color theme="1"/>
      </bottom>
    </border>
    <border>
      <left/>
      <right/>
      <top/>
      <bottom style="medium">
        <color theme="1"/>
      </bottom>
    </border>
    <border>
      <left/>
      <right style="medium">
        <color theme="1"/>
      </right>
      <top/>
      <bottom style="medium">
        <color theme="1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</border>
    <border>
      <left style="medium">
        <color theme="4"/>
      </left>
      <right style="medium">
        <color theme="4"/>
      </right>
      <top style="medium">
        <color theme="4"/>
      </top>
    </border>
    <border>
      <left style="medium">
        <color theme="4"/>
      </left>
      <top style="medium">
        <color theme="4"/>
      </top>
    </border>
    <border>
      <left style="medium">
        <color theme="4"/>
      </left>
      <top style="medium">
        <color theme="4"/>
      </top>
      <bottom style="medium">
        <color theme="4"/>
      </bottom>
    </border>
    <border>
      <left style="medium">
        <color theme="4"/>
      </left>
      <right style="medium">
        <color theme="4"/>
      </right>
      <bottom style="medium">
        <color theme="4"/>
      </bottom>
    </border>
    <border>
      <left style="medium">
        <color theme="4"/>
      </left>
      <bottom style="medium">
        <color theme="4"/>
      </bottom>
    </border>
    <border>
      <right style="medium">
        <color theme="4"/>
      </right>
      <top style="medium">
        <color theme="4"/>
      </top>
      <bottom style="medium">
        <color theme="4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1" fillId="2" fontId="7" numFmtId="0" xfId="0" applyAlignment="1" applyBorder="1" applyFill="1" applyFont="1">
      <alignment horizontal="center" vertical="center"/>
    </xf>
    <xf borderId="2" fillId="0" fontId="8" numFmtId="0" xfId="0" applyBorder="1" applyFont="1"/>
    <xf borderId="3" fillId="0" fontId="8" numFmtId="0" xfId="0" applyBorder="1" applyFont="1"/>
    <xf borderId="0" fillId="0" fontId="9" numFmtId="0" xfId="0" applyFont="1"/>
    <xf borderId="4" fillId="0" fontId="8" numFmtId="0" xfId="0" applyBorder="1" applyFont="1"/>
    <xf borderId="5" fillId="0" fontId="8" numFmtId="0" xfId="0" applyBorder="1" applyFont="1"/>
    <xf borderId="6" fillId="0" fontId="8" numFmtId="0" xfId="0" applyBorder="1" applyFont="1"/>
    <xf borderId="0" fillId="0" fontId="6" numFmtId="0" xfId="0" applyAlignment="1" applyFont="1">
      <alignment horizontal="center"/>
    </xf>
    <xf borderId="7" fillId="2" fontId="4" numFmtId="0" xfId="0" applyBorder="1" applyFont="1"/>
    <xf borderId="8" fillId="2" fontId="1" numFmtId="0" xfId="0" applyBorder="1" applyFont="1"/>
    <xf borderId="8" fillId="2" fontId="6" numFmtId="0" xfId="0" applyBorder="1" applyFont="1"/>
    <xf borderId="9" fillId="2" fontId="1" numFmtId="0" xfId="0" applyBorder="1" applyFont="1"/>
    <xf borderId="10" fillId="2" fontId="5" numFmtId="0" xfId="0" applyBorder="1" applyFont="1"/>
    <xf borderId="11" fillId="2" fontId="1" numFmtId="0" xfId="0" applyBorder="1" applyFont="1"/>
    <xf borderId="11" fillId="2" fontId="6" numFmtId="0" xfId="0" applyBorder="1" applyFont="1"/>
    <xf borderId="12" fillId="2" fontId="1" numFmtId="0" xfId="0" applyBorder="1" applyFont="1"/>
    <xf borderId="10" fillId="2" fontId="1" numFmtId="0" xfId="0" applyBorder="1" applyFont="1"/>
    <xf borderId="0" fillId="0" fontId="10" numFmtId="0" xfId="0" applyFont="1"/>
    <xf borderId="0" fillId="0" fontId="11" numFmtId="0" xfId="0" applyFont="1"/>
    <xf borderId="11" fillId="2" fontId="12" numFmtId="0" xfId="0" applyAlignment="1" applyBorder="1" applyFont="1">
      <alignment vertical="center"/>
    </xf>
    <xf borderId="11" fillId="2" fontId="6" numFmtId="0" xfId="0" applyAlignment="1" applyBorder="1" applyFont="1">
      <alignment vertical="center"/>
    </xf>
    <xf borderId="11" fillId="2" fontId="1" numFmtId="0" xfId="0" applyAlignment="1" applyBorder="1" applyFont="1">
      <alignment vertical="center"/>
    </xf>
    <xf borderId="12" fillId="2" fontId="6" numFmtId="0" xfId="0" applyBorder="1" applyFont="1"/>
    <xf borderId="11" fillId="2" fontId="4" numFmtId="0" xfId="0" applyBorder="1" applyFont="1"/>
    <xf borderId="0" fillId="0" fontId="13" numFmtId="0" xfId="0" applyFont="1"/>
    <xf borderId="13" fillId="2" fontId="5" numFmtId="0" xfId="0" applyBorder="1" applyFont="1"/>
    <xf borderId="14" fillId="2" fontId="5" numFmtId="0" xfId="0" applyBorder="1" applyFont="1"/>
    <xf borderId="14" fillId="2" fontId="1" numFmtId="0" xfId="0" applyBorder="1" applyFont="1"/>
    <xf borderId="14" fillId="2" fontId="6" numFmtId="0" xfId="0" applyBorder="1" applyFont="1"/>
    <xf borderId="15" fillId="2" fontId="1" numFmtId="0" xfId="0" applyBorder="1" applyFont="1"/>
    <xf borderId="0" fillId="0" fontId="14" numFmtId="0" xfId="0" applyFont="1"/>
    <xf borderId="16" fillId="2" fontId="4" numFmtId="0" xfId="0" applyBorder="1" applyFont="1"/>
    <xf borderId="17" fillId="2" fontId="5" numFmtId="0" xfId="0" applyBorder="1" applyFont="1"/>
    <xf borderId="17" fillId="2" fontId="1" numFmtId="0" xfId="0" applyBorder="1" applyFont="1"/>
    <xf borderId="17" fillId="2" fontId="6" numFmtId="0" xfId="0" applyBorder="1" applyFont="1"/>
    <xf borderId="18" fillId="2" fontId="1" numFmtId="0" xfId="0" applyBorder="1" applyFont="1"/>
    <xf borderId="11" fillId="3" fontId="1" numFmtId="0" xfId="0" applyBorder="1" applyFill="1" applyFont="1"/>
    <xf borderId="19" fillId="2" fontId="5" numFmtId="0" xfId="0" applyBorder="1" applyFont="1"/>
    <xf borderId="11" fillId="2" fontId="5" numFmtId="0" xfId="0" applyBorder="1" applyFont="1"/>
    <xf borderId="20" fillId="2" fontId="1" numFmtId="0" xfId="0" applyBorder="1" applyFont="1"/>
    <xf borderId="19" fillId="2" fontId="4" numFmtId="0" xfId="0" applyBorder="1" applyFont="1"/>
    <xf borderId="19" fillId="2" fontId="1" numFmtId="0" xfId="0" applyBorder="1" applyFont="1"/>
    <xf borderId="20" fillId="2" fontId="6" numFmtId="0" xfId="0" applyBorder="1" applyFont="1"/>
    <xf borderId="11" fillId="2" fontId="15" numFmtId="0" xfId="0" applyBorder="1" applyFont="1"/>
    <xf borderId="21" fillId="2" fontId="1" numFmtId="0" xfId="0" applyBorder="1" applyFont="1"/>
    <xf borderId="22" fillId="2" fontId="1" numFmtId="0" xfId="0" applyBorder="1" applyFont="1"/>
    <xf borderId="23" fillId="2" fontId="1" numFmtId="0" xfId="0" applyBorder="1" applyFont="1"/>
    <xf borderId="1" fillId="4" fontId="4" numFmtId="0" xfId="0" applyAlignment="1" applyBorder="1" applyFill="1" applyFont="1">
      <alignment horizontal="center" vertical="center"/>
    </xf>
    <xf borderId="0" fillId="0" fontId="16" numFmtId="0" xfId="0" applyFont="1"/>
    <xf borderId="24" fillId="4" fontId="16" numFmtId="0" xfId="0" applyAlignment="1" applyBorder="1" applyFont="1">
      <alignment horizontal="center"/>
    </xf>
    <xf borderId="25" fillId="0" fontId="8" numFmtId="0" xfId="0" applyBorder="1" applyFont="1"/>
    <xf borderId="26" fillId="0" fontId="8" numFmtId="0" xfId="0" applyBorder="1" applyFont="1"/>
    <xf borderId="24" fillId="4" fontId="6" numFmtId="0" xfId="0" applyAlignment="1" applyBorder="1" applyFont="1">
      <alignment horizontal="center"/>
    </xf>
    <xf borderId="24" fillId="0" fontId="6" numFmtId="0" xfId="0" applyBorder="1" applyFont="1"/>
    <xf borderId="27" fillId="0" fontId="6" numFmtId="0" xfId="0" applyBorder="1" applyFont="1"/>
    <xf borderId="6" fillId="0" fontId="6" numFmtId="0" xfId="0" applyBorder="1" applyFont="1"/>
    <xf borderId="28" fillId="0" fontId="5" numFmtId="0" xfId="0" applyAlignment="1" applyBorder="1" applyFont="1">
      <alignment readingOrder="0"/>
    </xf>
    <xf borderId="29" fillId="0" fontId="6" numFmtId="0" xfId="0" applyBorder="1" applyFont="1"/>
    <xf borderId="30" fillId="0" fontId="6" numFmtId="0" xfId="0" applyAlignment="1" applyBorder="1" applyFont="1">
      <alignment horizontal="left"/>
    </xf>
    <xf borderId="31" fillId="0" fontId="1" numFmtId="0" xfId="0" applyBorder="1" applyFont="1"/>
    <xf borderId="32" fillId="0" fontId="1" numFmtId="0" xfId="0" applyAlignment="1" applyBorder="1" applyFont="1">
      <alignment horizontal="left"/>
    </xf>
    <xf borderId="33" fillId="0" fontId="1" numFmtId="0" xfId="0" applyAlignment="1" applyBorder="1" applyFont="1">
      <alignment horizontal="left"/>
    </xf>
    <xf borderId="34" fillId="0" fontId="1" numFmtId="0" xfId="0" applyBorder="1" applyFont="1"/>
    <xf borderId="35" fillId="0" fontId="1" numFmtId="0" xfId="0" applyBorder="1" applyFont="1"/>
    <xf borderId="36" fillId="0" fontId="1" numFmtId="0" xfId="0" applyAlignment="1" applyBorder="1" applyFont="1">
      <alignment horizontal="left"/>
    </xf>
    <xf borderId="3" fillId="0" fontId="1" numFmtId="0" xfId="0" applyBorder="1" applyFont="1"/>
    <xf borderId="32" fillId="0" fontId="1" numFmtId="0" xfId="0" applyBorder="1" applyFont="1"/>
    <xf borderId="37" fillId="0" fontId="5" numFmtId="0" xfId="0" applyAlignment="1" applyBorder="1" applyFont="1">
      <alignment readingOrder="0"/>
    </xf>
    <xf borderId="38" fillId="0" fontId="1" numFmtId="0" xfId="0" applyAlignment="1" applyBorder="1" applyFont="1">
      <alignment horizontal="left"/>
    </xf>
    <xf borderId="39" fillId="0" fontId="1" numFmtId="0" xfId="0" applyAlignment="1" applyBorder="1" applyFont="1">
      <alignment horizontal="left"/>
    </xf>
    <xf borderId="40" fillId="0" fontId="1" numFmtId="0" xfId="0" applyBorder="1" applyFont="1"/>
    <xf borderId="41" fillId="0" fontId="1" numFmtId="0" xfId="0" applyAlignment="1" applyBorder="1" applyFont="1">
      <alignment horizontal="left"/>
    </xf>
    <xf borderId="37" fillId="0" fontId="6" numFmtId="0" xfId="0" applyAlignment="1" applyBorder="1" applyFont="1">
      <alignment horizontal="center"/>
    </xf>
    <xf borderId="40" fillId="0" fontId="8" numFmtId="0" xfId="0" applyBorder="1" applyFont="1"/>
    <xf borderId="42" fillId="0" fontId="8" numFmtId="0" xfId="0" applyBorder="1" applyFont="1"/>
    <xf borderId="27" fillId="0" fontId="1" numFmtId="0" xfId="0" applyBorder="1" applyFont="1"/>
    <xf borderId="39" fillId="0" fontId="6" numFmtId="0" xfId="0" applyAlignment="1" applyBorder="1" applyFont="1">
      <alignment horizontal="center" shrinkToFit="0" vertical="center" wrapText="1"/>
    </xf>
    <xf borderId="37" fillId="0" fontId="5" numFmtId="0" xfId="0" applyBorder="1" applyFont="1"/>
    <xf borderId="43" fillId="0" fontId="6" numFmtId="0" xfId="0" applyBorder="1" applyFont="1"/>
    <xf borderId="44" fillId="0" fontId="1" numFmtId="0" xfId="0" applyBorder="1" applyFont="1"/>
    <xf borderId="39" fillId="0" fontId="6" numFmtId="164" xfId="0" applyAlignment="1" applyBorder="1" applyFont="1" applyNumberFormat="1">
      <alignment shrinkToFit="0" vertical="center" wrapText="1"/>
    </xf>
    <xf borderId="39" fillId="0" fontId="1" numFmtId="0" xfId="0" applyAlignment="1" applyBorder="1" applyFont="1">
      <alignment shrinkToFit="0" vertical="center" wrapText="1"/>
    </xf>
    <xf borderId="45" fillId="0" fontId="6" numFmtId="0" xfId="0" applyBorder="1" applyFont="1"/>
    <xf borderId="46" fillId="0" fontId="6" numFmtId="0" xfId="0" applyAlignment="1" applyBorder="1" applyFont="1">
      <alignment horizontal="left"/>
    </xf>
    <xf borderId="47" fillId="0" fontId="1" numFmtId="0" xfId="0" applyAlignment="1" applyBorder="1" applyFont="1">
      <alignment horizontal="left"/>
    </xf>
    <xf borderId="48" fillId="0" fontId="1" numFmtId="0" xfId="0" applyAlignment="1" applyBorder="1" applyFont="1">
      <alignment horizontal="left"/>
    </xf>
    <xf borderId="49" fillId="0" fontId="1" numFmtId="0" xfId="0" applyAlignment="1" applyBorder="1" applyFont="1">
      <alignment horizontal="left"/>
    </xf>
    <xf borderId="5" fillId="0" fontId="1" numFmtId="0" xfId="0" applyBorder="1" applyFont="1"/>
    <xf borderId="26" fillId="0" fontId="1" numFmtId="0" xfId="0" applyBorder="1" applyFont="1"/>
    <xf borderId="0" fillId="0" fontId="6" numFmtId="0" xfId="0" applyAlignment="1" applyFont="1">
      <alignment horizontal="center" shrinkToFit="0" vertical="center" wrapText="1"/>
    </xf>
    <xf borderId="50" fillId="4" fontId="6" numFmtId="0" xfId="0" applyAlignment="1" applyBorder="1" applyFont="1">
      <alignment horizontal="center"/>
    </xf>
    <xf borderId="51" fillId="4" fontId="6" numFmtId="0" xfId="0" applyAlignment="1" applyBorder="1" applyFont="1">
      <alignment horizontal="center"/>
    </xf>
    <xf borderId="52" fillId="4" fontId="6" numFmtId="0" xfId="0" applyAlignment="1" applyBorder="1" applyFont="1">
      <alignment horizontal="center"/>
    </xf>
    <xf borderId="26" fillId="0" fontId="6" numFmtId="0" xfId="0" applyBorder="1" applyFont="1"/>
    <xf borderId="32" fillId="0" fontId="6" numFmtId="49" xfId="0" applyBorder="1" applyFont="1" applyNumberFormat="1"/>
    <xf borderId="36" fillId="0" fontId="6" numFmtId="49" xfId="0" applyAlignment="1" applyBorder="1" applyFont="1" applyNumberFormat="1">
      <alignment horizontal="left"/>
    </xf>
    <xf borderId="53" fillId="0" fontId="1" numFmtId="0" xfId="0" applyBorder="1" applyFont="1"/>
    <xf borderId="38" fillId="0" fontId="6" numFmtId="49" xfId="0" applyBorder="1" applyFont="1" applyNumberFormat="1"/>
    <xf borderId="47" fillId="0" fontId="6" numFmtId="2" xfId="0" applyBorder="1" applyFont="1" applyNumberFormat="1"/>
    <xf borderId="54" fillId="0" fontId="6" numFmtId="2" xfId="0" applyAlignment="1" applyBorder="1" applyFont="1" applyNumberFormat="1">
      <alignment horizontal="left"/>
    </xf>
    <xf borderId="47" fillId="0" fontId="1" numFmtId="2" xfId="0" applyAlignment="1" applyBorder="1" applyFont="1" applyNumberFormat="1">
      <alignment horizontal="left"/>
    </xf>
    <xf borderId="48" fillId="0" fontId="1" numFmtId="2" xfId="0" applyAlignment="1" applyBorder="1" applyFont="1" applyNumberFormat="1">
      <alignment horizontal="left"/>
    </xf>
    <xf borderId="27" fillId="0" fontId="1" numFmtId="2" xfId="0" applyBorder="1" applyFont="1" applyNumberFormat="1"/>
    <xf borderId="55" fillId="0" fontId="1" numFmtId="0" xfId="0" applyBorder="1" applyFont="1"/>
    <xf borderId="48" fillId="0" fontId="1" numFmtId="0" xfId="0" applyBorder="1" applyFont="1"/>
    <xf borderId="5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shrinkToFit="0" vertical="center" wrapText="1"/>
    </xf>
    <xf borderId="26" fillId="0" fontId="1" numFmtId="2" xfId="0" applyBorder="1" applyFont="1" applyNumberFormat="1"/>
    <xf borderId="0" fillId="0" fontId="6" numFmtId="164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28" fillId="0" fontId="1" numFmtId="0" xfId="0" applyBorder="1" applyFont="1"/>
    <xf borderId="32" fillId="0" fontId="1" numFmtId="0" xfId="0" applyAlignment="1" applyBorder="1" applyFont="1">
      <alignment horizontal="center"/>
    </xf>
    <xf borderId="28" fillId="0" fontId="1" numFmtId="0" xfId="0" applyAlignment="1" applyBorder="1" applyFont="1">
      <alignment horizontal="left"/>
    </xf>
    <xf borderId="38" fillId="0" fontId="6" numFmtId="0" xfId="0" applyAlignment="1" applyBorder="1" applyFont="1">
      <alignment horizontal="left"/>
    </xf>
    <xf borderId="37" fillId="0" fontId="1" numFmtId="0" xfId="0" applyBorder="1" applyFont="1"/>
    <xf borderId="40" fillId="0" fontId="1" numFmtId="0" xfId="0" applyAlignment="1" applyBorder="1" applyFont="1">
      <alignment horizontal="center"/>
    </xf>
    <xf borderId="37" fillId="0" fontId="1" numFmtId="0" xfId="0" applyAlignment="1" applyBorder="1" applyFont="1">
      <alignment horizontal="left"/>
    </xf>
    <xf borderId="47" fillId="0" fontId="6" numFmtId="0" xfId="0" applyAlignment="1" applyBorder="1" applyFont="1">
      <alignment horizontal="left"/>
    </xf>
    <xf borderId="54" fillId="0" fontId="6" numFmtId="0" xfId="0" applyBorder="1" applyFont="1"/>
    <xf borderId="49" fillId="0" fontId="1" numFmtId="2" xfId="0" applyBorder="1" applyFont="1" applyNumberFormat="1"/>
    <xf borderId="0" fillId="0" fontId="17" numFmtId="0" xfId="0" applyFont="1"/>
    <xf borderId="1" fillId="4" fontId="16" numFmtId="0" xfId="0" applyAlignment="1" applyBorder="1" applyFont="1">
      <alignment horizontal="center" vertical="center"/>
    </xf>
    <xf borderId="56" fillId="0" fontId="8" numFmtId="0" xfId="0" applyBorder="1" applyFont="1"/>
    <xf borderId="53" fillId="0" fontId="8" numFmtId="0" xfId="0" applyBorder="1" applyFont="1"/>
    <xf borderId="16" fillId="2" fontId="1" numFmtId="0" xfId="0" applyBorder="1" applyFont="1"/>
    <xf borderId="27" fillId="4" fontId="6" numFmtId="0" xfId="0" applyBorder="1" applyFont="1"/>
    <xf borderId="28" fillId="0" fontId="5" numFmtId="0" xfId="0" applyBorder="1" applyFont="1"/>
    <xf borderId="33" fillId="0" fontId="1" numFmtId="0" xfId="0" applyBorder="1" applyFont="1"/>
    <xf borderId="39" fillId="0" fontId="1" numFmtId="0" xfId="0" applyBorder="1" applyFont="1"/>
    <xf borderId="11" fillId="2" fontId="18" numFmtId="0" xfId="0" applyBorder="1" applyFont="1"/>
    <xf borderId="21" fillId="2" fontId="5" numFmtId="0" xfId="0" applyBorder="1" applyFont="1"/>
    <xf borderId="22" fillId="2" fontId="19" numFmtId="0" xfId="0" applyBorder="1" applyFont="1"/>
    <xf borderId="22" fillId="2" fontId="5" numFmtId="0" xfId="0" applyBorder="1" applyFont="1"/>
    <xf borderId="57" fillId="4" fontId="6" numFmtId="0" xfId="0" applyBorder="1" applyFont="1"/>
    <xf borderId="58" fillId="4" fontId="6" numFmtId="0" xfId="0" applyBorder="1" applyFont="1"/>
    <xf borderId="59" fillId="4" fontId="6" numFmtId="0" xfId="0" applyBorder="1" applyFont="1"/>
    <xf borderId="60" fillId="0" fontId="1" numFmtId="0" xfId="0" applyBorder="1" applyFont="1"/>
    <xf borderId="61" fillId="0" fontId="1" numFmtId="0" xfId="0" applyBorder="1" applyFont="1"/>
    <xf borderId="38" fillId="0" fontId="1" numFmtId="0" xfId="0" applyBorder="1" applyFont="1"/>
    <xf borderId="31" fillId="0" fontId="1" numFmtId="1" xfId="0" applyBorder="1" applyFont="1" applyNumberFormat="1"/>
    <xf borderId="42" fillId="0" fontId="1" numFmtId="0" xfId="0" applyBorder="1" applyFont="1"/>
    <xf borderId="41" fillId="0" fontId="1" numFmtId="0" xfId="0" applyBorder="1" applyFont="1"/>
    <xf borderId="38" fillId="0" fontId="1" numFmtId="1" xfId="0" applyBorder="1" applyFont="1" applyNumberFormat="1"/>
    <xf borderId="39" fillId="0" fontId="1" numFmtId="1" xfId="0" applyBorder="1" applyFont="1" applyNumberFormat="1"/>
    <xf borderId="42" fillId="0" fontId="1" numFmtId="1" xfId="0" applyBorder="1" applyFont="1" applyNumberFormat="1"/>
    <xf borderId="37" fillId="0" fontId="1" numFmtId="1" xfId="0" applyBorder="1" applyFont="1" applyNumberFormat="1"/>
    <xf borderId="40" fillId="0" fontId="1" numFmtId="1" xfId="0" applyBorder="1" applyFont="1" applyNumberFormat="1"/>
    <xf borderId="62" fillId="0" fontId="1" numFmtId="0" xfId="0" applyBorder="1" applyFont="1"/>
    <xf borderId="27" fillId="0" fontId="1" numFmtId="1" xfId="0" applyBorder="1" applyFont="1" applyNumberFormat="1"/>
    <xf borderId="44" fillId="0" fontId="1" numFmtId="1" xfId="0" applyBorder="1" applyFont="1" applyNumberFormat="1"/>
    <xf borderId="41" fillId="0" fontId="1" numFmtId="1" xfId="0" applyBorder="1" applyFont="1" applyNumberFormat="1"/>
    <xf borderId="47" fillId="0" fontId="1" numFmtId="0" xfId="0" applyBorder="1" applyFont="1"/>
    <xf borderId="49" fillId="0" fontId="1" numFmtId="0" xfId="0" applyBorder="1" applyFont="1"/>
    <xf borderId="63" fillId="0" fontId="1" numFmtId="0" xfId="0" applyBorder="1" applyFont="1"/>
    <xf borderId="64" fillId="0" fontId="1" numFmtId="0" xfId="0" applyBorder="1" applyFont="1"/>
    <xf borderId="65" fillId="0" fontId="1" numFmtId="0" xfId="0" applyBorder="1" applyFont="1"/>
    <xf borderId="54" fillId="0" fontId="1" numFmtId="0" xfId="0" applyBorder="1" applyFont="1"/>
    <xf borderId="0" fillId="0" fontId="1" numFmtId="0" xfId="0" applyAlignment="1" applyFont="1">
      <alignment horizontal="center"/>
    </xf>
    <xf borderId="0" fillId="0" fontId="6" numFmtId="0" xfId="0" applyAlignment="1" applyFont="1">
      <alignment shrinkToFit="0" vertical="center" wrapText="1"/>
    </xf>
    <xf borderId="50" fillId="4" fontId="6" numFmtId="0" xfId="0" applyBorder="1" applyFont="1"/>
    <xf borderId="36" fillId="0" fontId="1" numFmtId="0" xfId="0" applyBorder="1" applyFont="1"/>
    <xf borderId="33" fillId="0" fontId="1" numFmtId="0" xfId="0" applyAlignment="1" applyBorder="1" applyFont="1">
      <alignment shrinkToFit="0" vertical="center" wrapText="1"/>
    </xf>
    <xf borderId="48" fillId="0" fontId="1" numFmtId="0" xfId="0" applyAlignment="1" applyBorder="1" applyFont="1">
      <alignment shrinkToFit="0" vertical="center" wrapText="1"/>
    </xf>
    <xf borderId="66" fillId="4" fontId="6" numFmtId="0" xfId="0" applyAlignment="1" applyBorder="1" applyFont="1">
      <alignment horizontal="center"/>
    </xf>
    <xf borderId="18" fillId="4" fontId="6" numFmtId="0" xfId="0" applyBorder="1" applyFont="1"/>
    <xf borderId="33" fillId="0" fontId="1" numFmtId="1" xfId="0" applyBorder="1" applyFont="1" applyNumberFormat="1"/>
    <xf borderId="0" fillId="0" fontId="16" numFmtId="0" xfId="0" applyAlignment="1" applyFont="1">
      <alignment horizontal="center"/>
    </xf>
    <xf borderId="0" fillId="0" fontId="20" numFmtId="0" xfId="0" applyFont="1"/>
    <xf borderId="0" fillId="0" fontId="21" numFmtId="0" xfId="0" applyFont="1"/>
    <xf borderId="1" fillId="0" fontId="1" numFmtId="0" xfId="0" applyBorder="1" applyFont="1"/>
    <xf borderId="56" fillId="0" fontId="1" numFmtId="0" xfId="0" applyBorder="1" applyFont="1"/>
    <xf borderId="24" fillId="0" fontId="6" numFmtId="0" xfId="0" applyAlignment="1" applyBorder="1" applyFont="1">
      <alignment horizontal="center"/>
    </xf>
    <xf borderId="33" fillId="0" fontId="6" numFmtId="0" xfId="0" applyBorder="1" applyFont="1"/>
    <xf borderId="28" fillId="0" fontId="6" numFmtId="0" xfId="0" applyBorder="1" applyFont="1"/>
    <xf borderId="67" fillId="0" fontId="6" numFmtId="0" xfId="0" applyBorder="1" applyFont="1"/>
    <xf borderId="34" fillId="0" fontId="6" numFmtId="0" xfId="0" applyBorder="1" applyFont="1"/>
    <xf borderId="37" fillId="0" fontId="6" numFmtId="0" xfId="0" applyBorder="1" applyFont="1"/>
    <xf borderId="68" fillId="0" fontId="6" numFmtId="0" xfId="0" applyBorder="1" applyFont="1"/>
    <xf borderId="31" fillId="0" fontId="6" numFmtId="0" xfId="0" applyBorder="1" applyFont="1"/>
    <xf borderId="69" fillId="0" fontId="6" numFmtId="0" xfId="0" applyBorder="1" applyFont="1"/>
    <xf borderId="70" fillId="0" fontId="1" numFmtId="0" xfId="0" applyBorder="1" applyFont="1"/>
    <xf borderId="71" fillId="0" fontId="1" numFmtId="0" xfId="0" applyBorder="1" applyFont="1"/>
    <xf borderId="72" fillId="0" fontId="1" numFmtId="0" xfId="0" applyBorder="1" applyFont="1"/>
    <xf borderId="39" fillId="4" fontId="1" numFmtId="0" xfId="0" applyBorder="1" applyFont="1"/>
    <xf borderId="39" fillId="4" fontId="1" numFmtId="1" xfId="0" applyBorder="1" applyFont="1" applyNumberFormat="1"/>
    <xf borderId="0" fillId="0" fontId="22" numFmtId="0" xfId="0" applyFont="1"/>
    <xf borderId="67" fillId="0" fontId="1" numFmtId="0" xfId="0" applyBorder="1" applyFont="1"/>
    <xf borderId="11" fillId="4" fontId="1" numFmtId="0" xfId="0" applyBorder="1" applyFont="1"/>
    <xf borderId="73" fillId="0" fontId="1" numFmtId="0" xfId="0" applyBorder="1" applyFont="1"/>
    <xf borderId="74" fillId="0" fontId="1" numFmtId="0" xfId="0" applyBorder="1" applyFont="1"/>
    <xf borderId="75" fillId="0" fontId="1" numFmtId="0" xfId="0" applyBorder="1" applyFont="1"/>
    <xf borderId="11" fillId="4" fontId="1" numFmtId="1" xfId="0" applyBorder="1" applyFont="1" applyNumberFormat="1"/>
    <xf borderId="76" fillId="0" fontId="1" numFmtId="0" xfId="0" applyBorder="1" applyFont="1"/>
    <xf borderId="62" fillId="0" fontId="1" numFmtId="1" xfId="0" applyBorder="1" applyFont="1" applyNumberFormat="1"/>
    <xf borderId="77" fillId="0" fontId="1" numFmtId="0" xfId="0" applyBorder="1" applyFont="1"/>
    <xf borderId="39" fillId="0" fontId="23" numFmtId="0" xfId="0" applyBorder="1" applyFont="1"/>
    <xf borderId="70" fillId="0" fontId="1" numFmtId="1" xfId="0" applyBorder="1" applyFont="1" applyNumberFormat="1"/>
    <xf borderId="0" fillId="0" fontId="24" numFmtId="0" xfId="0" applyFont="1"/>
    <xf borderId="0" fillId="0" fontId="1" numFmtId="1" xfId="0" applyFont="1" applyNumberFormat="1"/>
    <xf borderId="4" fillId="0" fontId="1" numFmtId="0" xfId="0" applyBorder="1" applyFont="1"/>
    <xf borderId="6" fillId="0" fontId="1" numFmtId="0" xfId="0" applyBorder="1" applyFont="1"/>
    <xf borderId="0" fillId="0" fontId="1" numFmtId="1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25" numFmtId="0" xfId="0" applyFont="1"/>
    <xf borderId="0" fillId="0" fontId="26" numFmtId="0" xfId="0" applyFont="1"/>
    <xf borderId="0" fillId="0" fontId="27" numFmtId="0" xfId="0" applyAlignment="1" applyFont="1">
      <alignment horizontal="left"/>
    </xf>
    <xf borderId="0" fillId="0" fontId="2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jpg"/><Relationship Id="rId3" Type="http://schemas.openxmlformats.org/officeDocument/2006/relationships/image" Target="../media/image1.jpg"/><Relationship Id="rId4" Type="http://schemas.openxmlformats.org/officeDocument/2006/relationships/image" Target="../media/image8.jpg"/><Relationship Id="rId10" Type="http://schemas.openxmlformats.org/officeDocument/2006/relationships/image" Target="../media/image10.png"/><Relationship Id="rId9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5.png"/><Relationship Id="rId7" Type="http://schemas.openxmlformats.org/officeDocument/2006/relationships/image" Target="../media/image2.png"/><Relationship Id="rId8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209550</xdr:colOff>
      <xdr:row>236</xdr:row>
      <xdr:rowOff>0</xdr:rowOff>
    </xdr:from>
    <xdr:ext cx="5438775" cy="1005840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255</xdr:row>
      <xdr:rowOff>0</xdr:rowOff>
    </xdr:from>
    <xdr:ext cx="7810500" cy="390525"/>
    <xdr:pic>
      <xdr:nvPicPr>
        <xdr:cNvPr descr="https://images.boosty.to/image/4cbf1734-1384-4de6-a51a-f563b461147c?change_time=1696584562"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234</xdr:row>
      <xdr:rowOff>142875</xdr:rowOff>
    </xdr:from>
    <xdr:ext cx="7810500" cy="390525"/>
    <xdr:pic>
      <xdr:nvPicPr>
        <xdr:cNvPr descr="https://images.boosty.to/image/d7e49e19-1e36-429a-a07b-48d3c7f60467?change_time=1696584562"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847725</xdr:colOff>
      <xdr:row>270</xdr:row>
      <xdr:rowOff>104775</xdr:rowOff>
    </xdr:from>
    <xdr:ext cx="7810500" cy="390525"/>
    <xdr:pic>
      <xdr:nvPicPr>
        <xdr:cNvPr descr="https://images.boosty.to/image/1ada9b80-faad-4035-b3f8-4907971dbaa9?change_time=1696584561" id="0" name="image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2628900</xdr:colOff>
      <xdr:row>231</xdr:row>
      <xdr:rowOff>152400</xdr:rowOff>
    </xdr:from>
    <xdr:ext cx="666750" cy="3905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247650</xdr:colOff>
      <xdr:row>231</xdr:row>
      <xdr:rowOff>171450</xdr:rowOff>
    </xdr:from>
    <xdr:ext cx="676275" cy="3905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111</xdr:row>
      <xdr:rowOff>76200</xdr:rowOff>
    </xdr:from>
    <xdr:ext cx="3629025" cy="178117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50</xdr:row>
      <xdr:rowOff>190500</xdr:rowOff>
    </xdr:from>
    <xdr:ext cx="6915150" cy="102870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35</xdr:row>
      <xdr:rowOff>190500</xdr:rowOff>
    </xdr:from>
    <xdr:ext cx="4343400" cy="13716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1590675</xdr:colOff>
      <xdr:row>0</xdr:row>
      <xdr:rowOff>76200</xdr:rowOff>
    </xdr:from>
    <xdr:ext cx="10058400" cy="23241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147</xdr:row>
      <xdr:rowOff>0</xdr:rowOff>
    </xdr:from>
    <xdr:ext cx="9601200" cy="5924550"/>
    <xdr:pic>
      <xdr:nvPicPr>
        <xdr:cNvPr id="0" name="image1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boosty.to/yetiblog/posts/f4eab4fc-a452-475f-abd1-7b5f13209e7a" TargetMode="External"/><Relationship Id="rId22" Type="http://schemas.openxmlformats.org/officeDocument/2006/relationships/hyperlink" Target="https://boosty.to/yetiblog/posts/1133be33-0ded-4e25-b874-986b4f44888a?share=post_link" TargetMode="External"/><Relationship Id="rId21" Type="http://schemas.openxmlformats.org/officeDocument/2006/relationships/hyperlink" Target="https://boosty.to/yetiblog/posts/31b0c7c9-8a65-4d69-a61b-e7b52acad96b?share=post_link" TargetMode="External"/><Relationship Id="rId24" Type="http://schemas.openxmlformats.org/officeDocument/2006/relationships/hyperlink" Target="https://boosty.to/yetiblog/posts/cf196b35-5c75-423b-8470-99fd876e45d8?share=post_link" TargetMode="External"/><Relationship Id="rId23" Type="http://schemas.openxmlformats.org/officeDocument/2006/relationships/hyperlink" Target="https://boosty.to/yetiblog/posts/8b2ab7cc-ae59-4f56-887f-318c04a28b84?share=post_link" TargetMode="External"/><Relationship Id="rId1" Type="http://schemas.openxmlformats.org/officeDocument/2006/relationships/hyperlink" Target="https://boosty.to/yetiblog" TargetMode="External"/><Relationship Id="rId2" Type="http://schemas.openxmlformats.org/officeDocument/2006/relationships/hyperlink" Target="https://boosty.to/yetiblog/posts/6009bcd8-9ef8-4b6f-96b6-d263bd26dc38?share=post_link" TargetMode="External"/><Relationship Id="rId3" Type="http://schemas.openxmlformats.org/officeDocument/2006/relationships/hyperlink" Target="https://boosty.to/yetiblog/posts/f74d3c31-1da4-4cd5-a8c8-39e9e6dd8081?share=post_link" TargetMode="External"/><Relationship Id="rId4" Type="http://schemas.openxmlformats.org/officeDocument/2006/relationships/hyperlink" Target="https://boosty.to/yetiblog/posts/c47444c0-6e25-48df-8510-8c4e7a64c973?share=post_link" TargetMode="External"/><Relationship Id="rId9" Type="http://schemas.openxmlformats.org/officeDocument/2006/relationships/hyperlink" Target="https://boosty.to/yetiblog/posts/478c3920-1b7b-4e73-ad8e-26c7d45f4814?share=post_link" TargetMode="External"/><Relationship Id="rId26" Type="http://schemas.openxmlformats.org/officeDocument/2006/relationships/hyperlink" Target="https://boosty.to/yetiblog/posts/7f4113d3-c740-427f-a7f3-fe0bc846a758?share=post_link" TargetMode="External"/><Relationship Id="rId25" Type="http://schemas.openxmlformats.org/officeDocument/2006/relationships/hyperlink" Target="https://boosty.to/yetiblog/posts/9cb76d93-13c3-4bd7-ba87-0112dcf276cf?share=post_link" TargetMode="External"/><Relationship Id="rId28" Type="http://schemas.openxmlformats.org/officeDocument/2006/relationships/hyperlink" Target="https://boosty.to/yetiblog/posts/3d89fedb-3c2a-425b-80b5-4ad5fc30607a?share=post_link" TargetMode="External"/><Relationship Id="rId27" Type="http://schemas.openxmlformats.org/officeDocument/2006/relationships/hyperlink" Target="https://boosty.to/yetiblog/posts/fb94df9d-afad-4995-94e2-03ce44ad4c17?share=post_link" TargetMode="External"/><Relationship Id="rId5" Type="http://schemas.openxmlformats.org/officeDocument/2006/relationships/hyperlink" Target="https://boosty.to/yetiblog/posts/2610ef2e-73b9-40b2-b1d0-48e75ee74be9?share=post_link" TargetMode="External"/><Relationship Id="rId6" Type="http://schemas.openxmlformats.org/officeDocument/2006/relationships/hyperlink" Target="https://boosty.to/yetiblog/posts/971e14fa-f43e-4b17-9a17-6ebf921eca89?share=post_link" TargetMode="External"/><Relationship Id="rId29" Type="http://schemas.openxmlformats.org/officeDocument/2006/relationships/hyperlink" Target="https://boosty.to/yetiblog/posts/9d4bbf5c-74c2-4da2-8570-8b7921fa56b7?share=post_link" TargetMode="External"/><Relationship Id="rId7" Type="http://schemas.openxmlformats.org/officeDocument/2006/relationships/hyperlink" Target="https://boosty.to/yetiblog/posts/483887e1-4039-4652-8b67-29a1ec04321c?share=post_link" TargetMode="External"/><Relationship Id="rId8" Type="http://schemas.openxmlformats.org/officeDocument/2006/relationships/hyperlink" Target="https://boosty.to/yetiblog/posts/088b5631-cab6-4b5c-b163-cba3bbec512d?share=post_link" TargetMode="External"/><Relationship Id="rId31" Type="http://schemas.openxmlformats.org/officeDocument/2006/relationships/hyperlink" Target="https://boosty.to/yetiblog/posts/7437ec41-5ca1-4d7b-90d3-424eaa6eeb41?share=post_link" TargetMode="External"/><Relationship Id="rId30" Type="http://schemas.openxmlformats.org/officeDocument/2006/relationships/hyperlink" Target="https://boosty.to/yetiblog/posts/978677d6-0937-479b-91a4-36e8fff139cb?share=post_link" TargetMode="External"/><Relationship Id="rId11" Type="http://schemas.openxmlformats.org/officeDocument/2006/relationships/hyperlink" Target="https://boosty.to/yetiblog/posts/1ade2eed-06c6-4b46-9105-9c28bbfeeda7?share=post_link" TargetMode="External"/><Relationship Id="rId33" Type="http://schemas.openxmlformats.org/officeDocument/2006/relationships/hyperlink" Target="https://boosty.to/yetiblog/posts/cb9dc094-8498-4fea-ae9c-59444b24937c?share=post_link" TargetMode="External"/><Relationship Id="rId10" Type="http://schemas.openxmlformats.org/officeDocument/2006/relationships/hyperlink" Target="https://boosty.to/yetiblog/posts/bf078f4d-242c-4592-b7f1-ea9b213db3d4?share=post_link" TargetMode="External"/><Relationship Id="rId32" Type="http://schemas.openxmlformats.org/officeDocument/2006/relationships/hyperlink" Target="https://boosty.to/yetiblog/posts/08744dcd-d1aa-4606-921c-5848e1682bad?share=post_link" TargetMode="External"/><Relationship Id="rId13" Type="http://schemas.openxmlformats.org/officeDocument/2006/relationships/hyperlink" Target="https://boosty.to/yetiblog/posts/98ec8354-1fe5-4150-87ef-78fd464a27d1?share=post_link" TargetMode="External"/><Relationship Id="rId35" Type="http://schemas.openxmlformats.org/officeDocument/2006/relationships/hyperlink" Target="https://boosty.to/yetiblog/posts/79934210-0bc9-47f4-b9bf-959b0a3fd875?share=post_link" TargetMode="External"/><Relationship Id="rId12" Type="http://schemas.openxmlformats.org/officeDocument/2006/relationships/hyperlink" Target="https://boosty.to/yetiblog/posts/27920553-8831-48fb-a9f3-9db8710de97e?share=post_link" TargetMode="External"/><Relationship Id="rId34" Type="http://schemas.openxmlformats.org/officeDocument/2006/relationships/hyperlink" Target="https://boosty.to/yetiblog/posts/619a9daa-b55d-40ef-b531-72f2acbfd7b0?share=post_link" TargetMode="External"/><Relationship Id="rId15" Type="http://schemas.openxmlformats.org/officeDocument/2006/relationships/hyperlink" Target="https://boosty.to/yetiblog/posts/7bebc374-39f7-47d2-a4e6-52d5bf73c839?share=post_link" TargetMode="External"/><Relationship Id="rId37" Type="http://schemas.openxmlformats.org/officeDocument/2006/relationships/hyperlink" Target="https://boosty.to/yetiblog/posts/74130f39-1700-414a-b115-6e49fde83738?share=post_link" TargetMode="External"/><Relationship Id="rId14" Type="http://schemas.openxmlformats.org/officeDocument/2006/relationships/hyperlink" Target="https://boosty.to/yetiblog/posts/6abb5600-a62b-4085-aa37-bc3b8634b367?share=post_link" TargetMode="External"/><Relationship Id="rId36" Type="http://schemas.openxmlformats.org/officeDocument/2006/relationships/hyperlink" Target="https://boosty.to/yetiblog/posts/35665ccb-2137-412f-bc9b-6fddb212d07f?share=post_link" TargetMode="External"/><Relationship Id="rId17" Type="http://schemas.openxmlformats.org/officeDocument/2006/relationships/hyperlink" Target="https://boosty.to/yetiblog/posts/30ea2e5f-1151-40dc-9cad-fc4c1ed7b2ac?share=post_link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boosty.to/yetiblog/posts/81382241-e99b-4410-ab93-9119ffb8bb27?share=post_link" TargetMode="External"/><Relationship Id="rId38" Type="http://schemas.openxmlformats.org/officeDocument/2006/relationships/hyperlink" Target="https://boosty.to/yetiblog/posts/89c5d40a-4894-4524-b070-7d307abc85e9?share=post_link" TargetMode="External"/><Relationship Id="rId19" Type="http://schemas.openxmlformats.org/officeDocument/2006/relationships/hyperlink" Target="https://boosty.to/yetiblog/posts/92c0e29f-339c-4893-91ea-8124e17e2721?share=post_link" TargetMode="External"/><Relationship Id="rId18" Type="http://schemas.openxmlformats.org/officeDocument/2006/relationships/hyperlink" Target="https://boosty.to/yetiblog/posts/effaebd1-f017-40f9-929c-4ac462634ad0?share=post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boosty.to/yetiblog/posts/27920553-8831-48fb-a9f3-9db8710de97e?share=post_link" TargetMode="External"/><Relationship Id="rId22" Type="http://schemas.openxmlformats.org/officeDocument/2006/relationships/hyperlink" Target="https://boosty.to/yetiblog/posts/7437ec41-5ca1-4d7b-90d3-424eaa6eeb41?share=post_link" TargetMode="External"/><Relationship Id="rId21" Type="http://schemas.openxmlformats.org/officeDocument/2006/relationships/hyperlink" Target="https://boosty.to/yetiblog/posts/088b5631-cab6-4b5c-b163-cba3bbec512d?share=post_link" TargetMode="External"/><Relationship Id="rId24" Type="http://schemas.openxmlformats.org/officeDocument/2006/relationships/hyperlink" Target="https://boosty.to/yetiblog/posts/971e14fa-f43e-4b17-9a17-6ebf921eca89?share=post_link" TargetMode="External"/><Relationship Id="rId23" Type="http://schemas.openxmlformats.org/officeDocument/2006/relationships/hyperlink" Target="https://boosty.to/yetiblog/posts/483887e1-4039-4652-8b67-29a1ec04321c?share=post_link" TargetMode="External"/><Relationship Id="rId1" Type="http://schemas.openxmlformats.org/officeDocument/2006/relationships/hyperlink" Target="https://boosty.to/yetiblog/posts/2610ef2e-73b9-40b2-b1d0-48e75ee74be9?share=post_link" TargetMode="External"/><Relationship Id="rId2" Type="http://schemas.openxmlformats.org/officeDocument/2006/relationships/hyperlink" Target="https://drive.google.com/file/d/1upDgeI6CbES1MQqXFdvVyBuCdC9YZ5q7/view?usp=sharing" TargetMode="External"/><Relationship Id="rId3" Type="http://schemas.openxmlformats.org/officeDocument/2006/relationships/hyperlink" Target="https://boosty.to/yetiblog/posts/2610ef2e-73b9-40b2-b1d0-48e75ee74be9?share=post_link" TargetMode="External"/><Relationship Id="rId4" Type="http://schemas.openxmlformats.org/officeDocument/2006/relationships/hyperlink" Target="https://boosty.to/yetiblog/posts/6009bcd8-9ef8-4b6f-96b6-d263bd26dc38?share=post_link" TargetMode="External"/><Relationship Id="rId9" Type="http://schemas.openxmlformats.org/officeDocument/2006/relationships/hyperlink" Target="https://boosty.to/yetiblog/posts/8b2ab7cc-ae59-4f56-887f-318c04a28b84?share=post_link" TargetMode="External"/><Relationship Id="rId26" Type="http://schemas.openxmlformats.org/officeDocument/2006/relationships/hyperlink" Target="https://boosty.to/yetiblog/posts/92c0e29f-339c-4893-91ea-8124e17e2721?share=post_link" TargetMode="External"/><Relationship Id="rId25" Type="http://schemas.openxmlformats.org/officeDocument/2006/relationships/hyperlink" Target="https://boosty.to/yetiblog/posts/c47444c0-6e25-48df-8510-8c4e7a64c973?share=post_link" TargetMode="External"/><Relationship Id="rId28" Type="http://schemas.openxmlformats.org/officeDocument/2006/relationships/hyperlink" Target="https://boosty.to/yetiblog/posts/6009bcd8-9ef8-4b6f-96b6-d263bd26dc38?share=post_link" TargetMode="External"/><Relationship Id="rId27" Type="http://schemas.openxmlformats.org/officeDocument/2006/relationships/hyperlink" Target="https://boosty.to/yetiblog/posts/cf196b35-5c75-423b-8470-99fd876e45d8?share=post_link" TargetMode="External"/><Relationship Id="rId5" Type="http://schemas.openxmlformats.org/officeDocument/2006/relationships/hyperlink" Target="https://boosty.to/yetiblog/posts/6009bcd8-9ef8-4b6f-96b6-d263bd26dc38?share=post_link" TargetMode="External"/><Relationship Id="rId6" Type="http://schemas.openxmlformats.org/officeDocument/2006/relationships/hyperlink" Target="https://boosty.to/yetiblog/posts/f74d3c31-1da4-4cd5-a8c8-39e9e6dd8081?share=post_link" TargetMode="External"/><Relationship Id="rId29" Type="http://schemas.openxmlformats.org/officeDocument/2006/relationships/hyperlink" Target="https://boosty.to/yetiblog/posts/1ade2eed-06c6-4b46-9105-9c28bbfeeda7?share=post_link" TargetMode="External"/><Relationship Id="rId7" Type="http://schemas.openxmlformats.org/officeDocument/2006/relationships/hyperlink" Target="https://boosty.to/yetiblog/posts/92c0e29f-339c-4893-91ea-8124e17e2721?share=post_link" TargetMode="External"/><Relationship Id="rId8" Type="http://schemas.openxmlformats.org/officeDocument/2006/relationships/hyperlink" Target="https://boosty.to/yetiblog/posts/92c0e29f-339c-4893-91ea-8124e17e2721?share=post_link" TargetMode="External"/><Relationship Id="rId31" Type="http://schemas.openxmlformats.org/officeDocument/2006/relationships/hyperlink" Target="https://boosty.to/yetiblog/posts/7f4113d3-c740-427f-a7f3-fe0bc846a758?share=post_link" TargetMode="External"/><Relationship Id="rId30" Type="http://schemas.openxmlformats.org/officeDocument/2006/relationships/hyperlink" Target="https://boosty.to/yetiblog/posts/478c3920-1b7b-4e73-ad8e-26c7d45f4814?share=post_link" TargetMode="External"/><Relationship Id="rId11" Type="http://schemas.openxmlformats.org/officeDocument/2006/relationships/hyperlink" Target="https://boosty.to/yetiblog/posts/31b0c7c9-8a65-4d69-a61b-e7b52acad96b?share=post_link" TargetMode="External"/><Relationship Id="rId33" Type="http://schemas.openxmlformats.org/officeDocument/2006/relationships/hyperlink" Target="https://boosty.to/yetiblog/posts/30ea2e5f-1151-40dc-9cad-fc4c1ed7b2ac?share=post_link" TargetMode="External"/><Relationship Id="rId10" Type="http://schemas.openxmlformats.org/officeDocument/2006/relationships/hyperlink" Target="https://boosty.to/yetiblog/posts/98ec8354-1fe5-4150-87ef-78fd464a27d1?share=post_link" TargetMode="External"/><Relationship Id="rId32" Type="http://schemas.openxmlformats.org/officeDocument/2006/relationships/hyperlink" Target="https://boosty.to/yetiblog/posts/9d4bbf5c-74c2-4da2-8570-8b7921fa56b7?share=post_link" TargetMode="External"/><Relationship Id="rId13" Type="http://schemas.openxmlformats.org/officeDocument/2006/relationships/hyperlink" Target="https://boosty.to/yetiblog/posts/8b2ab7cc-ae59-4f56-887f-318c04a28b84?share=post_link" TargetMode="External"/><Relationship Id="rId35" Type="http://schemas.openxmlformats.org/officeDocument/2006/relationships/drawing" Target="../drawings/drawing3.xml"/><Relationship Id="rId12" Type="http://schemas.openxmlformats.org/officeDocument/2006/relationships/hyperlink" Target="https://boosty.to/yetiblog/posts/92c0e29f-339c-4893-91ea-8124e17e2721?share=post_link" TargetMode="External"/><Relationship Id="rId34" Type="http://schemas.openxmlformats.org/officeDocument/2006/relationships/hyperlink" Target="https://boosty.to/yetiblog/posts/978677d6-0937-479b-91a4-36e8fff139cb?share=post_link" TargetMode="External"/><Relationship Id="rId15" Type="http://schemas.openxmlformats.org/officeDocument/2006/relationships/hyperlink" Target="https://boosty.to/yetiblog/posts/971e14fa-f43e-4b17-9a17-6ebf921eca89?share=post_link" TargetMode="External"/><Relationship Id="rId14" Type="http://schemas.openxmlformats.org/officeDocument/2006/relationships/hyperlink" Target="https://boosty.to/yetiblog/posts/2610ef2e-73b9-40b2-b1d0-48e75ee74be9?share=post_link" TargetMode="External"/><Relationship Id="rId17" Type="http://schemas.openxmlformats.org/officeDocument/2006/relationships/hyperlink" Target="https://boosty.to/yetiblog/posts/81382241-e99b-4410-ab93-9119ffb8bb27?share=post_link" TargetMode="External"/><Relationship Id="rId16" Type="http://schemas.openxmlformats.org/officeDocument/2006/relationships/hyperlink" Target="https://boosty.to/yetiblog/posts/2610ef2e-73b9-40b2-b1d0-48e75ee74be9?share=post_link" TargetMode="External"/><Relationship Id="rId19" Type="http://schemas.openxmlformats.org/officeDocument/2006/relationships/hyperlink" Target="https://drive.google.com/file/d/1upDgeI6CbES1MQqXFdvVyBuCdC9YZ5q7/view?usp=sharing" TargetMode="External"/><Relationship Id="rId18" Type="http://schemas.openxmlformats.org/officeDocument/2006/relationships/hyperlink" Target="https://boosty.to/yetiblog/posts/2610ef2e-73b9-40b2-b1d0-48e75ee74be9?share=post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41.14"/>
    <col customWidth="1" min="3" max="3" width="9.29"/>
    <col customWidth="1" min="4" max="4" width="13.43"/>
    <col customWidth="1" min="5" max="5" width="10.71"/>
    <col customWidth="1" min="6" max="6" width="8.43"/>
    <col customWidth="1" min="7" max="7" width="7.43"/>
    <col customWidth="1" min="8" max="8" width="12.86"/>
    <col customWidth="1" min="9" max="9" width="13.71"/>
    <col customWidth="1" min="10" max="10" width="8.71"/>
    <col customWidth="1" min="11" max="11" width="12.0"/>
    <col customWidth="1" min="12" max="12" width="12.71"/>
    <col customWidth="1" min="13" max="13" width="7.29"/>
    <col customWidth="1" min="14" max="14" width="8.0"/>
    <col customWidth="1" min="15" max="15" width="11.43"/>
    <col customWidth="1" min="16" max="16" width="12.86"/>
    <col customWidth="1" min="17" max="17" width="8.29"/>
    <col customWidth="1" min="18" max="18" width="10.14"/>
    <col customWidth="1" min="19" max="19" width="13.0"/>
    <col customWidth="1" min="20" max="20" width="6.86"/>
    <col customWidth="1" min="21" max="21" width="7.43"/>
    <col customWidth="1" min="22" max="22" width="10.0"/>
    <col customWidth="1" min="23" max="23" width="12.43"/>
    <col customWidth="1" min="24" max="24" width="19.43"/>
    <col customWidth="1" min="25" max="25" width="16.14"/>
    <col customWidth="1" min="26" max="26" width="18.43"/>
    <col customWidth="1" min="27" max="27" width="24.86"/>
    <col customWidth="1" min="28" max="28" width="18.14"/>
    <col customWidth="1" min="29" max="29" width="19.29"/>
    <col customWidth="1" min="30" max="30" width="18.29"/>
    <col customWidth="1" min="31" max="31" width="20.43"/>
    <col customWidth="1" min="32" max="32" width="17.57"/>
    <col customWidth="1" min="33" max="33" width="19.14"/>
    <col customWidth="1" min="34" max="34" width="18.29"/>
    <col customWidth="1" min="35" max="35" width="22.57"/>
    <col customWidth="1" min="36" max="36" width="16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>
      <c r="A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ht="15.0" customHeight="1">
      <c r="A7" s="1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>
      <c r="A8" s="1"/>
      <c r="B8" s="4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>
      <c r="A10" s="1"/>
      <c r="B10" s="4" t="s">
        <v>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>
      <c r="A11" s="1"/>
      <c r="B11" s="4" t="s">
        <v>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>
      <c r="A12" s="1"/>
      <c r="B12" s="5" t="s">
        <v>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>
      <c r="A14" s="1"/>
      <c r="B14" s="4" t="s">
        <v>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>
      <c r="A15" s="1"/>
      <c r="B15" s="5" t="s">
        <v>5</v>
      </c>
      <c r="C15" s="1"/>
      <c r="D15" s="1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6"/>
      <c r="AJ15" s="6"/>
    </row>
    <row r="16">
      <c r="A16" s="1"/>
      <c r="B16" s="5" t="s">
        <v>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1"/>
      <c r="AJ16" s="1"/>
    </row>
    <row r="17">
      <c r="A17" s="1"/>
      <c r="B17" s="5" t="s">
        <v>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>
      <c r="A18" s="1"/>
      <c r="B18" s="5" t="s">
        <v>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>
      <c r="A20" s="1"/>
      <c r="B20" s="4" t="s">
        <v>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6"/>
      <c r="AJ20" s="6"/>
    </row>
    <row r="21" ht="15.75" customHeight="1">
      <c r="A21" s="1"/>
      <c r="B21" s="5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6"/>
      <c r="AE21" s="6"/>
      <c r="AF21" s="6"/>
      <c r="AG21" s="6"/>
      <c r="AH21" s="6"/>
      <c r="AI21" s="1"/>
      <c r="AJ21" s="1"/>
    </row>
    <row r="22" ht="15.75" customHeight="1">
      <c r="A22" s="1"/>
      <c r="B22" s="5" t="s">
        <v>11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ht="15.75" customHeight="1">
      <c r="A23" s="5"/>
      <c r="B23" s="5" t="s">
        <v>12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6"/>
      <c r="T23" s="6"/>
      <c r="U23" s="6"/>
      <c r="V23" s="6"/>
      <c r="W23" s="6"/>
      <c r="X23" s="1"/>
      <c r="Y23" s="1"/>
      <c r="Z23" s="1"/>
      <c r="AA23" s="1"/>
      <c r="AB23" s="6"/>
      <c r="AC23" s="6"/>
      <c r="AD23" s="1"/>
      <c r="AE23" s="1"/>
      <c r="AF23" s="1"/>
      <c r="AG23" s="1"/>
      <c r="AH23" s="1"/>
      <c r="AI23" s="1"/>
      <c r="AJ23" s="1"/>
    </row>
    <row r="24" ht="15.75" customHeight="1">
      <c r="A24" s="5"/>
      <c r="B24" s="5" t="s">
        <v>13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ht="15.75" customHeight="1">
      <c r="A25" s="5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ht="15.75" customHeight="1">
      <c r="A26" s="5"/>
      <c r="B26" s="4" t="s">
        <v>14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ht="15.75" customHeight="1">
      <c r="A27" s="5"/>
      <c r="B27" s="5" t="s">
        <v>15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ht="15.75" customHeight="1">
      <c r="A28" s="5"/>
      <c r="B28" s="5" t="s">
        <v>16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6"/>
      <c r="P28" s="6"/>
      <c r="Q28" s="6"/>
      <c r="R28" s="6"/>
      <c r="S28" s="6"/>
      <c r="T28" s="6"/>
      <c r="U28" s="6"/>
      <c r="V28" s="6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ht="15.75" customHeight="1">
      <c r="A29" s="5"/>
      <c r="B29" s="5" t="s">
        <v>17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ht="15.75" customHeight="1">
      <c r="A30" s="7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ht="15.75" customHeight="1">
      <c r="A31" s="5"/>
      <c r="B31" s="8" t="s">
        <v>18</v>
      </c>
      <c r="C31" s="9"/>
      <c r="D31" s="9"/>
      <c r="E31" s="1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ht="21.0" customHeight="1">
      <c r="A32" s="11"/>
      <c r="B32" s="12"/>
      <c r="C32" s="13"/>
      <c r="D32" s="13"/>
      <c r="E32" s="14"/>
      <c r="F32" s="6"/>
      <c r="G32" s="6"/>
      <c r="H32" s="6"/>
      <c r="I32" s="6"/>
      <c r="J32" s="6"/>
      <c r="K32" s="6"/>
      <c r="L32" s="6"/>
      <c r="M32" s="6"/>
      <c r="N32" s="15"/>
      <c r="O32" s="15"/>
      <c r="P32" s="15"/>
      <c r="Q32" s="15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ht="15.75" customHeight="1">
      <c r="A33" s="11"/>
      <c r="B33" s="1"/>
      <c r="C33" s="1"/>
      <c r="D33" s="1"/>
      <c r="E33" s="1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ht="15.75" customHeight="1">
      <c r="A34" s="1"/>
      <c r="B34" s="16" t="s">
        <v>19</v>
      </c>
      <c r="C34" s="17"/>
      <c r="D34" s="17"/>
      <c r="E34" s="17"/>
      <c r="F34" s="18"/>
      <c r="G34" s="17"/>
      <c r="H34" s="18"/>
      <c r="I34" s="17"/>
      <c r="J34" s="18"/>
      <c r="K34" s="17"/>
      <c r="L34" s="17"/>
      <c r="M34" s="19"/>
      <c r="N34" s="6"/>
      <c r="O34" s="6"/>
      <c r="P34" s="6"/>
      <c r="Q34" s="6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ht="15.75" customHeight="1">
      <c r="A35" s="7"/>
      <c r="B35" s="20" t="s">
        <v>20</v>
      </c>
      <c r="C35" s="21"/>
      <c r="D35" s="21"/>
      <c r="E35" s="21"/>
      <c r="F35" s="22"/>
      <c r="G35" s="21"/>
      <c r="H35" s="22"/>
      <c r="I35" s="21"/>
      <c r="J35" s="22"/>
      <c r="K35" s="21"/>
      <c r="L35" s="21"/>
      <c r="M35" s="2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ht="15.75" customHeight="1">
      <c r="A36" s="1"/>
      <c r="B36" s="24"/>
      <c r="C36" s="21"/>
      <c r="D36" s="21"/>
      <c r="E36" s="21"/>
      <c r="F36" s="22"/>
      <c r="G36" s="21"/>
      <c r="H36" s="22"/>
      <c r="I36" s="21"/>
      <c r="J36" s="22"/>
      <c r="K36" s="21"/>
      <c r="L36" s="21"/>
      <c r="M36" s="2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ht="15.75" customHeight="1">
      <c r="A37" s="25"/>
      <c r="B37" s="24"/>
      <c r="C37" s="21"/>
      <c r="D37" s="21"/>
      <c r="E37" s="21"/>
      <c r="F37" s="22"/>
      <c r="G37" s="21"/>
      <c r="H37" s="22"/>
      <c r="I37" s="21"/>
      <c r="J37" s="22"/>
      <c r="K37" s="21"/>
      <c r="L37" s="21"/>
      <c r="M37" s="2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ht="15.75" customHeight="1">
      <c r="A38" s="26"/>
      <c r="B38" s="24"/>
      <c r="C38" s="21"/>
      <c r="D38" s="21"/>
      <c r="E38" s="27"/>
      <c r="F38" s="28"/>
      <c r="G38" s="29"/>
      <c r="H38" s="28"/>
      <c r="I38" s="29"/>
      <c r="J38" s="28"/>
      <c r="K38" s="29"/>
      <c r="L38" s="29"/>
      <c r="M38" s="2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ht="15.75" customHeight="1">
      <c r="A39" s="26"/>
      <c r="B39" s="24"/>
      <c r="C39" s="21"/>
      <c r="D39" s="21"/>
      <c r="E39" s="27"/>
      <c r="F39" s="22" t="s">
        <v>21</v>
      </c>
      <c r="G39" s="29"/>
      <c r="H39" s="28"/>
      <c r="I39" s="29"/>
      <c r="J39" s="28"/>
      <c r="K39" s="29"/>
      <c r="L39" s="28"/>
      <c r="M39" s="2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ht="15.75" customHeight="1">
      <c r="A40" s="26"/>
      <c r="B40" s="24"/>
      <c r="C40" s="21"/>
      <c r="D40" s="21"/>
      <c r="E40" s="27"/>
      <c r="F40" s="29"/>
      <c r="G40" s="29"/>
      <c r="H40" s="29"/>
      <c r="I40" s="29"/>
      <c r="J40" s="29"/>
      <c r="K40" s="29"/>
      <c r="L40" s="29"/>
      <c r="M40" s="23"/>
      <c r="N40" s="6"/>
      <c r="O40" s="1"/>
      <c r="P40" s="6"/>
      <c r="Q40" s="1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"/>
      <c r="AE40" s="1"/>
      <c r="AF40" s="1"/>
      <c r="AG40" s="1"/>
      <c r="AH40" s="1"/>
      <c r="AI40" s="1"/>
      <c r="AJ40" s="1"/>
    </row>
    <row r="41" ht="15.75" customHeight="1">
      <c r="A41" s="26"/>
      <c r="B41" s="24"/>
      <c r="C41" s="21"/>
      <c r="D41" s="21"/>
      <c r="E41" s="29"/>
      <c r="F41" s="29"/>
      <c r="G41" s="29"/>
      <c r="H41" s="29"/>
      <c r="I41" s="29"/>
      <c r="J41" s="29"/>
      <c r="K41" s="29"/>
      <c r="L41" s="29"/>
      <c r="M41" s="23"/>
      <c r="N41" s="1"/>
      <c r="O41" s="1"/>
      <c r="P41" s="1"/>
      <c r="Q41" s="1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"/>
      <c r="AE41" s="1"/>
      <c r="AF41" s="1"/>
      <c r="AG41" s="1"/>
      <c r="AH41" s="1"/>
      <c r="AI41" s="1"/>
      <c r="AJ41" s="1"/>
    </row>
    <row r="42" ht="15.75" customHeight="1">
      <c r="A42" s="26"/>
      <c r="B42" s="24"/>
      <c r="C42" s="21"/>
      <c r="D42" s="21"/>
      <c r="E42" s="28"/>
      <c r="F42" s="29"/>
      <c r="G42" s="29"/>
      <c r="H42" s="29"/>
      <c r="I42" s="29"/>
      <c r="J42" s="29"/>
      <c r="K42" s="29"/>
      <c r="L42" s="29"/>
      <c r="M42" s="23"/>
      <c r="N42" s="1"/>
      <c r="O42" s="1"/>
      <c r="P42" s="1"/>
      <c r="Q42" s="1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1"/>
      <c r="AE42" s="1"/>
      <c r="AF42" s="1"/>
      <c r="AG42" s="1"/>
      <c r="AH42" s="1"/>
      <c r="AI42" s="1"/>
      <c r="AJ42" s="1"/>
    </row>
    <row r="43" ht="15.75" customHeight="1">
      <c r="A43" s="26"/>
      <c r="B43" s="24"/>
      <c r="C43" s="21"/>
      <c r="D43" s="21"/>
      <c r="E43" s="21"/>
      <c r="F43" s="22"/>
      <c r="G43" s="22"/>
      <c r="H43" s="22"/>
      <c r="I43" s="22"/>
      <c r="J43" s="22"/>
      <c r="K43" s="22"/>
      <c r="L43" s="22"/>
      <c r="M43" s="30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15"/>
      <c r="AJ43" s="15"/>
    </row>
    <row r="44" ht="15.75" customHeight="1">
      <c r="A44" s="1"/>
      <c r="B44" s="24"/>
      <c r="C44" s="31"/>
      <c r="D44" s="21"/>
      <c r="E44" s="22"/>
      <c r="F44" s="22"/>
      <c r="G44" s="22"/>
      <c r="H44" s="22"/>
      <c r="I44" s="22"/>
      <c r="J44" s="22"/>
      <c r="K44" s="22"/>
      <c r="L44" s="22"/>
      <c r="M44" s="30"/>
      <c r="N44" s="6"/>
      <c r="O44" s="6"/>
      <c r="P44" s="6"/>
      <c r="Q44" s="6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5"/>
      <c r="AF44" s="15"/>
      <c r="AH44" s="15"/>
    </row>
    <row r="45" ht="15.75" customHeight="1">
      <c r="A45" s="32"/>
      <c r="B45" s="33"/>
      <c r="C45" s="34"/>
      <c r="D45" s="35"/>
      <c r="E45" s="36"/>
      <c r="F45" s="36"/>
      <c r="G45" s="35"/>
      <c r="H45" s="36"/>
      <c r="I45" s="35"/>
      <c r="J45" s="36"/>
      <c r="K45" s="35"/>
      <c r="L45" s="35"/>
      <c r="M45" s="37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6"/>
      <c r="AE45" s="6"/>
      <c r="AF45" s="6"/>
      <c r="AG45" s="6"/>
      <c r="AH45" s="6"/>
      <c r="AI45" s="6"/>
      <c r="AJ45" s="6"/>
    </row>
    <row r="46" ht="15.75" customHeight="1">
      <c r="A46" s="32"/>
      <c r="B46" s="38"/>
      <c r="C46" s="26"/>
      <c r="D46" s="1"/>
      <c r="E46" s="6"/>
      <c r="F46" s="6"/>
      <c r="G46" s="1"/>
      <c r="H46" s="6"/>
      <c r="I46" s="1"/>
      <c r="J46" s="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6"/>
      <c r="AE46" s="6"/>
      <c r="AF46" s="6"/>
      <c r="AG46" s="6"/>
      <c r="AH46" s="6"/>
      <c r="AI46" s="6"/>
      <c r="AJ46" s="6"/>
    </row>
    <row r="47" ht="15.75" customHeight="1">
      <c r="A47" s="25"/>
      <c r="B47" s="39" t="s">
        <v>22</v>
      </c>
      <c r="C47" s="40"/>
      <c r="D47" s="41"/>
      <c r="E47" s="42"/>
      <c r="F47" s="42"/>
      <c r="G47" s="41"/>
      <c r="H47" s="42"/>
      <c r="I47" s="41"/>
      <c r="J47" s="42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3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44"/>
    </row>
    <row r="48" ht="15.75" customHeight="1">
      <c r="A48" s="26"/>
      <c r="B48" s="45"/>
      <c r="C48" s="46"/>
      <c r="D48" s="21"/>
      <c r="E48" s="22"/>
      <c r="F48" s="22"/>
      <c r="G48" s="21"/>
      <c r="H48" s="22"/>
      <c r="I48" s="21"/>
      <c r="J48" s="22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47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44"/>
    </row>
    <row r="49" ht="15.75" customHeight="1">
      <c r="A49" s="26"/>
      <c r="B49" s="48" t="s">
        <v>23</v>
      </c>
      <c r="C49" s="21"/>
      <c r="D49" s="21"/>
      <c r="E49" s="22"/>
      <c r="F49" s="22"/>
      <c r="G49" s="46"/>
      <c r="H49" s="22"/>
      <c r="I49" s="21"/>
      <c r="J49" s="22"/>
      <c r="K49" s="21"/>
      <c r="L49" s="21"/>
      <c r="M49" s="21"/>
      <c r="N49" s="21"/>
      <c r="O49" s="21"/>
      <c r="P49" s="21"/>
      <c r="Q49" s="21"/>
      <c r="R49" s="22"/>
      <c r="S49" s="21"/>
      <c r="T49" s="22"/>
      <c r="U49" s="21"/>
      <c r="V49" s="47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ht="15.75" customHeight="1">
      <c r="A50" s="26"/>
      <c r="B50" s="49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47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ht="15.75" customHeight="1">
      <c r="A51" s="26"/>
      <c r="B51" s="49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47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ht="15.75" customHeight="1">
      <c r="A52" s="26"/>
      <c r="B52" s="49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2"/>
      <c r="O52" s="22"/>
      <c r="P52" s="21"/>
      <c r="Q52" s="21"/>
      <c r="R52" s="22"/>
      <c r="S52" s="22"/>
      <c r="T52" s="22"/>
      <c r="U52" s="22"/>
      <c r="V52" s="50"/>
      <c r="W52" s="6"/>
      <c r="X52" s="6"/>
      <c r="Y52" s="6"/>
      <c r="Z52" s="6"/>
      <c r="AA52" s="6"/>
      <c r="AB52" s="6"/>
      <c r="AC52" s="6"/>
      <c r="AD52" s="1"/>
      <c r="AE52" s="1"/>
      <c r="AF52" s="1"/>
      <c r="AG52" s="1"/>
      <c r="AH52" s="1"/>
      <c r="AI52" s="1"/>
      <c r="AJ52" s="1"/>
    </row>
    <row r="53" ht="15.75" customHeight="1">
      <c r="A53" s="26"/>
      <c r="B53" s="49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  <c r="O53" s="22"/>
      <c r="P53" s="22"/>
      <c r="Q53" s="22"/>
      <c r="R53" s="22"/>
      <c r="S53" s="22"/>
      <c r="T53" s="22"/>
      <c r="U53" s="22"/>
      <c r="V53" s="50"/>
      <c r="W53" s="6"/>
      <c r="X53" s="6"/>
      <c r="Y53" s="6"/>
      <c r="Z53" s="6"/>
      <c r="AA53" s="6"/>
      <c r="AB53" s="6"/>
      <c r="AC53" s="6"/>
      <c r="AD53" s="1"/>
      <c r="AE53" s="1"/>
      <c r="AF53" s="1"/>
      <c r="AG53" s="1"/>
      <c r="AH53" s="1"/>
      <c r="AI53" s="1"/>
      <c r="AJ53" s="1"/>
    </row>
    <row r="54" ht="15.75" customHeight="1">
      <c r="A54" s="1"/>
      <c r="B54" s="49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2"/>
      <c r="Q54" s="22"/>
      <c r="R54" s="21"/>
      <c r="S54" s="21"/>
      <c r="T54" s="21"/>
      <c r="U54" s="21"/>
      <c r="V54" s="47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ht="15.75" customHeight="1">
      <c r="A55" s="1"/>
      <c r="B55" s="49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47"/>
      <c r="W55" s="1"/>
      <c r="X55" s="1"/>
      <c r="Y55" s="1"/>
      <c r="Z55" s="1"/>
      <c r="AA55" s="1"/>
      <c r="AB55" s="1"/>
      <c r="AC55" s="1"/>
      <c r="AD55" s="6"/>
      <c r="AE55" s="6"/>
      <c r="AF55" s="6"/>
      <c r="AG55" s="6"/>
      <c r="AH55" s="6"/>
      <c r="AI55" s="6"/>
      <c r="AJ55" s="6"/>
    </row>
    <row r="56" ht="15.75" customHeight="1">
      <c r="A56" s="1"/>
      <c r="B56" s="49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47"/>
      <c r="W56" s="1"/>
      <c r="X56" s="1"/>
      <c r="Y56" s="1"/>
      <c r="Z56" s="1"/>
      <c r="AA56" s="1"/>
      <c r="AB56" s="1"/>
      <c r="AC56" s="1"/>
      <c r="AD56" s="6"/>
      <c r="AE56" s="6"/>
      <c r="AF56" s="6"/>
      <c r="AG56" s="6"/>
      <c r="AH56" s="6"/>
      <c r="AI56" s="6"/>
      <c r="AJ56" s="6"/>
    </row>
    <row r="57" ht="15.75" customHeight="1">
      <c r="A57" s="25"/>
      <c r="B57" s="49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47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44"/>
    </row>
    <row r="58" ht="15.75" customHeight="1">
      <c r="A58" s="26"/>
      <c r="B58" s="49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47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44"/>
    </row>
    <row r="59" ht="15.75" customHeight="1">
      <c r="A59" s="26"/>
      <c r="B59" s="45" t="s">
        <v>24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2"/>
      <c r="O59" s="21"/>
      <c r="P59" s="21"/>
      <c r="Q59" s="21"/>
      <c r="R59" s="21"/>
      <c r="S59" s="21"/>
      <c r="T59" s="21"/>
      <c r="U59" s="21"/>
      <c r="V59" s="47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ht="15.75" customHeight="1">
      <c r="A60" s="26"/>
      <c r="B60" s="45" t="s">
        <v>25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2"/>
      <c r="Q60" s="21"/>
      <c r="R60" s="21"/>
      <c r="S60" s="21"/>
      <c r="T60" s="21"/>
      <c r="U60" s="21"/>
      <c r="V60" s="47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ht="17.25" customHeight="1">
      <c r="A61" s="26"/>
      <c r="B61" s="45" t="s">
        <v>26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47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ht="18.75" customHeight="1">
      <c r="A62" s="26"/>
      <c r="B62" s="45" t="s">
        <v>27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51" t="s">
        <v>28</v>
      </c>
      <c r="N62" s="21"/>
      <c r="O62" s="21"/>
      <c r="P62" s="21"/>
      <c r="Q62" s="21"/>
      <c r="R62" s="21"/>
      <c r="S62" s="21"/>
      <c r="T62" s="21"/>
      <c r="U62" s="21"/>
      <c r="V62" s="47"/>
      <c r="AA62" s="6"/>
      <c r="AB62" s="6"/>
      <c r="AC62" s="6"/>
      <c r="AD62" s="1"/>
      <c r="AE62" s="1"/>
      <c r="AF62" s="1"/>
      <c r="AG62" s="1"/>
      <c r="AH62" s="1"/>
      <c r="AI62" s="1"/>
      <c r="AJ62" s="1"/>
    </row>
    <row r="63" ht="15.75" customHeight="1">
      <c r="A63" s="26"/>
      <c r="B63" s="45" t="s">
        <v>29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47"/>
      <c r="AA63" s="6"/>
      <c r="AB63" s="6"/>
      <c r="AC63" s="6"/>
      <c r="AD63" s="1"/>
      <c r="AE63" s="1"/>
      <c r="AF63" s="1"/>
      <c r="AG63" s="1"/>
      <c r="AH63" s="6"/>
      <c r="AI63" s="1"/>
      <c r="AJ63" s="6"/>
    </row>
    <row r="64" ht="15.75" customHeight="1">
      <c r="A64" s="1"/>
      <c r="B64" s="49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47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ht="15.75" customHeight="1">
      <c r="A65" s="1"/>
      <c r="B65" s="45" t="s">
        <v>30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47"/>
      <c r="AA65" s="1"/>
      <c r="AB65" s="1"/>
      <c r="AC65" s="1"/>
      <c r="AD65" s="6"/>
      <c r="AE65" s="6"/>
      <c r="AF65" s="6"/>
      <c r="AG65" s="6"/>
      <c r="AH65" s="6"/>
      <c r="AI65" s="6"/>
      <c r="AJ65" s="6"/>
    </row>
    <row r="66" ht="15.75" customHeight="1">
      <c r="A66" s="1"/>
      <c r="B66" s="45" t="s">
        <v>31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47"/>
      <c r="AA66" s="1"/>
      <c r="AB66" s="1"/>
      <c r="AC66" s="1"/>
      <c r="AD66" s="6"/>
      <c r="AE66" s="6"/>
      <c r="AF66" s="6"/>
      <c r="AG66" s="6"/>
      <c r="AH66" s="6"/>
      <c r="AI66" s="6"/>
      <c r="AJ66" s="6"/>
    </row>
    <row r="67" ht="15.75" customHeight="1">
      <c r="A67" s="4"/>
      <c r="B67" s="49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47"/>
      <c r="AA67" s="1"/>
      <c r="AB67" s="1"/>
      <c r="AC67" s="1"/>
      <c r="AD67" s="1"/>
      <c r="AE67" s="1"/>
      <c r="AF67" s="1"/>
      <c r="AG67" s="1"/>
      <c r="AH67" s="1"/>
      <c r="AI67" s="1"/>
      <c r="AJ67" s="44"/>
    </row>
    <row r="68" ht="15.75" customHeight="1">
      <c r="A68" s="5"/>
      <c r="B68" s="52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4"/>
      <c r="AA68" s="1"/>
      <c r="AB68" s="1"/>
      <c r="AC68" s="1"/>
      <c r="AD68" s="1"/>
      <c r="AE68" s="1"/>
      <c r="AF68" s="1"/>
      <c r="AG68" s="1"/>
      <c r="AH68" s="1"/>
      <c r="AI68" s="1"/>
      <c r="AJ68" s="44"/>
    </row>
    <row r="69" ht="15.75" customHeight="1">
      <c r="A69" s="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AA69" s="1"/>
      <c r="AB69" s="6"/>
      <c r="AC69" s="1"/>
      <c r="AD69" s="1"/>
      <c r="AE69" s="1"/>
      <c r="AF69" s="1"/>
      <c r="AG69" s="1"/>
      <c r="AH69" s="1"/>
      <c r="AI69" s="1"/>
      <c r="AJ69" s="1"/>
    </row>
    <row r="70" ht="15.75" customHeight="1">
      <c r="A70" s="4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ht="15.75" customHeight="1">
      <c r="A71" s="4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ht="15.75" customHeight="1">
      <c r="A72" s="5"/>
      <c r="B72" s="1"/>
      <c r="C72" s="1"/>
      <c r="D72" s="1"/>
      <c r="E72" s="1"/>
      <c r="F72" s="55" t="s">
        <v>32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10"/>
      <c r="X72" s="6"/>
      <c r="Y72" s="6"/>
      <c r="Z72" s="6"/>
      <c r="AA72" s="1"/>
      <c r="AB72" s="1"/>
      <c r="AC72" s="1"/>
      <c r="AD72" s="6"/>
      <c r="AE72" s="1"/>
      <c r="AF72" s="6"/>
      <c r="AG72" s="1"/>
      <c r="AH72" s="1"/>
      <c r="AI72" s="1"/>
      <c r="AJ72" s="1"/>
    </row>
    <row r="73" ht="15.75" customHeight="1">
      <c r="A73" s="1"/>
      <c r="B73" s="5"/>
      <c r="D73" s="1"/>
      <c r="E73" s="1"/>
      <c r="F73" s="12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4"/>
      <c r="X73" s="6"/>
      <c r="Y73" s="6"/>
      <c r="Z73" s="6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ht="15.75" customHeight="1">
      <c r="A74" s="5"/>
      <c r="B74" s="1"/>
      <c r="C74" s="1"/>
      <c r="D74" s="56"/>
      <c r="E74" s="56"/>
      <c r="F74" s="57" t="s">
        <v>33</v>
      </c>
      <c r="G74" s="58"/>
      <c r="H74" s="58"/>
      <c r="I74" s="58"/>
      <c r="J74" s="58"/>
      <c r="K74" s="58"/>
      <c r="L74" s="58"/>
      <c r="M74" s="58"/>
      <c r="N74" s="59"/>
      <c r="O74" s="57" t="s">
        <v>34</v>
      </c>
      <c r="P74" s="58"/>
      <c r="Q74" s="58"/>
      <c r="R74" s="58"/>
      <c r="S74" s="58"/>
      <c r="T74" s="58"/>
      <c r="U74" s="58"/>
      <c r="V74" s="58"/>
      <c r="W74" s="59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ht="15.75" customHeight="1">
      <c r="A75" s="7"/>
      <c r="B75" s="1"/>
      <c r="C75" s="60" t="s">
        <v>35</v>
      </c>
      <c r="D75" s="59"/>
      <c r="E75" s="6"/>
      <c r="F75" s="60" t="s">
        <v>36</v>
      </c>
      <c r="G75" s="58"/>
      <c r="H75" s="59"/>
      <c r="I75" s="60" t="s">
        <v>37</v>
      </c>
      <c r="J75" s="58"/>
      <c r="K75" s="59"/>
      <c r="L75" s="60" t="s">
        <v>38</v>
      </c>
      <c r="M75" s="58"/>
      <c r="N75" s="59"/>
      <c r="O75" s="60" t="s">
        <v>36</v>
      </c>
      <c r="P75" s="58"/>
      <c r="Q75" s="59"/>
      <c r="R75" s="60" t="s">
        <v>37</v>
      </c>
      <c r="S75" s="58"/>
      <c r="T75" s="59"/>
      <c r="U75" s="60" t="s">
        <v>38</v>
      </c>
      <c r="V75" s="58"/>
      <c r="W75" s="59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ht="15.75" customHeight="1">
      <c r="A76" s="7"/>
      <c r="B76" s="61" t="s">
        <v>39</v>
      </c>
      <c r="C76" s="62" t="s">
        <v>40</v>
      </c>
      <c r="D76" s="62" t="s">
        <v>41</v>
      </c>
      <c r="E76" s="62" t="s">
        <v>42</v>
      </c>
      <c r="F76" s="62" t="s">
        <v>43</v>
      </c>
      <c r="G76" s="62" t="s">
        <v>44</v>
      </c>
      <c r="H76" s="62" t="s">
        <v>41</v>
      </c>
      <c r="I76" s="61" t="s">
        <v>45</v>
      </c>
      <c r="J76" s="62" t="s">
        <v>44</v>
      </c>
      <c r="K76" s="62" t="s">
        <v>41</v>
      </c>
      <c r="L76" s="61" t="s">
        <v>45</v>
      </c>
      <c r="M76" s="62" t="s">
        <v>44</v>
      </c>
      <c r="N76" s="63" t="s">
        <v>41</v>
      </c>
      <c r="O76" s="62" t="s">
        <v>43</v>
      </c>
      <c r="P76" s="62" t="s">
        <v>44</v>
      </c>
      <c r="Q76" s="62" t="s">
        <v>41</v>
      </c>
      <c r="R76" s="61" t="s">
        <v>45</v>
      </c>
      <c r="S76" s="62" t="s">
        <v>44</v>
      </c>
      <c r="T76" s="62" t="s">
        <v>41</v>
      </c>
      <c r="U76" s="61" t="s">
        <v>45</v>
      </c>
      <c r="V76" s="62" t="s">
        <v>44</v>
      </c>
      <c r="W76" s="63" t="s">
        <v>41</v>
      </c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ht="15.75" customHeight="1">
      <c r="A77" s="7"/>
      <c r="B77" s="64" t="s">
        <v>46</v>
      </c>
      <c r="C77" s="65" t="s">
        <v>47</v>
      </c>
      <c r="D77" s="66" t="s">
        <v>48</v>
      </c>
      <c r="E77" s="67">
        <v>2.5</v>
      </c>
      <c r="F77" s="68"/>
      <c r="G77" s="69"/>
      <c r="H77" s="70"/>
      <c r="I77" s="71" t="str">
        <f t="array" ref="I77">MROUND(F77/INDEX($AD$80:$AM$87,MATCH(H77,$AC$80:$AC$87,0),MATCH(G77,$AD$79:$AM$79, 0))*0.8,$E$77)</f>
        <v>#N/A</v>
      </c>
      <c r="J77" s="69">
        <v>5.0</v>
      </c>
      <c r="K77" s="70"/>
      <c r="L77" s="71" t="str">
        <f t="array" ref="L77">MROUND(I77/INDEX($AD$80:$AM$87,MATCH(K77,$AC$80:$AC$87,0),MATCH(J77,$AD$79:$AM$79, 0))*0.8,$E$77)</f>
        <v>#N/A</v>
      </c>
      <c r="M77" s="72">
        <v>5.0</v>
      </c>
      <c r="N77" s="73"/>
      <c r="O77" s="74" t="str">
        <f t="array" ref="O77">MROUND(F77/INDEX($AD$80:$AM$87,MATCH(H77,$AC$80:$AC$87,0),MATCH(G77,$AD$79:$AM$79, 0))*0.82,$E$77)</f>
        <v>#N/A</v>
      </c>
      <c r="P77" s="69">
        <v>4.0</v>
      </c>
      <c r="Q77" s="70"/>
      <c r="R77" s="71" t="str">
        <f t="array" ref="R77">MROUND(O77/INDEX($AD$80:$AM$87,MATCH(Q77,$AC$80:$AC$87,0),MATCH(P77,$AD$79:$AM$79, 0))*0.8,$E$77)</f>
        <v>#N/A</v>
      </c>
      <c r="S77" s="69">
        <v>5.0</v>
      </c>
      <c r="T77" s="70"/>
      <c r="U77" s="71" t="str">
        <f t="array" ref="U77">MROUND(R77/INDEX($AD$80:$AM$87,MATCH(T77,$AC$80:$AC$87,0),MATCH(S77,$AD$79:$AM$79, 0))*0.78,L77)</f>
        <v>#N/A</v>
      </c>
      <c r="V77" s="72">
        <v>6.0</v>
      </c>
      <c r="W77" s="73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ht="15.75" customHeight="1">
      <c r="A78" s="1"/>
      <c r="B78" s="75" t="s">
        <v>49</v>
      </c>
      <c r="C78" s="65" t="s">
        <v>47</v>
      </c>
      <c r="D78" s="66" t="s">
        <v>48</v>
      </c>
      <c r="E78" s="67">
        <v>2.5</v>
      </c>
      <c r="F78" s="76"/>
      <c r="G78" s="77"/>
      <c r="H78" s="67"/>
      <c r="I78" s="78" t="str">
        <f t="array" ref="I78">MROUND(F78/INDEX($AD$80:$AM$87,MATCH(H78,$AC$80:$AC$87,0),MATCH(G78,$AD$79:$AM$79, 0))*0.8,$E$78)</f>
        <v>#N/A</v>
      </c>
      <c r="J78" s="77">
        <v>5.0</v>
      </c>
      <c r="K78" s="67"/>
      <c r="L78" s="78" t="str">
        <f t="array" ref="L78">MROUND(I78/INDEX($AD$80:$AM$87,MATCH(K78,$AC$80:$AC$87,0),MATCH(J78,$AD$79:$AM$79, 0))*0.8,$E$78)</f>
        <v>#N/A</v>
      </c>
      <c r="M78" s="79">
        <v>5.0</v>
      </c>
      <c r="N78" s="73"/>
      <c r="O78" s="78" t="str">
        <f t="array" ref="O78">MROUND(F78/INDEX($AD$80:$AM$87,MATCH(H78,$AC$80:$AC$87,0),MATCH(G78,$AD$79:$AM$79, 0))*0.82,$E$78)</f>
        <v>#N/A</v>
      </c>
      <c r="P78" s="69">
        <v>4.0</v>
      </c>
      <c r="Q78" s="67"/>
      <c r="R78" s="78" t="str">
        <f t="array" ref="R78">MROUND(O78/INDEX($AD$80:$AM$87,MATCH(Q78,$AC$80:$AC$87,0),MATCH(P78,$AD$79:$AM$79, 0))*0.8,$E$78)</f>
        <v>#N/A</v>
      </c>
      <c r="S78" s="77">
        <v>5.0</v>
      </c>
      <c r="T78" s="67"/>
      <c r="U78" s="78" t="str">
        <f t="array" ref="U78">MROUND(R78/INDEX($AD$80:$AM$87,MATCH(T78,$AC$80:$AC$87,0),MATCH(S78,$AD$79:$AM$79, 0))*0.78,$E$78)</f>
        <v>#N/A</v>
      </c>
      <c r="V78" s="79">
        <v>6.0</v>
      </c>
      <c r="W78" s="73"/>
      <c r="X78" s="1"/>
      <c r="Y78" s="1"/>
      <c r="Z78" s="1"/>
      <c r="AC78" s="1"/>
      <c r="AD78" s="80" t="s">
        <v>50</v>
      </c>
      <c r="AE78" s="81"/>
      <c r="AF78" s="81"/>
      <c r="AG78" s="81"/>
      <c r="AH78" s="81"/>
      <c r="AI78" s="81"/>
      <c r="AJ78" s="81"/>
      <c r="AK78" s="81"/>
      <c r="AL78" s="81"/>
      <c r="AM78" s="82"/>
      <c r="AO78" s="1"/>
    </row>
    <row r="79" ht="15.75" customHeight="1">
      <c r="A79" s="4"/>
      <c r="B79" s="75" t="s">
        <v>51</v>
      </c>
      <c r="C79" s="65" t="s">
        <v>52</v>
      </c>
      <c r="D79" s="66" t="s">
        <v>48</v>
      </c>
      <c r="E79" s="83">
        <v>5.0</v>
      </c>
      <c r="F79" s="76"/>
      <c r="G79" s="77"/>
      <c r="H79" s="67"/>
      <c r="I79" s="78" t="str">
        <f t="array" ref="I79">MROUND(F79/INDEX($AD$80:$AM$87,MATCH(H79,$AC$80:$AC$87,0),MATCH(G79,$AD$79:$AM$79, 0))*0.8,$E$79)</f>
        <v>#N/A</v>
      </c>
      <c r="J79" s="77">
        <v>5.0</v>
      </c>
      <c r="K79" s="67"/>
      <c r="L79" s="78" t="str">
        <f t="array" ref="L79">MROUND(I79/INDEX($AD$80:$AM$87,MATCH(K79,$AC$80:$AC$87,0),MATCH(J79,$AD$79:$AM$79, 0))*0.8,$E$79)</f>
        <v>#N/A</v>
      </c>
      <c r="M79" s="79">
        <v>5.0</v>
      </c>
      <c r="N79" s="73"/>
      <c r="O79" s="78" t="str">
        <f t="array" ref="O79">MROUND(F79/INDEX($AD$80:$AM$87,MATCH(H79,$AC$80:$AC$87,0),MATCH(G79,$AD$79:$AM$79, 0))*0.82,$E$79)</f>
        <v>#N/A</v>
      </c>
      <c r="P79" s="69">
        <v>4.0</v>
      </c>
      <c r="Q79" s="67"/>
      <c r="R79" s="78" t="str">
        <f t="array" ref="R79">MROUND(O79/INDEX($AD$80:$AM$87,MATCH(Q79,$AC$80:$AC$87,0),MATCH(P79,$AD$79:$AM$79, 0))*0.8,$E$79)</f>
        <v>#N/A</v>
      </c>
      <c r="S79" s="77">
        <v>5.0</v>
      </c>
      <c r="T79" s="67"/>
      <c r="U79" s="78" t="str">
        <f t="array" ref="U79">MROUND(R79/INDEX($AD$80:$AM$87,MATCH(T79,$AC$80:$AC$87,0),MATCH(S79,$AD$79:$AM$79, 0))*0.78,$E$79)</f>
        <v>#N/A</v>
      </c>
      <c r="V79" s="79">
        <v>6.0</v>
      </c>
      <c r="W79" s="73"/>
      <c r="X79" s="6"/>
      <c r="Y79" s="1"/>
      <c r="Z79" s="6"/>
      <c r="AC79" s="84" t="s">
        <v>41</v>
      </c>
      <c r="AD79" s="84">
        <v>1.0</v>
      </c>
      <c r="AE79" s="84">
        <v>2.0</v>
      </c>
      <c r="AF79" s="84">
        <v>3.0</v>
      </c>
      <c r="AG79" s="84">
        <v>4.0</v>
      </c>
      <c r="AH79" s="84">
        <v>5.0</v>
      </c>
      <c r="AI79" s="84">
        <v>6.0</v>
      </c>
      <c r="AJ79" s="84">
        <v>7.0</v>
      </c>
      <c r="AK79" s="84">
        <v>8.0</v>
      </c>
      <c r="AL79" s="84">
        <v>9.0</v>
      </c>
      <c r="AM79" s="84">
        <v>10.0</v>
      </c>
      <c r="AO79" s="1"/>
    </row>
    <row r="80" ht="15.75" customHeight="1">
      <c r="A80" s="4"/>
      <c r="B80" s="85" t="s">
        <v>53</v>
      </c>
      <c r="C80" s="86" t="s">
        <v>54</v>
      </c>
      <c r="D80" s="66" t="s">
        <v>48</v>
      </c>
      <c r="E80" s="87">
        <v>1.0</v>
      </c>
      <c r="F80" s="76"/>
      <c r="G80" s="77"/>
      <c r="H80" s="67"/>
      <c r="I80" s="78" t="str">
        <f t="array" ref="I80">MROUND(F80/INDEX($AD$80:$AM$87,MATCH(H80,$AC$80:$AC$87,0),MATCH(G80,$AD$79:$AM$79, 0))*0.72,$E$80)</f>
        <v>#N/A</v>
      </c>
      <c r="J80" s="77">
        <v>8.0</v>
      </c>
      <c r="K80" s="67"/>
      <c r="L80" s="78" t="str">
        <f t="array" ref="L80">MROUND(I80/INDEX($AD$80:$AM$87,MATCH(K80,$AC$80:$AC$87,0),MATCH(J80,$AD$79:$AM$79, 0))*0.72,$E$80)</f>
        <v>#N/A</v>
      </c>
      <c r="M80" s="79">
        <v>8.0</v>
      </c>
      <c r="N80" s="73"/>
      <c r="O80" s="78" t="str">
        <f t="array" ref="O80">MROUND(F80/INDEX($AD$80:$AM$87,MATCH(H80,$AC$80:$AC$87,0),MATCH(G80,$AD$79:$AM$79, 0))*0.72,$E$80)</f>
        <v>#N/A</v>
      </c>
      <c r="P80" s="77">
        <v>6.0</v>
      </c>
      <c r="Q80" s="67"/>
      <c r="R80" s="78" t="str">
        <f t="array" ref="R80">MROUND(O80/INDEX($AD$80:$AM$87,MATCH(Q80,$AC$80:$AC$87,0),MATCH(P80,$AD$79:$AM$79, 0))*0.72,$E$80)</f>
        <v>#N/A</v>
      </c>
      <c r="S80" s="77">
        <v>8.0</v>
      </c>
      <c r="T80" s="67"/>
      <c r="U80" s="78" t="str">
        <f t="array" ref="U80">MROUND(R80/INDEX($AD$80:$AM$87,MATCH(T80,$AC$80:$AC$87,0),MATCH(S80,$AD$79:$AM$79, 0))*0.69,$E$80)</f>
        <v>#N/A</v>
      </c>
      <c r="V80" s="79">
        <v>10.0</v>
      </c>
      <c r="W80" s="73"/>
      <c r="X80" s="1"/>
      <c r="Y80" s="1"/>
      <c r="Z80" s="1"/>
      <c r="AC80" s="88">
        <v>10.0</v>
      </c>
      <c r="AD80" s="89">
        <v>1.0</v>
      </c>
      <c r="AE80" s="89">
        <v>0.96</v>
      </c>
      <c r="AF80" s="89">
        <v>0.92</v>
      </c>
      <c r="AG80" s="89">
        <v>0.89</v>
      </c>
      <c r="AH80" s="89">
        <v>0.86</v>
      </c>
      <c r="AI80" s="89">
        <v>0.84</v>
      </c>
      <c r="AJ80" s="89">
        <v>0.81</v>
      </c>
      <c r="AK80" s="89">
        <v>0.79</v>
      </c>
      <c r="AL80" s="89">
        <v>0.76</v>
      </c>
      <c r="AM80" s="89">
        <v>0.74</v>
      </c>
      <c r="AO80" s="1"/>
    </row>
    <row r="81" ht="15.75" customHeight="1">
      <c r="A81" s="4"/>
      <c r="B81" s="85" t="s">
        <v>55</v>
      </c>
      <c r="C81" s="90" t="str">
        <f>IF(B81='Формулы'!L39, "", "собственный")</f>
        <v/>
      </c>
      <c r="D81" s="91" t="str">
        <f>IF(B81='Формулы'!L39, "", "7-9")</f>
        <v/>
      </c>
      <c r="E81" s="87"/>
      <c r="F81" s="92" t="str">
        <f>IF(B81="+", "", "собств.")</f>
        <v/>
      </c>
      <c r="G81" s="93"/>
      <c r="H81" s="83"/>
      <c r="I81" s="94" t="str">
        <f>IF(B81="+", "", "собств.")</f>
        <v/>
      </c>
      <c r="J81" s="93" t="str">
        <f>IF(B81="+", "", MROUND(G81+(10-H81-3),1))</f>
        <v/>
      </c>
      <c r="K81" s="83"/>
      <c r="L81" s="95" t="str">
        <f>IF(B81="+", "", "собств.")</f>
        <v/>
      </c>
      <c r="M81" s="94" t="str">
        <f>IF(B81="+","", MROUND(J81+(10-K81-2),1))</f>
        <v/>
      </c>
      <c r="N81" s="83"/>
      <c r="O81" s="92" t="str">
        <f>IF(B81="+", "", "собств.")</f>
        <v/>
      </c>
      <c r="P81" s="94" t="str">
        <f>IF(B81="+", "", MROUND(M81+(10-N81-2),1))</f>
        <v/>
      </c>
      <c r="Q81" s="83"/>
      <c r="R81" s="94" t="str">
        <f>IF(B81="+", "", "собств.")</f>
        <v/>
      </c>
      <c r="S81" s="94" t="str">
        <f>IF(B81="+", "", MROUND(P81+(10-Q81-1),1))</f>
        <v/>
      </c>
      <c r="T81" s="83"/>
      <c r="U81" s="95" t="str">
        <f>IF(B81="+", "", "собств.")</f>
        <v/>
      </c>
      <c r="V81" s="94" t="str">
        <f>IF(B81="+", "", MROUND(S81+(10-T81-1),1))</f>
        <v/>
      </c>
      <c r="W81" s="96"/>
      <c r="X81" s="1"/>
      <c r="Y81" s="1"/>
      <c r="Z81" s="1"/>
      <c r="AC81" s="88">
        <v>9.5</v>
      </c>
      <c r="AD81" s="89">
        <v>0.98</v>
      </c>
      <c r="AE81" s="89">
        <v>0.94</v>
      </c>
      <c r="AF81" s="89">
        <v>0.91</v>
      </c>
      <c r="AG81" s="89">
        <v>0.88</v>
      </c>
      <c r="AH81" s="89">
        <v>0.85</v>
      </c>
      <c r="AI81" s="89">
        <v>0.82</v>
      </c>
      <c r="AJ81" s="89">
        <v>0.8</v>
      </c>
      <c r="AK81" s="89">
        <v>0.77</v>
      </c>
      <c r="AL81" s="89">
        <v>0.75</v>
      </c>
      <c r="AM81" s="89">
        <v>0.72</v>
      </c>
      <c r="AO81" s="1"/>
    </row>
    <row r="82" ht="15.75" customHeight="1">
      <c r="A82" s="4"/>
      <c r="B82" s="1"/>
      <c r="E82" s="1"/>
      <c r="M82" s="97"/>
      <c r="V82" s="97"/>
      <c r="X82" s="1"/>
      <c r="Y82" s="1"/>
      <c r="Z82" s="1"/>
      <c r="AC82" s="88">
        <v>9.0</v>
      </c>
      <c r="AD82" s="89">
        <v>0.96</v>
      </c>
      <c r="AE82" s="89">
        <v>0.92</v>
      </c>
      <c r="AF82" s="89">
        <v>0.89</v>
      </c>
      <c r="AG82" s="89">
        <v>0.86</v>
      </c>
      <c r="AH82" s="89">
        <v>0.84</v>
      </c>
      <c r="AI82" s="89">
        <v>0.81</v>
      </c>
      <c r="AJ82" s="89">
        <v>0.79</v>
      </c>
      <c r="AK82" s="89">
        <v>0.76</v>
      </c>
      <c r="AL82" s="89">
        <v>0.74</v>
      </c>
      <c r="AM82" s="89">
        <v>0.71</v>
      </c>
      <c r="AO82" s="1"/>
    </row>
    <row r="83" ht="15.75" customHeight="1">
      <c r="A83" s="1"/>
      <c r="B83" s="1"/>
      <c r="C83" s="60" t="s">
        <v>35</v>
      </c>
      <c r="D83" s="59"/>
      <c r="E83" s="15"/>
      <c r="F83" s="60" t="s">
        <v>36</v>
      </c>
      <c r="G83" s="58"/>
      <c r="H83" s="59"/>
      <c r="I83" s="98" t="s">
        <v>37</v>
      </c>
      <c r="J83" s="99"/>
      <c r="K83" s="100"/>
      <c r="L83" s="98" t="s">
        <v>38</v>
      </c>
      <c r="M83" s="99"/>
      <c r="N83" s="100"/>
      <c r="O83" s="98" t="s">
        <v>36</v>
      </c>
      <c r="P83" s="99"/>
      <c r="Q83" s="100"/>
      <c r="R83" s="98" t="s">
        <v>37</v>
      </c>
      <c r="S83" s="99"/>
      <c r="T83" s="100"/>
      <c r="U83" s="98" t="s">
        <v>38</v>
      </c>
      <c r="V83" s="99"/>
      <c r="W83" s="100"/>
      <c r="X83" s="1"/>
      <c r="Y83" s="1"/>
      <c r="Z83" s="1"/>
      <c r="AC83" s="88">
        <v>8.5</v>
      </c>
      <c r="AD83" s="89">
        <v>0.94</v>
      </c>
      <c r="AE83" s="89">
        <v>0.91</v>
      </c>
      <c r="AF83" s="89">
        <v>0.88</v>
      </c>
      <c r="AG83" s="89">
        <v>0.85</v>
      </c>
      <c r="AH83" s="89">
        <v>0.82</v>
      </c>
      <c r="AI83" s="89">
        <v>0.8</v>
      </c>
      <c r="AJ83" s="89">
        <v>0.77</v>
      </c>
      <c r="AK83" s="89">
        <v>0.75</v>
      </c>
      <c r="AL83" s="89">
        <v>0.72</v>
      </c>
      <c r="AM83" s="89">
        <v>0.69</v>
      </c>
      <c r="AO83" s="1"/>
    </row>
    <row r="84" ht="15.75" customHeight="1">
      <c r="A84" s="7"/>
      <c r="B84" s="61" t="s">
        <v>56</v>
      </c>
      <c r="C84" s="62" t="s">
        <v>40</v>
      </c>
      <c r="D84" s="62" t="s">
        <v>41</v>
      </c>
      <c r="E84" s="62" t="s">
        <v>42</v>
      </c>
      <c r="F84" s="62" t="s">
        <v>43</v>
      </c>
      <c r="G84" s="62" t="s">
        <v>44</v>
      </c>
      <c r="H84" s="62" t="s">
        <v>41</v>
      </c>
      <c r="I84" s="61" t="s">
        <v>45</v>
      </c>
      <c r="J84" s="62" t="s">
        <v>44</v>
      </c>
      <c r="K84" s="62" t="s">
        <v>41</v>
      </c>
      <c r="L84" s="61" t="s">
        <v>45</v>
      </c>
      <c r="M84" s="62" t="s">
        <v>44</v>
      </c>
      <c r="N84" s="62" t="s">
        <v>41</v>
      </c>
      <c r="O84" s="62" t="s">
        <v>43</v>
      </c>
      <c r="P84" s="62" t="s">
        <v>44</v>
      </c>
      <c r="Q84" s="62" t="s">
        <v>41</v>
      </c>
      <c r="R84" s="61" t="s">
        <v>45</v>
      </c>
      <c r="S84" s="62" t="s">
        <v>44</v>
      </c>
      <c r="T84" s="62" t="s">
        <v>41</v>
      </c>
      <c r="U84" s="61" t="s">
        <v>45</v>
      </c>
      <c r="V84" s="62" t="s">
        <v>44</v>
      </c>
      <c r="W84" s="101" t="s">
        <v>41</v>
      </c>
      <c r="X84" s="1"/>
      <c r="Y84" s="1"/>
      <c r="Z84" s="1"/>
      <c r="AC84" s="88">
        <v>8.0</v>
      </c>
      <c r="AD84" s="89">
        <v>0.92</v>
      </c>
      <c r="AE84" s="89">
        <v>0.89</v>
      </c>
      <c r="AF84" s="89">
        <v>0.86</v>
      </c>
      <c r="AG84" s="89">
        <v>0.84</v>
      </c>
      <c r="AH84" s="89">
        <v>0.81</v>
      </c>
      <c r="AI84" s="89">
        <v>0.79</v>
      </c>
      <c r="AJ84" s="89">
        <v>0.76</v>
      </c>
      <c r="AK84" s="89">
        <v>0.74</v>
      </c>
      <c r="AL84" s="89">
        <v>0.71</v>
      </c>
      <c r="AM84" s="89">
        <v>0.68</v>
      </c>
      <c r="AO84" s="1"/>
    </row>
    <row r="85" ht="15.75" customHeight="1">
      <c r="A85" s="1"/>
      <c r="B85" s="64" t="s">
        <v>57</v>
      </c>
      <c r="C85" s="102" t="s">
        <v>47</v>
      </c>
      <c r="D85" s="103" t="s">
        <v>48</v>
      </c>
      <c r="E85" s="67">
        <v>2.5</v>
      </c>
      <c r="F85" s="68"/>
      <c r="G85" s="69"/>
      <c r="H85" s="70"/>
      <c r="I85" s="71" t="str">
        <f t="array" ref="I85">MROUND(F85/INDEX($AD$80:$AM$87,MATCH(H85,$AC$80:$AC$87,0),MATCH(G85,$AD$79:$AM$79, 0))*0.8,$E$85)</f>
        <v>#N/A</v>
      </c>
      <c r="J85" s="69">
        <v>5.0</v>
      </c>
      <c r="K85" s="70"/>
      <c r="L85" s="71" t="str">
        <f t="array" ref="L85">MROUND(I85/INDEX($AD$80:$AM$87,MATCH(K85,$AC$80:$AC$87,0),MATCH(J85,$AD$79:$AM$79, 0))*0.8,$E$85)</f>
        <v>#N/A</v>
      </c>
      <c r="M85" s="69">
        <v>5.0</v>
      </c>
      <c r="N85" s="70"/>
      <c r="O85" s="74" t="str">
        <f t="shared" ref="O85:O87" si="1">MROUND(F85/INDEX($AD$80:$AM$87,MATCH(H85,$AC$80:$AC$87,0),MATCH(G85,$AD$79:$AM$79, 0))*0.82,E85)</f>
        <v>#N/A</v>
      </c>
      <c r="P85" s="69">
        <v>4.0</v>
      </c>
      <c r="Q85" s="70"/>
      <c r="R85" s="71" t="str">
        <f t="array" ref="R85">MROUND(O85/INDEX($AD$80:$AM$87,MATCH(Q85,$AC$80:$AC$87,0),MATCH(P85,$AD$79:$AM$79, 0))*0.8,$E$85)</f>
        <v>#N/A</v>
      </c>
      <c r="S85" s="69">
        <v>5.0</v>
      </c>
      <c r="T85" s="70"/>
      <c r="U85" s="71" t="str">
        <f t="array" ref="U85">MROUND(R85/INDEX($AD$80:$AM$87,MATCH(T85,$AC$80:$AC$87,0),MATCH(S85,$AD$79:$AM$79, 0))*0.78,$E$85)</f>
        <v>#N/A</v>
      </c>
      <c r="V85" s="72">
        <v>6.0</v>
      </c>
      <c r="W85" s="104"/>
      <c r="X85" s="1"/>
      <c r="Y85" s="1"/>
      <c r="Z85" s="1"/>
      <c r="AC85" s="88">
        <v>7.5</v>
      </c>
      <c r="AD85" s="89">
        <v>0.91</v>
      </c>
      <c r="AE85" s="89">
        <v>0.88</v>
      </c>
      <c r="AF85" s="89">
        <v>0.85</v>
      </c>
      <c r="AG85" s="89">
        <v>0.82</v>
      </c>
      <c r="AH85" s="89">
        <v>0.8</v>
      </c>
      <c r="AI85" s="89">
        <v>0.77</v>
      </c>
      <c r="AJ85" s="89">
        <v>0.75</v>
      </c>
      <c r="AK85" s="89">
        <v>0.72</v>
      </c>
      <c r="AL85" s="89">
        <v>0.69</v>
      </c>
      <c r="AM85" s="89">
        <v>0.67</v>
      </c>
      <c r="AO85" s="1"/>
    </row>
    <row r="86" ht="15.75" customHeight="1">
      <c r="A86" s="1"/>
      <c r="B86" s="85" t="s">
        <v>58</v>
      </c>
      <c r="C86" s="102" t="s">
        <v>47</v>
      </c>
      <c r="D86" s="103" t="s">
        <v>48</v>
      </c>
      <c r="E86" s="67">
        <v>2.5</v>
      </c>
      <c r="F86" s="76"/>
      <c r="G86" s="77"/>
      <c r="H86" s="67"/>
      <c r="I86" s="78" t="str">
        <f t="array" ref="I86">MROUND(F86/INDEX($AD$80:$AM$87,MATCH(H86,$AC$80:$AC$87,0),MATCH(G86,$AD$79:$AM$79, 0))*0.8,$E$86)</f>
        <v>#N/A</v>
      </c>
      <c r="J86" s="77">
        <v>5.0</v>
      </c>
      <c r="K86" s="67"/>
      <c r="L86" s="78" t="str">
        <f t="array" ref="L86">MROUND(I86/INDEX($AD$80:$AM$87,MATCH(K86,$AC$80:$AC$87,0),MATCH(J86,$AD$79:$AM$79, 0))*0.8,$E$86)</f>
        <v>#N/A</v>
      </c>
      <c r="M86" s="77">
        <v>5.0</v>
      </c>
      <c r="N86" s="67"/>
      <c r="O86" s="78" t="str">
        <f t="shared" si="1"/>
        <v>#N/A</v>
      </c>
      <c r="P86" s="69">
        <v>4.0</v>
      </c>
      <c r="Q86" s="67"/>
      <c r="R86" s="78" t="str">
        <f t="array" ref="R86">MROUND(O86/INDEX($AD$80:$AM$87,MATCH(Q86,$AC$80:$AC$87,0),MATCH(P86,$AD$79:$AM$79, 0))*0.8,$E$86)</f>
        <v>#N/A</v>
      </c>
      <c r="S86" s="77">
        <v>5.0</v>
      </c>
      <c r="T86" s="67"/>
      <c r="U86" s="78" t="str">
        <f t="array" ref="U86">MROUND(R86/INDEX($AD$80:$AM$87,MATCH(T86,$AC$80:$AC$87,0),MATCH(S86,$AD$79:$AM$79, 0))*0.78,$E$86)</f>
        <v>#N/A</v>
      </c>
      <c r="V86" s="79">
        <v>6.0</v>
      </c>
      <c r="W86" s="73"/>
      <c r="X86" s="1"/>
      <c r="Y86" s="1"/>
      <c r="Z86" s="1"/>
      <c r="AC86" s="88">
        <v>7.0</v>
      </c>
      <c r="AD86" s="89">
        <v>0.89</v>
      </c>
      <c r="AE86" s="89">
        <v>0.86</v>
      </c>
      <c r="AF86" s="89">
        <v>0.84</v>
      </c>
      <c r="AG86" s="89">
        <v>0.81</v>
      </c>
      <c r="AH86" s="89">
        <v>0.79</v>
      </c>
      <c r="AI86" s="89">
        <v>0.76</v>
      </c>
      <c r="AJ86" s="89">
        <v>0.74</v>
      </c>
      <c r="AK86" s="89">
        <v>0.71</v>
      </c>
      <c r="AL86" s="89">
        <v>0.68</v>
      </c>
      <c r="AM86" s="89">
        <v>0.65</v>
      </c>
      <c r="AO86" s="1"/>
    </row>
    <row r="87" ht="15.75" customHeight="1">
      <c r="A87" s="1"/>
      <c r="B87" s="85" t="s">
        <v>46</v>
      </c>
      <c r="C87" s="102" t="s">
        <v>52</v>
      </c>
      <c r="D87" s="103" t="s">
        <v>48</v>
      </c>
      <c r="E87" s="83">
        <v>2.5</v>
      </c>
      <c r="F87" s="76"/>
      <c r="G87" s="77"/>
      <c r="H87" s="67"/>
      <c r="I87" s="78" t="str">
        <f t="array" ref="I87">MROUND(F87/INDEX($AD$80:$AM$87,MATCH(H87,$AC$80:$AC$87,0),MATCH(G87,$AD$79:$AM$79, 0))*0.8,$E$87)</f>
        <v>#N/A</v>
      </c>
      <c r="J87" s="77">
        <v>5.0</v>
      </c>
      <c r="K87" s="67"/>
      <c r="L87" s="78" t="str">
        <f t="array" ref="L87">MROUND(I87/INDEX($AD$80:$AM$87,MATCH(K87,$AC$80:$AC$87,0),MATCH(J87,$AD$79:$AM$79, 0))*0.8,$E$87)</f>
        <v>#N/A</v>
      </c>
      <c r="M87" s="77">
        <v>5.0</v>
      </c>
      <c r="N87" s="67"/>
      <c r="O87" s="78" t="str">
        <f t="shared" si="1"/>
        <v>#N/A</v>
      </c>
      <c r="P87" s="69">
        <v>4.0</v>
      </c>
      <c r="Q87" s="67"/>
      <c r="R87" s="78" t="str">
        <f t="array" ref="R87">MROUND(O87/INDEX($AD$80:$AM$87,MATCH(Q87,$AC$80:$AC$87,0),MATCH(P87,$AD$79:$AM$79, 0))*0.8,$E$87)</f>
        <v>#N/A</v>
      </c>
      <c r="S87" s="77">
        <v>5.0</v>
      </c>
      <c r="T87" s="67"/>
      <c r="U87" s="78" t="str">
        <f t="array" ref="U87">MROUND(R87/INDEX($AD$80:$AM$87,MATCH(T87,$AC$80:$AC$87,0),MATCH(S87,$AD$79:$AM$79, 0))*0.78,$E$87)</f>
        <v>#N/A</v>
      </c>
      <c r="V87" s="79">
        <v>6.0</v>
      </c>
      <c r="W87" s="73"/>
      <c r="X87" s="1"/>
      <c r="Y87" s="1"/>
      <c r="Z87" s="1"/>
      <c r="AC87" s="88">
        <v>6.5</v>
      </c>
      <c r="AD87" s="89">
        <v>0.88</v>
      </c>
      <c r="AE87" s="89">
        <v>0.85</v>
      </c>
      <c r="AF87" s="89">
        <v>0.82</v>
      </c>
      <c r="AG87" s="89">
        <v>0.8</v>
      </c>
      <c r="AH87" s="89">
        <v>0.77</v>
      </c>
      <c r="AI87" s="89">
        <v>0.75</v>
      </c>
      <c r="AJ87" s="89">
        <v>0.72</v>
      </c>
      <c r="AK87" s="89">
        <v>0.69</v>
      </c>
      <c r="AL87" s="89">
        <v>0.67</v>
      </c>
      <c r="AM87" s="89">
        <v>0.64</v>
      </c>
      <c r="AO87" s="1"/>
    </row>
    <row r="88" ht="15.75" customHeight="1">
      <c r="A88" s="1"/>
      <c r="B88" s="85" t="s">
        <v>59</v>
      </c>
      <c r="C88" s="105" t="s">
        <v>54</v>
      </c>
      <c r="D88" s="103" t="s">
        <v>48</v>
      </c>
      <c r="E88" s="87">
        <v>3.0</v>
      </c>
      <c r="F88" s="76"/>
      <c r="G88" s="77"/>
      <c r="H88" s="67"/>
      <c r="I88" s="78" t="str">
        <f t="array" ref="I88">MROUND(F88/INDEX($AD$80:$AM$87,MATCH(H88,$AC$80:$AC$87,0),MATCH(G88,$AD$79:$AM$79, 0))*0.72,$E$88)</f>
        <v>#N/A</v>
      </c>
      <c r="J88" s="77">
        <v>8.0</v>
      </c>
      <c r="K88" s="67"/>
      <c r="L88" s="78" t="str">
        <f t="array" ref="L88">MROUND(I88/INDEX($AD$80:$AM$87,MATCH(K88,$AC$80:$AC$87,0),MATCH(J88,$AD$79:$AM$79, 0))*0.72,$E$88)</f>
        <v>#N/A</v>
      </c>
      <c r="M88" s="77">
        <v>8.0</v>
      </c>
      <c r="N88" s="67"/>
      <c r="O88" s="78" t="str">
        <f t="array" ref="O88">MROUND(F88/INDEX($AD$80:$AM$87,MATCH(H88,$AC$80:$AC$87,0),MATCH(G88,$AD$79:$AM$79, 0))*0.72,E88)</f>
        <v>#N/A</v>
      </c>
      <c r="P88" s="77">
        <v>6.0</v>
      </c>
      <c r="Q88" s="67"/>
      <c r="R88" s="78" t="str">
        <f t="array" ref="R88">MROUND(O88/INDEX($AD$80:$AM$87,MATCH(Q88,$AC$80:$AC$87,0),MATCH(P88,$AD$79:$AM$79, 0))*0.72,$E$88)</f>
        <v>#N/A</v>
      </c>
      <c r="S88" s="77">
        <v>8.0</v>
      </c>
      <c r="T88" s="67"/>
      <c r="U88" s="78" t="str">
        <f t="array" ref="U88">MROUND(R88/INDEX($AD$80:$AM$87,MATCH(T88,$AC$80:$AC$87,0),MATCH(S88,$AD$79:$AM$79, 0))*0.69,$E$88)</f>
        <v>#N/A</v>
      </c>
      <c r="V88" s="79">
        <v>10.0</v>
      </c>
      <c r="W88" s="73"/>
      <c r="AO88" s="1"/>
    </row>
    <row r="89" ht="15.75" customHeight="1">
      <c r="A89" s="1"/>
      <c r="B89" s="85" t="s">
        <v>55</v>
      </c>
      <c r="C89" s="106" t="str">
        <f>IF(B89='Формулы'!L47, "", "собственный")</f>
        <v>собственный</v>
      </c>
      <c r="D89" s="107" t="str">
        <f>IF(B89='Формулы'!L47, "", "7-9")</f>
        <v>7-9</v>
      </c>
      <c r="E89" s="87"/>
      <c r="F89" s="108"/>
      <c r="G89" s="109"/>
      <c r="H89" s="110"/>
      <c r="I89" s="111" t="str">
        <f t="array" ref="I89">IF(B89="+", "", MROUND(F89/INDEX($AD$80:$AM$87,MATCH(H89,$AC$80:$AC$87,0),MATCH(G89,$AD$79:$AM$79, 0))*0.72,$E$89))</f>
        <v/>
      </c>
      <c r="J89" s="112" t="str">
        <f>IF(B89="+", "", "8")</f>
        <v/>
      </c>
      <c r="K89" s="110"/>
      <c r="L89" s="111" t="str">
        <f t="array" ref="L89">IF(B89="+", "", MROUND(I89/INDEX($AD$80:$AM$87,MATCH(K89,$AC$80:$AC$87,0),MATCH(J89,$AD$79:$AM$79, 0))*0.72,$E$89))</f>
        <v/>
      </c>
      <c r="M89" s="113" t="str">
        <f>IF(B89="+", "", "8")</f>
        <v/>
      </c>
      <c r="N89" s="110"/>
      <c r="O89" s="111" t="str">
        <f t="array" ref="O89">IF(B89="+", "", MROUND(F89/INDEX($AD$80:$AM$87,MATCH(H89,$AC$80:$AC$87,0),MATCH(G89,$AD$79:$AM$79, 0))*0.72,$E$89))</f>
        <v/>
      </c>
      <c r="P89" s="109" t="str">
        <f>IF(B89="+", "", "6")</f>
        <v/>
      </c>
      <c r="Q89" s="110"/>
      <c r="R89" s="111" t="str">
        <f t="array" ref="R89">IF($B$89="+", "", MROUND(O89/INDEX($AD$80:$AM$87,MATCH(Q89,$AC$80:$AC$87,0),MATCH(P89,$AD$79:$AM$79, 0))*0.72,$E$89))</f>
        <v/>
      </c>
      <c r="S89" s="112" t="str">
        <f>IF(B89="+", "", "8")</f>
        <v/>
      </c>
      <c r="T89" s="110"/>
      <c r="U89" s="111" t="str">
        <f t="array" ref="U89">IF(B89="+", "", MROUND(R89/INDEX($AD$80:$AM$87,MATCH(T89,$AC$80:$AC$87,0),MATCH(S89,$AD$79:$AM$79, 0))*0.69,$E$89))</f>
        <v/>
      </c>
      <c r="V89" s="114" t="str">
        <f>IF(B89="+", "", "10")</f>
        <v/>
      </c>
      <c r="W89" s="115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K90" s="1"/>
      <c r="L90" s="116"/>
      <c r="M90" s="117"/>
      <c r="N90" s="1"/>
      <c r="O90" s="1"/>
      <c r="P90" s="1"/>
      <c r="Q90" s="1"/>
      <c r="T90" s="1"/>
      <c r="U90" s="116"/>
      <c r="V90" s="117"/>
      <c r="W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ht="15.75" customHeight="1">
      <c r="A91" s="1"/>
      <c r="B91" s="1"/>
      <c r="C91" s="60" t="s">
        <v>35</v>
      </c>
      <c r="D91" s="59"/>
      <c r="E91" s="15"/>
      <c r="F91" s="60" t="s">
        <v>36</v>
      </c>
      <c r="G91" s="58"/>
      <c r="H91" s="59"/>
      <c r="I91" s="98" t="s">
        <v>37</v>
      </c>
      <c r="J91" s="99"/>
      <c r="K91" s="100"/>
      <c r="L91" s="98" t="s">
        <v>38</v>
      </c>
      <c r="M91" s="99"/>
      <c r="N91" s="100"/>
      <c r="O91" s="98" t="s">
        <v>36</v>
      </c>
      <c r="P91" s="99"/>
      <c r="Q91" s="100"/>
      <c r="R91" s="98" t="s">
        <v>37</v>
      </c>
      <c r="S91" s="99"/>
      <c r="T91" s="100"/>
      <c r="U91" s="98" t="s">
        <v>38</v>
      </c>
      <c r="V91" s="99"/>
      <c r="W91" s="100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ht="15.75" customHeight="1">
      <c r="A92" s="1"/>
      <c r="B92" s="61" t="s">
        <v>60</v>
      </c>
      <c r="C92" s="62" t="s">
        <v>61</v>
      </c>
      <c r="D92" s="62" t="s">
        <v>41</v>
      </c>
      <c r="E92" s="62" t="s">
        <v>42</v>
      </c>
      <c r="F92" s="62" t="s">
        <v>43</v>
      </c>
      <c r="G92" s="62" t="s">
        <v>44</v>
      </c>
      <c r="H92" s="101" t="s">
        <v>41</v>
      </c>
      <c r="I92" s="61" t="s">
        <v>45</v>
      </c>
      <c r="J92" s="62" t="s">
        <v>44</v>
      </c>
      <c r="K92" s="101" t="s">
        <v>41</v>
      </c>
      <c r="L92" s="61" t="s">
        <v>45</v>
      </c>
      <c r="M92" s="62" t="s">
        <v>44</v>
      </c>
      <c r="N92" s="62" t="s">
        <v>41</v>
      </c>
      <c r="O92" s="62" t="s">
        <v>43</v>
      </c>
      <c r="P92" s="62" t="s">
        <v>44</v>
      </c>
      <c r="Q92" s="101" t="s">
        <v>41</v>
      </c>
      <c r="R92" s="61" t="s">
        <v>45</v>
      </c>
      <c r="S92" s="62" t="s">
        <v>44</v>
      </c>
      <c r="T92" s="101" t="s">
        <v>41</v>
      </c>
      <c r="U92" s="61" t="s">
        <v>45</v>
      </c>
      <c r="V92" s="62" t="s">
        <v>44</v>
      </c>
      <c r="W92" s="62" t="s">
        <v>41</v>
      </c>
      <c r="AA92" s="1"/>
      <c r="AB92" s="1"/>
      <c r="AC92" s="1"/>
      <c r="AD92" s="1"/>
      <c r="AG92" s="1"/>
      <c r="AH92" s="1"/>
      <c r="AI92" s="1"/>
      <c r="AJ92" s="1"/>
    </row>
    <row r="93" ht="15.75" customHeight="1">
      <c r="A93" s="1"/>
      <c r="B93" s="75" t="s">
        <v>62</v>
      </c>
      <c r="C93" s="102" t="s">
        <v>47</v>
      </c>
      <c r="D93" s="103" t="s">
        <v>48</v>
      </c>
      <c r="E93" s="67">
        <v>2.5</v>
      </c>
      <c r="F93" s="68"/>
      <c r="G93" s="118"/>
      <c r="H93" s="70"/>
      <c r="I93" s="71" t="str">
        <f t="array" ref="I93">MROUND(F93/INDEX($AD$80:$AM$87,MATCH(H93,$AC$80:$AC$87,0),MATCH(G93,$AD$79:$AM$79, 0))*0.8,$E$93)</f>
        <v>#N/A</v>
      </c>
      <c r="J93" s="69">
        <v>5.0</v>
      </c>
      <c r="K93" s="70"/>
      <c r="L93" s="71" t="str">
        <f t="array" ref="L93">MROUND(I93/INDEX($AD$80:$AM$87,MATCH(K93,$AC$80:$AC$87,0),MATCH(J93,$AD$79:$AM$79, 0))*0.8,$E$93)</f>
        <v>#N/A</v>
      </c>
      <c r="M93" s="69">
        <v>5.0</v>
      </c>
      <c r="N93" s="70"/>
      <c r="O93" s="119" t="str">
        <f t="shared" ref="O93:O95" si="2">MROUND(F93/INDEX($AD$80:$AM$87,MATCH(H93,$AC$80:$AC$87,0),MATCH(G93,$AD$79:$AM$79, 0))*0.82,E93)</f>
        <v>#N/A</v>
      </c>
      <c r="P93" s="120">
        <v>4.0</v>
      </c>
      <c r="Q93" s="70"/>
      <c r="R93" s="71" t="str">
        <f t="array" ref="R93">MROUND(O93/INDEX($AD$80:$AM$87,MATCH(Q93,$AC$80:$AC$87,0),MATCH(P93,$AD$79:$AM$79, 0))*0.8,$E$93)</f>
        <v>#N/A</v>
      </c>
      <c r="S93" s="69">
        <v>5.0</v>
      </c>
      <c r="T93" s="70"/>
      <c r="U93" s="71" t="str">
        <f t="array" ref="U93">MROUND(R93/INDEX($AD$80:$AM$87,MATCH(T93,$AC$80:$AC$87,0),MATCH(S93,$AD$79:$AM$79, 0))*0.8,$E$93)</f>
        <v>#N/A</v>
      </c>
      <c r="V93" s="69">
        <v>5.0</v>
      </c>
      <c r="W93" s="70"/>
      <c r="AA93" s="1"/>
      <c r="AB93" s="1"/>
      <c r="AC93" s="1"/>
      <c r="AD93" s="1"/>
      <c r="AG93" s="1"/>
      <c r="AH93" s="1"/>
      <c r="AI93" s="1"/>
      <c r="AJ93" s="1"/>
    </row>
    <row r="94" ht="15.75" customHeight="1">
      <c r="A94" s="1"/>
      <c r="B94" s="64" t="s">
        <v>63</v>
      </c>
      <c r="C94" s="102" t="s">
        <v>47</v>
      </c>
      <c r="D94" s="103" t="s">
        <v>48</v>
      </c>
      <c r="E94" s="67">
        <v>2.5</v>
      </c>
      <c r="F94" s="121"/>
      <c r="G94" s="122"/>
      <c r="H94" s="67"/>
      <c r="I94" s="78" t="str">
        <f t="array" ref="I94">MROUND(F94/INDEX($AD$80:$AM$87,MATCH(H94,$AC$80:$AC$87,0),MATCH(G94,$AD$79:$AM$79, 0))*0.8,$E$94)</f>
        <v>#N/A</v>
      </c>
      <c r="J94" s="77">
        <v>5.0</v>
      </c>
      <c r="K94" s="67"/>
      <c r="L94" s="78" t="str">
        <f t="array" ref="L94">MROUND(I94/INDEX($AD$80:$AM$87,MATCH(K94,$AC$80:$AC$87,0),MATCH(J94,$AD$79:$AM$79, 0))*0.8,$E$94)</f>
        <v>#N/A</v>
      </c>
      <c r="M94" s="77">
        <v>5.0</v>
      </c>
      <c r="N94" s="67"/>
      <c r="O94" s="123" t="str">
        <f t="shared" si="2"/>
        <v>#N/A</v>
      </c>
      <c r="P94" s="124">
        <v>4.0</v>
      </c>
      <c r="Q94" s="67"/>
      <c r="R94" s="78" t="str">
        <f t="array" ref="R94">MROUND(O94/INDEX($AD$80:$AM$87,MATCH(Q94,$AC$80:$AC$87,0),MATCH(P94,$AD$79:$AM$79, 0))*0.8,$E$94)</f>
        <v>#N/A</v>
      </c>
      <c r="S94" s="77">
        <v>5.0</v>
      </c>
      <c r="T94" s="67"/>
      <c r="U94" s="78" t="str">
        <f t="array" ref="U94">MROUND(R94/INDEX($AD$80:$AM$87,MATCH(T94,$AC$80:$AC$87,0),MATCH(S94,$AD$79:$AM$79, 0))*0.8,$E$94)</f>
        <v>#N/A</v>
      </c>
      <c r="V94" s="77">
        <v>5.0</v>
      </c>
      <c r="W94" s="67"/>
      <c r="AA94" s="1"/>
      <c r="AB94" s="1"/>
      <c r="AC94" s="1"/>
      <c r="AD94" s="1"/>
      <c r="AG94" s="1"/>
      <c r="AH94" s="1"/>
      <c r="AI94" s="1"/>
      <c r="AJ94" s="1"/>
    </row>
    <row r="95" ht="15.75" customHeight="1">
      <c r="A95" s="1"/>
      <c r="B95" s="85" t="s">
        <v>64</v>
      </c>
      <c r="C95" s="102" t="s">
        <v>52</v>
      </c>
      <c r="D95" s="103" t="s">
        <v>48</v>
      </c>
      <c r="E95" s="83">
        <v>2.5</v>
      </c>
      <c r="F95" s="121"/>
      <c r="G95" s="122"/>
      <c r="H95" s="67"/>
      <c r="I95" s="78" t="str">
        <f t="array" ref="I95">MROUND(F95/INDEX($AD$80:$AM$87,MATCH(H95,$AC$80:$AC$87,0),MATCH(G95,$AD$79:$AM$79, 0))*0.8,$E$95)</f>
        <v>#N/A</v>
      </c>
      <c r="J95" s="77">
        <v>5.0</v>
      </c>
      <c r="K95" s="67"/>
      <c r="L95" s="78" t="str">
        <f t="array" ref="L95">MROUND(I95/INDEX($AD$80:$AM$87,MATCH(K95,$AC$80:$AC$87,0),MATCH(J95,$AD$79:$AM$79, 0))*0.8,$E$95)</f>
        <v>#N/A</v>
      </c>
      <c r="M95" s="77">
        <v>5.0</v>
      </c>
      <c r="N95" s="67"/>
      <c r="O95" s="123" t="str">
        <f t="shared" si="2"/>
        <v>#N/A</v>
      </c>
      <c r="P95" s="124">
        <v>4.0</v>
      </c>
      <c r="Q95" s="67"/>
      <c r="R95" s="78" t="str">
        <f t="array" ref="R95">MROUND(O95/INDEX($AD$80:$AM$87,MATCH(Q95,$AC$80:$AC$87,0),MATCH(P95,$AD$79:$AM$79, 0))*0.8,$E$95)</f>
        <v>#N/A</v>
      </c>
      <c r="S95" s="77">
        <v>5.0</v>
      </c>
      <c r="T95" s="67"/>
      <c r="U95" s="78" t="str">
        <f t="array" ref="U95">MROUND(R95/INDEX($AD$80:$AM$87,MATCH(T95,$AC$80:$AC$87,0),MATCH(S95,$AD$79:$AM$79, 0))*0.8,$E$95)</f>
        <v>#N/A</v>
      </c>
      <c r="V95" s="77">
        <v>5.0</v>
      </c>
      <c r="W95" s="67"/>
      <c r="AA95" s="1"/>
      <c r="AB95" s="1"/>
      <c r="AC95" s="1"/>
      <c r="AD95" s="1"/>
      <c r="AG95" s="1"/>
      <c r="AH95" s="1"/>
      <c r="AI95" s="1"/>
      <c r="AJ95" s="1"/>
    </row>
    <row r="96" ht="15.75" customHeight="1">
      <c r="A96" s="1"/>
      <c r="B96" s="85" t="s">
        <v>65</v>
      </c>
      <c r="C96" s="105" t="s">
        <v>54</v>
      </c>
      <c r="D96" s="103" t="s">
        <v>48</v>
      </c>
      <c r="E96" s="87">
        <v>3.0</v>
      </c>
      <c r="F96" s="121"/>
      <c r="G96" s="122"/>
      <c r="H96" s="67"/>
      <c r="I96" s="78" t="str">
        <f t="array" ref="I96">MROUND(F96/INDEX($AD$80:$AM$87,MATCH(H96,$AC$80:$AC$87,0),MATCH(G96,$AD$79:$AM$79, 0))*0.72,$E$96)</f>
        <v>#N/A</v>
      </c>
      <c r="J96" s="77">
        <v>8.0</v>
      </c>
      <c r="K96" s="67"/>
      <c r="L96" s="78" t="str">
        <f t="array" ref="L96">MROUND(I96/INDEX($AD$80:$AM$87,MATCH(K96,$AC$80:$AC$87,0),MATCH(J96,$AD$79:$AM$79, 0))*0.72,$E$96)</f>
        <v>#N/A</v>
      </c>
      <c r="M96" s="77">
        <v>8.0</v>
      </c>
      <c r="N96" s="67"/>
      <c r="O96" s="123" t="str">
        <f t="array" ref="O96">MROUND(F96/INDEX($AD$80:$AM$87,MATCH(H96,$AC$80:$AC$87,0),MATCH(G96,$AD$79:$AM$79, 0))*0.72,E96)</f>
        <v>#N/A</v>
      </c>
      <c r="P96" s="124">
        <v>6.0</v>
      </c>
      <c r="Q96" s="67"/>
      <c r="R96" s="78" t="str">
        <f t="array" ref="R96">MROUND(O96/INDEX($AD$80:$AM$87,MATCH(Q96,$AC$80:$AC$87,0),MATCH(P96,$AD$79:$AM$79, 0))*0.72,$E$96)</f>
        <v>#N/A</v>
      </c>
      <c r="S96" s="77">
        <v>8.0</v>
      </c>
      <c r="T96" s="67"/>
      <c r="U96" s="78" t="str">
        <f t="array" ref="U96">MROUND(R96/INDEX($AD$80:$AM$87,MATCH(T96,$AC$80:$AC$87,0),MATCH(S96,$AD$79:$AM$79, 0))*0.69,$E$96)</f>
        <v>#N/A</v>
      </c>
      <c r="V96" s="77">
        <v>10.0</v>
      </c>
      <c r="W96" s="67"/>
      <c r="AA96" s="1"/>
      <c r="AB96" s="1"/>
      <c r="AC96" s="1"/>
      <c r="AD96" s="1"/>
      <c r="AG96" s="1"/>
      <c r="AH96" s="1"/>
      <c r="AI96" s="1"/>
      <c r="AJ96" s="1"/>
    </row>
    <row r="97" ht="15.75" customHeight="1">
      <c r="A97" s="1"/>
      <c r="B97" s="85" t="s">
        <v>55</v>
      </c>
      <c r="C97" s="125" t="str">
        <f>IF(B97='Формулы'!L39, "", "10-12ПМ")</f>
        <v/>
      </c>
      <c r="D97" s="126" t="str">
        <f>IF(B97='Формулы'!L39, "", "7-9")</f>
        <v/>
      </c>
      <c r="E97" s="87"/>
      <c r="F97" s="125"/>
      <c r="G97" s="127"/>
      <c r="H97" s="110"/>
      <c r="I97" s="111" t="str">
        <f t="array" ref="I97">IF(B97="+","",MROUND(F97/INDEX($AD$80:$AM$87,MATCH(H97,$AC$80:$AC$87,0),MATCH(G97,$AD$79:$AM$79, 0))*0.72,$E$97))</f>
        <v/>
      </c>
      <c r="J97" s="93" t="str">
        <f>IF(B97="+", "", "8")</f>
        <v/>
      </c>
      <c r="K97" s="110"/>
      <c r="L97" s="111" t="str">
        <f t="array" ref="L97">IF(B97="+","",MROUND(I97/INDEX($AD$80:$AM$87,MATCH(K97,$AC$80:$AC$87,0),MATCH(J97,$AD$79:$AM$79, 0))*0.72,$E$97))</f>
        <v/>
      </c>
      <c r="M97" s="93" t="str">
        <f>IF(B97="+", "", "8")</f>
        <v/>
      </c>
      <c r="N97" s="110"/>
      <c r="O97" s="112" t="str">
        <f t="array" ref="O97">IF(B97="+","",MROUND(F97/INDEX($AD$80:$AM$87,MATCH(H97,$AC$80:$AC$87,0),MATCH(G97,$AD$79:$AM$79, 0))*0.72,E97))</f>
        <v/>
      </c>
      <c r="P97" s="94" t="str">
        <f>IF(B97="+", "", "6")</f>
        <v/>
      </c>
      <c r="Q97" s="110"/>
      <c r="R97" s="111" t="str">
        <f t="array" ref="R97">IF(B97="+","",MROUND(O97/INDEX($AD$80:$AM$87,MATCH(Q97,$AC$80:$AC$87,0),MATCH(P97,$AD$79:$AM$79, 0))*0.72,$E$97))</f>
        <v/>
      </c>
      <c r="S97" s="93" t="str">
        <f>IF(B97="+", "", "8")</f>
        <v/>
      </c>
      <c r="T97" s="110"/>
      <c r="U97" s="111" t="str">
        <f t="array" ref="U97">IF(B97="+","",MROUND(R97/INDEX($AD$80:$AM$87,MATCH(T97,$AC$80:$AC$87,0),MATCH(S97,$AD$79:$AM$79, 0))*0.69,$E$97))</f>
        <v/>
      </c>
      <c r="V97" s="93" t="str">
        <f>IF(B97="+", "", "10")</f>
        <v/>
      </c>
      <c r="W97" s="110"/>
      <c r="AA97" s="1"/>
      <c r="AB97" s="1"/>
      <c r="AC97" s="1"/>
      <c r="AD97" s="1"/>
      <c r="AG97" s="1"/>
      <c r="AH97" s="1"/>
      <c r="AI97" s="1"/>
      <c r="AJ97" s="1"/>
    </row>
    <row r="98" ht="15.75" customHeight="1">
      <c r="A98" s="1"/>
      <c r="B98" s="1"/>
      <c r="I98" s="1"/>
      <c r="J98" s="1"/>
      <c r="K98" s="1"/>
      <c r="L98" s="1"/>
      <c r="M98" s="1"/>
      <c r="N98" s="1"/>
      <c r="O98" s="1"/>
      <c r="AA98" s="1"/>
      <c r="AB98" s="1"/>
      <c r="AC98" s="1"/>
      <c r="AD98" s="1"/>
      <c r="AG98" s="1"/>
      <c r="AH98" s="1"/>
      <c r="AI98" s="1"/>
      <c r="AJ98" s="1"/>
    </row>
    <row r="99" ht="15.75" customHeight="1">
      <c r="A99" s="7"/>
      <c r="L99" s="1"/>
      <c r="M99" s="1"/>
      <c r="N99" s="1"/>
      <c r="O99" s="1"/>
      <c r="AA99" s="1"/>
      <c r="AB99" s="1"/>
      <c r="AC99" s="1"/>
      <c r="AD99" s="1"/>
      <c r="AG99" s="1"/>
      <c r="AH99" s="1"/>
      <c r="AI99" s="1"/>
      <c r="AJ99" s="1"/>
    </row>
    <row r="100" ht="22.5" customHeight="1">
      <c r="A100" s="1"/>
      <c r="B100" s="1"/>
      <c r="C100" s="1"/>
      <c r="D100" s="1"/>
      <c r="E100" s="1"/>
      <c r="F100" s="12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G100" s="1"/>
      <c r="AH100" s="1"/>
      <c r="AI100" s="1"/>
      <c r="AJ100" s="1"/>
    </row>
    <row r="101" ht="15.75" customHeight="1">
      <c r="A101" s="1"/>
      <c r="B101" s="1"/>
      <c r="C101" s="1"/>
      <c r="D101" s="1"/>
      <c r="E101" s="1"/>
      <c r="F101" s="5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G101" s="1"/>
      <c r="AH101" s="1"/>
      <c r="AI101" s="1"/>
      <c r="AJ101" s="1"/>
    </row>
    <row r="102" ht="15.75" customHeight="1">
      <c r="A102" s="1"/>
      <c r="B102" s="1"/>
      <c r="C102" s="1"/>
      <c r="D102" s="1"/>
      <c r="E102" s="1"/>
      <c r="F102" s="12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G102" s="1"/>
      <c r="AH102" s="1"/>
      <c r="AI102" s="1"/>
      <c r="AJ102" s="1"/>
    </row>
    <row r="103" ht="15.75" customHeight="1">
      <c r="A103" s="1"/>
      <c r="B103" s="1"/>
      <c r="C103" s="1"/>
      <c r="D103" s="1"/>
      <c r="E103" s="1"/>
      <c r="F103" s="12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G103" s="1"/>
      <c r="AH103" s="1"/>
      <c r="AI103" s="1"/>
      <c r="AJ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G104" s="1"/>
      <c r="AH104" s="1"/>
      <c r="AI104" s="1"/>
      <c r="AJ104" s="1"/>
    </row>
    <row r="105" ht="15.75" customHeight="1">
      <c r="A105" s="1"/>
      <c r="B105" s="1"/>
      <c r="C105" s="1"/>
      <c r="D105" s="1"/>
      <c r="E105" s="1"/>
      <c r="F105" s="1"/>
      <c r="G105" s="1"/>
      <c r="H105" s="8" t="s">
        <v>66</v>
      </c>
      <c r="I105" s="9"/>
      <c r="J105" s="9"/>
      <c r="K105" s="9"/>
      <c r="L105" s="9"/>
      <c r="M105" s="9"/>
      <c r="N105" s="10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G105" s="1"/>
      <c r="AH105" s="1"/>
      <c r="AI105" s="1"/>
      <c r="AJ105" s="1"/>
    </row>
    <row r="106" ht="15.75" customHeight="1">
      <c r="A106" s="1"/>
      <c r="B106" s="1"/>
      <c r="C106" s="1"/>
      <c r="D106" s="1"/>
      <c r="E106" s="1"/>
      <c r="F106" s="1"/>
      <c r="G106" s="1"/>
      <c r="H106" s="12"/>
      <c r="I106" s="13"/>
      <c r="J106" s="13"/>
      <c r="K106" s="13"/>
      <c r="L106" s="13"/>
      <c r="M106" s="13"/>
      <c r="N106" s="1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G106" s="1"/>
      <c r="AH106" s="1"/>
      <c r="AI106" s="1"/>
      <c r="AJ106" s="1"/>
    </row>
    <row r="107" ht="15.75" customHeight="1">
      <c r="A107" s="1"/>
      <c r="B107" s="1"/>
      <c r="C107" s="129" t="s">
        <v>67</v>
      </c>
      <c r="D107" s="10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G107" s="1"/>
      <c r="AH107" s="1"/>
      <c r="AI107" s="1"/>
      <c r="AJ107" s="1"/>
    </row>
    <row r="108" ht="15.75" customHeight="1">
      <c r="A108" s="1"/>
      <c r="B108" s="1"/>
      <c r="C108" s="130"/>
      <c r="D108" s="131"/>
      <c r="E108" s="1"/>
      <c r="F108" s="132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3"/>
      <c r="Y108" s="1"/>
      <c r="Z108" s="1"/>
      <c r="AA108" s="1"/>
      <c r="AB108" s="1"/>
      <c r="AC108" s="1"/>
      <c r="AD108" s="1"/>
      <c r="AG108" s="1"/>
      <c r="AH108" s="1"/>
      <c r="AI108" s="1"/>
      <c r="AJ108" s="1"/>
    </row>
    <row r="109" ht="15.75" customHeight="1">
      <c r="A109" s="1"/>
      <c r="B109" s="1"/>
      <c r="C109" s="12"/>
      <c r="D109" s="14"/>
      <c r="E109" s="1"/>
      <c r="F109" s="49"/>
      <c r="G109" s="46" t="s">
        <v>68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47"/>
      <c r="Y109" s="1"/>
      <c r="Z109" s="1"/>
      <c r="AA109" s="1"/>
      <c r="AB109" s="1"/>
      <c r="AC109" s="1"/>
      <c r="AD109" s="1"/>
      <c r="AG109" s="1"/>
      <c r="AH109" s="1"/>
      <c r="AI109" s="1"/>
      <c r="AJ109" s="1"/>
    </row>
    <row r="110" ht="15.75" customHeight="1">
      <c r="A110" s="1"/>
      <c r="B110" s="98" t="s">
        <v>39</v>
      </c>
      <c r="C110" s="133" t="s">
        <v>69</v>
      </c>
      <c r="D110" s="133" t="s">
        <v>70</v>
      </c>
      <c r="F110" s="49"/>
      <c r="G110" s="31" t="s">
        <v>71</v>
      </c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47"/>
      <c r="Y110" s="1"/>
      <c r="Z110" s="1"/>
      <c r="AA110" s="1"/>
      <c r="AB110" s="1"/>
      <c r="AC110" s="1"/>
      <c r="AD110" s="1"/>
      <c r="AG110" s="1"/>
      <c r="AH110" s="1"/>
      <c r="AI110" s="1"/>
      <c r="AJ110" s="1"/>
    </row>
    <row r="111" ht="15.75" customHeight="1">
      <c r="A111" s="1"/>
      <c r="B111" s="134" t="str">
        <f t="shared" ref="B111:B114" si="3">B77</f>
        <v>Жим штанги лёжа</v>
      </c>
      <c r="C111" s="135"/>
      <c r="D111" s="135"/>
      <c r="F111" s="49"/>
      <c r="G111" s="46" t="s">
        <v>72</v>
      </c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47"/>
      <c r="Y111" s="1"/>
      <c r="Z111" s="1"/>
      <c r="AA111" s="1"/>
      <c r="AB111" s="1"/>
      <c r="AC111" s="1"/>
      <c r="AD111" s="1"/>
      <c r="AG111" s="1"/>
      <c r="AH111" s="1"/>
      <c r="AI111" s="1"/>
      <c r="AJ111" s="1"/>
    </row>
    <row r="112" ht="15.75" customHeight="1">
      <c r="A112" s="1"/>
      <c r="B112" s="85" t="str">
        <f t="shared" si="3"/>
        <v>Подтягивания (с отягощением)</v>
      </c>
      <c r="C112" s="136"/>
      <c r="D112" s="136"/>
      <c r="F112" s="49"/>
      <c r="G112" s="3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47"/>
      <c r="Y112" s="1"/>
      <c r="Z112" s="1"/>
      <c r="AA112" s="1"/>
      <c r="AB112" s="1"/>
      <c r="AC112" s="1"/>
      <c r="AD112" s="1"/>
      <c r="AG112" s="1"/>
      <c r="AH112" s="1"/>
      <c r="AI112" s="1"/>
      <c r="AJ112" s="1"/>
    </row>
    <row r="113" ht="15.75" customHeight="1">
      <c r="A113" s="1"/>
      <c r="B113" s="85" t="str">
        <f t="shared" si="3"/>
        <v>Жим платформы ногами</v>
      </c>
      <c r="C113" s="136"/>
      <c r="D113" s="136"/>
      <c r="F113" s="49"/>
      <c r="G113" s="46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47"/>
      <c r="Y113" s="1"/>
      <c r="Z113" s="1"/>
      <c r="AA113" s="1"/>
      <c r="AB113" s="1"/>
      <c r="AC113" s="1"/>
      <c r="AD113" s="1"/>
      <c r="AG113" s="1"/>
      <c r="AH113" s="1"/>
      <c r="AI113" s="1"/>
      <c r="AJ113" s="1"/>
    </row>
    <row r="114" ht="15.75" customHeight="1">
      <c r="A114" s="1"/>
      <c r="B114" s="85" t="str">
        <f t="shared" si="3"/>
        <v>Махи с гантелями в стороны</v>
      </c>
      <c r="C114" s="136"/>
      <c r="D114" s="136"/>
      <c r="F114" s="49"/>
      <c r="G114" s="46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47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ht="15.75" customHeight="1">
      <c r="A115" s="1"/>
      <c r="B115" s="85" t="str">
        <f>IF(B81="+", "", B81)</f>
        <v/>
      </c>
      <c r="C115" s="136"/>
      <c r="D115" s="136"/>
      <c r="F115" s="49"/>
      <c r="G115" s="46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47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ht="15.75" customHeight="1">
      <c r="A116" s="1"/>
      <c r="B116" s="5"/>
      <c r="C116" s="1"/>
      <c r="D116" s="1"/>
      <c r="F116" s="49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47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ht="15.75" customHeight="1">
      <c r="A117" s="1"/>
      <c r="B117" s="1"/>
      <c r="C117" s="1"/>
      <c r="D117" s="1"/>
      <c r="F117" s="49"/>
      <c r="G117" s="3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47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ht="15.75" customHeight="1">
      <c r="A118" s="1"/>
      <c r="B118" s="98" t="s">
        <v>56</v>
      </c>
      <c r="C118" s="133" t="s">
        <v>73</v>
      </c>
      <c r="D118" s="133" t="s">
        <v>74</v>
      </c>
      <c r="F118" s="49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47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ht="15.75" customHeight="1">
      <c r="A119" s="1"/>
      <c r="B119" s="134" t="str">
        <f t="shared" ref="B119:B122" si="4">B85</f>
        <v>Ягодичный мост</v>
      </c>
      <c r="C119" s="135"/>
      <c r="D119" s="135"/>
      <c r="F119" s="49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47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ht="15.75" customHeight="1">
      <c r="A120" s="1"/>
      <c r="B120" s="85" t="str">
        <f t="shared" si="4"/>
        <v>Подъём штанги на бицепс</v>
      </c>
      <c r="C120" s="136"/>
      <c r="D120" s="136"/>
      <c r="F120" s="49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47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ht="15.75" customHeight="1">
      <c r="A121" s="1"/>
      <c r="B121" s="85" t="str">
        <f t="shared" si="4"/>
        <v>Жим штанги лёжа</v>
      </c>
      <c r="C121" s="136"/>
      <c r="D121" s="136"/>
      <c r="F121" s="49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47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ht="15.75" customHeight="1">
      <c r="A122" s="1"/>
      <c r="B122" s="85" t="str">
        <f t="shared" si="4"/>
        <v>Разгибания рук на блоке</v>
      </c>
      <c r="C122" s="136"/>
      <c r="D122" s="136"/>
      <c r="F122" s="49"/>
      <c r="G122" s="31" t="s">
        <v>75</v>
      </c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47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ht="15.75" customHeight="1">
      <c r="A123" s="1"/>
      <c r="B123" s="85" t="str">
        <f>IF(B89="+", "", B89)</f>
        <v/>
      </c>
      <c r="C123" s="136"/>
      <c r="D123" s="136"/>
      <c r="F123" s="49"/>
      <c r="G123" s="46" t="s">
        <v>76</v>
      </c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47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ht="15.75" customHeight="1">
      <c r="A124" s="1"/>
      <c r="B124" s="1"/>
      <c r="C124" s="26"/>
      <c r="D124" s="1"/>
      <c r="F124" s="49"/>
      <c r="G124" s="46" t="s">
        <v>77</v>
      </c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47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ht="15.75" customHeight="1">
      <c r="A125" s="1"/>
      <c r="B125" s="1"/>
      <c r="C125" s="1"/>
      <c r="D125" s="1"/>
      <c r="F125" s="49"/>
      <c r="G125" s="31" t="s">
        <v>78</v>
      </c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47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ht="15.75" customHeight="1">
      <c r="A126" s="1"/>
      <c r="B126" s="98" t="s">
        <v>60</v>
      </c>
      <c r="C126" s="133" t="s">
        <v>73</v>
      </c>
      <c r="D126" s="133" t="s">
        <v>74</v>
      </c>
      <c r="F126" s="49"/>
      <c r="G126" s="31" t="s">
        <v>79</v>
      </c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47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ht="15.75" customHeight="1">
      <c r="A127" s="1"/>
      <c r="B127" s="134" t="str">
        <f t="shared" ref="B127:B130" si="5">B93</f>
        <v>Приседания в колодец</v>
      </c>
      <c r="C127" s="135"/>
      <c r="D127" s="135"/>
      <c r="F127" s="49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47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ht="15.75" customHeight="1">
      <c r="A128" s="1"/>
      <c r="B128" s="85" t="str">
        <f t="shared" si="5"/>
        <v>Жим гантелей сидя</v>
      </c>
      <c r="C128" s="136"/>
      <c r="D128" s="136"/>
      <c r="F128" s="49"/>
      <c r="G128" s="31" t="s">
        <v>80</v>
      </c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47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ht="15.75" customHeight="1">
      <c r="A129" s="1"/>
      <c r="B129" s="85" t="str">
        <f t="shared" si="5"/>
        <v>Тяга штанги в наклоне</v>
      </c>
      <c r="C129" s="136"/>
      <c r="D129" s="136"/>
      <c r="F129" s="49"/>
      <c r="G129" s="137" t="s">
        <v>81</v>
      </c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47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ht="15.75" customHeight="1">
      <c r="A130" s="1"/>
      <c r="B130" s="85" t="str">
        <f t="shared" si="5"/>
        <v>Подтягивания (собственный вес)</v>
      </c>
      <c r="C130" s="136"/>
      <c r="D130" s="136"/>
      <c r="F130" s="52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4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ht="15.75" customHeight="1">
      <c r="A131" s="1"/>
      <c r="B131" s="85" t="str">
        <f>IF(B97="+", "", B97)</f>
        <v/>
      </c>
      <c r="C131" s="136"/>
      <c r="D131" s="136"/>
      <c r="F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ht="15.75" customHeight="1">
      <c r="A132" s="1"/>
      <c r="B132" s="1"/>
      <c r="C132" s="1"/>
      <c r="D132" s="1"/>
      <c r="E132" s="1"/>
      <c r="F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ht="15.75" customHeight="1">
      <c r="A133" s="5"/>
      <c r="AC133" s="1"/>
      <c r="AD133" s="1"/>
      <c r="AE133" s="1"/>
      <c r="AF133" s="1"/>
      <c r="AG133" s="1"/>
      <c r="AH133" s="1"/>
      <c r="AI133" s="1"/>
      <c r="AJ133" s="1"/>
    </row>
    <row r="134" ht="15.75" customHeight="1">
      <c r="A134" s="1"/>
      <c r="AC134" s="1"/>
      <c r="AD134" s="1"/>
      <c r="AE134" s="1"/>
      <c r="AF134" s="1"/>
      <c r="AG134" s="1"/>
      <c r="AH134" s="1"/>
      <c r="AI134" s="1"/>
      <c r="AJ134" s="1"/>
    </row>
    <row r="135" ht="15.75" customHeight="1">
      <c r="A135" s="1"/>
      <c r="AC135" s="1"/>
      <c r="AD135" s="1"/>
      <c r="AE135" s="1"/>
      <c r="AF135" s="1"/>
      <c r="AG135" s="1"/>
      <c r="AH135" s="1"/>
      <c r="AI135" s="1"/>
      <c r="AJ135" s="1"/>
    </row>
    <row r="136" ht="15.75" customHeight="1">
      <c r="A136" s="1"/>
      <c r="AC136" s="1"/>
      <c r="AD136" s="1"/>
      <c r="AE136" s="1"/>
      <c r="AF136" s="1"/>
      <c r="AG136" s="1"/>
      <c r="AH136" s="1"/>
      <c r="AI136" s="1"/>
      <c r="AJ136" s="1"/>
    </row>
    <row r="137" ht="15.75" customHeight="1">
      <c r="A137" s="1"/>
      <c r="AC137" s="1"/>
      <c r="AD137" s="1"/>
      <c r="AE137" s="1"/>
      <c r="AF137" s="1"/>
      <c r="AG137" s="1"/>
      <c r="AH137" s="1"/>
      <c r="AI137" s="1"/>
      <c r="AJ137" s="1"/>
    </row>
    <row r="138" ht="15.75" customHeight="1">
      <c r="A138" s="1"/>
      <c r="F138" s="1"/>
      <c r="G138" s="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ht="15.75" customHeight="1">
      <c r="A141" s="1"/>
      <c r="B141" s="39" t="s">
        <v>82</v>
      </c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3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ht="15.75" customHeight="1">
      <c r="A142" s="1"/>
      <c r="B142" s="45" t="s">
        <v>83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47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ht="15.75" customHeight="1">
      <c r="A143" s="1"/>
      <c r="B143" s="138" t="s">
        <v>84</v>
      </c>
      <c r="C143" s="139"/>
      <c r="D143" s="140"/>
      <c r="E143" s="140"/>
      <c r="F143" s="140"/>
      <c r="G143" s="139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4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ht="15.75" customHeight="1">
      <c r="A146" s="1"/>
      <c r="B146" s="4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ht="15.75" customHeight="1">
      <c r="A150" s="1"/>
      <c r="B150" s="1"/>
      <c r="C150" s="55" t="s">
        <v>85</v>
      </c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10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ht="15.75" customHeight="1">
      <c r="A151" s="1"/>
      <c r="B151" s="1"/>
      <c r="C151" s="12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4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ht="15.75" customHeight="1">
      <c r="A152" s="1"/>
      <c r="B152" s="1"/>
      <c r="C152" s="57" t="s">
        <v>86</v>
      </c>
      <c r="D152" s="58"/>
      <c r="E152" s="58"/>
      <c r="F152" s="58"/>
      <c r="G152" s="58"/>
      <c r="H152" s="58"/>
      <c r="I152" s="59"/>
      <c r="J152" s="57" t="s">
        <v>34</v>
      </c>
      <c r="K152" s="58"/>
      <c r="L152" s="58"/>
      <c r="M152" s="58"/>
      <c r="N152" s="58"/>
      <c r="O152" s="58"/>
      <c r="P152" s="59"/>
      <c r="Q152" s="57" t="s">
        <v>87</v>
      </c>
      <c r="R152" s="58"/>
      <c r="S152" s="58"/>
      <c r="T152" s="58"/>
      <c r="U152" s="58"/>
      <c r="V152" s="58"/>
      <c r="W152" s="59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ht="15.75" customHeight="1">
      <c r="A153" s="1"/>
      <c r="B153" s="98" t="s">
        <v>39</v>
      </c>
      <c r="C153" s="141" t="s">
        <v>43</v>
      </c>
      <c r="D153" s="141" t="s">
        <v>88</v>
      </c>
      <c r="E153" s="141" t="s">
        <v>89</v>
      </c>
      <c r="F153" s="142" t="s">
        <v>41</v>
      </c>
      <c r="G153" s="141" t="s">
        <v>43</v>
      </c>
      <c r="H153" s="141" t="s">
        <v>88</v>
      </c>
      <c r="I153" s="141" t="s">
        <v>89</v>
      </c>
      <c r="J153" s="143" t="s">
        <v>43</v>
      </c>
      <c r="K153" s="143" t="s">
        <v>88</v>
      </c>
      <c r="L153" s="133" t="s">
        <v>89</v>
      </c>
      <c r="M153" s="143" t="s">
        <v>41</v>
      </c>
      <c r="N153" s="133" t="s">
        <v>43</v>
      </c>
      <c r="O153" s="143" t="s">
        <v>88</v>
      </c>
      <c r="P153" s="133" t="s">
        <v>89</v>
      </c>
      <c r="Q153" s="143" t="s">
        <v>43</v>
      </c>
      <c r="R153" s="143" t="s">
        <v>88</v>
      </c>
      <c r="S153" s="143" t="s">
        <v>89</v>
      </c>
      <c r="T153" s="143" t="s">
        <v>41</v>
      </c>
      <c r="U153" s="143" t="s">
        <v>43</v>
      </c>
      <c r="V153" s="143" t="s">
        <v>88</v>
      </c>
      <c r="W153" s="143" t="s">
        <v>89</v>
      </c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ht="15.75" customHeight="1">
      <c r="A154" s="1"/>
      <c r="B154" s="134" t="str">
        <f t="shared" ref="B154:B157" si="6">B111</f>
        <v>Жим штанги лёжа</v>
      </c>
      <c r="C154" s="74" t="str">
        <f>VLOOKUP(B77, 'Формулы'!L9:CA11, 6,FALSE)</f>
        <v>#N/A</v>
      </c>
      <c r="D154" s="135">
        <f>VLOOKUP(B77, 'Формулы'!L9:CA11, 7,FALSE)</f>
        <v>1</v>
      </c>
      <c r="E154" s="118">
        <f>VLOOKUP(B77, 'Формулы'!L9:CA11, 8,FALSE)</f>
        <v>3</v>
      </c>
      <c r="F154" s="67"/>
      <c r="G154" s="144" t="str">
        <f>VLOOKUP(B77, 'Формулы'!L9:CA11, 10,FALSE)</f>
        <v>#N/A</v>
      </c>
      <c r="H154" s="135">
        <f>VLOOKUP(B77, 'Формулы'!L9:CA11, 11,FALSE)</f>
        <v>3</v>
      </c>
      <c r="I154" s="118">
        <f>VLOOKUP(B77, 'Формулы'!L9:CA11, 12,FALSE)</f>
        <v>6</v>
      </c>
      <c r="J154" s="136" t="str">
        <f>VLOOKUP(B77, 'Формулы'!L9:CA11, 13,FALSE)</f>
        <v>#N/A</v>
      </c>
      <c r="K154" s="136">
        <f>VLOOKUP(B77, 'Формулы'!L9:CA11, 14,FALSE)</f>
        <v>1</v>
      </c>
      <c r="L154" s="71">
        <f>VLOOKUP(B77, 'Формулы'!L9:CA11, 15,FALSE)</f>
        <v>3</v>
      </c>
      <c r="M154" s="67"/>
      <c r="N154" s="71" t="str">
        <f>VLOOKUP(B77, 'Формулы'!L9:CA11, 17,FALSE)</f>
        <v>#N/A</v>
      </c>
      <c r="O154" s="136">
        <f>VLOOKUP(B77, 'Формулы'!L9:CA11, 18,FALSE)</f>
        <v>3</v>
      </c>
      <c r="P154" s="145">
        <f>VLOOKUP(B77, 'Формулы'!L9:CA11, 19,FALSE)</f>
        <v>5</v>
      </c>
      <c r="Q154" s="146" t="str">
        <f>VLOOKUP(B77, 'Формулы'!L9:CA11, 20,FALSE)</f>
        <v>#N/A</v>
      </c>
      <c r="R154" s="136">
        <f>VLOOKUP(B77, 'Формулы'!L9:CA11, 21,FALSE)</f>
        <v>1</v>
      </c>
      <c r="S154" s="122">
        <f>VLOOKUP(B77, 'Формулы'!L9:CA11, 22,FALSE)</f>
        <v>3</v>
      </c>
      <c r="T154" s="147"/>
      <c r="U154" s="148" t="str">
        <f>VLOOKUP(B77, 'Формулы'!L9:CA11, 24,FALSE)</f>
        <v>#N/A</v>
      </c>
      <c r="V154" s="136">
        <f>VLOOKUP(B77, 'Формулы'!L9:CA11, 25,FALSE)</f>
        <v>3</v>
      </c>
      <c r="W154" s="149">
        <f>VLOOKUP(B77, 'Формулы'!L9:CA11, 26,FALSE)</f>
        <v>4</v>
      </c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ht="15.75" customHeight="1">
      <c r="A155" s="1"/>
      <c r="B155" s="85" t="str">
        <f t="shared" si="6"/>
        <v>Подтягивания (с отягощением)</v>
      </c>
      <c r="C155" s="150" t="str">
        <f>VLOOKUP(B78, 'Формулы'!L13:CA15, 6,FALSE)</f>
        <v>#N/A</v>
      </c>
      <c r="D155" s="151">
        <f>VLOOKUP(B78, 'Формулы'!L13:CA15, 7,FALSE)</f>
        <v>3</v>
      </c>
      <c r="E155" s="118">
        <f>VLOOKUP(B78, 'Формулы'!L13:CA15, 8,FALSE)</f>
        <v>3</v>
      </c>
      <c r="F155" s="147"/>
      <c r="G155" s="152" t="str">
        <f>VLOOKUP(B78, 'Формулы'!L13:CA15, 10,FALSE)</f>
        <v>#N/A</v>
      </c>
      <c r="H155" s="151">
        <f>VLOOKUP(B78, 'Формулы'!L13:CA15, 11,FALSE)</f>
        <v>3</v>
      </c>
      <c r="I155" s="153">
        <f>VLOOKUP(B78, 'Формулы'!L13:CA15, 12,FALSE)</f>
        <v>6</v>
      </c>
      <c r="J155" s="136" t="str">
        <f>VLOOKUP(B78, 'Формулы'!L13:CA15, 13,FALSE)</f>
        <v>#N/A</v>
      </c>
      <c r="K155" s="151">
        <f>VLOOKUP(B78, 'Формулы'!L13:CA15, 14,FALSE)</f>
        <v>3</v>
      </c>
      <c r="L155" s="154">
        <f>VLOOKUP(B78, 'Формулы'!L13:CA15, 15,FALSE)</f>
        <v>3</v>
      </c>
      <c r="M155" s="147"/>
      <c r="N155" s="154" t="str">
        <f>VLOOKUP(B78, 'Формулы'!L13:CA15, 17,FALSE)</f>
        <v>#N/A</v>
      </c>
      <c r="O155" s="136">
        <v>8.0</v>
      </c>
      <c r="P155" s="155">
        <f>VLOOKUP($B$78, 'Формулы'!$L$13:$CA$15, 19,FALSE)</f>
        <v>5</v>
      </c>
      <c r="Q155" s="146" t="str">
        <f>VLOOKUP($B$78, 'Формулы'!$L$13:$CA$15, 20,FALSE)</f>
        <v>#N/A</v>
      </c>
      <c r="R155" s="136">
        <f>VLOOKUP($B$78, 'Формулы'!$L$13:$CA$15, 21,FALSE)</f>
        <v>3</v>
      </c>
      <c r="S155" s="122">
        <f>VLOOKUP($B$78, 'Формулы'!$L$13:$CA$15, 22,FALSE)</f>
        <v>3</v>
      </c>
      <c r="T155" s="147"/>
      <c r="U155" s="148" t="str">
        <f>VLOOKUP($B$78, 'Формулы'!$L$13:$CA$15, 24,FALSE)</f>
        <v>#N/A</v>
      </c>
      <c r="V155" s="136">
        <f>VLOOKUP($B$78, 'Формулы'!$L$13:$CA$15, 25,FALSE)</f>
        <v>3</v>
      </c>
      <c r="W155" s="149">
        <f>VLOOKUP($B$78, 'Формулы'!$L$13:$CA$15, 26,FALSE)</f>
        <v>4</v>
      </c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ht="15.75" customHeight="1">
      <c r="A156" s="1"/>
      <c r="B156" s="85" t="str">
        <f t="shared" si="6"/>
        <v>Жим платформы ногами</v>
      </c>
      <c r="C156" s="146" t="str">
        <f>VLOOKUP(B79, 'Формулы'!L54:CA56, 6,FALSE)</f>
        <v>#N/A</v>
      </c>
      <c r="D156" s="136">
        <f>VLOOKUP(B79, 'Формулы'!L54:CA56, 7,FALSE)</f>
        <v>3</v>
      </c>
      <c r="E156" s="118">
        <f>VLOOKUP(B79, 'Формулы'!L54:CA56, 8,FALSE)</f>
        <v>5</v>
      </c>
      <c r="F156" s="83"/>
      <c r="G156" s="148" t="str">
        <f>VLOOKUP(B79, 'Формулы'!L54:CA56, 10,FALSE)</f>
        <v>#N/A</v>
      </c>
      <c r="H156" s="136">
        <f>VLOOKUP(B79, 'Формулы'!L54:CA56, 11,FALSE)</f>
        <v>3</v>
      </c>
      <c r="I156" s="122">
        <f>VLOOKUP(B79, 'Формулы'!L54:CA56, 12,FALSE)</f>
        <v>8</v>
      </c>
      <c r="J156" s="136" t="str">
        <f>VLOOKUP(B79, 'Формулы'!L54:CA56, 13,FALSE)</f>
        <v>#N/A</v>
      </c>
      <c r="K156" s="136">
        <f>VLOOKUP(B79, 'Формулы'!L54:CA56, 14,FALSE)</f>
        <v>3</v>
      </c>
      <c r="L156" s="78">
        <f>VLOOKUP(B79, 'Формулы'!L54:CA56, 15,FALSE)</f>
        <v>5</v>
      </c>
      <c r="M156" s="83"/>
      <c r="N156" s="78" t="str">
        <f>VLOOKUP(B79, 'Формулы'!L54:CA56, 17,FALSE)</f>
        <v>#N/A</v>
      </c>
      <c r="O156" s="136">
        <v>8.0</v>
      </c>
      <c r="P156" s="155">
        <f>VLOOKUP(B79, 'Формулы'!L54:CA56, 19,FALSE)</f>
        <v>7</v>
      </c>
      <c r="Q156" s="146" t="str">
        <f>VLOOKUP(B79, 'Формулы'!L54:CA56, 20,FALSE)</f>
        <v>#N/A</v>
      </c>
      <c r="R156" s="136">
        <f>VLOOKUP(B79, 'Формулы'!L54:CA56, 21,FALSE)</f>
        <v>3</v>
      </c>
      <c r="S156" s="122">
        <f>VLOOKUP(B79, 'Формулы'!L54:CA56, 22,FALSE)</f>
        <v>5</v>
      </c>
      <c r="T156" s="156"/>
      <c r="U156" s="148" t="str">
        <f>VLOOKUP(B79, 'Формулы'!L54:CA56, 24,FALSE)</f>
        <v>#N/A</v>
      </c>
      <c r="V156" s="136">
        <f>VLOOKUP(B79, 'Формулы'!L54:CA56, 25,FALSE)</f>
        <v>3</v>
      </c>
      <c r="W156" s="149">
        <f>VLOOKUP(B79, 'Формулы'!L54:CA56, 26,FALSE)</f>
        <v>6</v>
      </c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ht="15.75" customHeight="1">
      <c r="A157" s="1"/>
      <c r="B157" s="85" t="str">
        <f t="shared" si="6"/>
        <v>Махи с гантелями в стороны</v>
      </c>
      <c r="C157" s="146" t="str">
        <f>VLOOKUP(B80, 'Формулы'!L21:CA22, 6,FALSE)</f>
        <v>#N/A</v>
      </c>
      <c r="D157" s="136">
        <f>VLOOKUP(B80, 'Формулы'!L21:CA22, 7,FALSE)</f>
        <v>3</v>
      </c>
      <c r="E157" s="118">
        <f>VLOOKUP(B80, 'Формулы'!L21:CA22, 8,FALSE)</f>
        <v>10</v>
      </c>
      <c r="F157" s="83"/>
      <c r="G157" s="148" t="str">
        <f>VLOOKUP(B80, 'Формулы'!L21:CA22, 10,FALSE)</f>
        <v>#N/A</v>
      </c>
      <c r="H157" s="136">
        <f>VLOOKUP(B80, 'Формулы'!L21:CA22, 11,FALSE)</f>
        <v>1</v>
      </c>
      <c r="I157" s="122" t="str">
        <f>VLOOKUP(B80, 'Формулы'!L21:CA22, 12,FALSE)</f>
        <v>до отказа </v>
      </c>
      <c r="J157" s="136" t="str">
        <f>VLOOKUP(B80, 'Формулы'!L21:CA22, 13,FALSE)</f>
        <v>#N/A</v>
      </c>
      <c r="K157" s="136">
        <f>VLOOKUP(B80, 'Формулы'!L21:CA22, 14,FALSE)</f>
        <v>3</v>
      </c>
      <c r="L157" s="78">
        <f>VLOOKUP(B80, 'Формулы'!L21:CA22, 15,FALSE)</f>
        <v>10</v>
      </c>
      <c r="M157" s="87"/>
      <c r="N157" s="78" t="str">
        <f>VLOOKUP(B80, 'Формулы'!L21:CA22, 17,FALSE)</f>
        <v>#N/A</v>
      </c>
      <c r="O157" s="136">
        <f>VLOOKUP(B80, 'Формулы'!L21:CA22, 18,FALSE)</f>
        <v>1</v>
      </c>
      <c r="P157" s="155" t="str">
        <f>VLOOKUP(B80, 'Формулы'!L21:CA22, 19,FALSE)</f>
        <v>до отказа </v>
      </c>
      <c r="Q157" s="146" t="str">
        <f>VLOOKUP(B80, 'Формулы'!L21:CA22, 20,FALSE)</f>
        <v>#N/A</v>
      </c>
      <c r="R157" s="136">
        <f>VLOOKUP(B80, 'Формулы'!L21:CA22, 21,FALSE)</f>
        <v>3</v>
      </c>
      <c r="S157" s="122">
        <f>VLOOKUP(B80, 'Формулы'!L21:CA22, 22,FALSE)</f>
        <v>10</v>
      </c>
      <c r="T157" s="157"/>
      <c r="U157" s="148" t="str">
        <f>VLOOKUP(B80, 'Формулы'!L21:CA22, 24,FALSE)</f>
        <v>#N/A</v>
      </c>
      <c r="V157" s="136">
        <f>VLOOKUP(B80, 'Формулы'!L21:CA22, 25,FALSE)</f>
        <v>1</v>
      </c>
      <c r="W157" s="158" t="str">
        <f>VLOOKUP(B80, 'Формулы'!L21:CA22, 26,FALSE)</f>
        <v>до отказа</v>
      </c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ht="15.75" customHeight="1">
      <c r="A158" s="1"/>
      <c r="B158" s="85" t="str">
        <f>IF(B115="+", "", B115)</f>
        <v/>
      </c>
      <c r="C158" s="159" t="str">
        <f>IF(B81='Формулы'!L67,"",VLOOKUP(B81,'Формулы'!L67:CA69,6,FALSE))</f>
        <v/>
      </c>
      <c r="D158" s="112" t="str">
        <f>IF(B81='Формулы'!L67,"",VLOOKUP(B81,'Формулы'!L67:CA69,7,FALSE))</f>
        <v/>
      </c>
      <c r="E158" s="160" t="str">
        <f>IF(B81='Формулы'!L67,"",VLOOKUP(B81,'Формулы'!L67:CA69,8,FALSE))</f>
        <v/>
      </c>
      <c r="F158" s="87"/>
      <c r="G158" s="161" t="str">
        <f>IF(B81='Формулы'!L67,"",VLOOKUP(B81,'Формулы'!L67:CA69,10,FALSE))</f>
        <v/>
      </c>
      <c r="H158" s="112" t="str">
        <f>IF(B81='Формулы'!L67,"",VLOOKUP(B81,'Формулы'!L67:CA69,11,FALSE))</f>
        <v/>
      </c>
      <c r="I158" s="160" t="str">
        <f>IF(B81='Формулы'!L67,"",VLOOKUP(B81,'Формулы'!L67:CA69,12,FALSE))</f>
        <v/>
      </c>
      <c r="J158" s="112" t="str">
        <f>IF(B81='Формулы'!L67,"",VLOOKUP(B81,'Формулы'!L67:CA69,13,FALSE))</f>
        <v/>
      </c>
      <c r="K158" s="162" t="str">
        <f>IF(B81='Формулы'!L67,"",VLOOKUP(B81,'Формулы'!L67:CA69,14,FALSE))</f>
        <v/>
      </c>
      <c r="L158" s="160" t="str">
        <f>IF(B81='Формулы'!L67,"",VLOOKUP(B81,'Формулы'!L67:CA69,15,FALSE))</f>
        <v/>
      </c>
      <c r="M158" s="87"/>
      <c r="N158" s="111" t="str">
        <f>IF(B81='Формулы'!L67,"",VLOOKUP(B81,'Формулы'!L67:CA69,17,FALSE))</f>
        <v/>
      </c>
      <c r="O158" s="112" t="str">
        <f>IF(B81='Формулы'!L67,"",VLOOKUP(B81,'Формулы'!L67:CA69,18,FALSE))</f>
        <v/>
      </c>
      <c r="P158" s="163" t="str">
        <f>IF(B81='Формулы'!L67,"",VLOOKUP(B81,'Формулы'!L67:CA69,19,FALSE))</f>
        <v/>
      </c>
      <c r="Q158" s="159" t="str">
        <f>IF(B81='Формулы'!L67,"",VLOOKUP(B81,'Формулы'!L67:CA69,20,FALSE))</f>
        <v/>
      </c>
      <c r="R158" s="112" t="str">
        <f>IF(B81='Формулы'!L67,"",VLOOKUP(B81,'Формулы'!L67:CA69,21,FALSE))</f>
        <v/>
      </c>
      <c r="S158" s="160" t="str">
        <f>IF(B81='Формулы'!L67,"",VLOOKUP(B81,'Формулы'!L67:CA69,22,FALSE))</f>
        <v/>
      </c>
      <c r="T158" s="87"/>
      <c r="U158" s="161" t="str">
        <f>IF(B81='Формулы'!L67,"",VLOOKUP(B81,'Формулы'!L67:CA69,24,FALSE))</f>
        <v/>
      </c>
      <c r="V158" s="112" t="str">
        <f>IF(B81='Формулы'!L67,"",VLOOKUP(B81,'Формулы'!L67:CA69,25,FALSE))</f>
        <v/>
      </c>
      <c r="W158" s="164" t="str">
        <f>IF(B81='Формулы'!L67,"",VLOOKUP(B81,'Формулы'!L67:CA69,26,FALSE))</f>
        <v/>
      </c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ht="15.75" customHeight="1">
      <c r="A159" s="1"/>
      <c r="B159" s="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ht="15.75" customHeight="1">
      <c r="A160" s="1"/>
      <c r="B160" s="1"/>
      <c r="C160" s="165"/>
      <c r="D160" s="165"/>
      <c r="E160" s="165"/>
      <c r="F160" s="165"/>
      <c r="G160" s="165"/>
      <c r="H160" s="165"/>
      <c r="I160" s="165"/>
      <c r="J160" s="165"/>
      <c r="K160" s="165"/>
      <c r="L160" s="165"/>
      <c r="M160" s="165"/>
      <c r="N160" s="165"/>
      <c r="O160" s="166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ht="15.75" customHeight="1">
      <c r="A161" s="1"/>
      <c r="B161" s="98" t="s">
        <v>56</v>
      </c>
      <c r="C161" s="133" t="s">
        <v>43</v>
      </c>
      <c r="D161" s="133" t="s">
        <v>88</v>
      </c>
      <c r="E161" s="133" t="s">
        <v>89</v>
      </c>
      <c r="F161" s="133" t="s">
        <v>41</v>
      </c>
      <c r="G161" s="133" t="s">
        <v>43</v>
      </c>
      <c r="H161" s="133" t="s">
        <v>88</v>
      </c>
      <c r="I161" s="133" t="s">
        <v>89</v>
      </c>
      <c r="J161" s="167" t="s">
        <v>43</v>
      </c>
      <c r="K161" s="133" t="s">
        <v>88</v>
      </c>
      <c r="L161" s="133" t="s">
        <v>89</v>
      </c>
      <c r="M161" s="133" t="s">
        <v>41</v>
      </c>
      <c r="N161" s="133" t="s">
        <v>43</v>
      </c>
      <c r="O161" s="133" t="s">
        <v>88</v>
      </c>
      <c r="P161" s="133" t="s">
        <v>89</v>
      </c>
      <c r="Q161" s="133" t="s">
        <v>43</v>
      </c>
      <c r="R161" s="133" t="s">
        <v>88</v>
      </c>
      <c r="S161" s="133" t="s">
        <v>89</v>
      </c>
      <c r="T161" s="133" t="s">
        <v>41</v>
      </c>
      <c r="U161" s="133" t="s">
        <v>43</v>
      </c>
      <c r="V161" s="133" t="s">
        <v>88</v>
      </c>
      <c r="W161" s="133" t="s">
        <v>89</v>
      </c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ht="15.75" customHeight="1">
      <c r="A162" s="1"/>
      <c r="B162" s="134" t="str">
        <f t="shared" ref="B162:B165" si="7">B119</f>
        <v>Ягодичный мост</v>
      </c>
      <c r="C162" s="74" t="str">
        <f>VLOOKUP(B85, 'Формулы'!L24:CA26, 6,FALSE)</f>
        <v>#N/A</v>
      </c>
      <c r="D162" s="135">
        <f>VLOOKUP(B85, 'Формулы'!L24:CA26, 7,FALSE)</f>
        <v>1</v>
      </c>
      <c r="E162" s="118">
        <f>VLOOKUP(B85, 'Формулы'!L24:CA26, 8,FALSE)</f>
        <v>5</v>
      </c>
      <c r="F162" s="70"/>
      <c r="G162" s="144" t="str">
        <f>VLOOKUP(B85, 'Формулы'!L24:CA26, 10,FALSE)</f>
        <v>#N/A</v>
      </c>
      <c r="H162" s="135">
        <f>VLOOKUP(B85, 'Формулы'!L24:CA26, 11,FALSE)</f>
        <v>3</v>
      </c>
      <c r="I162" s="168">
        <f>VLOOKUP(B85, 'Формулы'!L24:CA26, 12,FALSE)</f>
        <v>6</v>
      </c>
      <c r="J162" s="74" t="str">
        <f>VLOOKUP(B85, 'Формулы'!L24:CA26, 13,FALSE)</f>
        <v>#N/A</v>
      </c>
      <c r="K162" s="135">
        <f>VLOOKUP(B85, 'Формулы'!L24:CA26, 14,FALSE)</f>
        <v>1</v>
      </c>
      <c r="L162" s="71">
        <f>VLOOKUP(B85, 'Формулы'!L24:CA26, 15,FALSE)</f>
        <v>4</v>
      </c>
      <c r="M162" s="67"/>
      <c r="N162" s="144" t="str">
        <f>VLOOKUP(B85, 'Формулы'!L24:CA26, 17,FALSE)</f>
        <v>#N/A</v>
      </c>
      <c r="O162" s="169">
        <f>VLOOKUP(B85, 'Формулы'!L24:CA26, 18,FALSE)</f>
        <v>3</v>
      </c>
      <c r="P162" s="145">
        <f>VLOOKUP(B85, 'Формулы'!L24:CA26, 19,FALSE)</f>
        <v>5</v>
      </c>
      <c r="Q162" s="74" t="str">
        <f>VLOOKUP(B85, 'Формулы'!L24:CA26, 20,FALSE)</f>
        <v>#N/A</v>
      </c>
      <c r="R162" s="135">
        <f>VLOOKUP(B85, 'Формулы'!L24:CA26, 21,FALSE)</f>
        <v>1</v>
      </c>
      <c r="S162" s="118">
        <f>VLOOKUP($B$85, 'Формулы'!$L$24:$CA$26, 22,FALSE)</f>
        <v>3</v>
      </c>
      <c r="T162" s="67"/>
      <c r="U162" s="144" t="str">
        <f>VLOOKUP($B$85, 'Формулы'!$L$24:$CA$26, 24,FALSE)</f>
        <v>#N/A</v>
      </c>
      <c r="V162" s="135">
        <f>VLOOKUP($B$85, 'Формулы'!$L$24:$CA$26, 25,FALSE)</f>
        <v>3</v>
      </c>
      <c r="W162" s="168">
        <f>VLOOKUP($B$85, 'Формулы'!$L$24:$CA$26, 26,FALSE)</f>
        <v>4</v>
      </c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ht="15.75" customHeight="1">
      <c r="A163" s="1"/>
      <c r="B163" s="85" t="str">
        <f t="shared" si="7"/>
        <v>Подъём штанги на бицепс</v>
      </c>
      <c r="C163" s="146" t="str">
        <f>VLOOKUP(B86, 'Формулы'!L33:CA34, 6,FALSE)</f>
        <v>#N/A</v>
      </c>
      <c r="D163" s="136">
        <f>VLOOKUP(B86, 'Формулы'!L33:CA34, 7,FALSE)</f>
        <v>3</v>
      </c>
      <c r="E163" s="118">
        <f>VLOOKUP(B86, 'Формулы'!L33:CA34, 8,FALSE)</f>
        <v>5</v>
      </c>
      <c r="F163" s="147"/>
      <c r="G163" s="148" t="str">
        <f>VLOOKUP(B86, 'Формулы'!L33:CA34, 10,FALSE)</f>
        <v>#N/A</v>
      </c>
      <c r="H163" s="136">
        <f>VLOOKUP(B86, 'Формулы'!L33:CA34, 11,FALSE)</f>
        <v>3</v>
      </c>
      <c r="I163" s="149">
        <f>VLOOKUP(B86, 'Формулы'!L33:CA34, 12,FALSE)</f>
        <v>6</v>
      </c>
      <c r="J163" s="146" t="str">
        <f>VLOOKUP(B86, 'Формулы'!L33:CA34, 13,FALSE)</f>
        <v>#N/A</v>
      </c>
      <c r="K163" s="136">
        <f>VLOOKUP(B86, 'Формулы'!L33:CA34, 14,FALSE)</f>
        <v>3</v>
      </c>
      <c r="L163" s="78">
        <f>VLOOKUP(B86, 'Формулы'!L33:CA34, 15,FALSE)</f>
        <v>5</v>
      </c>
      <c r="M163" s="147"/>
      <c r="N163" s="148" t="str">
        <f>VLOOKUP(B86, 'Формулы'!L33:CA34, 17,FALSE)</f>
        <v>#N/A</v>
      </c>
      <c r="O163" s="89">
        <f>VLOOKUP(B86, 'Формулы'!L33:CA34, 18,FALSE)</f>
        <v>3</v>
      </c>
      <c r="P163" s="155">
        <f>VLOOKUP(B86, 'Формулы'!L33:CA34, 19,FALSE)</f>
        <v>6</v>
      </c>
      <c r="Q163" s="146" t="str">
        <f>VLOOKUP(B86, 'Формулы'!L33:CA34, 20,FALSE)</f>
        <v>#N/A</v>
      </c>
      <c r="R163" s="136">
        <f>VLOOKUP(B86, 'Формулы'!L33:CA34, 21,FALSE)</f>
        <v>3</v>
      </c>
      <c r="S163" s="122">
        <f>VLOOKUP(B86, 'Формулы'!L33:CA34, 22,FALSE)</f>
        <v>5</v>
      </c>
      <c r="T163" s="156"/>
      <c r="U163" s="148" t="str">
        <f>VLOOKUP(B86, 'Формулы'!L33:CA34, 24,FALSE)</f>
        <v>#N/A</v>
      </c>
      <c r="V163" s="136">
        <f>VLOOKUP(B86, 'Формулы'!L33:CA34, 25,FALSE)</f>
        <v>3</v>
      </c>
      <c r="W163" s="149">
        <f>VLOOKUP(B86, 'Формулы'!L33:CA34, 26,FALSE)</f>
        <v>6</v>
      </c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ht="15.75" customHeight="1">
      <c r="A164" s="1"/>
      <c r="B164" s="85" t="str">
        <f t="shared" si="7"/>
        <v>Жим штанги лёжа</v>
      </c>
      <c r="C164" s="146" t="str">
        <f>VLOOKUP(B87, 'Формулы'!L28:CA30, 6,FALSE)</f>
        <v>#N/A</v>
      </c>
      <c r="D164" s="136">
        <f>VLOOKUP(B87, 'Формулы'!L28:CA30, 7,FALSE)</f>
        <v>1</v>
      </c>
      <c r="E164" s="118">
        <f>VLOOKUP(B87, 'Формулы'!L28:CA30, 8,FALSE)</f>
        <v>5</v>
      </c>
      <c r="F164" s="83"/>
      <c r="G164" s="148" t="str">
        <f>VLOOKUP(B87, 'Формулы'!L28:CA30, 10,FALSE)</f>
        <v>#N/A</v>
      </c>
      <c r="H164" s="136">
        <f>VLOOKUP(B87, 'Формулы'!L28:CA30, 11,FALSE)</f>
        <v>3</v>
      </c>
      <c r="I164" s="149">
        <f>VLOOKUP(B87, 'Формулы'!L28:CA30, 12,FALSE)</f>
        <v>6</v>
      </c>
      <c r="J164" s="146" t="str">
        <f>VLOOKUP(B87, 'Формулы'!L28:CA30, 13,FALSE)</f>
        <v>#N/A</v>
      </c>
      <c r="K164" s="136">
        <f>VLOOKUP(B87, 'Формулы'!L28:CA30, 14,FALSE)</f>
        <v>1</v>
      </c>
      <c r="L164" s="78">
        <f>VLOOKUP(B87, 'Формулы'!L28:CA30, 15,FALSE)</f>
        <v>4</v>
      </c>
      <c r="M164" s="83"/>
      <c r="N164" s="148" t="str">
        <f>VLOOKUP(B87, 'Формулы'!L28:CA30, 17,FALSE)</f>
        <v>#N/A</v>
      </c>
      <c r="O164" s="89">
        <f>VLOOKUP(B87, 'Формулы'!L28:CA30, 18,FALSE)</f>
        <v>3</v>
      </c>
      <c r="P164" s="155">
        <f>VLOOKUP(B87, 'Формулы'!L28:CA30, 19,FALSE)</f>
        <v>5</v>
      </c>
      <c r="Q164" s="146" t="str">
        <f>VLOOKUP(B87, 'Формулы'!L28:CA30, 20,FALSE)</f>
        <v>#N/A</v>
      </c>
      <c r="R164" s="136">
        <f>VLOOKUP(B87, 'Формулы'!L28:CA30, 21,FALSE)</f>
        <v>1</v>
      </c>
      <c r="S164" s="122">
        <f>VLOOKUP(B87, 'Формулы'!L28:CA30, 22,FALSE)</f>
        <v>3</v>
      </c>
      <c r="T164" s="83"/>
      <c r="U164" s="148" t="str">
        <f>VLOOKUP(B87, 'Формулы'!L28:CA30, 24,FALSE)</f>
        <v>#N/A</v>
      </c>
      <c r="V164" s="136">
        <f>VLOOKUP(B87, 'Формулы'!L28:CA30, 25,FALSE)</f>
        <v>3</v>
      </c>
      <c r="W164" s="149">
        <f>VLOOKUP(B87, 'Формулы'!L28:CA30, 26,FALSE)</f>
        <v>4</v>
      </c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ht="15.75" customHeight="1">
      <c r="A165" s="1"/>
      <c r="B165" s="85" t="str">
        <f t="shared" si="7"/>
        <v>Разгибания рук на блоке</v>
      </c>
      <c r="C165" s="146" t="str">
        <f>VLOOKUP(B88, 'Формулы'!L36:CA38, 6,FALSE)</f>
        <v>#N/A</v>
      </c>
      <c r="D165" s="136">
        <f>VLOOKUP(B88, 'Формулы'!L36:CA38, 7,FALSE)</f>
        <v>3</v>
      </c>
      <c r="E165" s="118">
        <f>VLOOKUP(B88, 'Формулы'!L36:CA38, 8,FALSE)</f>
        <v>10</v>
      </c>
      <c r="F165" s="87"/>
      <c r="G165" s="148" t="str">
        <f>VLOOKUP(B88, 'Формулы'!L36:CA38, 10,FALSE)</f>
        <v>#N/A</v>
      </c>
      <c r="H165" s="136">
        <f>VLOOKUP(B88, 'Формулы'!L36:CA38, 11,FALSE)</f>
        <v>1</v>
      </c>
      <c r="I165" s="149" t="str">
        <f>VLOOKUP(B88, 'Формулы'!L36:CA38, 12,FALSE)</f>
        <v>до отказа </v>
      </c>
      <c r="J165" s="146" t="str">
        <f>VLOOKUP(B88, 'Формулы'!L36:CA38, 13,FALSE)</f>
        <v>#N/A</v>
      </c>
      <c r="K165" s="136">
        <f>VLOOKUP(B88, 'Формулы'!L36:CA38, 14,FALSE)</f>
        <v>3</v>
      </c>
      <c r="L165" s="78">
        <f>VLOOKUP(B88, 'Формулы'!L36:CA38, 15,FALSE)</f>
        <v>10</v>
      </c>
      <c r="M165" s="87"/>
      <c r="N165" s="148" t="str">
        <f>VLOOKUP(B88, 'Формулы'!L36:CA38, 17,FALSE)</f>
        <v>#N/A</v>
      </c>
      <c r="O165" s="89">
        <f>VLOOKUP(B88, 'Формулы'!L36:CA38, 18,FALSE)</f>
        <v>1</v>
      </c>
      <c r="P165" s="155" t="str">
        <f>VLOOKUP(B88, 'Формулы'!L36:CA38, 19,FALSE)</f>
        <v>до отказа </v>
      </c>
      <c r="Q165" s="146" t="str">
        <f>VLOOKUP(B88, 'Формулы'!L36:CA38, 20,FALSE)</f>
        <v>#N/A</v>
      </c>
      <c r="R165" s="136">
        <f>VLOOKUP(B88, 'Формулы'!L36:CA38, 21,FALSE)</f>
        <v>3</v>
      </c>
      <c r="S165" s="122">
        <f>VLOOKUP(B88, 'Формулы'!L36:CA38, 22,FALSE)</f>
        <v>10</v>
      </c>
      <c r="T165" s="87"/>
      <c r="U165" s="148" t="str">
        <f>VLOOKUP(B88, 'Формулы'!L36:CA38, 24,FALSE)</f>
        <v>#N/A</v>
      </c>
      <c r="V165" s="136">
        <f>VLOOKUP(B88, 'Формулы'!L36:CA38, 25,FALSE)</f>
        <v>1</v>
      </c>
      <c r="W165" s="149" t="str">
        <f>VLOOKUP(B88, 'Формулы'!L36:CA38, 26,FALSE)</f>
        <v>до отказа </v>
      </c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ht="15.75" customHeight="1">
      <c r="A166" s="1"/>
      <c r="B166" s="85" t="str">
        <f>IF(B123="+", "", B123)</f>
        <v/>
      </c>
      <c r="C166" s="159" t="str">
        <f>IF(B89='Формулы'!L63,"",VLOOKUP(B89,'Формулы'!L39:CA41,6,FALSE))</f>
        <v/>
      </c>
      <c r="D166" s="112" t="str">
        <f>IF(B89='Формулы'!L63,"",VLOOKUP(B89,'Формулы'!L39:CA41,7,FALSE))</f>
        <v/>
      </c>
      <c r="E166" s="160" t="str">
        <f>IF(B89='Формулы'!L63,"",VLOOKUP(B89,'Формулы'!L39:CA41,8,FALSE))</f>
        <v/>
      </c>
      <c r="F166" s="87"/>
      <c r="G166" s="161" t="str">
        <f>IF(B89='Формулы'!L63,"",VLOOKUP(B89,'Формулы'!L39:CA41,10,FALSE))</f>
        <v/>
      </c>
      <c r="H166" s="112" t="str">
        <f>IF(B89='Формулы'!L63,"",VLOOKUP(B89,'Формулы'!L39:CA41,11,FALSE))</f>
        <v/>
      </c>
      <c r="I166" s="164" t="str">
        <f>IF(B89='Формулы'!L63,"",VLOOKUP(B89,'Формулы'!L39:CA41,12,FALSE))</f>
        <v/>
      </c>
      <c r="J166" s="159" t="str">
        <f>IF(B89='Формулы'!L63,"",VLOOKUP(B89,'Формулы'!L39:CA41,13,FALSE))</f>
        <v/>
      </c>
      <c r="K166" s="112" t="str">
        <f>IF(B89='Формулы'!L63,"",VLOOKUP(B89,'Формулы'!L39:CA41,14,FALSE))</f>
        <v/>
      </c>
      <c r="L166" s="111" t="str">
        <f>IF(B89='Формулы'!L63,"",VLOOKUP(B89,'Формулы'!L39:CA41,15,FALSE))</f>
        <v/>
      </c>
      <c r="M166" s="87"/>
      <c r="N166" s="161" t="str">
        <f>IF(B89='Формулы'!L63,"",VLOOKUP(B89,'Формулы'!L39:CA41,17,FALSE))</f>
        <v/>
      </c>
      <c r="O166" s="170" t="str">
        <f>IF(B89='Формулы'!L63,"",VLOOKUP(B89,'Формулы'!L39:CA41,18,FALSE))</f>
        <v/>
      </c>
      <c r="P166" s="163" t="str">
        <f>IF(B89='Формулы'!L63,"",VLOOKUP(B89,'Формулы'!L39:CA41,19,FALSE))</f>
        <v/>
      </c>
      <c r="Q166" s="159" t="str">
        <f>IF(B89='Формулы'!L63,"",VLOOKUP(B89,'Формулы'!L39:CA41,20,FALSE))</f>
        <v/>
      </c>
      <c r="R166" s="112" t="str">
        <f>IF(B89='Формулы'!L63,"",VLOOKUP(B89,'Формулы'!L39:CA41,21,FALSE))</f>
        <v/>
      </c>
      <c r="S166" s="160" t="str">
        <f>IF(B89='Формулы'!L63,"",VLOOKUP(B89,'Формулы'!L39:CA41,22,FALSE))</f>
        <v/>
      </c>
      <c r="T166" s="87"/>
      <c r="U166" s="161" t="str">
        <f>IF(B89='Формулы'!L63,"",VLOOKUP(B89,'Формулы'!L39:CA41,24,FALSE))</f>
        <v/>
      </c>
      <c r="V166" s="112" t="str">
        <f>IF(B89='Формулы'!L63,"",VLOOKUP(B89,'Формулы'!L39:CA41,25,FALSE))</f>
        <v/>
      </c>
      <c r="W166" s="164" t="str">
        <f>IF(B89='Формулы'!L63,"",VLOOKUP(B89,'Формулы'!L39:CA41,26,FALSE))</f>
        <v/>
      </c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ht="15.75" customHeight="1">
      <c r="A168" s="1"/>
      <c r="B168" s="1"/>
      <c r="C168" s="165"/>
      <c r="D168" s="165"/>
      <c r="E168" s="165"/>
      <c r="F168" s="165"/>
      <c r="G168" s="165"/>
      <c r="H168" s="165"/>
      <c r="I168" s="165"/>
      <c r="J168" s="165"/>
      <c r="K168" s="165"/>
      <c r="L168" s="165"/>
      <c r="M168" s="165"/>
      <c r="N168" s="165"/>
      <c r="O168" s="166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ht="15.75" customHeight="1">
      <c r="A169" s="1"/>
      <c r="B169" s="98" t="s">
        <v>60</v>
      </c>
      <c r="C169" s="133" t="s">
        <v>43</v>
      </c>
      <c r="D169" s="133" t="s">
        <v>88</v>
      </c>
      <c r="E169" s="133" t="s">
        <v>89</v>
      </c>
      <c r="F169" s="133" t="s">
        <v>41</v>
      </c>
      <c r="G169" s="133" t="s">
        <v>43</v>
      </c>
      <c r="H169" s="133" t="s">
        <v>88</v>
      </c>
      <c r="I169" s="133" t="s">
        <v>89</v>
      </c>
      <c r="J169" s="133" t="s">
        <v>43</v>
      </c>
      <c r="K169" s="133" t="s">
        <v>88</v>
      </c>
      <c r="L169" s="133" t="s">
        <v>89</v>
      </c>
      <c r="M169" s="133" t="s">
        <v>41</v>
      </c>
      <c r="N169" s="133" t="s">
        <v>43</v>
      </c>
      <c r="O169" s="133" t="s">
        <v>88</v>
      </c>
      <c r="P169" s="133" t="s">
        <v>89</v>
      </c>
      <c r="Q169" s="133" t="s">
        <v>43</v>
      </c>
      <c r="R169" s="133" t="s">
        <v>88</v>
      </c>
      <c r="S169" s="133" t="s">
        <v>89</v>
      </c>
      <c r="T169" s="133" t="s">
        <v>41</v>
      </c>
      <c r="U169" s="133" t="s">
        <v>43</v>
      </c>
      <c r="V169" s="133" t="s">
        <v>88</v>
      </c>
      <c r="W169" s="133" t="s">
        <v>89</v>
      </c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ht="15.75" customHeight="1">
      <c r="A170" s="1"/>
      <c r="B170" s="134" t="str">
        <f t="shared" ref="B170:B173" si="8">B127</f>
        <v>Приседания в колодец</v>
      </c>
      <c r="C170" s="74" t="str">
        <f>VLOOKUP(B93, 'Формулы'!L17:CA19, 6,FALSE)</f>
        <v>#N/A</v>
      </c>
      <c r="D170" s="135">
        <f>VLOOKUP(B93, 'Формулы'!L17:CA19, 7,FALSE)</f>
        <v>3</v>
      </c>
      <c r="E170" s="118">
        <f>VLOOKUP(B93, 'Формулы'!L17:CA19, 8,FALSE)</f>
        <v>5</v>
      </c>
      <c r="F170" s="67"/>
      <c r="G170" s="144" t="str">
        <f>VLOOKUP(B93, 'Формулы'!L17:CA19, 10,FALSE)</f>
        <v>#N/A</v>
      </c>
      <c r="H170" s="135">
        <f>VLOOKUP(B93, 'Формулы'!L17:CA19, 11,FALSE)</f>
        <v>3</v>
      </c>
      <c r="I170" s="168">
        <f>VLOOKUP(B93, 'Формулы'!L17:CA19, 12,FALSE)</f>
        <v>6</v>
      </c>
      <c r="J170" s="74" t="str">
        <f>VLOOKUP(B93, 'Формулы'!L17:CA19, 13,FALSE)</f>
        <v>#N/A</v>
      </c>
      <c r="K170" s="135">
        <f>VLOOKUP(B93, 'Формулы'!L17:CA19, 14,FALSE)</f>
        <v>3</v>
      </c>
      <c r="L170" s="118">
        <f>VLOOKUP(B93, 'Формулы'!L17:CA19, 15,FALSE)</f>
        <v>5</v>
      </c>
      <c r="M170" s="67"/>
      <c r="N170" s="144" t="str">
        <f>VLOOKUP(B93, 'Формулы'!L17:CA19, 17,FALSE)</f>
        <v>#N/A</v>
      </c>
      <c r="O170" s="135">
        <f>VLOOKUP(B93, 'Формулы'!L17:CA19, 18,FALSE)</f>
        <v>3</v>
      </c>
      <c r="P170" s="168">
        <f>VLOOKUP(B93, 'Формулы'!L17:CA19, 19,FALSE)</f>
        <v>6</v>
      </c>
      <c r="Q170" s="74" t="str">
        <f>VLOOKUP(B93, 'Формулы'!L17:CA19, 20,FALSE)</f>
        <v>#N/A</v>
      </c>
      <c r="R170" s="135">
        <f>VLOOKUP(B93, 'Формулы'!L17:CA19, 21,FALSE)</f>
        <v>3</v>
      </c>
      <c r="S170" s="118">
        <f>VLOOKUP(B93, 'Формулы'!L17:CA19, 22,FALSE)</f>
        <v>5</v>
      </c>
      <c r="T170" s="67"/>
      <c r="U170" s="144" t="str">
        <f>VLOOKUP(B93, 'Формулы'!L17:CA19, 24,FALSE)</f>
        <v>#N/A</v>
      </c>
      <c r="V170" s="135">
        <f>VLOOKUP(B93, 'Формулы'!L17:CA19, 25,FALSE)</f>
        <v>3</v>
      </c>
      <c r="W170" s="168">
        <f>VLOOKUP(B93, 'Формулы'!L17:CA19, 26,FALSE)</f>
        <v>6</v>
      </c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ht="15.75" customHeight="1">
      <c r="A171" s="1"/>
      <c r="B171" s="85" t="str">
        <f t="shared" si="8"/>
        <v>Жим гантелей сидя</v>
      </c>
      <c r="C171" s="146" t="str">
        <f>VLOOKUP(B94, 'Формулы'!L44:CA45, 6,FALSE)</f>
        <v>#N/A</v>
      </c>
      <c r="D171" s="136">
        <f>VLOOKUP(B94, 'Формулы'!L44:CA45, 7,FALSE)</f>
        <v>3</v>
      </c>
      <c r="E171" s="122">
        <f>VLOOKUP(B94, 'Формулы'!L44:CA45, 8,FALSE)</f>
        <v>6</v>
      </c>
      <c r="F171" s="147"/>
      <c r="G171" s="148" t="str">
        <f>VLOOKUP(B94, 'Формулы'!L44:CA45, 10,FALSE)</f>
        <v>#N/A</v>
      </c>
      <c r="H171" s="136">
        <f>VLOOKUP(B94, 'Формулы'!L44:CA45, 11,FALSE)</f>
        <v>1</v>
      </c>
      <c r="I171" s="149" t="str">
        <f>VLOOKUP(B94, 'Формулы'!L44:CA45, 12,FALSE)</f>
        <v>до отказа </v>
      </c>
      <c r="J171" s="146" t="str">
        <f>VLOOKUP(B94, 'Формулы'!L44:CA45, 13,FALSE)</f>
        <v>#N/A</v>
      </c>
      <c r="K171" s="136">
        <f>VLOOKUP(B94, 'Формулы'!L44:CA45, 14,FALSE)</f>
        <v>3</v>
      </c>
      <c r="L171" s="122">
        <f>VLOOKUP(B94, 'Формулы'!L44:CA45, 15,FALSE)</f>
        <v>6</v>
      </c>
      <c r="M171" s="147"/>
      <c r="N171" s="148" t="str">
        <f>VLOOKUP(B94, 'Формулы'!L44:CA45, 17,FALSE)</f>
        <v>#N/A</v>
      </c>
      <c r="O171" s="136">
        <f>VLOOKUP(B94, 'Формулы'!L44:CA45, 18,FALSE)</f>
        <v>1</v>
      </c>
      <c r="P171" s="149" t="str">
        <f>VLOOKUP(B94, 'Формулы'!L44:CA45, 19,FALSE)</f>
        <v>до отказа </v>
      </c>
      <c r="Q171" s="146" t="str">
        <f>VLOOKUP(B94, 'Формулы'!L44:CA45, 20,FALSE)</f>
        <v>#N/A</v>
      </c>
      <c r="R171" s="136">
        <f>VLOOKUP(B94, 'Формулы'!L44:CA45, 21,FALSE)</f>
        <v>3</v>
      </c>
      <c r="S171" s="122">
        <f>VLOOKUP(B94, 'Формулы'!L44:CA45, 22,FALSE)</f>
        <v>6</v>
      </c>
      <c r="T171" s="147"/>
      <c r="U171" s="148" t="str">
        <f>VLOOKUP(B94, 'Формулы'!L44:CA45, 24,FALSE)</f>
        <v>#N/A</v>
      </c>
      <c r="V171" s="136">
        <f>VLOOKUP(B94, 'Формулы'!L44:CA45, 25,FALSE)</f>
        <v>1</v>
      </c>
      <c r="W171" s="149" t="str">
        <f>VLOOKUP(B94, 'Формулы'!L44:CA45, 26,FALSE)</f>
        <v>до отказа </v>
      </c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ht="15.75" customHeight="1">
      <c r="A172" s="1"/>
      <c r="B172" s="85" t="str">
        <f t="shared" si="8"/>
        <v>Тяга штанги в наклоне</v>
      </c>
      <c r="C172" s="146" t="str">
        <f>VLOOKUP(B95, 'Формулы'!L48:CA50, 6,FALSE)</f>
        <v>#N/A</v>
      </c>
      <c r="D172" s="136">
        <f>VLOOKUP(B95, 'Формулы'!L48:CA50, 7,FALSE)</f>
        <v>3</v>
      </c>
      <c r="E172" s="122">
        <f>VLOOKUP(B95, 'Формулы'!L48:CA50, 8,FALSE)</f>
        <v>5</v>
      </c>
      <c r="F172" s="83"/>
      <c r="G172" s="148" t="str">
        <f>VLOOKUP(B95, 'Формулы'!L48:CA50, 10,FALSE)</f>
        <v>#N/A</v>
      </c>
      <c r="H172" s="136">
        <f>VLOOKUP(B95, 'Формулы'!L48:CA50, 11,FALSE)</f>
        <v>3</v>
      </c>
      <c r="I172" s="149">
        <f>VLOOKUP(B95, 'Формулы'!L48:CA50, 12,FALSE)</f>
        <v>6</v>
      </c>
      <c r="J172" s="146" t="str">
        <f>VLOOKUP(B95, 'Формулы'!L48:CA50, 13,FALSE)</f>
        <v>#N/A</v>
      </c>
      <c r="K172" s="136">
        <f>VLOOKUP(B95, 'Формулы'!L48:CA50, 14,FALSE)</f>
        <v>3</v>
      </c>
      <c r="L172" s="122">
        <f>VLOOKUP(B95, 'Формулы'!L48:CA50, 15,FALSE)</f>
        <v>5</v>
      </c>
      <c r="M172" s="83"/>
      <c r="N172" s="148" t="str">
        <f>VLOOKUP(B95, 'Формулы'!L48:CA50, 17,FALSE)</f>
        <v>#N/A</v>
      </c>
      <c r="O172" s="136">
        <f>VLOOKUP(B95, 'Формулы'!L48:CA50, 18,FALSE)</f>
        <v>3</v>
      </c>
      <c r="P172" s="149">
        <f>VLOOKUP(B95, 'Формулы'!L48:CA50, 19,FALSE)</f>
        <v>6</v>
      </c>
      <c r="Q172" s="146" t="str">
        <f>VLOOKUP(B95, 'Формулы'!L48:CA50, 20,FALSE)</f>
        <v>#N/A</v>
      </c>
      <c r="R172" s="136">
        <f>VLOOKUP(B95, 'Формулы'!L48:CA50, 21,FALSE)</f>
        <v>3</v>
      </c>
      <c r="S172" s="122">
        <f>VLOOKUP(B95, 'Формулы'!L48:CA50, 22,FALSE)</f>
        <v>5</v>
      </c>
      <c r="T172" s="83"/>
      <c r="U172" s="148" t="str">
        <f>VLOOKUP(B95, 'Формулы'!L48:CA50, 24,FALSE)</f>
        <v>#N/A</v>
      </c>
      <c r="V172" s="136">
        <f>VLOOKUP(B95, 'Формулы'!L48:CA50, 25,FALSE)</f>
        <v>3</v>
      </c>
      <c r="W172" s="149">
        <f>VLOOKUP(B95, 'Формулы'!L48:CA50, 26,FALSE)</f>
        <v>6</v>
      </c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ht="15.75" customHeight="1">
      <c r="A173" s="1"/>
      <c r="B173" s="85" t="str">
        <f t="shared" si="8"/>
        <v>Подтягивания (собственный вес)</v>
      </c>
      <c r="C173" s="150" t="str">
        <f>VLOOKUP(B96, 'Формулы'!L59:CA61, 6,FALSE)</f>
        <v>собств.</v>
      </c>
      <c r="D173" s="151">
        <f>VLOOKUP(B96, 'Формулы'!L59:CA61, 7,FALSE)</f>
        <v>1</v>
      </c>
      <c r="E173" s="122">
        <f>VLOOKUP(B96, 'Формулы'!L59:CA61, 8,FALSE)</f>
        <v>-2</v>
      </c>
      <c r="F173" s="87"/>
      <c r="G173" s="152" t="str">
        <f>VLOOKUP(B96, 'Формулы'!L59:CA61, 10,FALSE)</f>
        <v>собств.</v>
      </c>
      <c r="H173" s="151">
        <f>VLOOKUP(B96, 'Формулы'!L59:CA61, 11,FALSE)</f>
        <v>4</v>
      </c>
      <c r="I173" s="158">
        <f>VLOOKUP(B96, 'Формулы'!L59:CA61, 12,FALSE)</f>
        <v>5</v>
      </c>
      <c r="J173" s="150" t="str">
        <f>VLOOKUP(B96, 'Формулы'!L59:CA61, 13,FALSE)</f>
        <v>собств.</v>
      </c>
      <c r="K173" s="151">
        <f>VLOOKUP(B96, 'Формулы'!L59:CA61, 14,FALSE)</f>
        <v>1</v>
      </c>
      <c r="L173" s="153">
        <f>VLOOKUP(B96, 'Формулы'!L59:CA61, 15,FALSE)</f>
        <v>7</v>
      </c>
      <c r="M173" s="87"/>
      <c r="N173" s="152" t="str">
        <f>VLOOKUP(B96, 'Формулы'!L59:CA61, 17,FALSE)</f>
        <v>собств.</v>
      </c>
      <c r="O173" s="136">
        <f>VLOOKUP(B96, 'Формулы'!L59:CA61, 18,FALSE)</f>
        <v>4</v>
      </c>
      <c r="P173" s="158">
        <f>VLOOKUP(B96, 'Формулы'!L59:CA61, 19,FALSE)</f>
        <v>15</v>
      </c>
      <c r="Q173" s="150" t="str">
        <f>VLOOKUP(B96, 'Формулы'!L59:CA61, 20,FALSE)</f>
        <v>собств.</v>
      </c>
      <c r="R173" s="151">
        <f>VLOOKUP(B96, 'Формулы'!L59:CA61, 21,FALSE)</f>
        <v>1</v>
      </c>
      <c r="S173" s="153">
        <f>VLOOKUP(B96, 'Формулы'!L59:CA61, 22,FALSE)</f>
        <v>17</v>
      </c>
      <c r="T173" s="87"/>
      <c r="U173" s="152" t="str">
        <f>VLOOKUP(B96, 'Формулы'!L59:CA61, 24,FALSE)</f>
        <v>собств.</v>
      </c>
      <c r="V173" s="151">
        <f>VLOOKUP(B96, 'Формулы'!L59:CA61, 25,FALSE)</f>
        <v>3</v>
      </c>
      <c r="W173" s="158">
        <f>VLOOKUP(B96, 'Формулы'!L59:CA61, 26,FALSE)</f>
        <v>25</v>
      </c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ht="15.75" customHeight="1">
      <c r="A174" s="1"/>
      <c r="B174" s="85" t="str">
        <f>IF(B97="+", "", B97)</f>
        <v/>
      </c>
      <c r="C174" s="159" t="str">
        <f>IF(B97='Формулы'!L63,"",VLOOKUP(B97,'Формулы'!L63:CA65,6,FALSE))</f>
        <v/>
      </c>
      <c r="D174" s="112" t="str">
        <f>IF(B97='Формулы'!L63,"",VLOOKUP(B97,'Формулы'!L63:CA65,7,FALSE))</f>
        <v/>
      </c>
      <c r="E174" s="160" t="str">
        <f>IF(B97='Формулы'!L63,"",VLOOKUP(B97,'Формулы'!L63:CA65,8,FALSE))</f>
        <v/>
      </c>
      <c r="F174" s="87"/>
      <c r="G174" s="161" t="str">
        <f>IF(B97='Формулы'!L63,"",VLOOKUP(B97,'Формулы'!L63:CA65,10,FALSE))</f>
        <v/>
      </c>
      <c r="H174" s="112" t="str">
        <f>IF(B97='Формулы'!L63,"",VLOOKUP(B97,'Формулы'!L63:CA65,11,FALSE))</f>
        <v/>
      </c>
      <c r="I174" s="164" t="str">
        <f>IF(B97='Формулы'!L63,"",VLOOKUP(B97,'Формулы'!L63:CA65,12,FALSE))</f>
        <v/>
      </c>
      <c r="J174" s="159" t="str">
        <f>IF(B97='Формулы'!L63,"",VLOOKUP(B97,'Формулы'!L63:CA65,13,FALSE))</f>
        <v/>
      </c>
      <c r="K174" s="112" t="str">
        <f>IF(B97='Формулы'!L63,"",VLOOKUP(B97,'Формулы'!L63:CA65,14,FALSE))</f>
        <v/>
      </c>
      <c r="L174" s="160" t="str">
        <f>IF(B97='Формулы'!L63,"",VLOOKUP(B97,'Формулы'!L63:CA65,15,FALSE))</f>
        <v/>
      </c>
      <c r="M174" s="87"/>
      <c r="N174" s="161" t="str">
        <f>IF(B97='Формулы'!L63,"",VLOOKUP(B97,'Формулы'!L63:CA65,17,FALSE))</f>
        <v/>
      </c>
      <c r="O174" s="112" t="str">
        <f>IF(B97='Формулы'!L63,"",VLOOKUP(B97,'Формулы'!L63:CA65,18,FALSE))</f>
        <v/>
      </c>
      <c r="P174" s="164" t="str">
        <f>IF(B97='Формулы'!L63,"",VLOOKUP(B97,'Формулы'!L63:CA65,19,FALSE))</f>
        <v/>
      </c>
      <c r="Q174" s="159" t="str">
        <f>IF(B97='Формулы'!L63,"",VLOOKUP(B97,'Формулы'!L63:CA65,20,FALSE))</f>
        <v/>
      </c>
      <c r="R174" s="112" t="str">
        <f>IF(B97='Формулы'!L63,"",VLOOKUP(B97,'Формулы'!L63:CA65,21,FALSE))</f>
        <v/>
      </c>
      <c r="S174" s="160" t="str">
        <f>IF(B97='Формулы'!L63,"",VLOOKUP(B97,'Формулы'!L63:CA65,22,FALSE))</f>
        <v/>
      </c>
      <c r="T174" s="87"/>
      <c r="U174" s="161" t="str">
        <f>IF(B97='Формулы'!L63,"",VLOOKUP(B97,'Формулы'!L63:CA65,24,FALSE))</f>
        <v/>
      </c>
      <c r="V174" s="112" t="str">
        <f>IF(B97='Формулы'!L63,"",VLOOKUP(B97,'Формулы'!L63:CA65,25,FALSE))</f>
        <v/>
      </c>
      <c r="W174" s="164" t="str">
        <f>IF(B97='Формулы'!L63,"",VLOOKUP(B97,'Формулы'!L63:CA65,26,FALSE))</f>
        <v/>
      </c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ht="15.75" customHeight="1">
      <c r="A177" s="1"/>
      <c r="B177" s="1"/>
      <c r="C177" s="55" t="s">
        <v>90</v>
      </c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10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ht="15.75" customHeight="1">
      <c r="A178" s="1"/>
      <c r="B178" s="1"/>
      <c r="C178" s="12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4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ht="15.75" customHeight="1">
      <c r="A179" s="1"/>
      <c r="B179" s="1"/>
      <c r="C179" s="57" t="s">
        <v>91</v>
      </c>
      <c r="D179" s="58"/>
      <c r="E179" s="58"/>
      <c r="F179" s="58"/>
      <c r="G179" s="58"/>
      <c r="H179" s="58"/>
      <c r="I179" s="59"/>
      <c r="J179" s="57" t="s">
        <v>92</v>
      </c>
      <c r="K179" s="58"/>
      <c r="L179" s="58"/>
      <c r="M179" s="58"/>
      <c r="N179" s="58"/>
      <c r="O179" s="58"/>
      <c r="P179" s="59"/>
      <c r="Q179" s="57" t="s">
        <v>93</v>
      </c>
      <c r="R179" s="58"/>
      <c r="S179" s="58"/>
      <c r="T179" s="58"/>
      <c r="U179" s="58"/>
      <c r="V179" s="58"/>
      <c r="W179" s="59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ht="15.75" customHeight="1">
      <c r="A180" s="1"/>
      <c r="B180" s="98" t="s">
        <v>39</v>
      </c>
      <c r="C180" s="141" t="s">
        <v>43</v>
      </c>
      <c r="D180" s="141" t="s">
        <v>88</v>
      </c>
      <c r="E180" s="141" t="s">
        <v>89</v>
      </c>
      <c r="F180" s="142" t="s">
        <v>41</v>
      </c>
      <c r="G180" s="141" t="s">
        <v>43</v>
      </c>
      <c r="H180" s="141" t="s">
        <v>88</v>
      </c>
      <c r="I180" s="141" t="s">
        <v>89</v>
      </c>
      <c r="J180" s="133" t="s">
        <v>43</v>
      </c>
      <c r="K180" s="133" t="s">
        <v>88</v>
      </c>
      <c r="L180" s="133" t="s">
        <v>89</v>
      </c>
      <c r="M180" s="143" t="s">
        <v>41</v>
      </c>
      <c r="N180" s="133" t="s">
        <v>43</v>
      </c>
      <c r="O180" s="143" t="s">
        <v>88</v>
      </c>
      <c r="P180" s="143" t="s">
        <v>89</v>
      </c>
      <c r="Q180" s="143" t="s">
        <v>43</v>
      </c>
      <c r="R180" s="143" t="s">
        <v>88</v>
      </c>
      <c r="S180" s="143" t="s">
        <v>89</v>
      </c>
      <c r="T180" s="143" t="s">
        <v>41</v>
      </c>
      <c r="U180" s="143" t="s">
        <v>43</v>
      </c>
      <c r="V180" s="143" t="s">
        <v>88</v>
      </c>
      <c r="W180" s="143" t="s">
        <v>89</v>
      </c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ht="15.75" customHeight="1">
      <c r="A181" s="1"/>
      <c r="B181" s="134" t="str">
        <f t="shared" ref="B181:B184" si="9">B154</f>
        <v>Жим штанги лёжа</v>
      </c>
      <c r="C181" s="74" t="str">
        <f>VLOOKUP(B77, 'Формулы'!L9:CA11, 27,FALSE)</f>
        <v>#N/A</v>
      </c>
      <c r="D181" s="135">
        <f>VLOOKUP(B77, 'Формулы'!L9:CA11, 28,FALSE)</f>
        <v>1</v>
      </c>
      <c r="E181" s="118">
        <f>VLOOKUP(B77, 'Формулы'!L9:CA11, 29,FALSE)</f>
        <v>2</v>
      </c>
      <c r="F181" s="67"/>
      <c r="G181" s="144" t="str">
        <f>VLOOKUP(B77, 'Формулы'!L9:CA11, 31,FALSE)</f>
        <v>#N/A</v>
      </c>
      <c r="H181" s="135">
        <f>VLOOKUP(B77, 'Формулы'!L9:CA11, 32,FALSE)</f>
        <v>3</v>
      </c>
      <c r="I181" s="168">
        <f>VLOOKUP(B77, 'Формулы'!L9:CA11, 33,FALSE)</f>
        <v>5</v>
      </c>
      <c r="J181" s="74" t="str">
        <f>VLOOKUP(B77, 'Формулы'!L9:CA11, 34,FALSE)</f>
        <v>#N/A</v>
      </c>
      <c r="K181" s="135">
        <f>VLOOKUP(B77, 'Формулы'!L9:CA11, 35,FALSE)</f>
        <v>1</v>
      </c>
      <c r="L181" s="118">
        <f>VLOOKUP(B77, 'Формулы'!L9:CA11, 36,FALSE)</f>
        <v>2</v>
      </c>
      <c r="M181" s="67"/>
      <c r="N181" s="71" t="str">
        <f>VLOOKUP(B77, 'Формулы'!L9:CA11, 38,FALSE)</f>
        <v>#N/A</v>
      </c>
      <c r="O181" s="136">
        <f>VLOOKUP(B77, 'Формулы'!L9:CA11, 39,FALSE)</f>
        <v>3</v>
      </c>
      <c r="P181" s="149">
        <f>VLOOKUP(B77, 'Формулы'!L9:CA11, 40,FALSE)</f>
        <v>4</v>
      </c>
      <c r="Q181" s="146" t="str">
        <f>VLOOKUP(B77, 'Формулы'!L9:CA11, 41,FALSE)</f>
        <v>#N/A</v>
      </c>
      <c r="R181" s="136">
        <f>VLOOKUP(B77, 'Формулы'!L9:CA11, 42,FALSE)</f>
        <v>1</v>
      </c>
      <c r="S181" s="122">
        <f>VLOOKUP(B77, 'Формулы'!L9:CA11, 43,FALSE)</f>
        <v>2</v>
      </c>
      <c r="T181" s="67"/>
      <c r="U181" s="148" t="str">
        <f>VLOOKUP(B77, 'Формулы'!L9:CA11, 45,FALSE)</f>
        <v>#N/A</v>
      </c>
      <c r="V181" s="136">
        <f>VLOOKUP(B77, 'Формулы'!L9:CA11, 46,FALSE)</f>
        <v>3</v>
      </c>
      <c r="W181" s="149">
        <f>VLOOKUP(B77, 'Формулы'!L9:CA11, 47,FALSE)</f>
        <v>3</v>
      </c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ht="15.75" customHeight="1">
      <c r="A182" s="1"/>
      <c r="B182" s="85" t="str">
        <f t="shared" si="9"/>
        <v>Подтягивания (с отягощением)</v>
      </c>
      <c r="C182" s="150" t="str">
        <f>VLOOKUP(B78, 'Формулы'!L13:CA15, 27,FALSE)</f>
        <v>#N/A</v>
      </c>
      <c r="D182" s="151">
        <f>VLOOKUP(B78, 'Формулы'!L13:CA15, 28,FALSE)</f>
        <v>3</v>
      </c>
      <c r="E182" s="153">
        <f>VLOOKUP(B78, 'Формулы'!L13:CA15, 29,FALSE)</f>
        <v>2</v>
      </c>
      <c r="F182" s="147"/>
      <c r="G182" s="152" t="str">
        <f>VLOOKUP(B78, 'Формулы'!L13:CA15, 31,FALSE)</f>
        <v>#N/A</v>
      </c>
      <c r="H182" s="151">
        <f>VLOOKUP(B78, 'Формулы'!L13:CA15, 32,FALSE)</f>
        <v>3</v>
      </c>
      <c r="I182" s="158">
        <f>VLOOKUP(B78, 'Формулы'!L13:CA15, 33,FALSE)</f>
        <v>5</v>
      </c>
      <c r="J182" s="150" t="str">
        <f>VLOOKUP(B78, 'Формулы'!L13:CA15, 34,FALSE)</f>
        <v>#N/A</v>
      </c>
      <c r="K182" s="151">
        <f>VLOOKUP(B78, 'Формулы'!L13:CA15, 35,FALSE)</f>
        <v>3</v>
      </c>
      <c r="L182" s="153">
        <f>VLOOKUP(B78, 'Формулы'!L13:CA15, 36,FALSE)</f>
        <v>2</v>
      </c>
      <c r="M182" s="147"/>
      <c r="N182" s="154" t="str">
        <f>VLOOKUP(B78, 'Формулы'!L13:CA15, 38,FALSE)</f>
        <v>#N/A</v>
      </c>
      <c r="O182" s="136">
        <f>VLOOKUP(B78, 'Формулы'!L13:CA15, 39,FALSE)</f>
        <v>3</v>
      </c>
      <c r="P182" s="149">
        <f>VLOOKUP(B78, 'Формулы'!L13:CA15, 40,FALSE)</f>
        <v>4</v>
      </c>
      <c r="Q182" s="146" t="str">
        <f>VLOOKUP(B78, 'Формулы'!L13:CA15, 41,FALSE)</f>
        <v>#N/A</v>
      </c>
      <c r="R182" s="136">
        <f>VLOOKUP(B78, 'Формулы'!L13:CA15, 42,FALSE)</f>
        <v>3</v>
      </c>
      <c r="S182" s="122">
        <f>VLOOKUP(B78, 'Формулы'!L13:CA15, 43,FALSE)</f>
        <v>2</v>
      </c>
      <c r="T182" s="147"/>
      <c r="U182" s="148" t="str">
        <f>VLOOKUP(B78, 'Формулы'!L13:CA15, 45,FALSE)</f>
        <v>#N/A</v>
      </c>
      <c r="V182" s="136">
        <f>VLOOKUP(B78, 'Формулы'!L13:CA15, 46,FALSE)</f>
        <v>3</v>
      </c>
      <c r="W182" s="149">
        <f>VLOOKUP(B78, 'Формулы'!L13:CA15, 47,FALSE)</f>
        <v>3</v>
      </c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ht="15.75" customHeight="1">
      <c r="A183" s="1"/>
      <c r="B183" s="85" t="str">
        <f t="shared" si="9"/>
        <v>Жим платформы ногами</v>
      </c>
      <c r="C183" s="146" t="str">
        <f>VLOOKUP(B79, 'Формулы'!L54:CA56, 27,FALSE)</f>
        <v>#N/A</v>
      </c>
      <c r="D183" s="136">
        <f>VLOOKUP(B79, 'Формулы'!L54:CA56, 28,FALSE)</f>
        <v>3</v>
      </c>
      <c r="E183" s="122">
        <f>VLOOKUP(B79, 'Формулы'!L54:CA56, 29,FALSE)</f>
        <v>4</v>
      </c>
      <c r="F183" s="83"/>
      <c r="G183" s="148" t="str">
        <f>VLOOKUP(B79, 'Формулы'!L54:CA56, 31,FALSE)</f>
        <v>#N/A</v>
      </c>
      <c r="H183" s="136">
        <f>VLOOKUP(B79, 'Формулы'!L54:CA56, 32,FALSE)</f>
        <v>3</v>
      </c>
      <c r="I183" s="149">
        <f>VLOOKUP(B79, 'Формулы'!L54:CA56, 33,FALSE)</f>
        <v>7</v>
      </c>
      <c r="J183" s="146" t="str">
        <f>VLOOKUP(B79, 'Формулы'!L54:CA56, 34,FALSE)</f>
        <v>#N/A</v>
      </c>
      <c r="K183" s="151">
        <f>VLOOKUP(B79, 'Формулы'!L54:CA56, 35,FALSE)</f>
        <v>3</v>
      </c>
      <c r="L183" s="122">
        <f>VLOOKUP(B79, 'Формулы'!L54:CA56, 36,FALSE)</f>
        <v>4</v>
      </c>
      <c r="M183" s="83"/>
      <c r="N183" s="78" t="str">
        <f>VLOOKUP(B79, 'Формулы'!L54:CA56, 38,FALSE)</f>
        <v>#N/A</v>
      </c>
      <c r="O183" s="136">
        <f>VLOOKUP(B79, 'Формулы'!L54:CA56, 39,FALSE)</f>
        <v>3</v>
      </c>
      <c r="P183" s="149">
        <f>VLOOKUP(B79, 'Формулы'!L54:CA56, 40,FALSE)</f>
        <v>6</v>
      </c>
      <c r="Q183" s="146" t="str">
        <f>VLOOKUP(B79, 'Формулы'!L54:CA56, 41,FALSE)</f>
        <v>#N/A</v>
      </c>
      <c r="R183" s="136">
        <f>VLOOKUP(B79, 'Формулы'!L54:CA56, 42,FALSE)</f>
        <v>3</v>
      </c>
      <c r="S183" s="122">
        <f>VLOOKUP(B79, 'Формулы'!L54:CA56, 43,FALSE)</f>
        <v>4</v>
      </c>
      <c r="T183" s="83"/>
      <c r="U183" s="148" t="str">
        <f>VLOOKUP(B79, 'Формулы'!L54:CA56, 45,FALSE)</f>
        <v>#N/A</v>
      </c>
      <c r="V183" s="136">
        <f>VLOOKUP(B79, 'Формулы'!L54:CA56, 46,FALSE)</f>
        <v>3</v>
      </c>
      <c r="W183" s="149">
        <f>VLOOKUP(B79, 'Формулы'!L54:CA56, 47,FALSE)</f>
        <v>5</v>
      </c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ht="15.75" customHeight="1">
      <c r="A184" s="1"/>
      <c r="B184" s="85" t="str">
        <f t="shared" si="9"/>
        <v>Махи с гантелями в стороны</v>
      </c>
      <c r="C184" s="146" t="str">
        <f>VLOOKUP($B$80, 'Формулы'!$L$21:$CA$22, 27,FALSE)</f>
        <v>#N/A</v>
      </c>
      <c r="D184" s="136">
        <f>VLOOKUP($B$80, 'Формулы'!$L$21:$CA$22, 28,FALSE)</f>
        <v>3</v>
      </c>
      <c r="E184" s="122">
        <f>VLOOKUP($B$80, 'Формулы'!$L$21:$CA$22, 29,FALSE)</f>
        <v>9</v>
      </c>
      <c r="F184" s="87"/>
      <c r="G184" s="148" t="str">
        <f>VLOOKUP($B$80, 'Формулы'!$L$21:$CA$22, 31,FALSE)</f>
        <v>#N/A</v>
      </c>
      <c r="H184" s="136">
        <f>VLOOKUP(B80, 'Формулы'!L21:CA22, 32,FALSE)</f>
        <v>1</v>
      </c>
      <c r="I184" s="158" t="str">
        <f>VLOOKUP(B80, 'Формулы'!L21:CA22, 33,FALSE)</f>
        <v>до отказа</v>
      </c>
      <c r="J184" s="146" t="str">
        <f>VLOOKUP(B80, 'Формулы'!L21:CA22, 34,FALSE)</f>
        <v>#N/A</v>
      </c>
      <c r="K184" s="136">
        <f>VLOOKUP(B80, 'Формулы'!L21:CA22, 35,FALSE)</f>
        <v>3</v>
      </c>
      <c r="L184" s="122">
        <f>VLOOKUP(B80, 'Формулы'!L21:CA22, 36,FALSE)</f>
        <v>9</v>
      </c>
      <c r="M184" s="87"/>
      <c r="N184" s="78" t="str">
        <f>VLOOKUP(B80, 'Формулы'!L21:CA22, 38,FALSE)</f>
        <v>#N/A</v>
      </c>
      <c r="O184" s="136">
        <f>VLOOKUP(B80, 'Формулы'!L21:CA22, 39,FALSE)</f>
        <v>1</v>
      </c>
      <c r="P184" s="149" t="str">
        <f>VLOOKUP(B80, 'Формулы'!L21:CA22, 40,FALSE)</f>
        <v>до отказа</v>
      </c>
      <c r="Q184" s="146" t="str">
        <f>VLOOKUP(B80, 'Формулы'!L21:CA22, 41,FALSE)</f>
        <v>#N/A</v>
      </c>
      <c r="R184" s="136">
        <f>VLOOKUP(B80, 'Формулы'!L21:CA22, 42,FALSE)</f>
        <v>3</v>
      </c>
      <c r="S184" s="122">
        <f>VLOOKUP(B80, 'Формулы'!L21:CA22, 43,FALSE)</f>
        <v>9</v>
      </c>
      <c r="T184" s="87"/>
      <c r="U184" s="148" t="str">
        <f>VLOOKUP(B80, 'Формулы'!L21:CA22, 45,FALSE)</f>
        <v>#N/A</v>
      </c>
      <c r="V184" s="136">
        <f>VLOOKUP(B80, 'Формулы'!L21:CA22, 46,FALSE)</f>
        <v>1</v>
      </c>
      <c r="W184" s="149" t="str">
        <f>VLOOKUP(B80, 'Формулы'!L21:CA22, 47,FALSE)</f>
        <v>до отказа</v>
      </c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ht="15.75" customHeight="1">
      <c r="A185" s="1"/>
      <c r="B185" s="85" t="str">
        <f>IF(B158="+", "", B158)</f>
        <v/>
      </c>
      <c r="C185" s="159" t="str">
        <f>IF(B81='Формулы'!L67,"",VLOOKUP(B81,'Формулы'!L67:CA69,27,FALSE))</f>
        <v/>
      </c>
      <c r="D185" s="112" t="str">
        <f>IF(B81='Формулы'!L67,"",VLOOKUP(B81,'Формулы'!L67:CA69,28,FALSE))</f>
        <v/>
      </c>
      <c r="E185" s="160" t="str">
        <f>IF(B81='Формулы'!L67,"",VLOOKUP(B81,'Формулы'!L67:CA69,29,FALSE))</f>
        <v/>
      </c>
      <c r="F185" s="87"/>
      <c r="G185" s="161" t="str">
        <f>IF(B81='Формулы'!L67,"",VLOOKUP(B81,'Формулы'!L67:CA69,31,FALSE))</f>
        <v/>
      </c>
      <c r="H185" s="112" t="str">
        <f>IF(B81='Формулы'!L67,"",VLOOKUP(B81,'Формулы'!L67:CA69,32,FALSE))</f>
        <v/>
      </c>
      <c r="I185" s="164" t="str">
        <f>IF(B81='Формулы'!L67,"",VLOOKUP(B81,'Формулы'!L67:CA69,33,FALSE))</f>
        <v/>
      </c>
      <c r="J185" s="159" t="str">
        <f>IF(B81='Формулы'!L67,"",VLOOKUP(B81,'Формулы'!L67:CA69,34,FALSE))</f>
        <v/>
      </c>
      <c r="K185" s="112" t="str">
        <f>IF(B81='Формулы'!L67,"",VLOOKUP(B81,'Формулы'!L67:CA69,35,FALSE))</f>
        <v/>
      </c>
      <c r="L185" s="160" t="str">
        <f>IF(B81='Формулы'!L67,"",VLOOKUP(B81,'Формулы'!L67:CA69,36,FALSE))</f>
        <v/>
      </c>
      <c r="M185" s="87"/>
      <c r="N185" s="111" t="str">
        <f>IF(B81='Формулы'!L67,"",VLOOKUP(B81,'Формулы'!L67:CA69,38,FALSE))</f>
        <v/>
      </c>
      <c r="O185" s="112" t="str">
        <f>IF(B81='Формулы'!L67,"",VLOOKUP(B81,'Формулы'!L67:CA69,39,FALSE))</f>
        <v/>
      </c>
      <c r="P185" s="164" t="str">
        <f>IF(B81='Формулы'!L67,"",VLOOKUP(B81,'Формулы'!L67:CA69,40,FALSE))</f>
        <v/>
      </c>
      <c r="Q185" s="159" t="str">
        <f>IF(B81='Формулы'!L67,"",VLOOKUP(B81,'Формулы'!L67:CA69,41,FALSE))</f>
        <v/>
      </c>
      <c r="R185" s="112" t="str">
        <f>IF(B81='Формулы'!L67,"",VLOOKUP(B81,'Формулы'!L67:CA69,42,FALSE))</f>
        <v/>
      </c>
      <c r="S185" s="160" t="str">
        <f>IF(B81='Формулы'!L67,"",VLOOKUP(B81,'Формулы'!L67:CA69,43,FALSE))</f>
        <v/>
      </c>
      <c r="T185" s="87"/>
      <c r="U185" s="161" t="str">
        <f>IF(B81='Формулы'!L67,"",VLOOKUP(B81,'Формулы'!L67:CA69,45,FALSE))</f>
        <v/>
      </c>
      <c r="V185" s="112" t="str">
        <f>IF(B81='Формулы'!L67,"",VLOOKUP(B81,'Формулы'!L67:CA69,46,FALSE))</f>
        <v/>
      </c>
      <c r="W185" s="164" t="str">
        <f>IF(B81='Формулы'!L67,"",VLOOKUP(B81,'Формулы'!L67:CA69,47,FALSE))</f>
        <v/>
      </c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ht="15.75" customHeight="1">
      <c r="A186" s="1"/>
      <c r="B186" s="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ht="15.75" customHeight="1">
      <c r="A187" s="1"/>
      <c r="B187" s="1"/>
      <c r="C187" s="56"/>
      <c r="D187" s="1"/>
      <c r="E187" s="1"/>
      <c r="F187" s="1"/>
      <c r="G187" s="56"/>
      <c r="H187" s="1"/>
      <c r="I187" s="1"/>
      <c r="J187" s="1"/>
      <c r="K187" s="56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ht="15.75" customHeight="1">
      <c r="A188" s="1"/>
      <c r="B188" s="98" t="s">
        <v>56</v>
      </c>
      <c r="C188" s="133" t="s">
        <v>43</v>
      </c>
      <c r="D188" s="133" t="s">
        <v>88</v>
      </c>
      <c r="E188" s="133" t="s">
        <v>89</v>
      </c>
      <c r="F188" s="133" t="s">
        <v>41</v>
      </c>
      <c r="G188" s="133" t="s">
        <v>43</v>
      </c>
      <c r="H188" s="133" t="s">
        <v>88</v>
      </c>
      <c r="I188" s="133" t="s">
        <v>89</v>
      </c>
      <c r="J188" s="133" t="s">
        <v>43</v>
      </c>
      <c r="K188" s="133" t="s">
        <v>88</v>
      </c>
      <c r="L188" s="133" t="s">
        <v>89</v>
      </c>
      <c r="M188" s="133" t="s">
        <v>41</v>
      </c>
      <c r="N188" s="133" t="s">
        <v>43</v>
      </c>
      <c r="O188" s="143" t="s">
        <v>88</v>
      </c>
      <c r="P188" s="143" t="s">
        <v>89</v>
      </c>
      <c r="Q188" s="143" t="s">
        <v>43</v>
      </c>
      <c r="R188" s="143" t="s">
        <v>88</v>
      </c>
      <c r="S188" s="143" t="s">
        <v>89</v>
      </c>
      <c r="T188" s="143" t="s">
        <v>41</v>
      </c>
      <c r="U188" s="143" t="s">
        <v>43</v>
      </c>
      <c r="V188" s="143" t="s">
        <v>88</v>
      </c>
      <c r="W188" s="143" t="s">
        <v>89</v>
      </c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ht="15.75" customHeight="1">
      <c r="A189" s="1"/>
      <c r="B189" s="134" t="str">
        <f t="shared" ref="B189:B192" si="10">B162</f>
        <v>Ягодичный мост</v>
      </c>
      <c r="C189" s="74" t="str">
        <f>VLOOKUP(B85, 'Формулы'!L24:CA26, 27,FALSE)</f>
        <v>#N/A</v>
      </c>
      <c r="D189" s="135">
        <f>VLOOKUP(B85, 'Формулы'!L24:CA26, 28,FALSE)</f>
        <v>1</v>
      </c>
      <c r="E189" s="118">
        <f>VLOOKUP(B85, 'Формулы'!L24:CA26, 29,FALSE)</f>
        <v>4</v>
      </c>
      <c r="F189" s="67"/>
      <c r="G189" s="144" t="str">
        <f>VLOOKUP(B85, 'Формулы'!L24:CA26, 31,FALSE)</f>
        <v>#N/A</v>
      </c>
      <c r="H189" s="135">
        <f>VLOOKUP(B85, 'Формулы'!L24:CA26, 32,FALSE)</f>
        <v>3</v>
      </c>
      <c r="I189" s="168">
        <f>VLOOKUP(B85, 'Формулы'!L24:CA26, 33,FALSE)</f>
        <v>5</v>
      </c>
      <c r="J189" s="74" t="str">
        <f>VLOOKUP(B85, 'Формулы'!L24:CA26, 34,FALSE)</f>
        <v>#N/A</v>
      </c>
      <c r="K189" s="135">
        <f>VLOOKUP(B85, 'Формулы'!L24:CA26, 35,FALSE)</f>
        <v>1</v>
      </c>
      <c r="L189" s="118">
        <f>VLOOKUP(B85, 'Формулы'!L24:CA26, 36,FALSE)</f>
        <v>3</v>
      </c>
      <c r="M189" s="67"/>
      <c r="N189" s="71" t="str">
        <f>VLOOKUP(B85, 'Формулы'!L24:CA26, 38,FALSE)</f>
        <v>#N/A</v>
      </c>
      <c r="O189" s="136">
        <f>VLOOKUP(B85, 'Формулы'!L24:CA26, 39,FALSE)</f>
        <v>3</v>
      </c>
      <c r="P189" s="149">
        <f>VLOOKUP(B85, 'Формулы'!L24:CA26, 40,FALSE)</f>
        <v>4</v>
      </c>
      <c r="Q189" s="146" t="str">
        <f>VLOOKUP(B85, 'Формулы'!L24:CA26, 41,FALSE)</f>
        <v>#N/A</v>
      </c>
      <c r="R189" s="136">
        <f>VLOOKUP(B85, 'Формулы'!L24:CA26, 42,FALSE)</f>
        <v>1</v>
      </c>
      <c r="S189" s="122">
        <f>VLOOKUP(B85, 'Формулы'!L24:CA26, 43,FALSE)</f>
        <v>2</v>
      </c>
      <c r="T189" s="67"/>
      <c r="U189" s="148" t="str">
        <f>VLOOKUP(B85, 'Формулы'!L24:CA26, 45,FALSE)</f>
        <v>#N/A</v>
      </c>
      <c r="V189" s="136">
        <f>VLOOKUP(B85, 'Формулы'!L24:CA26, 46,FALSE)</f>
        <v>3</v>
      </c>
      <c r="W189" s="149">
        <f>VLOOKUP(B85, 'Формулы'!L24:CA26, 47,FALSE)</f>
        <v>3</v>
      </c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ht="15.75" customHeight="1">
      <c r="A190" s="1"/>
      <c r="B190" s="85" t="str">
        <f t="shared" si="10"/>
        <v>Подъём штанги на бицепс</v>
      </c>
      <c r="C190" s="146" t="str">
        <f>VLOOKUP(B86, 'Формулы'!L33:CA34, 27,FALSE)</f>
        <v>#N/A</v>
      </c>
      <c r="D190" s="136">
        <f>VLOOKUP(B86, 'Формулы'!L33:CA34, 28,FALSE)</f>
        <v>3</v>
      </c>
      <c r="E190" s="122">
        <f>VLOOKUP(B86, 'Формулы'!L33:CA34, 29,FALSE)</f>
        <v>4</v>
      </c>
      <c r="F190" s="147"/>
      <c r="G190" s="148" t="str">
        <f>VLOOKUP(B86, 'Формулы'!L33:CA34, 31,FALSE)</f>
        <v>#N/A</v>
      </c>
      <c r="H190" s="136">
        <f>VLOOKUP(B86, 'Формулы'!L33:CA34, 32,FALSE)</f>
        <v>3</v>
      </c>
      <c r="I190" s="149">
        <f>VLOOKUP(B86, 'Формулы'!L33:CA34, 33,FALSE)</f>
        <v>5</v>
      </c>
      <c r="J190" s="146" t="str">
        <f>VLOOKUP(B86, 'Формулы'!L33:CA34, 34,FALSE)</f>
        <v>#N/A</v>
      </c>
      <c r="K190" s="151">
        <f>VLOOKUP(B86, 'Формулы'!L33:CA34, 35,FALSE)</f>
        <v>3</v>
      </c>
      <c r="L190" s="122">
        <f>VLOOKUP(B86, 'Формулы'!L33:CA34, 36,FALSE)</f>
        <v>4</v>
      </c>
      <c r="M190" s="147"/>
      <c r="N190" s="78" t="str">
        <f>VLOOKUP(B86, 'Формулы'!L33:CA34, 38,FALSE)</f>
        <v>#N/A</v>
      </c>
      <c r="O190" s="136">
        <f>VLOOKUP(B86, 'Формулы'!L33:CA34, 39,FALSE)</f>
        <v>3</v>
      </c>
      <c r="P190" s="149">
        <f>VLOOKUP(B86, 'Формулы'!L33:CA34, 40,FALSE)</f>
        <v>5</v>
      </c>
      <c r="Q190" s="146" t="str">
        <f>VLOOKUP(B86, 'Формулы'!L33:CA34, 41,FALSE)</f>
        <v>#N/A</v>
      </c>
      <c r="R190" s="136">
        <f>VLOOKUP(B86, 'Формулы'!L33:CA34, 42,FALSE)</f>
        <v>3</v>
      </c>
      <c r="S190" s="122">
        <f>VLOOKUP(B86, 'Формулы'!L33:CA34, 43,FALSE)</f>
        <v>4</v>
      </c>
      <c r="T190" s="147"/>
      <c r="U190" s="148" t="str">
        <f>VLOOKUP(B86, 'Формулы'!L33:CA34, 45,FALSE)</f>
        <v>#N/A</v>
      </c>
      <c r="V190" s="136">
        <f>VLOOKUP(B86, 'Формулы'!L33:CA34, 46,FALSE)</f>
        <v>3</v>
      </c>
      <c r="W190" s="149">
        <f>VLOOKUP(B86, 'Формулы'!L33:CA34, 47,FALSE)</f>
        <v>5</v>
      </c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ht="15.75" customHeight="1">
      <c r="A191" s="1"/>
      <c r="B191" s="85" t="str">
        <f t="shared" si="10"/>
        <v>Жим штанги лёжа</v>
      </c>
      <c r="C191" s="146" t="str">
        <f>VLOOKUP(B87, 'Формулы'!L28:CA30, 27,FALSE)</f>
        <v>#N/A</v>
      </c>
      <c r="D191" s="136">
        <f>VLOOKUP(B87, 'Формулы'!L28:CA30, 28,FALSE)</f>
        <v>1</v>
      </c>
      <c r="E191" s="122">
        <f>VLOOKUP(B87, 'Формулы'!L28:CA30, 29,FALSE)</f>
        <v>4</v>
      </c>
      <c r="F191" s="83"/>
      <c r="G191" s="148" t="str">
        <f>VLOOKUP(B87, 'Формулы'!L28:CA30, 31,FALSE)</f>
        <v>#N/A</v>
      </c>
      <c r="H191" s="136">
        <f>VLOOKUP(B87, 'Формулы'!L28:CA30, 32,FALSE)</f>
        <v>3</v>
      </c>
      <c r="I191" s="149">
        <f>VLOOKUP(B87, 'Формулы'!L28:CA30, 33,FALSE)</f>
        <v>5</v>
      </c>
      <c r="J191" s="146" t="str">
        <f>VLOOKUP(B87, 'Формулы'!L28:CA30, 34,FALSE)</f>
        <v>#N/A</v>
      </c>
      <c r="K191" s="151">
        <f>VLOOKUP(B87, 'Формулы'!L28:CA30, 35,FALSE)</f>
        <v>1</v>
      </c>
      <c r="L191" s="122">
        <f>VLOOKUP(B87, 'Формулы'!L28:CA30, 36,FALSE)</f>
        <v>3</v>
      </c>
      <c r="M191" s="83"/>
      <c r="N191" s="78" t="str">
        <f>VLOOKUP(B87, 'Формулы'!L28:CA30, 38,FALSE)</f>
        <v>#N/A</v>
      </c>
      <c r="O191" s="136">
        <f>VLOOKUP(B86, 'Формулы'!L33:CA34, 39,FALSE)</f>
        <v>3</v>
      </c>
      <c r="P191" s="149">
        <f>VLOOKUP(B86, 'Формулы'!L33:CA34, 40,FALSE)</f>
        <v>5</v>
      </c>
      <c r="Q191" s="146" t="str">
        <f>VLOOKUP(B86, 'Формулы'!L33:CA34, 41,FALSE)</f>
        <v>#N/A</v>
      </c>
      <c r="R191" s="136">
        <f>VLOOKUP(B86, 'Формулы'!L33:CA34, 42,FALSE)</f>
        <v>3</v>
      </c>
      <c r="S191" s="122">
        <f>VLOOKUP(B86, 'Формулы'!L33:CA34, 43,FALSE)</f>
        <v>4</v>
      </c>
      <c r="T191" s="83"/>
      <c r="U191" s="148" t="str">
        <f>VLOOKUP(B86, 'Формулы'!L33:CA34, 45,FALSE)</f>
        <v>#N/A</v>
      </c>
      <c r="V191" s="136">
        <f>VLOOKUP(B86, 'Формулы'!L33:CA34, 46,FALSE)</f>
        <v>3</v>
      </c>
      <c r="W191" s="149">
        <f>VLOOKUP(B86, 'Формулы'!L33:CA34, 47,FALSE)</f>
        <v>5</v>
      </c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ht="15.75" customHeight="1">
      <c r="A192" s="1"/>
      <c r="B192" s="85" t="str">
        <f t="shared" si="10"/>
        <v>Разгибания рук на блоке</v>
      </c>
      <c r="C192" s="146" t="str">
        <f>VLOOKUP(B88, 'Формулы'!L36:CA38, 27,FALSE)</f>
        <v>#N/A</v>
      </c>
      <c r="D192" s="136">
        <f>VLOOKUP(B88, 'Формулы'!L36:CA38, 28,FALSE)</f>
        <v>3</v>
      </c>
      <c r="E192" s="122">
        <f>VLOOKUP(B88, 'Формулы'!L36:CA38, 29,FALSE)</f>
        <v>9</v>
      </c>
      <c r="F192" s="87"/>
      <c r="G192" s="148" t="str">
        <f>VLOOKUP(B88, 'Формулы'!L36:CA38, 31,FALSE)</f>
        <v>#N/A</v>
      </c>
      <c r="H192" s="136">
        <f>VLOOKUP(B88, 'Формулы'!L36:CA38, 32,FALSE)</f>
        <v>1</v>
      </c>
      <c r="I192" s="149" t="str">
        <f>VLOOKUP(B88, 'Формулы'!L36:CA38, 33,FALSE)</f>
        <v>до отказа</v>
      </c>
      <c r="J192" s="146" t="str">
        <f>VLOOKUP(B88, 'Формулы'!L36:CA38, 34,FALSE)</f>
        <v>#N/A</v>
      </c>
      <c r="K192" s="151">
        <f>VLOOKUP(B88, 'Формулы'!L36:CA38, 35,FALSE)</f>
        <v>3</v>
      </c>
      <c r="L192" s="122">
        <f>VLOOKUP(B88, 'Формулы'!L36:CA38, 36,FALSE)</f>
        <v>9</v>
      </c>
      <c r="M192" s="87"/>
      <c r="N192" s="78" t="str">
        <f>VLOOKUP(B88, 'Формулы'!L36:CA38, 38,FALSE)</f>
        <v>#N/A</v>
      </c>
      <c r="O192" s="136">
        <f>VLOOKUP(B88, 'Формулы'!L36:CA38, 39,FALSE)</f>
        <v>1</v>
      </c>
      <c r="P192" s="149" t="str">
        <f>VLOOKUP(B88, 'Формулы'!L36:CA38, 40,FALSE)</f>
        <v>до отказа</v>
      </c>
      <c r="Q192" s="146" t="str">
        <f>VLOOKUP(B88, 'Формулы'!L36:CA38, 41,FALSE)</f>
        <v>#N/A</v>
      </c>
      <c r="R192" s="136">
        <f>VLOOKUP(B88, 'Формулы'!L36:CA38, 42,FALSE)</f>
        <v>3</v>
      </c>
      <c r="S192" s="122">
        <f>VLOOKUP(B88, 'Формулы'!L36:CA38, 43,FALSE)</f>
        <v>9</v>
      </c>
      <c r="T192" s="87"/>
      <c r="U192" s="148" t="str">
        <f>VLOOKUP(B88, 'Формулы'!L36:CA38, 45,FALSE)</f>
        <v>#N/A</v>
      </c>
      <c r="V192" s="136">
        <f>VLOOKUP(B88, 'Формулы'!L36:CA38, 46,FALSE)</f>
        <v>1</v>
      </c>
      <c r="W192" s="149" t="str">
        <f>VLOOKUP(B88, 'Формулы'!L36:CA38, 47,FALSE)</f>
        <v>до отказа</v>
      </c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ht="15.75" customHeight="1">
      <c r="A193" s="1"/>
      <c r="B193" s="85" t="str">
        <f>IF(B166="+", "", B166)</f>
        <v/>
      </c>
      <c r="C193" s="159" t="str">
        <f>IF(B89='Формулы'!L63,"",VLOOKUP(B89,'Формулы'!L39:CA41,27,FALSE))</f>
        <v/>
      </c>
      <c r="D193" s="112" t="str">
        <f>IF(B89='Формулы'!L63,"",VLOOKUP(B89,'Формулы'!L39:CA41,28,FALSE))</f>
        <v/>
      </c>
      <c r="E193" s="160" t="str">
        <f>IF(B89='Формулы'!L63,"",VLOOKUP(B89,'Формулы'!L39:CA41,29,FALSE))</f>
        <v/>
      </c>
      <c r="F193" s="87"/>
      <c r="G193" s="161" t="str">
        <f>IF(B89='Формулы'!L63,"",VLOOKUP(B89,'Формулы'!L39:CA41,31,FALSE))</f>
        <v/>
      </c>
      <c r="H193" s="112" t="str">
        <f>IF(B89='Формулы'!L63,"",VLOOKUP(B89,'Формулы'!L39:CA41,32,FALSE))</f>
        <v/>
      </c>
      <c r="I193" s="164" t="str">
        <f>IF(B89='Формулы'!L63,"",VLOOKUP(B89,'Формулы'!L39:CA41,33,FALSE))</f>
        <v/>
      </c>
      <c r="J193" s="159" t="str">
        <f>IF(B89='Формулы'!L63,"",VLOOKUP(B89,'Формулы'!L39:CA41,34,FALSE))</f>
        <v/>
      </c>
      <c r="K193" s="112" t="str">
        <f>IF(B89='Формулы'!L63,"",VLOOKUP(B89,'Формулы'!L39:CA41,35,FALSE))</f>
        <v/>
      </c>
      <c r="L193" s="160" t="str">
        <f>IF(B89='Формулы'!L63,"",VLOOKUP(B89,'Формулы'!L39:CA41,36,FALSE))</f>
        <v/>
      </c>
      <c r="M193" s="87"/>
      <c r="N193" s="111" t="str">
        <f>IF(B89='Формулы'!L63,"",VLOOKUP(B89,'Формулы'!L39:CA41,38,FALSE))</f>
        <v/>
      </c>
      <c r="O193" s="112" t="str">
        <f>IF(B89='Формулы'!L63,"",VLOOKUP(B89,'Формулы'!L39:CA41,39,FALSE))</f>
        <v/>
      </c>
      <c r="P193" s="164" t="str">
        <f>IF(B89='Формулы'!L63,"",VLOOKUP(B89,'Формулы'!L39:CA41,40,FALSE))</f>
        <v/>
      </c>
      <c r="Q193" s="159" t="str">
        <f>IF(B89='Формулы'!L63,"",VLOOKUP(B89,'Формулы'!L39:CA41,41,FALSE))</f>
        <v/>
      </c>
      <c r="R193" s="112" t="str">
        <f>IF(B89='Формулы'!L63,"",VLOOKUP(B89,'Формулы'!L39:CA41,42,FALSE))</f>
        <v/>
      </c>
      <c r="S193" s="160" t="str">
        <f>IF(B89='Формулы'!L63,"",VLOOKUP(B89,'Формулы'!L39:CA41,43,FALSE))</f>
        <v/>
      </c>
      <c r="T193" s="87"/>
      <c r="U193" s="161" t="str">
        <f>IF(B89='Формулы'!L63,"",VLOOKUP(B89,'Формулы'!L39:CA41,45,FALSE))</f>
        <v/>
      </c>
      <c r="V193" s="112" t="str">
        <f>IF(B89='Формулы'!L63,"",VLOOKUP(B89,'Формулы'!L39:CA41,46,FALSE))</f>
        <v/>
      </c>
      <c r="W193" s="164" t="str">
        <f>IF(B89='Формулы'!L63,"",VLOOKUP(B89,'Формулы'!L39:CA41,47,FALSE))</f>
        <v/>
      </c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ht="15.75" customHeight="1">
      <c r="A195" s="1"/>
      <c r="B195" s="1"/>
      <c r="C195" s="56"/>
      <c r="D195" s="1"/>
      <c r="E195" s="1"/>
      <c r="F195" s="1"/>
      <c r="G195" s="56"/>
      <c r="H195" s="1"/>
      <c r="I195" s="1"/>
      <c r="J195" s="1"/>
      <c r="K195" s="56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ht="15.75" customHeight="1">
      <c r="A196" s="1"/>
      <c r="B196" s="171" t="s">
        <v>60</v>
      </c>
      <c r="C196" s="133" t="s">
        <v>43</v>
      </c>
      <c r="D196" s="133" t="s">
        <v>88</v>
      </c>
      <c r="E196" s="133" t="s">
        <v>89</v>
      </c>
      <c r="F196" s="133" t="s">
        <v>41</v>
      </c>
      <c r="G196" s="133" t="s">
        <v>43</v>
      </c>
      <c r="H196" s="133" t="s">
        <v>88</v>
      </c>
      <c r="I196" s="133" t="s">
        <v>89</v>
      </c>
      <c r="J196" s="133" t="s">
        <v>43</v>
      </c>
      <c r="K196" s="133" t="s">
        <v>88</v>
      </c>
      <c r="L196" s="133" t="s">
        <v>89</v>
      </c>
      <c r="M196" s="133" t="s">
        <v>41</v>
      </c>
      <c r="N196" s="133" t="s">
        <v>43</v>
      </c>
      <c r="O196" s="172" t="s">
        <v>88</v>
      </c>
      <c r="P196" s="143" t="s">
        <v>89</v>
      </c>
      <c r="Q196" s="143" t="s">
        <v>43</v>
      </c>
      <c r="R196" s="143" t="s">
        <v>88</v>
      </c>
      <c r="S196" s="143" t="s">
        <v>89</v>
      </c>
      <c r="T196" s="143" t="s">
        <v>41</v>
      </c>
      <c r="U196" s="143" t="s">
        <v>43</v>
      </c>
      <c r="V196" s="143" t="s">
        <v>88</v>
      </c>
      <c r="W196" s="143" t="s">
        <v>89</v>
      </c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ht="15.75" customHeight="1">
      <c r="A197" s="1"/>
      <c r="B197" s="85" t="str">
        <f t="shared" ref="B197:B200" si="11">B170</f>
        <v>Приседания в колодец</v>
      </c>
      <c r="C197" s="74" t="str">
        <f>VLOOKUP(B93, 'Формулы'!L17:CA19, 27,FALSE)</f>
        <v>#N/A</v>
      </c>
      <c r="D197" s="135">
        <f>VLOOKUP(B93, 'Формулы'!L17:CA19, 28,FALSE)</f>
        <v>3</v>
      </c>
      <c r="E197" s="118">
        <f>VLOOKUP(B93, 'Формулы'!L17:CA19, 29,FALSE)</f>
        <v>4</v>
      </c>
      <c r="F197" s="67"/>
      <c r="G197" s="144" t="str">
        <f>VLOOKUP(B93, 'Формулы'!L17:CA19, 31,FALSE)</f>
        <v>#N/A</v>
      </c>
      <c r="H197" s="135">
        <f>VLOOKUP(B93, 'Формулы'!L17:CA19, 32,FALSE)</f>
        <v>3</v>
      </c>
      <c r="I197" s="168">
        <f>VLOOKUP(B93, 'Формулы'!L17:CA19, 33,FALSE)</f>
        <v>5</v>
      </c>
      <c r="J197" s="74" t="str">
        <f>VLOOKUP(B93, 'Формулы'!L17:CA19, 34,FALSE)</f>
        <v>#N/A</v>
      </c>
      <c r="K197" s="173">
        <f>VLOOKUP(B93, 'Формулы'!L17:CA19, 35,FALSE)</f>
        <v>3</v>
      </c>
      <c r="L197" s="118">
        <f>VLOOKUP(B93, 'Формулы'!L17:CA19, 36,FALSE)</f>
        <v>4</v>
      </c>
      <c r="M197" s="67"/>
      <c r="N197" s="71" t="str">
        <f>VLOOKUP(B93, 'Формулы'!L17:CA19, 38,FALSE)</f>
        <v>#N/A</v>
      </c>
      <c r="O197" s="136">
        <f>VLOOKUP(B93, 'Формулы'!L17:CA19, 39,FALSE)</f>
        <v>3</v>
      </c>
      <c r="P197" s="149">
        <f>VLOOKUP(B93, 'Формулы'!L17:CA19, 40,FALSE)</f>
        <v>5</v>
      </c>
      <c r="Q197" s="146" t="str">
        <f>VLOOKUP(B93, 'Формулы'!L17:CA19, 41,FALSE)</f>
        <v>#N/A</v>
      </c>
      <c r="R197" s="136">
        <f>VLOOKUP(B93, 'Формулы'!L17:CA19, 42,FALSE)</f>
        <v>3</v>
      </c>
      <c r="S197" s="122">
        <f>VLOOKUP(B93, 'Формулы'!L17:CA19, 43,FALSE)</f>
        <v>4</v>
      </c>
      <c r="T197" s="67"/>
      <c r="U197" s="148" t="str">
        <f>VLOOKUP(B93, 'Формулы'!L17:CA19, 45,FALSE)</f>
        <v>#N/A</v>
      </c>
      <c r="V197" s="136">
        <f>VLOOKUP(B93, 'Формулы'!L17:CA19, 46,FALSE)</f>
        <v>3</v>
      </c>
      <c r="W197" s="149">
        <f>VLOOKUP(B93, 'Формулы'!L17:CA19, 47,FALSE)</f>
        <v>5</v>
      </c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ht="15.75" customHeight="1">
      <c r="A198" s="1"/>
      <c r="B198" s="85" t="str">
        <f t="shared" si="11"/>
        <v>Жим гантелей сидя</v>
      </c>
      <c r="C198" s="146" t="str">
        <f>VLOOKUP(B94, 'Формулы'!L44:CA45, 27,FALSE)</f>
        <v>#N/A</v>
      </c>
      <c r="D198" s="136">
        <f>VLOOKUP(B94, 'Формулы'!L44:CA45, 28,FALSE)</f>
        <v>3</v>
      </c>
      <c r="E198" s="122">
        <f>VLOOKUP(B94, 'Формулы'!L44:CA45, 29,FALSE)</f>
        <v>5</v>
      </c>
      <c r="F198" s="147"/>
      <c r="G198" s="148" t="str">
        <f>VLOOKUP(B94, 'Формулы'!L44:CA45, 31,FALSE)</f>
        <v>#N/A</v>
      </c>
      <c r="H198" s="136">
        <f>VLOOKUP(B94, 'Формулы'!L44:CA45, 32,FALSE)</f>
        <v>1</v>
      </c>
      <c r="I198" s="149" t="str">
        <f>VLOOKUP(B94, 'Формулы'!L44:CA45, 33,FALSE)</f>
        <v>до отказа</v>
      </c>
      <c r="J198" s="146" t="str">
        <f>VLOOKUP(B94, 'Формулы'!L44:CA45, 34,FALSE)</f>
        <v>#N/A</v>
      </c>
      <c r="K198" s="136">
        <f>VLOOKUP(B94, 'Формулы'!L44:CA45, 35,FALSE)</f>
        <v>3</v>
      </c>
      <c r="L198" s="122">
        <f>VLOOKUP(B94, 'Формулы'!L44:CA45, 36,FALSE)</f>
        <v>5</v>
      </c>
      <c r="M198" s="147"/>
      <c r="N198" s="78" t="str">
        <f>VLOOKUP(B94, 'Формулы'!L44:CA45, 38,FALSE)</f>
        <v>#N/A</v>
      </c>
      <c r="O198" s="136">
        <f>VLOOKUP(B94, 'Формулы'!L44:CA45, 39,FALSE)</f>
        <v>1</v>
      </c>
      <c r="P198" s="149" t="str">
        <f>VLOOKUP(B94, 'Формулы'!L44:CA45, 40,FALSE)</f>
        <v>до отказа</v>
      </c>
      <c r="Q198" s="146" t="str">
        <f>VLOOKUP(B94, 'Формулы'!L44:CA45, 41,FALSE)</f>
        <v>#N/A</v>
      </c>
      <c r="R198" s="136">
        <f>VLOOKUP(B94, 'Формулы'!L44:CA45, 42,FALSE)</f>
        <v>3</v>
      </c>
      <c r="S198" s="122">
        <f>VLOOKUP(B94, 'Формулы'!L44:CA45, 43,FALSE)</f>
        <v>5</v>
      </c>
      <c r="T198" s="147"/>
      <c r="U198" s="148" t="str">
        <f>VLOOKUP(B94, 'Формулы'!L44:CA45, 45,FALSE)</f>
        <v>#N/A</v>
      </c>
      <c r="V198" s="136">
        <f>VLOOKUP(B94, 'Формулы'!L44:CA45, 46,FALSE)</f>
        <v>1</v>
      </c>
      <c r="W198" s="149" t="str">
        <f>VLOOKUP(B94, 'Формулы'!L44:CA45, 47,FALSE)</f>
        <v>до отказа</v>
      </c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ht="15.75" customHeight="1">
      <c r="A199" s="1"/>
      <c r="B199" s="85" t="str">
        <f t="shared" si="11"/>
        <v>Тяга штанги в наклоне</v>
      </c>
      <c r="C199" s="146" t="str">
        <f>VLOOKUP(B95, 'Формулы'!L48:CA50, 27,FALSE)</f>
        <v>#N/A</v>
      </c>
      <c r="D199" s="136">
        <f>VLOOKUP(B95, 'Формулы'!L48:CA50, 28,FALSE)</f>
        <v>3</v>
      </c>
      <c r="E199" s="122">
        <f>VLOOKUP(B95, 'Формулы'!L48:CA50, 29,FALSE)</f>
        <v>4</v>
      </c>
      <c r="F199" s="83"/>
      <c r="G199" s="148" t="str">
        <f>VLOOKUP(B95, 'Формулы'!L48:CA50, 31,FALSE)</f>
        <v>#N/A</v>
      </c>
      <c r="H199" s="136">
        <f>VLOOKUP(B95, 'Формулы'!L48:CA50, 32,FALSE)</f>
        <v>3</v>
      </c>
      <c r="I199" s="149">
        <f>VLOOKUP(B95, 'Формулы'!L48:CA50, 33,FALSE)</f>
        <v>5</v>
      </c>
      <c r="J199" s="146" t="str">
        <f>VLOOKUP(B95, 'Формулы'!L48:CA50, 34,FALSE)</f>
        <v>#N/A</v>
      </c>
      <c r="K199" s="136">
        <f>VLOOKUP(B95, 'Формулы'!L48:CA50, 35,FALSE)</f>
        <v>3</v>
      </c>
      <c r="L199" s="122">
        <f>VLOOKUP(B95, 'Формулы'!L48:CA50, 36,FALSE)</f>
        <v>4</v>
      </c>
      <c r="M199" s="83"/>
      <c r="N199" s="78" t="str">
        <f>VLOOKUP(B95, 'Формулы'!L48:CA50, 38,FALSE)</f>
        <v>#N/A</v>
      </c>
      <c r="O199" s="136">
        <f>VLOOKUP(B95, 'Формулы'!L48:CA50, 39,FALSE)</f>
        <v>3</v>
      </c>
      <c r="P199" s="149">
        <f>VLOOKUP(B95, 'Формулы'!L48:CA50, 40,FALSE)</f>
        <v>5</v>
      </c>
      <c r="Q199" s="146" t="str">
        <f>VLOOKUP(B95, 'Формулы'!L48:CA50, 41,FALSE)</f>
        <v>#N/A</v>
      </c>
      <c r="R199" s="136">
        <f>VLOOKUP(B95, 'Формулы'!L48:CA50, 42,FALSE)</f>
        <v>3</v>
      </c>
      <c r="S199" s="122">
        <f>VLOOKUP(B95, 'Формулы'!L48:CA50, 43,FALSE)</f>
        <v>4</v>
      </c>
      <c r="T199" s="83"/>
      <c r="U199" s="148" t="str">
        <f>VLOOKUP(B95, 'Формулы'!L48:CA50, 45,FALSE)</f>
        <v>#N/A</v>
      </c>
      <c r="V199" s="136">
        <f>VLOOKUP(B95, 'Формулы'!L48:CA50, 46,FALSE)</f>
        <v>3</v>
      </c>
      <c r="W199" s="149">
        <f>VLOOKUP(B95, 'Формулы'!L48:CA50, 47,FALSE)</f>
        <v>5</v>
      </c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ht="15.75" customHeight="1">
      <c r="A200" s="1"/>
      <c r="B200" s="85" t="str">
        <f t="shared" si="11"/>
        <v>Подтягивания (собственный вес)</v>
      </c>
      <c r="C200" s="150" t="str">
        <f>VLOOKUP(B96, 'Формулы'!L59:CA61, 27,FALSE)</f>
        <v>собств.</v>
      </c>
      <c r="D200" s="151">
        <f>VLOOKUP(B96, 'Формулы'!L59:CA61, 28,FALSE)</f>
        <v>1</v>
      </c>
      <c r="E200" s="153">
        <f>VLOOKUP(B96, 'Формулы'!L59:CA61, 29,FALSE)</f>
        <v>25</v>
      </c>
      <c r="F200" s="87"/>
      <c r="G200" s="152" t="str">
        <f>VLOOKUP(B96, 'Формулы'!L59:CA61, 31,FALSE)</f>
        <v>собств.</v>
      </c>
      <c r="H200" s="151">
        <f>VLOOKUP(B96, 'Формулы'!L59:CA61, 32,FALSE)</f>
        <v>4</v>
      </c>
      <c r="I200" s="158">
        <f>VLOOKUP(B96, 'Формулы'!L59:CA61, 33,FALSE)</f>
        <v>32</v>
      </c>
      <c r="J200" s="150" t="str">
        <f>VLOOKUP(B96, 'Формулы'!L59:CA61, 34,FALSE)</f>
        <v>собств.</v>
      </c>
      <c r="K200" s="151">
        <f>VLOOKUP(B96, 'Формулы'!L59:CA61, 35,FALSE)</f>
        <v>1</v>
      </c>
      <c r="L200" s="153">
        <f>VLOOKUP(B96, 'Формулы'!L59:CA61, 36,FALSE)</f>
        <v>34</v>
      </c>
      <c r="M200" s="87"/>
      <c r="N200" s="154" t="str">
        <f>VLOOKUP(B96, 'Формулы'!L59:CA61, 38,FALSE)</f>
        <v>собств.</v>
      </c>
      <c r="O200" s="136">
        <f>VLOOKUP(B96, 'Формулы'!L59:CA61, 39,FALSE)</f>
        <v>4</v>
      </c>
      <c r="P200" s="149">
        <f>VLOOKUP(B96, 'Формулы'!L59:CA61, 40,FALSE)</f>
        <v>42</v>
      </c>
      <c r="Q200" s="150" t="str">
        <f>VLOOKUP(B96, 'Формулы'!L59:CA61, 41,FALSE)</f>
        <v>собств.</v>
      </c>
      <c r="R200" s="136">
        <f>VLOOKUP(B96, 'Формулы'!L59:CA61, 42,FALSE)</f>
        <v>1</v>
      </c>
      <c r="S200" s="122">
        <f>VLOOKUP(B96, 'Формулы'!L59:CA61, 43,FALSE)</f>
        <v>44</v>
      </c>
      <c r="T200" s="87"/>
      <c r="U200" s="152" t="str">
        <f>VLOOKUP(B96, 'Формулы'!L59:CA61, 45,FALSE)</f>
        <v>собств.</v>
      </c>
      <c r="V200" s="136">
        <f>VLOOKUP(B96, 'Формулы'!L59:CA61, 46,FALSE)</f>
        <v>3</v>
      </c>
      <c r="W200" s="149">
        <f>VLOOKUP(B96, 'Формулы'!L59:CA61, 47,FALSE)</f>
        <v>52</v>
      </c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ht="15.75" customHeight="1">
      <c r="A201" s="1"/>
      <c r="B201" s="85" t="str">
        <f>IF(B97="+", "", B97)</f>
        <v/>
      </c>
      <c r="C201" s="159" t="str">
        <f>IF(B97='Формулы'!L63,"",VLOOKUP(B97,'Формулы'!L63:CA65,27,FALSE))</f>
        <v/>
      </c>
      <c r="D201" s="112" t="str">
        <f>IF(B97='Формулы'!L63,"",VLOOKUP(B97,'Формулы'!L63:CA65,28,FALSE))</f>
        <v/>
      </c>
      <c r="E201" s="160" t="str">
        <f>IF(B97='Формулы'!L63,"",VLOOKUP(B97,'Формулы'!L63:CA65,29,FALSE))</f>
        <v/>
      </c>
      <c r="F201" s="87"/>
      <c r="G201" s="161" t="str">
        <f>IF(B97='Формулы'!L63,"",VLOOKUP(B97,'Формулы'!L63:CA65,31,FALSE))</f>
        <v/>
      </c>
      <c r="H201" s="112" t="str">
        <f>IF(B97='Формулы'!L63,"",VLOOKUP(B97,'Формулы'!L63:CA65,32,FALSE))</f>
        <v/>
      </c>
      <c r="I201" s="164" t="str">
        <f>IF(B97='Формулы'!L63,"",VLOOKUP(B97,'Формулы'!L63:CA65,33,FALSE))</f>
        <v/>
      </c>
      <c r="J201" s="159" t="str">
        <f>IF(B97='Формулы'!L63,"",VLOOKUP(B97,'Формулы'!L63:CA65,34,FALSE))</f>
        <v/>
      </c>
      <c r="K201" s="112" t="str">
        <f>IF(B97='Формулы'!L63,"",VLOOKUP(B97,'Формулы'!L63:CA65,35,FALSE))</f>
        <v/>
      </c>
      <c r="L201" s="160" t="str">
        <f>IF(B97='Формулы'!L63,"",VLOOKUP(B97,'Формулы'!L63:CA65,36,FALSE))</f>
        <v/>
      </c>
      <c r="M201" s="87"/>
      <c r="N201" s="111" t="str">
        <f>IF(B97='Формулы'!L63,"",VLOOKUP(B97,'Формулы'!L63:CA65,38,FALSE))</f>
        <v/>
      </c>
      <c r="O201" s="112" t="str">
        <f>IF(B97='Формулы'!L63,"",VLOOKUP(B97,'Формулы'!L63:CA65,39,FALSE))</f>
        <v/>
      </c>
      <c r="P201" s="164" t="str">
        <f>IF(B97='Формулы'!L63,"",VLOOKUP(B97,'Формулы'!L63:CA65,40,FALSE))</f>
        <v/>
      </c>
      <c r="Q201" s="159" t="str">
        <f>IF(B97='Формулы'!L63,"",VLOOKUP(B97,'Формулы'!L63:CA65,41,FALSE))</f>
        <v/>
      </c>
      <c r="R201" s="112" t="str">
        <f>IF(B97='Формулы'!L63,"",VLOOKUP(B97,'Формулы'!L63:CA65,42,FALSE))</f>
        <v/>
      </c>
      <c r="S201" s="160" t="str">
        <f>IF(B97='Формулы'!L63,"",VLOOKUP(B97,'Формулы'!L63:CA65,43,FALSE))</f>
        <v/>
      </c>
      <c r="T201" s="87"/>
      <c r="U201" s="161" t="str">
        <f>IF(B97='Формулы'!L63,"",VLOOKUP(B97,'Формулы'!L63:CA65,45,FALSE))</f>
        <v/>
      </c>
      <c r="V201" s="112" t="str">
        <f>IF(B97='Формулы'!L63,"",VLOOKUP(B97,'Формулы'!L63:CA65,46,FALSE))</f>
        <v/>
      </c>
      <c r="W201" s="164" t="str">
        <f>IF(B97='Формулы'!L63,"",VLOOKUP(B97,'Формулы'!L63:CA65,47,FALSE))</f>
        <v/>
      </c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ht="13.5" customHeight="1">
      <c r="A204" s="1"/>
      <c r="B204" s="1"/>
      <c r="C204" s="55" t="s">
        <v>94</v>
      </c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10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ht="21.75" customHeight="1">
      <c r="A205" s="1"/>
      <c r="B205" s="1"/>
      <c r="C205" s="12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4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ht="17.25" customHeight="1">
      <c r="A206" s="1"/>
      <c r="B206" s="1"/>
      <c r="C206" s="57" t="s">
        <v>95</v>
      </c>
      <c r="D206" s="58"/>
      <c r="E206" s="58"/>
      <c r="F206" s="58"/>
      <c r="G206" s="58"/>
      <c r="H206" s="58"/>
      <c r="I206" s="59"/>
      <c r="J206" s="57" t="s">
        <v>96</v>
      </c>
      <c r="K206" s="58"/>
      <c r="L206" s="58"/>
      <c r="M206" s="58"/>
      <c r="N206" s="58"/>
      <c r="O206" s="58"/>
      <c r="P206" s="59"/>
      <c r="Q206" s="57" t="s">
        <v>97</v>
      </c>
      <c r="R206" s="58"/>
      <c r="S206" s="58"/>
      <c r="T206" s="58"/>
      <c r="U206" s="58"/>
      <c r="V206" s="58"/>
      <c r="W206" s="59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ht="15.75" customHeight="1">
      <c r="A207" s="1"/>
      <c r="B207" s="98" t="s">
        <v>39</v>
      </c>
      <c r="C207" s="141" t="s">
        <v>43</v>
      </c>
      <c r="D207" s="141" t="s">
        <v>88</v>
      </c>
      <c r="E207" s="141" t="s">
        <v>89</v>
      </c>
      <c r="F207" s="142" t="s">
        <v>41</v>
      </c>
      <c r="G207" s="141" t="s">
        <v>43</v>
      </c>
      <c r="H207" s="141" t="s">
        <v>88</v>
      </c>
      <c r="I207" s="141" t="s">
        <v>89</v>
      </c>
      <c r="J207" s="133" t="s">
        <v>43</v>
      </c>
      <c r="K207" s="133" t="s">
        <v>88</v>
      </c>
      <c r="L207" s="133" t="s">
        <v>89</v>
      </c>
      <c r="M207" s="143" t="s">
        <v>41</v>
      </c>
      <c r="N207" s="133" t="s">
        <v>43</v>
      </c>
      <c r="O207" s="143" t="s">
        <v>88</v>
      </c>
      <c r="P207" s="143" t="s">
        <v>89</v>
      </c>
      <c r="Q207" s="143" t="s">
        <v>43</v>
      </c>
      <c r="R207" s="143" t="s">
        <v>88</v>
      </c>
      <c r="S207" s="143" t="s">
        <v>89</v>
      </c>
      <c r="T207" s="143" t="s">
        <v>41</v>
      </c>
      <c r="U207" s="143" t="s">
        <v>43</v>
      </c>
      <c r="V207" s="143" t="s">
        <v>88</v>
      </c>
      <c r="W207" s="143" t="s">
        <v>89</v>
      </c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ht="15.75" customHeight="1">
      <c r="A208" s="1"/>
      <c r="B208" s="134" t="str">
        <f t="shared" ref="B208:B211" si="12">B181</f>
        <v>Жим штанги лёжа</v>
      </c>
      <c r="C208" s="74" t="str">
        <f>VLOOKUP(B77, 'Формулы'!L9:CA11, 48,FALSE)</f>
        <v>#N/A</v>
      </c>
      <c r="D208" s="135">
        <f>VLOOKUP(B77, 'Формулы'!L9:CA11, 49,FALSE)</f>
        <v>1</v>
      </c>
      <c r="E208" s="118">
        <f>VLOOKUP(B77, 'Формулы'!L9:CA11, 50,FALSE)</f>
        <v>1</v>
      </c>
      <c r="F208" s="67"/>
      <c r="G208" s="144" t="str">
        <f>VLOOKUP(B77, 'Формулы'!L9:CA11, 52,FALSE)</f>
        <v>#N/A</v>
      </c>
      <c r="H208" s="135">
        <f>VLOOKUP(B77, 'Формулы'!L9:CA11, 53,FALSE)</f>
        <v>3</v>
      </c>
      <c r="I208" s="168">
        <f>VLOOKUP(B77, 'Формулы'!L9:CA11, 54,FALSE)</f>
        <v>4</v>
      </c>
      <c r="J208" s="74" t="str">
        <f>VLOOKUP(B77, 'Формулы'!L9:CA11, 55,FALSE)</f>
        <v>#N/A</v>
      </c>
      <c r="K208" s="135">
        <f>VLOOKUP(B77, 'Формулы'!L9:CA11, 56,FALSE)</f>
        <v>1</v>
      </c>
      <c r="L208" s="118">
        <f>VLOOKUP(B77, 'Формулы'!L9:CA11, 57,FALSE)</f>
        <v>1</v>
      </c>
      <c r="M208" s="67"/>
      <c r="N208" s="71" t="str">
        <f>VLOOKUP(B77, 'Формулы'!L9:CA11, 59,FALSE)</f>
        <v>#N/A</v>
      </c>
      <c r="O208" s="136">
        <f>VLOOKUP(B77, 'Формулы'!L9:CA11, 60,FALSE)</f>
        <v>3</v>
      </c>
      <c r="P208" s="149">
        <f>VLOOKUP(B77, 'Формулы'!L9:CA11, 61,FALSE)</f>
        <v>3</v>
      </c>
      <c r="Q208" s="146" t="str">
        <f>VLOOKUP(B77, 'Формулы'!L9:CA11, 62,FALSE)</f>
        <v>#N/A</v>
      </c>
      <c r="R208" s="136">
        <f>VLOOKUP(B77, 'Формулы'!L9:CA11, 63,FALSE)</f>
        <v>1</v>
      </c>
      <c r="S208" s="122">
        <f>VLOOKUP(B77, 'Формулы'!L9:CA11, 64,FALSE)</f>
        <v>1</v>
      </c>
      <c r="T208" s="67"/>
      <c r="U208" s="148" t="str">
        <f>VLOOKUP(B77, 'Формулы'!L9:CA11, 66,FALSE)</f>
        <v>#N/A</v>
      </c>
      <c r="V208" s="136">
        <f>VLOOKUP(B77, 'Формулы'!L9:CA11, 67,FALSE)</f>
        <v>3</v>
      </c>
      <c r="W208" s="149">
        <f>VLOOKUP(B77, 'Формулы'!L9:CA11, 68,FALSE)</f>
        <v>2</v>
      </c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ht="15.75" customHeight="1">
      <c r="A209" s="1"/>
      <c r="B209" s="85" t="str">
        <f t="shared" si="12"/>
        <v>Подтягивания (с отягощением)</v>
      </c>
      <c r="C209" s="150" t="str">
        <f>VLOOKUP(B78, 'Формулы'!L13:CA15, 48,FALSE)</f>
        <v>#N/A</v>
      </c>
      <c r="D209" s="151">
        <f>VLOOKUP(B78, 'Формулы'!L13:CA15, 49,FALSE)</f>
        <v>3</v>
      </c>
      <c r="E209" s="153">
        <f>VLOOKUP(B78, 'Формулы'!L13:CA15, 50,FALSE)</f>
        <v>1</v>
      </c>
      <c r="F209" s="147"/>
      <c r="G209" s="152" t="str">
        <f>VLOOKUP(B78, 'Формулы'!L13:CA15, 52,FALSE)</f>
        <v>#N/A</v>
      </c>
      <c r="H209" s="151">
        <f>VLOOKUP(B78, 'Формулы'!L13:CA15, 53,FALSE)</f>
        <v>3</v>
      </c>
      <c r="I209" s="158">
        <f>VLOOKUP(B78, 'Формулы'!L13:CA15, 54,FALSE)</f>
        <v>4</v>
      </c>
      <c r="J209" s="150" t="str">
        <f>VLOOKUP(B78, 'Формулы'!L13:CA15, 55,FALSE)</f>
        <v>#N/A</v>
      </c>
      <c r="K209" s="151">
        <f>VLOOKUP(B78, 'Формулы'!L13:CA15, 56,FALSE)</f>
        <v>3</v>
      </c>
      <c r="L209" s="153">
        <f>VLOOKUP(B78, 'Формулы'!L13:CA15, 57,FALSE)</f>
        <v>1</v>
      </c>
      <c r="M209" s="147"/>
      <c r="N209" s="154" t="str">
        <f>VLOOKUP(B78, 'Формулы'!L13:CA15, 59,FALSE)</f>
        <v>#N/A</v>
      </c>
      <c r="O209" s="136">
        <f>VLOOKUP(B78, 'Формулы'!L13:CA15, 60,FALSE)</f>
        <v>3</v>
      </c>
      <c r="P209" s="149">
        <f>VLOOKUP(B78, 'Формулы'!L13:CA15, 61,FALSE)</f>
        <v>3</v>
      </c>
      <c r="Q209" s="146" t="str">
        <f>VLOOKUP(B78, 'Формулы'!L13:CA15, 62,FALSE)</f>
        <v>#N/A</v>
      </c>
      <c r="R209" s="136">
        <f>VLOOKUP(B78, 'Формулы'!L13:CA15, 63,FALSE)</f>
        <v>3</v>
      </c>
      <c r="S209" s="122">
        <f>VLOOKUP(B78, 'Формулы'!L13:CA15, 64,FALSE)</f>
        <v>1</v>
      </c>
      <c r="T209" s="147"/>
      <c r="U209" s="148" t="str">
        <f>VLOOKUP(B78, 'Формулы'!L13:CA15, 66,FALSE)</f>
        <v>#N/A</v>
      </c>
      <c r="V209" s="136">
        <f>VLOOKUP(B78, 'Формулы'!L13:CA15, 67,FALSE)</f>
        <v>3</v>
      </c>
      <c r="W209" s="149">
        <f>VLOOKUP(B78, 'Формулы'!L13:CA15, 68,FALSE)</f>
        <v>2</v>
      </c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ht="15.75" customHeight="1">
      <c r="A210" s="1"/>
      <c r="B210" s="85" t="str">
        <f t="shared" si="12"/>
        <v>Жим платформы ногами</v>
      </c>
      <c r="C210" s="146" t="str">
        <f>VLOOKUP(B79, 'Формулы'!L54:CA56, 48,FALSE)</f>
        <v>#N/A</v>
      </c>
      <c r="D210" s="136">
        <f>VLOOKUP(B79, 'Формулы'!L54:CA56, 49,FALSE)</f>
        <v>3</v>
      </c>
      <c r="E210" s="122">
        <f>VLOOKUP(B79, 'Формулы'!L54:CA56, 50,FALSE)</f>
        <v>3</v>
      </c>
      <c r="F210" s="83"/>
      <c r="G210" s="148" t="str">
        <f>VLOOKUP(B79, 'Формулы'!L54:CA56, 52,FALSE)</f>
        <v>#N/A</v>
      </c>
      <c r="H210" s="136">
        <f>VLOOKUP(B79, 'Формулы'!L54:CA56, 53,FALSE)</f>
        <v>3</v>
      </c>
      <c r="I210" s="149">
        <f>VLOOKUP(B79, 'Формулы'!L54:CA56, 54,FALSE)</f>
        <v>6</v>
      </c>
      <c r="J210" s="146" t="str">
        <f>VLOOKUP(B79, 'Формулы'!L54:CA56, 55,FALSE)</f>
        <v>#N/A</v>
      </c>
      <c r="K210" s="151">
        <f>VLOOKUP(B79, 'Формулы'!L54:CA56, 56,FALSE)</f>
        <v>3</v>
      </c>
      <c r="L210" s="122">
        <f>VLOOKUP(B79, 'Формулы'!L54:CA56, 57,FALSE)</f>
        <v>3</v>
      </c>
      <c r="M210" s="83"/>
      <c r="N210" s="78" t="str">
        <f>VLOOKUP(B79, 'Формулы'!L54:CA56, 59,FALSE)</f>
        <v>#N/A</v>
      </c>
      <c r="O210" s="136">
        <f>VLOOKUP(B79, 'Формулы'!L54:CA56, 60,FALSE)</f>
        <v>3</v>
      </c>
      <c r="P210" s="149">
        <f>VLOOKUP(B79, 'Формулы'!L54:CA56, 61,FALSE)</f>
        <v>5</v>
      </c>
      <c r="Q210" s="146" t="str">
        <f>VLOOKUP(B79, 'Формулы'!L54:CA56, 62,FALSE)</f>
        <v>#N/A</v>
      </c>
      <c r="R210" s="136">
        <f>VLOOKUP(B79, 'Формулы'!L54:CA56, 63,FALSE)</f>
        <v>3</v>
      </c>
      <c r="S210" s="122">
        <f>VLOOKUP(B79, 'Формулы'!L54:CA56, 64,FALSE)</f>
        <v>3</v>
      </c>
      <c r="T210" s="83"/>
      <c r="U210" s="148" t="str">
        <f>VLOOKUP(B79, 'Формулы'!L54:CA56, 66,FALSE)</f>
        <v>#N/A</v>
      </c>
      <c r="V210" s="136">
        <f>VLOOKUP(B79, 'Формулы'!L54:CA56, 67,FALSE)</f>
        <v>3</v>
      </c>
      <c r="W210" s="149">
        <f>VLOOKUP(B79, 'Формулы'!L54:CA56, 68,FALSE)</f>
        <v>4</v>
      </c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15.75" customHeight="1">
      <c r="A211" s="1"/>
      <c r="B211" s="85" t="str">
        <f t="shared" si="12"/>
        <v>Махи с гантелями в стороны</v>
      </c>
      <c r="C211" s="146" t="str">
        <f>VLOOKUP($B$80, 'Формулы'!$L$21:$CA$22, 48,FALSE)</f>
        <v>#N/A</v>
      </c>
      <c r="D211" s="136">
        <f>VLOOKUP($B$80, 'Формулы'!$L$21:$CA$22, 49,FALSE)</f>
        <v>3</v>
      </c>
      <c r="E211" s="122">
        <f>VLOOKUP($B$80, 'Формулы'!$L$21:$CA$22, 50,FALSE)</f>
        <v>8</v>
      </c>
      <c r="F211" s="87"/>
      <c r="G211" s="148" t="str">
        <f>VLOOKUP($B$80, 'Формулы'!$L$21:$CA$22, 52,FALSE)</f>
        <v>#N/A</v>
      </c>
      <c r="H211" s="136">
        <f>VLOOKUP($B$80, 'Формулы'!$L$21:$CA$22, 53,FALSE)</f>
        <v>1</v>
      </c>
      <c r="I211" s="149" t="str">
        <f>VLOOKUP($B$80, 'Формулы'!$L$21:$CA$22, 54,FALSE)</f>
        <v>до отказа</v>
      </c>
      <c r="J211" s="146" t="str">
        <f>VLOOKUP($B$80, 'Формулы'!$L$21:$CA$22, 55,FALSE)</f>
        <v>#N/A</v>
      </c>
      <c r="K211" s="136">
        <f>VLOOKUP($B$80, 'Формулы'!$L$21:$CA$22, 56,FALSE)</f>
        <v>3</v>
      </c>
      <c r="L211" s="122">
        <f>VLOOKUP($B$80, 'Формулы'!$L$21:$CA$22, 57,FALSE)</f>
        <v>8</v>
      </c>
      <c r="M211" s="87"/>
      <c r="N211" s="78" t="str">
        <f>VLOOKUP($B$80, 'Формулы'!$L$21:$CA$22, 59,FALSE)</f>
        <v>#N/A</v>
      </c>
      <c r="O211" s="136">
        <f>VLOOKUP($B$80, 'Формулы'!$L$21:$CA$22, 60,FALSE)</f>
        <v>1</v>
      </c>
      <c r="P211" s="149" t="str">
        <f>VLOOKUP($B$80, 'Формулы'!$L$21:$CA$22, 61,FALSE)</f>
        <v>до отказа</v>
      </c>
      <c r="Q211" s="146" t="str">
        <f>VLOOKUP($B$80, 'Формулы'!$L$21:$CA$22, 62,FALSE)</f>
        <v>#N/A</v>
      </c>
      <c r="R211" s="136">
        <f>VLOOKUP($B$80, 'Формулы'!$L$21:$CA$22, 63,FALSE)</f>
        <v>3</v>
      </c>
      <c r="S211" s="122">
        <f>VLOOKUP($B$80, 'Формулы'!$L$21:$CA$22, 64,FALSE)</f>
        <v>8</v>
      </c>
      <c r="T211" s="87"/>
      <c r="U211" s="148" t="str">
        <f>VLOOKUP($B$80, 'Формулы'!$L$21:$CA$22, 66,FALSE)</f>
        <v>#N/A</v>
      </c>
      <c r="V211" s="136">
        <f>VLOOKUP($B$80, 'Формулы'!$L$21:$CA$22, 67,FALSE)</f>
        <v>1</v>
      </c>
      <c r="W211" s="149" t="str">
        <f>VLOOKUP($B$80, 'Формулы'!$L$21:$CA$22, 68,FALSE)</f>
        <v>до отказа</v>
      </c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ht="15.75" customHeight="1">
      <c r="A212" s="1"/>
      <c r="B212" s="85" t="str">
        <f>IF(B185="+", "", B185)</f>
        <v/>
      </c>
      <c r="C212" s="159" t="str">
        <f>IF(B81='Формулы'!L67,"",VLOOKUP(B81,'Формулы'!L67:CA69,48,FALSE))</f>
        <v/>
      </c>
      <c r="D212" s="112" t="str">
        <f>IF(B81='Формулы'!L67,"",VLOOKUP(B81,'Формулы'!L67:CA69,49,FALSE))</f>
        <v/>
      </c>
      <c r="E212" s="160" t="str">
        <f>IF(B81='Формулы'!L67,"",VLOOKUP(B81,'Формулы'!L67:CA69,50,FALSE))</f>
        <v/>
      </c>
      <c r="F212" s="87"/>
      <c r="G212" s="161" t="str">
        <f>IF(B81='Формулы'!L67,"",VLOOKUP(B81,'Формулы'!L67:CA69,52,FALSE))</f>
        <v/>
      </c>
      <c r="H212" s="112" t="str">
        <f>IF(B81='Формулы'!L67,"",VLOOKUP(B81,'Формулы'!L67:CA69,53,FALSE))</f>
        <v/>
      </c>
      <c r="I212" s="164" t="str">
        <f>IF(B81='Формулы'!L67,"",VLOOKUP(B81,'Формулы'!L67:CA69,54,FALSE))</f>
        <v/>
      </c>
      <c r="J212" s="159" t="str">
        <f>IF(B81='Формулы'!L67,"",VLOOKUP(B81,'Формулы'!L67:CA69,55,FALSE))</f>
        <v/>
      </c>
      <c r="K212" s="112" t="str">
        <f>IF(B81='Формулы'!L67,"",VLOOKUP(B81,'Формулы'!L67:CA69,56,FALSE))</f>
        <v/>
      </c>
      <c r="L212" s="160" t="str">
        <f>IF(B81='Формулы'!L67,"",VLOOKUP(B81,'Формулы'!L67:CA69,57,FALSE))</f>
        <v/>
      </c>
      <c r="M212" s="87"/>
      <c r="N212" s="111" t="str">
        <f>IF(B81='Формулы'!L67,"",VLOOKUP(B81,'Формулы'!L67:CA69,59,FALSE))</f>
        <v/>
      </c>
      <c r="O212" s="112" t="str">
        <f>IF(B81='Формулы'!L67,"",VLOOKUP(B81,'Формулы'!L67:CA69,60,FALSE))</f>
        <v/>
      </c>
      <c r="P212" s="164" t="str">
        <f>IF(B81='Формулы'!L67,"",VLOOKUP(B81,'Формулы'!L67:CA69,61,FALSE))</f>
        <v/>
      </c>
      <c r="Q212" s="159" t="str">
        <f>IF(B81='Формулы'!L67,"",VLOOKUP(B81,'Формулы'!L67:CA69,62,FALSE))</f>
        <v/>
      </c>
      <c r="R212" s="112" t="str">
        <f>IF(B81='Формулы'!L67,"",VLOOKUP(B81,'Формулы'!L67:CA69,63,FALSE))</f>
        <v/>
      </c>
      <c r="S212" s="160" t="str">
        <f>IF(B81='Формулы'!L67,"",VLOOKUP(B81,'Формулы'!L67:CA69,64,FALSE))</f>
        <v/>
      </c>
      <c r="T212" s="87"/>
      <c r="U212" s="161" t="str">
        <f>IF(B81='Формулы'!L67,"",VLOOKUP(B81,'Формулы'!L67:CA69,66,FALSE))</f>
        <v/>
      </c>
      <c r="V212" s="112" t="str">
        <f>IF(B81='Формулы'!L67,"",VLOOKUP(B81,'Формулы'!L67:CA69,67,FALSE))</f>
        <v/>
      </c>
      <c r="W212" s="164" t="str">
        <f>IF(B81='Формулы'!L67,"",VLOOKUP(B81,'Формулы'!L67:CA69,68,FALSE))</f>
        <v/>
      </c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ht="15.75" customHeight="1">
      <c r="A213" s="1"/>
      <c r="B213" s="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ht="15.75" customHeight="1">
      <c r="A214" s="1"/>
      <c r="B214" s="1"/>
      <c r="C214" s="56"/>
      <c r="D214" s="1"/>
      <c r="E214" s="1"/>
      <c r="F214" s="1"/>
      <c r="G214" s="56"/>
      <c r="H214" s="1"/>
      <c r="I214" s="1"/>
      <c r="J214" s="1"/>
      <c r="K214" s="56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ht="15.75" customHeight="1">
      <c r="A215" s="1"/>
      <c r="B215" s="98" t="s">
        <v>56</v>
      </c>
      <c r="C215" s="133" t="s">
        <v>43</v>
      </c>
      <c r="D215" s="133" t="s">
        <v>88</v>
      </c>
      <c r="E215" s="133" t="s">
        <v>89</v>
      </c>
      <c r="F215" s="133" t="s">
        <v>41</v>
      </c>
      <c r="G215" s="133" t="s">
        <v>43</v>
      </c>
      <c r="H215" s="133" t="s">
        <v>88</v>
      </c>
      <c r="I215" s="133" t="s">
        <v>89</v>
      </c>
      <c r="J215" s="133" t="s">
        <v>43</v>
      </c>
      <c r="K215" s="133" t="s">
        <v>88</v>
      </c>
      <c r="L215" s="133" t="s">
        <v>89</v>
      </c>
      <c r="M215" s="133" t="s">
        <v>41</v>
      </c>
      <c r="N215" s="133" t="s">
        <v>43</v>
      </c>
      <c r="O215" s="172" t="s">
        <v>88</v>
      </c>
      <c r="P215" s="143" t="s">
        <v>89</v>
      </c>
      <c r="Q215" s="143" t="s">
        <v>43</v>
      </c>
      <c r="R215" s="143" t="s">
        <v>88</v>
      </c>
      <c r="S215" s="143" t="s">
        <v>89</v>
      </c>
      <c r="T215" s="143" t="s">
        <v>41</v>
      </c>
      <c r="U215" s="143" t="s">
        <v>43</v>
      </c>
      <c r="V215" s="143" t="s">
        <v>88</v>
      </c>
      <c r="W215" s="143" t="s">
        <v>89</v>
      </c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ht="15.75" customHeight="1">
      <c r="A216" s="1"/>
      <c r="B216" s="134" t="str">
        <f t="shared" ref="B216:B219" si="13">B189</f>
        <v>Ягодичный мост</v>
      </c>
      <c r="C216" s="74" t="str">
        <f>VLOOKUP(B85, 'Формулы'!L24:CA26, 48,FALSE)</f>
        <v>#N/A</v>
      </c>
      <c r="D216" s="135">
        <f>VLOOKUP(B85, 'Формулы'!L24:CA26, 49,FALSE)</f>
        <v>1</v>
      </c>
      <c r="E216" s="118">
        <f>VLOOKUP(B85, 'Формулы'!L24:CA26, 50,FALSE)</f>
        <v>3</v>
      </c>
      <c r="F216" s="67"/>
      <c r="G216" s="144" t="str">
        <f>VLOOKUP(B85, 'Формулы'!L24:CA26, 52,FALSE)</f>
        <v>#N/A</v>
      </c>
      <c r="H216" s="135">
        <f>VLOOKUP(B85, 'Формулы'!L24:CA26, 53,FALSE)</f>
        <v>3</v>
      </c>
      <c r="I216" s="168" t="str">
        <f>VLOOKUP(B102, 'Формулы'!L51:CA53, 54,FALSE)</f>
        <v>#N/A</v>
      </c>
      <c r="J216" s="74" t="str">
        <f>VLOOKUP(B85, 'Формулы'!L24:CA26, 55,FALSE)</f>
        <v>#N/A</v>
      </c>
      <c r="K216" s="135" t="str">
        <f>VLOOKUP(B102, 'Формулы'!L51:CA53, 56,FALSE)</f>
        <v>#N/A</v>
      </c>
      <c r="L216" s="118">
        <f>VLOOKUP(B85, 'Формулы'!L24:CA26, 57,FALSE)</f>
        <v>2</v>
      </c>
      <c r="M216" s="67"/>
      <c r="N216" s="71" t="str">
        <f>VLOOKUP(B85, 'Формулы'!L24:CA26, 59,FALSE)</f>
        <v>#N/A</v>
      </c>
      <c r="O216" s="136">
        <f>VLOOKUP(B85, 'Формулы'!L24:CA26, 60,FALSE)</f>
        <v>3</v>
      </c>
      <c r="P216" s="149">
        <f>VLOOKUP(B85, 'Формулы'!L24:CA26, 61,FALSE)</f>
        <v>3</v>
      </c>
      <c r="Q216" s="146" t="str">
        <f>VLOOKUP(B85, 'Формулы'!L24:CA26, 62,FALSE)</f>
        <v>#N/A</v>
      </c>
      <c r="R216" s="136">
        <f>VLOOKUP(B85, 'Формулы'!L24:CA26, 63,FALSE)</f>
        <v>1</v>
      </c>
      <c r="S216" s="122">
        <f>VLOOKUP(B85, 'Формулы'!L24:CA26, 64,FALSE)</f>
        <v>1</v>
      </c>
      <c r="T216" s="67"/>
      <c r="U216" s="148" t="str">
        <f>VLOOKUP(B85, 'Формулы'!L24:CA26, 66,FALSE)</f>
        <v>#N/A</v>
      </c>
      <c r="V216" s="136">
        <f>VLOOKUP(B85, 'Формулы'!L24:CA26, 67,FALSE)</f>
        <v>3</v>
      </c>
      <c r="W216" s="149">
        <f>VLOOKUP(B85, 'Формулы'!L24:CA26, 68,FALSE)</f>
        <v>2</v>
      </c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ht="15.75" customHeight="1">
      <c r="A217" s="1"/>
      <c r="B217" s="85" t="str">
        <f t="shared" si="13"/>
        <v>Подъём штанги на бицепс</v>
      </c>
      <c r="C217" s="146" t="str">
        <f>VLOOKUP(B86, 'Формулы'!L33:CA34, 48,FALSE)</f>
        <v>#N/A</v>
      </c>
      <c r="D217" s="136">
        <f>VLOOKUP(B86, 'Формулы'!L33:CA34, 49,FALSE)</f>
        <v>3</v>
      </c>
      <c r="E217" s="122">
        <f>VLOOKUP(B86, 'Формулы'!L33:CA34, 50,FALSE)</f>
        <v>3</v>
      </c>
      <c r="F217" s="147"/>
      <c r="G217" s="148" t="str">
        <f>VLOOKUP(B86, 'Формулы'!L33:CA34, 52,FALSE)</f>
        <v>#N/A</v>
      </c>
      <c r="H217" s="136">
        <f>VLOOKUP(B86, 'Формулы'!L33:CA34, 53,FALSE)</f>
        <v>3</v>
      </c>
      <c r="I217" s="149">
        <f>VLOOKUP(B86, 'Формулы'!L33:CA34, 54,FALSE)</f>
        <v>4</v>
      </c>
      <c r="J217" s="146" t="str">
        <f>VLOOKUP(B86, 'Формулы'!L33:CA34, 55,FALSE)</f>
        <v>#N/A</v>
      </c>
      <c r="K217" s="151">
        <f>VLOOKUP(B86, 'Формулы'!L33:CA34, 56,FALSE)</f>
        <v>3</v>
      </c>
      <c r="L217" s="122">
        <f>VLOOKUP(B86, 'Формулы'!L33:CA34, 57,FALSE)</f>
        <v>3</v>
      </c>
      <c r="M217" s="147"/>
      <c r="N217" s="78" t="str">
        <f>VLOOKUP(B86, 'Формулы'!L33:CA34, 59,FALSE)</f>
        <v>#N/A</v>
      </c>
      <c r="O217" s="136">
        <f>VLOOKUP(B86, 'Формулы'!L33:CA34, 60,FALSE)</f>
        <v>3</v>
      </c>
      <c r="P217" s="149">
        <f>VLOOKUP(B86, 'Формулы'!L33:CA34, 61,FALSE)</f>
        <v>4</v>
      </c>
      <c r="Q217" s="146" t="str">
        <f>VLOOKUP(B86, 'Формулы'!L33:CA34, 62,FALSE)</f>
        <v>#N/A</v>
      </c>
      <c r="R217" s="136">
        <f>VLOOKUP(B86, 'Формулы'!L33:CA34, 63,FALSE)</f>
        <v>3</v>
      </c>
      <c r="S217" s="122">
        <f>VLOOKUP(B86, 'Формулы'!L33:CA34, 64,FALSE)</f>
        <v>3</v>
      </c>
      <c r="T217" s="147"/>
      <c r="U217" s="148" t="str">
        <f>VLOOKUP(B86, 'Формулы'!L33:CA34, 66,FALSE)</f>
        <v>#N/A</v>
      </c>
      <c r="V217" s="136">
        <f>VLOOKUP(B86, 'Формулы'!L33:CA34, 67,FALSE)</f>
        <v>3</v>
      </c>
      <c r="W217" s="149">
        <f>VLOOKUP(B86, 'Формулы'!L33:CA34, 68,FALSE)</f>
        <v>4</v>
      </c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ht="15.75" customHeight="1">
      <c r="A218" s="1"/>
      <c r="B218" s="85" t="str">
        <f t="shared" si="13"/>
        <v>Жим штанги лёжа</v>
      </c>
      <c r="C218" s="146" t="str">
        <f>VLOOKUP(B87, 'Формулы'!L28:CA30, 48,FALSE)</f>
        <v>#N/A</v>
      </c>
      <c r="D218" s="136">
        <f>VLOOKUP(B87, 'Формулы'!L28:CA30, 49,FALSE)</f>
        <v>1</v>
      </c>
      <c r="E218" s="122">
        <f>VLOOKUP(B87, 'Формулы'!L28:CA30, 50,FALSE)</f>
        <v>3</v>
      </c>
      <c r="F218" s="83"/>
      <c r="G218" s="148" t="str">
        <f>VLOOKUP(B87, 'Формулы'!L28:CA30, 52,FALSE)</f>
        <v>#N/A</v>
      </c>
      <c r="H218" s="136">
        <f>VLOOKUP(B87, 'Формулы'!L28:CA30, 53,FALSE)</f>
        <v>3</v>
      </c>
      <c r="I218" s="149">
        <f>VLOOKUP(B87, 'Формулы'!L28:CA30, 54,FALSE)</f>
        <v>4</v>
      </c>
      <c r="J218" s="146" t="str">
        <f>VLOOKUP(B87, 'Формулы'!L28:CA30, 55,FALSE)</f>
        <v>#N/A</v>
      </c>
      <c r="K218" s="151">
        <f>VLOOKUP(B87, 'Формулы'!L28:CA30, 56,FALSE)</f>
        <v>1</v>
      </c>
      <c r="L218" s="122">
        <f>VLOOKUP(B87, 'Формулы'!L28:CA30, 57,FALSE)</f>
        <v>2</v>
      </c>
      <c r="M218" s="83"/>
      <c r="N218" s="78" t="str">
        <f>VLOOKUP(B87, 'Формулы'!L28:CA30, 59,FALSE)</f>
        <v>#N/A</v>
      </c>
      <c r="O218" s="136">
        <f>VLOOKUP(B87, 'Формулы'!L28:CA30, 60,FALSE)</f>
        <v>3</v>
      </c>
      <c r="P218" s="149">
        <f>VLOOKUP(B87, 'Формулы'!L28:CA30, 61,FALSE)</f>
        <v>3</v>
      </c>
      <c r="Q218" s="146" t="str">
        <f>VLOOKUP(B87, 'Формулы'!L28:CA30, 62,FALSE)</f>
        <v>#N/A</v>
      </c>
      <c r="R218" s="136">
        <f>VLOOKUP(B87, 'Формулы'!L28:CA30, 63,FALSE)</f>
        <v>1</v>
      </c>
      <c r="S218" s="122">
        <f>VLOOKUP(B87, 'Формулы'!L28:CA30, 64,FALSE)</f>
        <v>1</v>
      </c>
      <c r="T218" s="83"/>
      <c r="U218" s="148" t="str">
        <f>VLOOKUP(B87, 'Формулы'!L28:CA30, 66,FALSE)</f>
        <v>#N/A</v>
      </c>
      <c r="V218" s="136">
        <f>VLOOKUP(B87, 'Формулы'!L28:CA30, 67,FALSE)</f>
        <v>3</v>
      </c>
      <c r="W218" s="149">
        <f>VLOOKUP(B87, 'Формулы'!L28:CA30, 68,FALSE)</f>
        <v>2</v>
      </c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ht="15.75" customHeight="1">
      <c r="A219" s="1"/>
      <c r="B219" s="85" t="str">
        <f t="shared" si="13"/>
        <v>Разгибания рук на блоке</v>
      </c>
      <c r="C219" s="146" t="str">
        <f>VLOOKUP(B88, 'Формулы'!L36:CA38, 48,FALSE)</f>
        <v>#N/A</v>
      </c>
      <c r="D219" s="136">
        <f>VLOOKUP(B88, 'Формулы'!L36:CA38, 49,FALSE)</f>
        <v>3</v>
      </c>
      <c r="E219" s="122">
        <f>VLOOKUP(B88, 'Формулы'!L36:CA38, 50,FALSE)</f>
        <v>8</v>
      </c>
      <c r="F219" s="87"/>
      <c r="G219" s="148" t="str">
        <f>VLOOKUP(B88, 'Формулы'!L36:CA38, 52,FALSE)</f>
        <v>#N/A</v>
      </c>
      <c r="H219" s="136">
        <f>VLOOKUP(B88, 'Формулы'!L36:CA38, 53,FALSE)</f>
        <v>1</v>
      </c>
      <c r="I219" s="149" t="str">
        <f>VLOOKUP(B88, 'Формулы'!L36:CA38, 54,FALSE)</f>
        <v>до отказа</v>
      </c>
      <c r="J219" s="146" t="str">
        <f>VLOOKUP(B88, 'Формулы'!L36:CA38, 55,FALSE)</f>
        <v>#N/A</v>
      </c>
      <c r="K219" s="151">
        <f>VLOOKUP(B88, 'Формулы'!L36:CA38, 56,FALSE)</f>
        <v>3</v>
      </c>
      <c r="L219" s="122">
        <f>VLOOKUP(B88, 'Формулы'!L36:CA38, 57,FALSE)</f>
        <v>8</v>
      </c>
      <c r="M219" s="87"/>
      <c r="N219" s="78" t="str">
        <f>VLOOKUP(B88, 'Формулы'!L36:CA38, 59,FALSE)</f>
        <v>#N/A</v>
      </c>
      <c r="O219" s="136">
        <f>VLOOKUP(B88, 'Формулы'!L36:CA38, 60,FALSE)</f>
        <v>1</v>
      </c>
      <c r="P219" s="149" t="str">
        <f>VLOOKUP(B88, 'Формулы'!L36:CA38, 61,FALSE)</f>
        <v>до отказа</v>
      </c>
      <c r="Q219" s="146" t="str">
        <f>VLOOKUP(B88, 'Формулы'!L36:CA38, 62,FALSE)</f>
        <v>#N/A</v>
      </c>
      <c r="R219" s="136">
        <f>VLOOKUP(B88, 'Формулы'!L36:CA38, 63,FALSE)</f>
        <v>3</v>
      </c>
      <c r="S219" s="122">
        <f>VLOOKUP(B88, 'Формулы'!L36:CA38, 64,FALSE)</f>
        <v>8</v>
      </c>
      <c r="T219" s="87"/>
      <c r="U219" s="148" t="str">
        <f>VLOOKUP(B88, 'Формулы'!L36:CA38, 66,FALSE)</f>
        <v>#N/A</v>
      </c>
      <c r="V219" s="136">
        <f>VLOOKUP(B88, 'Формулы'!L36:CA38, 67,FALSE)</f>
        <v>1</v>
      </c>
      <c r="W219" s="149" t="str">
        <f>VLOOKUP(B88, 'Формулы'!L36:CA38, 68,FALSE)</f>
        <v>до отказа</v>
      </c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ht="15.75" customHeight="1">
      <c r="A220" s="1"/>
      <c r="B220" s="85" t="str">
        <f>IF(B193="+", "", B193)</f>
        <v/>
      </c>
      <c r="C220" s="159" t="str">
        <f>IF(B89='Формулы'!L63,"",VLOOKUP(B89,'Формулы'!L39:CA41,48,FALSE))</f>
        <v/>
      </c>
      <c r="D220" s="112" t="str">
        <f>IF(B89='Формулы'!L63,"",VLOOKUP(B89,'Формулы'!L39:CA41,49,FALSE))</f>
        <v/>
      </c>
      <c r="E220" s="160" t="str">
        <f>IF(B89='Формулы'!L63,"",VLOOKUP(B89,'Формулы'!L39:CA41,50,FALSE))</f>
        <v/>
      </c>
      <c r="F220" s="87"/>
      <c r="G220" s="161" t="str">
        <f>IF(B89='Формулы'!L63,"",VLOOKUP(B89,'Формулы'!L39:CA41,52,FALSE))</f>
        <v/>
      </c>
      <c r="H220" s="112" t="str">
        <f>IF(B89='Формулы'!L63,"",VLOOKUP(B89,'Формулы'!L39:CA41,53,FALSE))</f>
        <v/>
      </c>
      <c r="I220" s="164" t="str">
        <f>IF(B89='Формулы'!L63,"",VLOOKUP(B89,'Формулы'!L39:CA41,54,FALSE))</f>
        <v/>
      </c>
      <c r="J220" s="159" t="str">
        <f>IF(B89='Формулы'!L63,"",VLOOKUP(B89,'Формулы'!L39:CA41,55,FALSE))</f>
        <v/>
      </c>
      <c r="K220" s="112" t="str">
        <f>IF(B89='Формулы'!L63,"",VLOOKUP(B89,'Формулы'!L39:CA41,56,FALSE))</f>
        <v/>
      </c>
      <c r="L220" s="160" t="str">
        <f>IF(B89='Формулы'!L63,"",VLOOKUP(B89,'Формулы'!L39:CA41,57,FALSE))</f>
        <v/>
      </c>
      <c r="M220" s="87"/>
      <c r="N220" s="111" t="str">
        <f>IF(B89='Формулы'!L63,"",VLOOKUP(B89,'Формулы'!L39:CA41,59,FALSE))</f>
        <v/>
      </c>
      <c r="O220" s="112" t="str">
        <f>IF(B89='Формулы'!L63,"",VLOOKUP(B89,'Формулы'!L39:CA41,60,FALSE))</f>
        <v/>
      </c>
      <c r="P220" s="164" t="str">
        <f>IF(B89='Формулы'!L63,"",VLOOKUP(B89,'Формулы'!L39:CA41,61,FALSE))</f>
        <v/>
      </c>
      <c r="Q220" s="159" t="str">
        <f>IF(B89='Формулы'!L63,"",VLOOKUP(B89,'Формулы'!L39:CA41,62,FALSE))</f>
        <v/>
      </c>
      <c r="R220" s="112" t="str">
        <f>IF(B89='Формулы'!L63,"",VLOOKUP(B89,'Формулы'!L39:CA41,63,FALSE))</f>
        <v/>
      </c>
      <c r="S220" s="160" t="str">
        <f>IF(B89='Формулы'!L63,"",VLOOKUP(B89,'Формулы'!L39:CA41,64,FALSE))</f>
        <v/>
      </c>
      <c r="T220" s="87"/>
      <c r="U220" s="161" t="str">
        <f>IF(B89='Формулы'!L63,"",VLOOKUP(B89,'Формулы'!L39:CA41,66,FALSE))</f>
        <v/>
      </c>
      <c r="V220" s="112" t="str">
        <f>IF(B89='Формулы'!L63,"",VLOOKUP(B89,'Формулы'!L39:CA41,67,FALSE))</f>
        <v/>
      </c>
      <c r="W220" s="164" t="str">
        <f>IF(B89='Формулы'!L63,"",VLOOKUP(B89,'Формулы'!L39:CA41,68,FALSE))</f>
        <v/>
      </c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ht="15.75" customHeight="1">
      <c r="A222" s="1"/>
      <c r="B222" s="1"/>
      <c r="C222" s="174"/>
      <c r="G222" s="174"/>
      <c r="K222" s="17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ht="15.75" customHeight="1">
      <c r="A223" s="1"/>
      <c r="B223" s="171" t="s">
        <v>60</v>
      </c>
      <c r="C223" s="133" t="s">
        <v>43</v>
      </c>
      <c r="D223" s="133" t="s">
        <v>88</v>
      </c>
      <c r="E223" s="133" t="s">
        <v>89</v>
      </c>
      <c r="F223" s="133" t="s">
        <v>41</v>
      </c>
      <c r="G223" s="133" t="s">
        <v>43</v>
      </c>
      <c r="H223" s="133" t="s">
        <v>88</v>
      </c>
      <c r="I223" s="133" t="s">
        <v>89</v>
      </c>
      <c r="J223" s="133" t="s">
        <v>43</v>
      </c>
      <c r="K223" s="133" t="s">
        <v>88</v>
      </c>
      <c r="L223" s="133" t="s">
        <v>89</v>
      </c>
      <c r="M223" s="133" t="s">
        <v>41</v>
      </c>
      <c r="N223" s="133" t="s">
        <v>43</v>
      </c>
      <c r="O223" s="172" t="s">
        <v>88</v>
      </c>
      <c r="P223" s="143" t="s">
        <v>89</v>
      </c>
      <c r="Q223" s="143" t="s">
        <v>43</v>
      </c>
      <c r="R223" s="143" t="s">
        <v>88</v>
      </c>
      <c r="S223" s="143" t="s">
        <v>89</v>
      </c>
      <c r="T223" s="143" t="s">
        <v>41</v>
      </c>
      <c r="U223" s="143" t="s">
        <v>43</v>
      </c>
      <c r="V223" s="143" t="s">
        <v>88</v>
      </c>
      <c r="W223" s="143" t="s">
        <v>89</v>
      </c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ht="15.75" customHeight="1">
      <c r="A224" s="1"/>
      <c r="B224" s="85" t="str">
        <f t="shared" ref="B224:B227" si="14">B197</f>
        <v>Приседания в колодец</v>
      </c>
      <c r="C224" s="74" t="str">
        <f>VLOOKUP(B93, 'Формулы'!L17:CA19, 48,FALSE)</f>
        <v>#N/A</v>
      </c>
      <c r="D224" s="135">
        <f>VLOOKUP(B93, 'Формулы'!L17:CA19, 49,FALSE)</f>
        <v>3</v>
      </c>
      <c r="E224" s="118">
        <f>VLOOKUP(B93, 'Формулы'!L17:CA19, 50,FALSE)</f>
        <v>3</v>
      </c>
      <c r="F224" s="67"/>
      <c r="G224" s="144" t="str">
        <f>VLOOKUP(B93, 'Формулы'!L17:CA19, 52,FALSE)</f>
        <v>#N/A</v>
      </c>
      <c r="H224" s="135">
        <f>VLOOKUP(B93, 'Формулы'!L17:CA19, 53,FALSE)</f>
        <v>3</v>
      </c>
      <c r="I224" s="168">
        <f>VLOOKUP(B93, 'Формулы'!L17:CA19, 54,FALSE)</f>
        <v>4</v>
      </c>
      <c r="J224" s="74" t="str">
        <f>VLOOKUP(B93, 'Формулы'!L17:CA19, 55,FALSE)</f>
        <v>#N/A</v>
      </c>
      <c r="K224" s="173">
        <f>VLOOKUP(B93, 'Формулы'!L17:CA19, 56,FALSE)</f>
        <v>3</v>
      </c>
      <c r="L224" s="118">
        <f>VLOOKUP(B93, 'Формулы'!L17:CA19, 57,FALSE)</f>
        <v>3</v>
      </c>
      <c r="M224" s="67"/>
      <c r="N224" s="71" t="str">
        <f>VLOOKUP(B93, 'Формулы'!L17:CA19, 59,FALSE)</f>
        <v>#N/A</v>
      </c>
      <c r="O224" s="136">
        <f>VLOOKUP(B93, 'Формулы'!L17:CA19, 60,FALSE)</f>
        <v>3</v>
      </c>
      <c r="P224" s="149">
        <f>VLOOKUP(B93, 'Формулы'!L17:CA19, 61,FALSE)</f>
        <v>4</v>
      </c>
      <c r="Q224" s="146" t="str">
        <f>VLOOKUP(B93, 'Формулы'!L17:CA19, 62,FALSE)</f>
        <v>#N/A</v>
      </c>
      <c r="R224" s="136">
        <f>VLOOKUP(B93, 'Формулы'!L17:CA19, 63,FALSE)</f>
        <v>3</v>
      </c>
      <c r="S224" s="122">
        <f>VLOOKUP(B93, 'Формулы'!L17:CA19, 64,FALSE)</f>
        <v>3</v>
      </c>
      <c r="T224" s="67"/>
      <c r="U224" s="148" t="str">
        <f>VLOOKUP(B93, 'Формулы'!L17:CA19, 66,FALSE)</f>
        <v>#N/A</v>
      </c>
      <c r="V224" s="136">
        <f>VLOOKUP(B93, 'Формулы'!L17:CA19, 67,FALSE)</f>
        <v>3</v>
      </c>
      <c r="W224" s="149">
        <f>VLOOKUP(B93, 'Формулы'!L17:CA19, 68,FALSE)</f>
        <v>4</v>
      </c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ht="15.75" customHeight="1">
      <c r="A225" s="1"/>
      <c r="B225" s="85" t="str">
        <f t="shared" si="14"/>
        <v>Жим гантелей сидя</v>
      </c>
      <c r="C225" s="146" t="str">
        <f>VLOOKUP(B94, 'Формулы'!L44:CA45, 48,FALSE)</f>
        <v>#N/A</v>
      </c>
      <c r="D225" s="136">
        <f>VLOOKUP(B94, 'Формулы'!L44:CA45, 49,FALSE)</f>
        <v>3</v>
      </c>
      <c r="E225" s="122">
        <f>VLOOKUP(B94, 'Формулы'!L44:CA45, 50,FALSE)</f>
        <v>4</v>
      </c>
      <c r="F225" s="147"/>
      <c r="G225" s="148" t="str">
        <f>VLOOKUP(B94, 'Формулы'!L44:CA45, 52,FALSE)</f>
        <v>#N/A</v>
      </c>
      <c r="H225" s="136">
        <f>VLOOKUP(B94, 'Формулы'!L44:CA45, 53,FALSE)</f>
        <v>1</v>
      </c>
      <c r="I225" s="149" t="str">
        <f>VLOOKUP(B94, 'Формулы'!L44:CA45, 54,FALSE)</f>
        <v>до отказа</v>
      </c>
      <c r="J225" s="146" t="str">
        <f>VLOOKUP(B94, 'Формулы'!L44:CA45, 55,FALSE)</f>
        <v>#N/A</v>
      </c>
      <c r="K225" s="136">
        <f>VLOOKUP(B94, 'Формулы'!L44:CA45, 56,FALSE)</f>
        <v>3</v>
      </c>
      <c r="L225" s="122">
        <f>VLOOKUP(B94, 'Формулы'!L44:CA45, 57,FALSE)</f>
        <v>4</v>
      </c>
      <c r="M225" s="147"/>
      <c r="N225" s="78" t="str">
        <f>VLOOKUP(B94, 'Формулы'!L44:CA45, 59,FALSE)</f>
        <v>#N/A</v>
      </c>
      <c r="O225" s="136">
        <f>VLOOKUP(B94, 'Формулы'!L44:CA45, 60,FALSE)</f>
        <v>1</v>
      </c>
      <c r="P225" s="149" t="str">
        <f>VLOOKUP(B94, 'Формулы'!L44:CA45, 61,FALSE)</f>
        <v>до отказа</v>
      </c>
      <c r="Q225" s="146" t="str">
        <f>VLOOKUP(B94, 'Формулы'!L44:CA45, 62,FALSE)</f>
        <v>#N/A</v>
      </c>
      <c r="R225" s="136">
        <f>VLOOKUP(B94, 'Формулы'!L44:CA45, 63,FALSE)</f>
        <v>3</v>
      </c>
      <c r="S225" s="122">
        <f>VLOOKUP(B94, 'Формулы'!L44:CA45, 64,FALSE)</f>
        <v>4</v>
      </c>
      <c r="T225" s="147"/>
      <c r="U225" s="148" t="str">
        <f>VLOOKUP(B94, 'Формулы'!L44:CA45, 66,FALSE)</f>
        <v>#N/A</v>
      </c>
      <c r="V225" s="136">
        <f>VLOOKUP(B94, 'Формулы'!L44:CA45, 67,FALSE)</f>
        <v>1</v>
      </c>
      <c r="W225" s="149" t="str">
        <f>VLOOKUP(B94, 'Формулы'!L44:CA45, 68,FALSE)</f>
        <v>до отказа</v>
      </c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ht="15.75" customHeight="1">
      <c r="A226" s="1"/>
      <c r="B226" s="85" t="str">
        <f t="shared" si="14"/>
        <v>Тяга штанги в наклоне</v>
      </c>
      <c r="C226" s="146" t="str">
        <f>VLOOKUP(B95, 'Формулы'!L48:CA50, 48,FALSE)</f>
        <v>#N/A</v>
      </c>
      <c r="D226" s="136">
        <f>VLOOKUP(B95, 'Формулы'!L48:CA50, 49,FALSE)</f>
        <v>3</v>
      </c>
      <c r="E226" s="122">
        <f>VLOOKUP(B95, 'Формулы'!L48:CA50, 50,FALSE)</f>
        <v>3</v>
      </c>
      <c r="F226" s="83"/>
      <c r="G226" s="148" t="str">
        <f>VLOOKUP(B95, 'Формулы'!L48:CA50, 52,FALSE)</f>
        <v>#N/A</v>
      </c>
      <c r="H226" s="136">
        <f>VLOOKUP(B95, 'Формулы'!L48:CA50, 53,FALSE)</f>
        <v>3</v>
      </c>
      <c r="I226" s="149">
        <f>VLOOKUP(B95, 'Формулы'!L48:CA50, 54,FALSE)</f>
        <v>4</v>
      </c>
      <c r="J226" s="146" t="str">
        <f>VLOOKUP(B95, 'Формулы'!L48:CA50, 55,FALSE)</f>
        <v>#N/A</v>
      </c>
      <c r="K226" s="136">
        <f>VLOOKUP(B95, 'Формулы'!L48:CA50, 56,FALSE)</f>
        <v>3</v>
      </c>
      <c r="L226" s="122">
        <f>VLOOKUP(B95, 'Формулы'!L48:CA50, 57,FALSE)</f>
        <v>3</v>
      </c>
      <c r="M226" s="83"/>
      <c r="N226" s="78" t="str">
        <f>VLOOKUP(B95, 'Формулы'!L48:CA50, 59,FALSE)</f>
        <v>#N/A</v>
      </c>
      <c r="O226" s="136">
        <f>VLOOKUP(B95, 'Формулы'!L48:CA50, 60,FALSE)</f>
        <v>3</v>
      </c>
      <c r="P226" s="149">
        <f>VLOOKUP(B95, 'Формулы'!L48:CA50, 61,FALSE)</f>
        <v>4</v>
      </c>
      <c r="Q226" s="146" t="str">
        <f>VLOOKUP(B95, 'Формулы'!L48:CA50, 62,FALSE)</f>
        <v>#N/A</v>
      </c>
      <c r="R226" s="136">
        <f>VLOOKUP(B95, 'Формулы'!L48:CA50, 63,FALSE)</f>
        <v>3</v>
      </c>
      <c r="S226" s="122">
        <f>VLOOKUP(B95, 'Формулы'!L48:CA50, 64,FALSE)</f>
        <v>3</v>
      </c>
      <c r="T226" s="83"/>
      <c r="U226" s="148" t="str">
        <f>VLOOKUP(B95, 'Формулы'!L48:CA50, 66,FALSE)</f>
        <v>#N/A</v>
      </c>
      <c r="V226" s="136">
        <f>VLOOKUP(B95, 'Формулы'!L48:CA50, 67,FALSE)</f>
        <v>3</v>
      </c>
      <c r="W226" s="149">
        <f>VLOOKUP(B95, 'Формулы'!L48:CA50, 68,FALSE)</f>
        <v>4</v>
      </c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ht="15.75" customHeight="1">
      <c r="A227" s="1"/>
      <c r="B227" s="85" t="str">
        <f t="shared" si="14"/>
        <v>Подтягивания (собственный вес)</v>
      </c>
      <c r="C227" s="150" t="str">
        <f>VLOOKUP(B96, 'Формулы'!L59:CA61, 48,FALSE)</f>
        <v>собств.</v>
      </c>
      <c r="D227" s="151">
        <f>VLOOKUP(B96, 'Формулы'!L59:CA61, 49,FALSE)</f>
        <v>1</v>
      </c>
      <c r="E227" s="153">
        <f>VLOOKUP(B96, 'Формулы'!L59:CA61, 50,FALSE)</f>
        <v>52</v>
      </c>
      <c r="F227" s="87"/>
      <c r="G227" s="152" t="str">
        <f>VLOOKUP(B96, 'Формулы'!L59:CA61, 52,FALSE)</f>
        <v>собств.</v>
      </c>
      <c r="H227" s="151">
        <f>VLOOKUP(B96, 'Формулы'!L59:CA61, 53,FALSE)</f>
        <v>4</v>
      </c>
      <c r="I227" s="158">
        <f>VLOOKUP(B96, 'Формулы'!L59:CA61, 54,FALSE)</f>
        <v>59</v>
      </c>
      <c r="J227" s="150" t="str">
        <f>VLOOKUP(B96, 'Формулы'!L59:CA61, 55,FALSE)</f>
        <v>собств.</v>
      </c>
      <c r="K227" s="151">
        <f>VLOOKUP(B96, 'Формулы'!L59:CA61, 56,FALSE)</f>
        <v>1</v>
      </c>
      <c r="L227" s="153">
        <f>VLOOKUP(B96, 'Формулы'!L59:CA61, 57,FALSE)</f>
        <v>61</v>
      </c>
      <c r="M227" s="87"/>
      <c r="N227" s="154" t="str">
        <f>VLOOKUP(B96, 'Формулы'!L59:CA61, 59,FALSE)</f>
        <v>собств.</v>
      </c>
      <c r="O227" s="136">
        <f>VLOOKUP(B96, 'Формулы'!L59:CA61, 60,FALSE)</f>
        <v>3</v>
      </c>
      <c r="P227" s="149">
        <f>VLOOKUP(B96, 'Формулы'!L59:CA61, 61,FALSE)</f>
        <v>69</v>
      </c>
      <c r="Q227" s="150" t="str">
        <f>VLOOKUP(B96, 'Формулы'!L59:CA61, 62,FALSE)</f>
        <v>собств.</v>
      </c>
      <c r="R227" s="136">
        <f>VLOOKUP(B96, 'Формулы'!L59:CA61, 63,FALSE)</f>
        <v>1</v>
      </c>
      <c r="S227" s="122">
        <f>VLOOKUP(B96, 'Формулы'!L59:CA61, 64,FALSE)</f>
        <v>71</v>
      </c>
      <c r="T227" s="87"/>
      <c r="U227" s="152" t="str">
        <f>VLOOKUP(B96, 'Формулы'!L59:CA61, 66,FALSE)</f>
        <v>собств.</v>
      </c>
      <c r="V227" s="136">
        <f>VLOOKUP(B96, 'Формулы'!L59:CA61, 67,FALSE)</f>
        <v>3</v>
      </c>
      <c r="W227" s="149">
        <f>VLOOKUP(B96, 'Формулы'!L59:CA61, 68,FALSE)</f>
        <v>69</v>
      </c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ht="15.75" customHeight="1">
      <c r="A228" s="1"/>
      <c r="B228" s="85" t="str">
        <f>IF(B131="+", "", B131)</f>
        <v/>
      </c>
      <c r="C228" s="159" t="str">
        <f>IF(B97='Формулы'!L63,"",VLOOKUP(B97,'Формулы'!L63:CA65,48,FALSE))</f>
        <v/>
      </c>
      <c r="D228" s="112" t="str">
        <f>IF(B97='Формулы'!L63,"",VLOOKUP(B97,'Формулы'!L63:CA65,49,FALSE))</f>
        <v/>
      </c>
      <c r="E228" s="160" t="str">
        <f>IF(B97='Формулы'!L63,"",VLOOKUP(B97,'Формулы'!L63:CA65,50,FALSE))</f>
        <v/>
      </c>
      <c r="F228" s="87"/>
      <c r="G228" s="161" t="str">
        <f>IF(B97='Формулы'!L63,"",VLOOKUP(B97,'Формулы'!L63:CA65,52,FALSE))</f>
        <v/>
      </c>
      <c r="H228" s="112" t="str">
        <f>IF(B97='Формулы'!L63,"",VLOOKUP(B97,'Формулы'!L63:CA65,53,FALSE))</f>
        <v/>
      </c>
      <c r="I228" s="164" t="str">
        <f>IF(B97='Формулы'!L63,"",VLOOKUP(B97,'Формулы'!L63:CA65,54,FALSE))</f>
        <v/>
      </c>
      <c r="J228" s="159" t="str">
        <f>IF(B97='Формулы'!L63,"",VLOOKUP(B97,'Формулы'!L63:CA65,55,FALSE))</f>
        <v/>
      </c>
      <c r="K228" s="112" t="str">
        <f>IF(B97='Формулы'!L63,"",VLOOKUP(B97,'Формулы'!L63:CA65,56,FALSE))</f>
        <v/>
      </c>
      <c r="L228" s="160" t="str">
        <f>IF(B97='Формулы'!L63,"",VLOOKUP(B97,'Формулы'!L63:CA65,57,FALSE))</f>
        <v/>
      </c>
      <c r="M228" s="87"/>
      <c r="N228" s="111" t="str">
        <f>IF(B97='Формулы'!L63,"",VLOOKUP(B97,'Формулы'!L63:CA65,59,FALSE))</f>
        <v/>
      </c>
      <c r="O228" s="112" t="str">
        <f>IF(B97='Формулы'!L63,"",VLOOKUP(B97,'Формулы'!L63:CA65,60,FALSE))</f>
        <v/>
      </c>
      <c r="P228" s="164" t="str">
        <f>IF(B97='Формулы'!L63,"",VLOOKUP(B97,'Формулы'!L63:CA65,61,FALSE))</f>
        <v/>
      </c>
      <c r="Q228" s="159" t="str">
        <f>IF(B97='Формулы'!L63,"",VLOOKUP(B97,'Формулы'!L63:CA65,62,FALSE))</f>
        <v/>
      </c>
      <c r="R228" s="112" t="str">
        <f>IF(B97='Формулы'!L63,"",VLOOKUP(B97,'Формулы'!L63:CA65,63,FALSE))</f>
        <v/>
      </c>
      <c r="S228" s="160" t="str">
        <f>IF(B97='Формулы'!L63,"",VLOOKUP(B97,'Формулы'!L63:CA65,64,FALSE))</f>
        <v/>
      </c>
      <c r="T228" s="87"/>
      <c r="U228" s="161" t="str">
        <f>IF(B97='Формулы'!L63,"",VLOOKUP(B97,'Формулы'!L63:CA65,66,FALSE))</f>
        <v/>
      </c>
      <c r="V228" s="112" t="str">
        <f>IF(B97='Формулы'!L63,"",VLOOKUP(B97,'Формулы'!L63:CA65,67,FALSE))</f>
        <v/>
      </c>
      <c r="W228" s="164" t="str">
        <f>IF(B97='Формулы'!L63,"",VLOOKUP(B97,'Формулы'!L63:CA65,68,FALSE))</f>
        <v/>
      </c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ht="15.75" customHeight="1">
      <c r="A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ht="15.75" customHeight="1">
      <c r="A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ht="15.75" customHeight="1">
      <c r="A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ht="15.75" customHeight="1">
      <c r="A232" s="1"/>
      <c r="B232" s="2" t="s">
        <v>98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ht="23.25" customHeight="1">
      <c r="A233" s="1"/>
      <c r="B233" s="1"/>
      <c r="C233" s="175"/>
      <c r="D233" s="175" t="s">
        <v>99</v>
      </c>
      <c r="E233" s="175"/>
      <c r="F233" s="175"/>
      <c r="G233" s="17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ht="15.75" customHeight="1">
      <c r="A238" s="1"/>
      <c r="B238" s="26" t="s">
        <v>100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ht="15.75" customHeight="1">
      <c r="A239" s="1"/>
      <c r="B239" s="26" t="s">
        <v>101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ht="15.75" customHeight="1">
      <c r="A240" s="1"/>
      <c r="B240" s="26" t="s">
        <v>64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ht="15.75" customHeight="1">
      <c r="A241" s="1"/>
      <c r="B241" s="26" t="s">
        <v>46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ht="15.75" customHeight="1">
      <c r="A242" s="1"/>
      <c r="B242" s="26" t="s">
        <v>102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ht="15.75" customHeight="1">
      <c r="A243" s="1"/>
      <c r="B243" s="26" t="s">
        <v>103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ht="15.75" customHeight="1">
      <c r="A244" s="1"/>
      <c r="B244" s="26" t="s">
        <v>104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ht="15.75" customHeight="1">
      <c r="A245" s="1"/>
      <c r="B245" s="26" t="s">
        <v>105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ht="15.75" customHeight="1">
      <c r="A246" s="1"/>
      <c r="B246" s="26" t="s">
        <v>106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ht="15.75" customHeight="1">
      <c r="A247" s="1"/>
      <c r="B247" s="26" t="s">
        <v>107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ht="15.75" customHeight="1">
      <c r="A248" s="1"/>
      <c r="B248" s="26" t="s">
        <v>108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ht="15.75" customHeight="1">
      <c r="A249" s="1"/>
      <c r="B249" s="26" t="s">
        <v>109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ht="15.75" customHeight="1">
      <c r="A250" s="1"/>
      <c r="B250" s="26" t="s">
        <v>110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ht="15.75" customHeight="1">
      <c r="A251" s="1"/>
      <c r="B251" s="26" t="s">
        <v>111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ht="15.75" customHeight="1">
      <c r="A252" s="1"/>
      <c r="B252" s="26" t="s">
        <v>58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15.75" customHeight="1">
      <c r="A253" s="1"/>
      <c r="B253" s="26" t="s">
        <v>112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ht="15.75" customHeight="1">
      <c r="A254" s="1"/>
      <c r="B254" s="26" t="s">
        <v>113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ht="15.75" customHeight="1">
      <c r="A258" s="1"/>
      <c r="B258" s="26" t="s">
        <v>114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ht="15.75" customHeight="1">
      <c r="A259" s="1"/>
      <c r="B259" s="26" t="s">
        <v>115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ht="15.75" customHeight="1">
      <c r="A260" s="1"/>
      <c r="B260" s="26" t="s">
        <v>116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ht="15.75" customHeight="1">
      <c r="A261" s="1"/>
      <c r="B261" s="26" t="s">
        <v>117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ht="15.75" customHeight="1">
      <c r="A262" s="1"/>
      <c r="B262" s="26" t="s">
        <v>57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ht="15.75" customHeight="1">
      <c r="A263" s="1"/>
      <c r="B263" s="26" t="s">
        <v>118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ht="15.75" customHeight="1">
      <c r="A264" s="1"/>
      <c r="B264" s="26" t="s">
        <v>119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ht="15.75" customHeight="1">
      <c r="A265" s="1"/>
      <c r="B265" s="26" t="s">
        <v>120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ht="15.75" customHeight="1">
      <c r="A266" s="1"/>
      <c r="B266" s="26" t="s">
        <v>121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ht="15.75" customHeight="1">
      <c r="A267" s="1"/>
      <c r="B267" s="26" t="s">
        <v>122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ht="15.75" customHeight="1">
      <c r="A268" s="1"/>
      <c r="B268" s="26" t="s">
        <v>123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ht="15.75" customHeight="1">
      <c r="A269" s="1"/>
      <c r="B269" s="26" t="s">
        <v>124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ht="15.75" customHeight="1">
      <c r="A270" s="1"/>
      <c r="B270" s="26" t="s">
        <v>125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ht="15.75" customHeight="1">
      <c r="A274" s="1"/>
      <c r="B274" s="26" t="s">
        <v>126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ht="15.75" customHeight="1">
      <c r="A275" s="1"/>
      <c r="B275" s="26" t="s">
        <v>127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ht="15.75" customHeight="1">
      <c r="A276" s="1"/>
      <c r="B276" s="26" t="s">
        <v>128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ht="15.75" customHeight="1">
      <c r="A277" s="1"/>
      <c r="B277" s="26" t="s">
        <v>129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ht="15.75" customHeight="1">
      <c r="A278" s="1"/>
      <c r="B278" s="26" t="s">
        <v>130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ht="15.75" customHeight="1">
      <c r="A279" s="1"/>
      <c r="B279" s="26" t="s">
        <v>131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ht="15.75" customHeight="1">
      <c r="A280" s="1"/>
      <c r="B280" s="176" t="s">
        <v>132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ht="15.75" customHeight="1">
      <c r="A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ht="15.75" customHeight="1">
      <c r="A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ht="15.75" customHeight="1">
      <c r="A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ht="15.75" customHeight="1">
      <c r="A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ht="15.75" customHeight="1">
      <c r="A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ht="15.75" customHeight="1">
      <c r="A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ht="15.75" customHeight="1">
      <c r="A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ht="15.75" customHeight="1">
      <c r="A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ht="15.75" customHeight="1">
      <c r="A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ht="15.75" customHeight="1">
      <c r="A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ht="15.75" customHeight="1">
      <c r="A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ht="15.75" customHeight="1">
      <c r="A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ht="15.75" customHeight="1">
      <c r="A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ht="15.75" customHeight="1">
      <c r="A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ht="15.75" customHeight="1">
      <c r="A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ht="15.75" customHeight="1">
      <c r="A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ht="15.75" customHeight="1">
      <c r="A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ht="15.75" customHeight="1">
      <c r="A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ht="15.75" customHeight="1">
      <c r="A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ht="15.75" customHeight="1">
      <c r="A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ht="15.75" customHeight="1">
      <c r="A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ht="15.75" customHeight="1">
      <c r="A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ht="15.75" customHeight="1">
      <c r="A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ht="15.75" customHeight="1">
      <c r="A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ht="15.75" customHeight="1">
      <c r="A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ht="15.75" customHeight="1">
      <c r="A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ht="15.75" customHeight="1">
      <c r="A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ht="15.75" customHeight="1">
      <c r="A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B31:E32"/>
    <mergeCell ref="AD43:AI43"/>
    <mergeCell ref="AJ43:AJ44"/>
    <mergeCell ref="AD44:AE44"/>
    <mergeCell ref="AF44:AG44"/>
    <mergeCell ref="AH44:AI44"/>
    <mergeCell ref="F72:W73"/>
    <mergeCell ref="R75:T75"/>
    <mergeCell ref="U75:W75"/>
    <mergeCell ref="AD78:AM78"/>
    <mergeCell ref="F74:N74"/>
    <mergeCell ref="O74:W74"/>
    <mergeCell ref="C75:D75"/>
    <mergeCell ref="F75:H75"/>
    <mergeCell ref="I75:K75"/>
    <mergeCell ref="L75:N75"/>
    <mergeCell ref="O75:Q75"/>
    <mergeCell ref="C83:D83"/>
    <mergeCell ref="F83:H83"/>
    <mergeCell ref="C91:D91"/>
    <mergeCell ref="F91:H91"/>
    <mergeCell ref="H105:N106"/>
    <mergeCell ref="C107:D109"/>
    <mergeCell ref="C150:W151"/>
    <mergeCell ref="C204:W205"/>
    <mergeCell ref="C206:I206"/>
    <mergeCell ref="J206:P206"/>
    <mergeCell ref="Q206:W206"/>
    <mergeCell ref="C222:F222"/>
    <mergeCell ref="G222:J222"/>
    <mergeCell ref="K222:N222"/>
    <mergeCell ref="C152:I152"/>
    <mergeCell ref="J152:P152"/>
    <mergeCell ref="Q152:W152"/>
    <mergeCell ref="C177:W178"/>
    <mergeCell ref="C179:I179"/>
    <mergeCell ref="J179:P179"/>
    <mergeCell ref="Q179:W179"/>
  </mergeCells>
  <dataValidations>
    <dataValidation type="list" allowBlank="1" showErrorMessage="1" sqref="B80">
      <formula1>'Формулы'!$L$21:$L$22</formula1>
    </dataValidation>
    <dataValidation type="list" allowBlank="1" showErrorMessage="1" sqref="B86">
      <formula1>'Формулы'!$L$33:$L$34</formula1>
    </dataValidation>
    <dataValidation type="list" allowBlank="1" showErrorMessage="1" sqref="B96">
      <formula1>'Формулы'!$L$59:$L$61</formula1>
    </dataValidation>
    <dataValidation type="list" allowBlank="1" showErrorMessage="1" sqref="B78">
      <formula1>'Формулы'!$L$13:$L$15</formula1>
    </dataValidation>
    <dataValidation type="list" allowBlank="1" showErrorMessage="1" sqref="B79">
      <formula1>'Формулы'!$L$54:$L$56</formula1>
    </dataValidation>
    <dataValidation type="list" allowBlank="1" showErrorMessage="1" sqref="B93">
      <formula1>'Формулы'!$L$17:$L$19</formula1>
    </dataValidation>
    <dataValidation type="list" allowBlank="1" showErrorMessage="1" sqref="B94">
      <formula1>'Формулы'!$L$44:$L$45</formula1>
    </dataValidation>
    <dataValidation type="list" allowBlank="1" showErrorMessage="1" sqref="B85">
      <formula1>'Формулы'!$L$24:$L$26</formula1>
    </dataValidation>
    <dataValidation type="list" allowBlank="1" showErrorMessage="1" sqref="D123">
      <formula1>IF($B$89='Формулы'!$L$39, 'Коэффициенты'!$K$21, 'Коэффициенты'!$N$3:$N$11)</formula1>
    </dataValidation>
    <dataValidation type="list" allowBlank="1" showErrorMessage="1" sqref="B88">
      <formula1>'Формулы'!$L$36:$L$38</formula1>
    </dataValidation>
    <dataValidation type="list" allowBlank="1" showErrorMessage="1" sqref="B87">
      <formula1>'Формулы'!$L$28:$L$30</formula1>
    </dataValidation>
    <dataValidation type="list" allowBlank="1" showErrorMessage="1" sqref="H77:H81 K77:K81 N77:N81 Q77:Q81 T77:T81 W77:W81 H85:H89 K85:K89 N85:N89 Q85:Q89 T85:T89 W85:W89 H93:H97 K93:K97 N93:N97 Q93:Q97 T93:T97 W93:W97 T154:T157 F154:F158 M154:M158 F162:F166 M162:M166 T162:T166 F170:F174 M170:M174 T170:T174 F181:F183 F185 M181:M185 T181:T185 F189:F193 M189:M193 T189:T193 F197:F201 M197:M201 T197:T201 F208:F212 M208:M212 T208:T212 F216:F220 M216:M220 T216:T220 F224:F228 M224:M228 T224:T228">
      <formula1>'Формулы'!$N$93:$N$100</formula1>
    </dataValidation>
    <dataValidation type="list" allowBlank="1" showErrorMessage="1" sqref="B77">
      <formula1>'Формулы'!$L$9:$L$11</formula1>
    </dataValidation>
    <dataValidation type="list" allowBlank="1" showErrorMessage="1" sqref="E77:E81 E85:E89 E93:E97">
      <formula1>'Коэффициенты'!$O$18:$O$22</formula1>
    </dataValidation>
    <dataValidation type="list" allowBlank="1" showErrorMessage="1" sqref="B97">
      <formula1>'Формулы'!$L$63:$L$65</formula1>
    </dataValidation>
    <dataValidation type="list" allowBlank="1" showErrorMessage="1" sqref="B81">
      <formula1>'Формулы'!$L$67:$L$69</formula1>
    </dataValidation>
    <dataValidation type="list" allowBlank="1" showErrorMessage="1" sqref="B89">
      <formula1>'Формулы'!$L$39:$L$41</formula1>
    </dataValidation>
    <dataValidation type="list" allowBlank="1" showErrorMessage="1" sqref="B95">
      <formula1>'Формулы'!$L$48:$L$50</formula1>
    </dataValidation>
    <dataValidation type="list" allowBlank="1" showErrorMessage="1" sqref="D113:D114 D119:D122 D127:D129">
      <formula1>'Коэффициенты'!$C$2:$C$11</formula1>
    </dataValidation>
    <dataValidation type="list" allowBlank="1" showErrorMessage="1" sqref="D131">
      <formula1>IF($B$97='Формулы'!$L$63, 'Коэффициенты'!$J$16, 'Коэффициенты'!$N$5:$N$11)</formula1>
    </dataValidation>
  </dataValidations>
  <hyperlinks>
    <hyperlink display="ЧТО ТАКОЕ RPE!?" location="RPE!A1" ref="M62"/>
    <hyperlink r:id="rId1" ref="D233"/>
    <hyperlink r:id="rId2" ref="B238"/>
    <hyperlink r:id="rId3" ref="B239"/>
    <hyperlink r:id="rId4" ref="B240"/>
    <hyperlink r:id="rId5" ref="B241"/>
    <hyperlink r:id="rId6" ref="B242"/>
    <hyperlink r:id="rId7" ref="B243"/>
    <hyperlink r:id="rId8" ref="B244"/>
    <hyperlink r:id="rId9" ref="B245"/>
    <hyperlink r:id="rId10" ref="B246"/>
    <hyperlink r:id="rId11" ref="B247"/>
    <hyperlink r:id="rId12" ref="B248"/>
    <hyperlink r:id="rId13" ref="B249"/>
    <hyperlink r:id="rId14" ref="B250"/>
    <hyperlink r:id="rId15" ref="B251"/>
    <hyperlink r:id="rId16" ref="B252"/>
    <hyperlink r:id="rId17" ref="B253"/>
    <hyperlink r:id="rId18" ref="B254"/>
    <hyperlink r:id="rId19" ref="B258"/>
    <hyperlink r:id="rId20" ref="B259"/>
    <hyperlink r:id="rId21" ref="B260"/>
    <hyperlink r:id="rId22" ref="B261"/>
    <hyperlink r:id="rId23" ref="B262"/>
    <hyperlink r:id="rId24" ref="B263"/>
    <hyperlink r:id="rId25" ref="B264"/>
    <hyperlink r:id="rId26" ref="B265"/>
    <hyperlink r:id="rId27" ref="B266"/>
    <hyperlink r:id="rId28" ref="B267"/>
    <hyperlink r:id="rId29" ref="B268"/>
    <hyperlink r:id="rId30" ref="B269"/>
    <hyperlink r:id="rId31" ref="B270"/>
    <hyperlink r:id="rId32" ref="B274"/>
    <hyperlink r:id="rId33" ref="B275"/>
    <hyperlink r:id="rId34" ref="B276"/>
    <hyperlink r:id="rId35" ref="B277"/>
    <hyperlink r:id="rId36" ref="B278"/>
    <hyperlink r:id="rId37" ref="B279"/>
    <hyperlink r:id="rId38" ref="B280"/>
  </hyperlinks>
  <printOptions/>
  <pageMargins bottom="0.75" footer="0.0" header="0.0" left="0.7" right="0.7" top="0.75"/>
  <pageSetup paperSize="9" orientation="portrait"/>
  <drawing r:id="rId3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0.29"/>
    <col customWidth="1" min="4" max="5" width="8.71"/>
    <col customWidth="1" min="6" max="6" width="13.86"/>
    <col customWidth="1" min="7" max="26" width="8.71"/>
  </cols>
  <sheetData>
    <row r="4">
      <c r="C4" s="6" t="s">
        <v>133</v>
      </c>
      <c r="D4" s="1"/>
      <c r="E4" s="1"/>
      <c r="F4" s="1"/>
      <c r="G4" s="1"/>
      <c r="H4" s="1"/>
      <c r="I4" s="1"/>
      <c r="K4" s="6" t="s">
        <v>134</v>
      </c>
      <c r="L4" s="1"/>
      <c r="M4" s="1"/>
      <c r="N4" s="1"/>
      <c r="O4" s="1"/>
      <c r="P4" s="1"/>
      <c r="Q4" s="1"/>
      <c r="R4" s="1"/>
    </row>
    <row r="5">
      <c r="C5" s="1"/>
      <c r="D5" s="1"/>
      <c r="E5" s="1"/>
      <c r="F5" s="1"/>
      <c r="G5" s="1"/>
      <c r="H5" s="1"/>
      <c r="I5" s="1"/>
      <c r="K5" s="1"/>
      <c r="L5" s="1"/>
      <c r="M5" s="1"/>
      <c r="N5" s="1"/>
      <c r="O5" s="1"/>
      <c r="P5" s="1"/>
      <c r="Q5" s="1"/>
      <c r="R5" s="1"/>
    </row>
    <row r="6">
      <c r="C6" s="6" t="s">
        <v>135</v>
      </c>
      <c r="D6" s="83">
        <v>95.0</v>
      </c>
      <c r="E6" s="1"/>
      <c r="F6" s="1"/>
      <c r="G6" s="1"/>
      <c r="H6" s="1"/>
      <c r="I6" s="1"/>
      <c r="K6" s="6" t="s">
        <v>135</v>
      </c>
      <c r="L6" s="83">
        <v>150.0</v>
      </c>
      <c r="M6" s="1"/>
      <c r="N6" s="1"/>
      <c r="O6" s="1"/>
      <c r="P6" s="1"/>
      <c r="Q6" s="1"/>
      <c r="R6" s="1"/>
    </row>
    <row r="7">
      <c r="C7" s="1"/>
      <c r="D7" s="1"/>
      <c r="E7" s="1"/>
      <c r="F7" s="1"/>
      <c r="G7" s="1"/>
      <c r="H7" s="1"/>
      <c r="I7" s="1"/>
      <c r="K7" s="1"/>
      <c r="L7" s="1"/>
      <c r="M7" s="1"/>
      <c r="N7" s="1"/>
      <c r="O7" s="1"/>
      <c r="P7" s="1"/>
      <c r="Q7" s="1"/>
      <c r="R7" s="1"/>
    </row>
    <row r="8">
      <c r="C8" s="1"/>
      <c r="D8" s="1" t="s">
        <v>43</v>
      </c>
      <c r="E8" s="1" t="s">
        <v>44</v>
      </c>
      <c r="F8" s="1" t="s">
        <v>136</v>
      </c>
      <c r="G8" s="1"/>
      <c r="H8" s="1"/>
      <c r="I8" s="1"/>
      <c r="K8" s="1"/>
      <c r="L8" s="1" t="s">
        <v>43</v>
      </c>
      <c r="M8" s="1" t="s">
        <v>44</v>
      </c>
      <c r="N8" s="1" t="s">
        <v>136</v>
      </c>
      <c r="O8" s="1"/>
      <c r="P8" s="1"/>
      <c r="Q8" s="1"/>
      <c r="R8" s="1"/>
    </row>
    <row r="9">
      <c r="C9" s="136" t="s">
        <v>36</v>
      </c>
      <c r="D9" s="136">
        <v>20.0</v>
      </c>
      <c r="E9" s="136">
        <v>10.0</v>
      </c>
      <c r="F9" s="136" t="s">
        <v>137</v>
      </c>
      <c r="G9" s="1"/>
      <c r="H9" s="1"/>
      <c r="I9" s="1"/>
      <c r="K9" s="136" t="s">
        <v>36</v>
      </c>
      <c r="L9" s="136">
        <v>60.0</v>
      </c>
      <c r="M9" s="136">
        <v>6.0</v>
      </c>
      <c r="N9" s="136" t="s">
        <v>138</v>
      </c>
      <c r="O9" s="1"/>
      <c r="P9" s="1"/>
      <c r="Q9" s="1"/>
      <c r="R9" s="1"/>
    </row>
    <row r="10">
      <c r="C10" s="136" t="s">
        <v>37</v>
      </c>
      <c r="D10" s="136">
        <f>CEILING(D6*0.5,5)</f>
        <v>50</v>
      </c>
      <c r="E10" s="136">
        <v>4.0</v>
      </c>
      <c r="F10" s="136" t="s">
        <v>137</v>
      </c>
      <c r="G10" s="1"/>
      <c r="H10" s="1"/>
      <c r="I10" s="1"/>
      <c r="K10" s="136" t="s">
        <v>37</v>
      </c>
      <c r="L10" s="136">
        <f>CEILING(L6*0.5,5)</f>
        <v>75</v>
      </c>
      <c r="M10" s="136">
        <v>4.0</v>
      </c>
      <c r="N10" s="136" t="s">
        <v>138</v>
      </c>
      <c r="O10" s="1"/>
      <c r="P10" s="1"/>
      <c r="Q10" s="1"/>
      <c r="R10" s="1"/>
    </row>
    <row r="11">
      <c r="C11" s="136" t="s">
        <v>38</v>
      </c>
      <c r="D11" s="136">
        <f>CEILING(D6*0.65,5)</f>
        <v>65</v>
      </c>
      <c r="E11" s="136">
        <v>3.0</v>
      </c>
      <c r="F11" s="136" t="s">
        <v>139</v>
      </c>
      <c r="G11" s="1"/>
      <c r="H11" s="1"/>
      <c r="I11" s="1"/>
      <c r="K11" s="136" t="s">
        <v>38</v>
      </c>
      <c r="L11" s="136">
        <f>CEILING(L6*0.65,5)</f>
        <v>100</v>
      </c>
      <c r="M11" s="136">
        <v>3.0</v>
      </c>
      <c r="N11" s="136" t="s">
        <v>140</v>
      </c>
      <c r="O11" s="1"/>
      <c r="P11" s="1"/>
      <c r="Q11" s="1"/>
      <c r="R11" s="1"/>
    </row>
    <row r="12">
      <c r="C12" s="136" t="s">
        <v>141</v>
      </c>
      <c r="D12" s="136">
        <f>CEILING(D6*0.75,5)</f>
        <v>75</v>
      </c>
      <c r="E12" s="136">
        <v>2.0</v>
      </c>
      <c r="F12" s="136" t="s">
        <v>139</v>
      </c>
      <c r="G12" s="1"/>
      <c r="H12" s="1"/>
      <c r="I12" s="1"/>
      <c r="K12" s="136" t="s">
        <v>141</v>
      </c>
      <c r="L12" s="136">
        <f>CEILING(L6*0.75,5)</f>
        <v>115</v>
      </c>
      <c r="M12" s="136">
        <v>2.0</v>
      </c>
      <c r="N12" s="136" t="s">
        <v>140</v>
      </c>
      <c r="O12" s="1"/>
      <c r="P12" s="1"/>
      <c r="Q12" s="1"/>
      <c r="R12" s="1"/>
    </row>
    <row r="13">
      <c r="C13" s="136" t="s">
        <v>142</v>
      </c>
      <c r="D13" s="136">
        <f>CEILING(D6*0.825,2.5)</f>
        <v>80</v>
      </c>
      <c r="E13" s="136">
        <v>1.0</v>
      </c>
      <c r="F13" s="136" t="s">
        <v>143</v>
      </c>
      <c r="G13" s="1"/>
      <c r="H13" s="1"/>
      <c r="I13" s="1"/>
      <c r="K13" s="136" t="s">
        <v>142</v>
      </c>
      <c r="L13" s="136">
        <f>CEILING(L6*0.825,2.5)</f>
        <v>125</v>
      </c>
      <c r="M13" s="136">
        <v>1.0</v>
      </c>
      <c r="N13" s="136" t="s">
        <v>143</v>
      </c>
      <c r="O13" s="1"/>
      <c r="P13" s="1"/>
      <c r="Q13" s="1"/>
      <c r="R13" s="1"/>
    </row>
    <row r="14">
      <c r="C14" s="136" t="s">
        <v>144</v>
      </c>
      <c r="D14" s="136">
        <f>CEILING(D6*0.875,2.5)</f>
        <v>85</v>
      </c>
      <c r="E14" s="136">
        <v>1.0</v>
      </c>
      <c r="F14" s="136" t="s">
        <v>145</v>
      </c>
      <c r="G14" s="1"/>
      <c r="H14" s="1"/>
      <c r="I14" s="1"/>
      <c r="K14" s="136" t="s">
        <v>144</v>
      </c>
      <c r="L14" s="136">
        <f>CEILING(L6*0.875,2.5)</f>
        <v>132.5</v>
      </c>
      <c r="M14" s="136">
        <v>1.0</v>
      </c>
      <c r="N14" s="136" t="s">
        <v>145</v>
      </c>
      <c r="O14" s="1"/>
      <c r="P14" s="1"/>
      <c r="Q14" s="1"/>
      <c r="R14" s="1"/>
    </row>
    <row r="15">
      <c r="C15" s="136" t="s">
        <v>146</v>
      </c>
      <c r="D15" s="136">
        <f>CEILING(D6*0.925,2.5)</f>
        <v>90</v>
      </c>
      <c r="E15" s="136">
        <v>1.0</v>
      </c>
      <c r="F15" s="136" t="s">
        <v>147</v>
      </c>
      <c r="G15" s="1"/>
      <c r="H15" s="1"/>
      <c r="I15" s="1"/>
      <c r="K15" s="136" t="s">
        <v>146</v>
      </c>
      <c r="L15" s="136">
        <f>CEILING(L6*0.925,2.5)</f>
        <v>140</v>
      </c>
      <c r="M15" s="136">
        <v>1.0</v>
      </c>
      <c r="N15" s="136" t="s">
        <v>147</v>
      </c>
      <c r="O15" s="1"/>
      <c r="P15" s="1"/>
      <c r="Q15" s="1"/>
      <c r="R15" s="1"/>
    </row>
    <row r="16">
      <c r="C16" s="136" t="s">
        <v>148</v>
      </c>
      <c r="D16" s="136">
        <f>FLOOR(D6*0.975,2.5)</f>
        <v>92.5</v>
      </c>
      <c r="E16" s="136">
        <v>1.0</v>
      </c>
      <c r="F16" s="136" t="s">
        <v>147</v>
      </c>
      <c r="G16" s="1"/>
      <c r="H16" s="1"/>
      <c r="I16" s="1"/>
      <c r="K16" s="136" t="s">
        <v>148</v>
      </c>
      <c r="L16" s="136">
        <f>FLOOR(L6*0.975,2.5)</f>
        <v>145</v>
      </c>
      <c r="M16" s="136">
        <v>1.0</v>
      </c>
      <c r="N16" s="136" t="s">
        <v>147</v>
      </c>
      <c r="O16" s="1"/>
      <c r="P16" s="1"/>
      <c r="Q16" s="1"/>
      <c r="R16" s="1"/>
    </row>
    <row r="17">
      <c r="C17" s="136" t="s">
        <v>149</v>
      </c>
      <c r="D17" s="136">
        <f>CEILING(D6*1,2.5)</f>
        <v>95</v>
      </c>
      <c r="E17" s="136">
        <v>1.0</v>
      </c>
      <c r="F17" s="136" t="s">
        <v>150</v>
      </c>
      <c r="G17" s="1"/>
      <c r="H17" s="1"/>
      <c r="I17" s="1"/>
      <c r="K17" s="136" t="s">
        <v>149</v>
      </c>
      <c r="L17" s="136">
        <f>CEILING(L6*1,2.5)</f>
        <v>150</v>
      </c>
      <c r="M17" s="136">
        <v>1.0</v>
      </c>
      <c r="N17" s="136" t="s">
        <v>150</v>
      </c>
      <c r="O17" s="1"/>
      <c r="P17" s="1"/>
      <c r="Q17" s="1"/>
      <c r="R17" s="1"/>
    </row>
    <row r="18">
      <c r="C18" s="1"/>
      <c r="D18" s="1"/>
      <c r="E18" s="1"/>
      <c r="F18" s="1"/>
      <c r="G18" s="1"/>
      <c r="H18" s="1"/>
      <c r="I18" s="1"/>
      <c r="K18" s="1"/>
      <c r="L18" s="1"/>
      <c r="M18" s="1"/>
      <c r="N18" s="1"/>
      <c r="O18" s="1"/>
      <c r="P18" s="1"/>
      <c r="Q18" s="1"/>
      <c r="R18" s="1"/>
    </row>
    <row r="19">
      <c r="C19" s="1"/>
      <c r="D19" s="1"/>
      <c r="E19" s="1"/>
      <c r="F19" s="1"/>
      <c r="G19" s="1"/>
      <c r="K19" s="1"/>
      <c r="L19" s="1"/>
      <c r="M19" s="1"/>
      <c r="N19" s="1"/>
      <c r="O19" s="1"/>
      <c r="P19" s="1"/>
      <c r="Q19" s="1"/>
      <c r="R19" s="1"/>
    </row>
    <row r="20">
      <c r="K20" s="1"/>
      <c r="L20" s="1"/>
      <c r="M20" s="1"/>
      <c r="N20" s="1"/>
      <c r="O20" s="1"/>
      <c r="P20" s="1"/>
      <c r="Q20" s="1"/>
      <c r="R20" s="1"/>
    </row>
    <row r="21" ht="15.75" customHeight="1">
      <c r="C21" s="6" t="s">
        <v>151</v>
      </c>
      <c r="K21" s="6" t="s">
        <v>152</v>
      </c>
      <c r="L21" s="1"/>
      <c r="M21" s="1"/>
      <c r="N21" s="1"/>
      <c r="O21" s="1"/>
      <c r="P21" s="1"/>
      <c r="Q21" s="1"/>
      <c r="R21" s="1"/>
    </row>
    <row r="22" ht="15.75" customHeight="1">
      <c r="C22" s="1"/>
      <c r="K22" s="1"/>
      <c r="L22" s="1"/>
      <c r="M22" s="1"/>
      <c r="N22" s="1"/>
      <c r="O22" s="1"/>
      <c r="P22" s="1"/>
      <c r="Q22" s="1"/>
      <c r="R22" s="1"/>
    </row>
    <row r="23" ht="15.75" customHeight="1">
      <c r="C23" s="6" t="s">
        <v>135</v>
      </c>
      <c r="D23" s="83">
        <v>140.0</v>
      </c>
      <c r="K23" s="6" t="s">
        <v>135</v>
      </c>
      <c r="L23" s="83">
        <v>220.0</v>
      </c>
      <c r="M23" s="1"/>
      <c r="N23" s="1"/>
      <c r="O23" s="1"/>
      <c r="P23" s="1"/>
      <c r="Q23" s="1"/>
      <c r="R23" s="1"/>
    </row>
    <row r="24" ht="15.75" customHeight="1">
      <c r="K24" s="1"/>
      <c r="L24" s="1"/>
      <c r="M24" s="1"/>
      <c r="N24" s="1"/>
      <c r="O24" s="1"/>
      <c r="P24" s="1"/>
      <c r="Q24" s="1"/>
      <c r="R24" s="1"/>
    </row>
    <row r="25" ht="15.75" customHeight="1">
      <c r="D25" s="1" t="s">
        <v>43</v>
      </c>
      <c r="E25" s="1" t="s">
        <v>44</v>
      </c>
      <c r="F25" s="1" t="s">
        <v>136</v>
      </c>
      <c r="K25" s="1"/>
      <c r="L25" s="1" t="s">
        <v>43</v>
      </c>
      <c r="M25" s="1" t="s">
        <v>44</v>
      </c>
      <c r="N25" s="1" t="s">
        <v>136</v>
      </c>
      <c r="O25" s="1"/>
      <c r="P25" s="1"/>
      <c r="Q25" s="1"/>
      <c r="R25" s="1"/>
    </row>
    <row r="26" ht="15.75" customHeight="1">
      <c r="C26" s="136" t="s">
        <v>36</v>
      </c>
      <c r="D26" s="136">
        <v>20.0</v>
      </c>
      <c r="E26" s="136">
        <v>10.0</v>
      </c>
      <c r="F26" s="136" t="s">
        <v>137</v>
      </c>
      <c r="K26" s="136" t="s">
        <v>36</v>
      </c>
      <c r="L26" s="136">
        <v>70.0</v>
      </c>
      <c r="M26" s="136">
        <v>10.0</v>
      </c>
      <c r="N26" s="136" t="s">
        <v>138</v>
      </c>
      <c r="O26" s="1"/>
      <c r="P26" s="1"/>
      <c r="Q26" s="1"/>
      <c r="R26" s="1"/>
    </row>
    <row r="27" ht="15.75" customHeight="1">
      <c r="C27" s="136" t="s">
        <v>37</v>
      </c>
      <c r="D27" s="136">
        <f>CEILING(D23*0.4,5)</f>
        <v>60</v>
      </c>
      <c r="E27" s="136">
        <v>6.0</v>
      </c>
      <c r="F27" s="136" t="s">
        <v>137</v>
      </c>
      <c r="K27" s="136" t="s">
        <v>37</v>
      </c>
      <c r="L27" s="136">
        <f>CEILING(L23*0.4,5)</f>
        <v>90</v>
      </c>
      <c r="M27" s="136">
        <v>6.0</v>
      </c>
      <c r="N27" s="136" t="s">
        <v>138</v>
      </c>
      <c r="O27" s="1"/>
      <c r="P27" s="1"/>
      <c r="Q27" s="1"/>
      <c r="R27" s="1"/>
    </row>
    <row r="28" ht="15.75" customHeight="1">
      <c r="C28" s="136" t="s">
        <v>38</v>
      </c>
      <c r="D28" s="136">
        <f>CEILING(D23*0.55,5)</f>
        <v>80</v>
      </c>
      <c r="E28" s="136">
        <v>4.0</v>
      </c>
      <c r="F28" s="136" t="s">
        <v>139</v>
      </c>
      <c r="K28" s="136" t="s">
        <v>38</v>
      </c>
      <c r="L28" s="136">
        <f>CEILING(L23*0.55,5)</f>
        <v>125</v>
      </c>
      <c r="M28" s="136">
        <v>4.0</v>
      </c>
      <c r="N28" s="136" t="s">
        <v>140</v>
      </c>
      <c r="O28" s="1"/>
      <c r="P28" s="1"/>
      <c r="Q28" s="1"/>
      <c r="R28" s="1"/>
    </row>
    <row r="29" ht="15.75" customHeight="1">
      <c r="C29" s="136" t="s">
        <v>141</v>
      </c>
      <c r="D29" s="136">
        <f>CEILING(D23*0.7,5)</f>
        <v>100</v>
      </c>
      <c r="E29" s="136">
        <v>2.0</v>
      </c>
      <c r="F29" s="136" t="s">
        <v>139</v>
      </c>
      <c r="K29" s="136" t="s">
        <v>141</v>
      </c>
      <c r="L29" s="136">
        <f>CEILING(L23*0.7,5)</f>
        <v>155</v>
      </c>
      <c r="M29" s="136">
        <v>2.0</v>
      </c>
      <c r="N29" s="136" t="s">
        <v>140</v>
      </c>
      <c r="O29" s="1"/>
      <c r="P29" s="1"/>
      <c r="Q29" s="1"/>
      <c r="R29" s="1"/>
    </row>
    <row r="30" ht="15.75" customHeight="1">
      <c r="C30" s="136" t="s">
        <v>142</v>
      </c>
      <c r="D30" s="136">
        <f>CEILING(D23*0.775,2.5)</f>
        <v>110</v>
      </c>
      <c r="E30" s="136">
        <v>1.0</v>
      </c>
      <c r="F30" s="136" t="s">
        <v>143</v>
      </c>
      <c r="K30" s="136" t="s">
        <v>142</v>
      </c>
      <c r="L30" s="136">
        <f>CEILING(L23*0.775,2.5)</f>
        <v>172.5</v>
      </c>
      <c r="M30" s="136">
        <v>1.0</v>
      </c>
      <c r="N30" s="136" t="s">
        <v>143</v>
      </c>
      <c r="O30" s="1"/>
      <c r="P30" s="1"/>
      <c r="Q30" s="1"/>
      <c r="R30" s="1"/>
    </row>
    <row r="31" ht="15.75" customHeight="1">
      <c r="C31" s="136" t="s">
        <v>144</v>
      </c>
      <c r="D31" s="136">
        <f>CEILING(D23*0.825,2.5)</f>
        <v>117.5</v>
      </c>
      <c r="E31" s="136">
        <v>1.0</v>
      </c>
      <c r="F31" s="136" t="s">
        <v>145</v>
      </c>
      <c r="K31" s="136" t="s">
        <v>144</v>
      </c>
      <c r="L31" s="136">
        <f>CEILING(L23*0.825,2.5)</f>
        <v>182.5</v>
      </c>
      <c r="M31" s="136">
        <v>1.0</v>
      </c>
      <c r="N31" s="136" t="s">
        <v>145</v>
      </c>
      <c r="O31" s="1"/>
      <c r="P31" s="1"/>
      <c r="Q31" s="1"/>
      <c r="R31" s="1"/>
    </row>
    <row r="32" ht="15.75" customHeight="1">
      <c r="C32" s="136" t="s">
        <v>146</v>
      </c>
      <c r="D32" s="136">
        <f>CEILING(D23*0.875,2.5)</f>
        <v>122.5</v>
      </c>
      <c r="E32" s="136">
        <v>1.0</v>
      </c>
      <c r="F32" s="136" t="s">
        <v>147</v>
      </c>
      <c r="K32" s="136" t="s">
        <v>146</v>
      </c>
      <c r="L32" s="136">
        <f>CEILING(L23*0.875,2.5)</f>
        <v>192.5</v>
      </c>
      <c r="M32" s="136">
        <v>1.0</v>
      </c>
      <c r="N32" s="136" t="s">
        <v>147</v>
      </c>
      <c r="O32" s="1"/>
      <c r="P32" s="1"/>
      <c r="Q32" s="1"/>
      <c r="R32" s="1"/>
    </row>
    <row r="33" ht="15.75" customHeight="1">
      <c r="C33" s="136" t="s">
        <v>148</v>
      </c>
      <c r="D33" s="136">
        <f>FLOOR(D23*0.925,2.5)</f>
        <v>127.5</v>
      </c>
      <c r="E33" s="136">
        <v>1.0</v>
      </c>
      <c r="F33" s="136" t="s">
        <v>147</v>
      </c>
      <c r="K33" s="136" t="s">
        <v>148</v>
      </c>
      <c r="L33" s="136">
        <f>FLOOR(L23*0.925,2.5)</f>
        <v>202.5</v>
      </c>
      <c r="M33" s="136">
        <v>1.0</v>
      </c>
      <c r="N33" s="136" t="s">
        <v>147</v>
      </c>
      <c r="O33" s="1"/>
      <c r="P33" s="1"/>
      <c r="Q33" s="1"/>
      <c r="R33" s="1"/>
    </row>
    <row r="34" ht="15.75" customHeight="1">
      <c r="C34" s="136" t="s">
        <v>149</v>
      </c>
      <c r="D34" s="136">
        <f>CEILING(D23*0.95,2.5)</f>
        <v>135</v>
      </c>
      <c r="E34" s="136">
        <v>1.0</v>
      </c>
      <c r="F34" s="136" t="s">
        <v>150</v>
      </c>
      <c r="K34" s="136" t="s">
        <v>149</v>
      </c>
      <c r="L34" s="136">
        <f>CEILING(L23*0.95,2.5)</f>
        <v>210</v>
      </c>
      <c r="M34" s="136">
        <v>1.0</v>
      </c>
      <c r="N34" s="136" t="s">
        <v>150</v>
      </c>
      <c r="O34" s="1"/>
      <c r="P34" s="1"/>
      <c r="Q34" s="1"/>
      <c r="R34" s="1"/>
    </row>
    <row r="35" ht="15.75" customHeight="1">
      <c r="C35" s="136" t="s">
        <v>153</v>
      </c>
      <c r="D35" s="136">
        <f>CEILING(D23*1,2.5)</f>
        <v>140</v>
      </c>
      <c r="E35" s="136">
        <v>1.0</v>
      </c>
      <c r="F35" s="136" t="s">
        <v>150</v>
      </c>
      <c r="G35" s="1"/>
      <c r="K35" s="136" t="s">
        <v>153</v>
      </c>
      <c r="L35" s="136">
        <f>CEILING(L23*1,2.5)</f>
        <v>220</v>
      </c>
      <c r="M35" s="136">
        <v>1.0</v>
      </c>
      <c r="N35" s="136" t="s">
        <v>150</v>
      </c>
      <c r="O35" s="1"/>
      <c r="P35" s="1"/>
      <c r="Q35" s="1"/>
      <c r="R35" s="1"/>
    </row>
    <row r="36" ht="15.75" customHeight="1">
      <c r="C36" s="1"/>
      <c r="D36" s="1"/>
      <c r="E36" s="1"/>
      <c r="F36" s="1"/>
      <c r="G36" s="1"/>
      <c r="K36" s="1"/>
      <c r="L36" s="1"/>
      <c r="M36" s="1"/>
      <c r="N36" s="1"/>
      <c r="O36" s="1"/>
      <c r="P36" s="1"/>
      <c r="Q36" s="1"/>
      <c r="R36" s="1"/>
    </row>
    <row r="37" ht="15.75" customHeight="1">
      <c r="C37" s="1"/>
      <c r="D37" s="1"/>
      <c r="E37" s="1"/>
      <c r="F37" s="1"/>
      <c r="G37" s="1"/>
      <c r="K37" s="1"/>
      <c r="L37" s="1"/>
      <c r="M37" s="1"/>
      <c r="N37" s="1"/>
      <c r="O37" s="1"/>
      <c r="P37" s="1"/>
      <c r="Q37" s="1"/>
      <c r="R37" s="1"/>
    </row>
    <row r="38" ht="15.75" customHeight="1">
      <c r="K38" s="1"/>
      <c r="L38" s="1"/>
      <c r="M38" s="1"/>
      <c r="N38" s="1"/>
      <c r="O38" s="1"/>
      <c r="P38" s="1"/>
      <c r="Q38" s="1"/>
      <c r="R38" s="1"/>
    </row>
    <row r="39" ht="15.75" customHeight="1">
      <c r="K39" s="1"/>
      <c r="L39" s="1"/>
      <c r="M39" s="1"/>
      <c r="N39" s="1"/>
      <c r="O39" s="1"/>
      <c r="P39" s="1"/>
      <c r="Q39" s="1"/>
      <c r="R39" s="1"/>
    </row>
    <row r="40" ht="15.75" customHeight="1">
      <c r="C40" s="6" t="s">
        <v>154</v>
      </c>
      <c r="D40" s="1"/>
      <c r="E40" s="1"/>
      <c r="F40" s="1"/>
      <c r="G40" s="1"/>
      <c r="H40" s="1"/>
      <c r="K40" s="6" t="s">
        <v>155</v>
      </c>
      <c r="L40" s="1"/>
      <c r="M40" s="1"/>
      <c r="N40" s="1"/>
      <c r="O40" s="1"/>
      <c r="P40" s="1"/>
      <c r="Q40" s="1"/>
      <c r="R40" s="1"/>
    </row>
    <row r="41" ht="15.75" customHeight="1">
      <c r="C41" s="1"/>
      <c r="D41" s="1"/>
      <c r="E41" s="1"/>
      <c r="F41" s="1"/>
      <c r="G41" s="1"/>
      <c r="H41" s="1"/>
      <c r="K41" s="1"/>
      <c r="L41" s="1"/>
      <c r="M41" s="1"/>
      <c r="N41" s="1"/>
      <c r="O41" s="1"/>
      <c r="P41" s="1"/>
      <c r="Q41" s="1"/>
      <c r="R41" s="1"/>
    </row>
    <row r="42" ht="15.75" customHeight="1">
      <c r="C42" s="6" t="s">
        <v>135</v>
      </c>
      <c r="D42" s="83">
        <v>150.0</v>
      </c>
      <c r="E42" s="1"/>
      <c r="F42" s="1"/>
      <c r="G42" s="1"/>
      <c r="H42" s="1"/>
      <c r="K42" s="6" t="s">
        <v>135</v>
      </c>
      <c r="L42" s="83">
        <v>310.0</v>
      </c>
      <c r="M42" s="1"/>
      <c r="N42" s="1"/>
      <c r="O42" s="1"/>
      <c r="P42" s="1"/>
      <c r="Q42" s="1"/>
      <c r="R42" s="1"/>
    </row>
    <row r="43" ht="15.75" customHeight="1">
      <c r="C43" s="1"/>
      <c r="D43" s="1"/>
      <c r="E43" s="1"/>
      <c r="F43" s="1"/>
      <c r="G43" s="1"/>
      <c r="H43" s="1"/>
      <c r="K43" s="1"/>
      <c r="L43" s="1"/>
      <c r="M43" s="1"/>
      <c r="N43" s="1"/>
      <c r="O43" s="1"/>
      <c r="P43" s="1"/>
      <c r="Q43" s="1"/>
      <c r="R43" s="1"/>
    </row>
    <row r="44" ht="15.75" customHeight="1">
      <c r="C44" s="1"/>
      <c r="D44" s="1" t="s">
        <v>43</v>
      </c>
      <c r="E44" s="1" t="s">
        <v>44</v>
      </c>
      <c r="F44" s="1" t="s">
        <v>136</v>
      </c>
      <c r="G44" s="1"/>
      <c r="H44" s="1"/>
      <c r="K44" s="1"/>
      <c r="L44" s="1" t="s">
        <v>43</v>
      </c>
      <c r="M44" s="1" t="s">
        <v>44</v>
      </c>
      <c r="N44" s="1" t="s">
        <v>136</v>
      </c>
      <c r="O44" s="1"/>
      <c r="P44" s="1"/>
      <c r="Q44" s="1"/>
      <c r="R44" s="1"/>
    </row>
    <row r="45" ht="15.75" customHeight="1">
      <c r="C45" s="136" t="s">
        <v>36</v>
      </c>
      <c r="D45" s="136">
        <v>20.0</v>
      </c>
      <c r="E45" s="136">
        <v>10.0</v>
      </c>
      <c r="F45" s="1" t="s">
        <v>137</v>
      </c>
      <c r="G45" s="1"/>
      <c r="H45" s="1"/>
      <c r="K45" s="136" t="s">
        <v>36</v>
      </c>
      <c r="L45" s="136">
        <v>20.0</v>
      </c>
      <c r="M45" s="136">
        <v>10.0</v>
      </c>
      <c r="N45" s="136" t="s">
        <v>138</v>
      </c>
      <c r="O45" s="1"/>
      <c r="P45" s="1"/>
      <c r="Q45" s="1"/>
      <c r="R45" s="1"/>
    </row>
    <row r="46" ht="15.75" customHeight="1">
      <c r="C46" s="136" t="s">
        <v>37</v>
      </c>
      <c r="D46" s="136">
        <f>CEILING(D42*0.4,5)</f>
        <v>60</v>
      </c>
      <c r="E46" s="136">
        <v>6.0</v>
      </c>
      <c r="F46" s="1" t="s">
        <v>137</v>
      </c>
      <c r="G46" s="1"/>
      <c r="H46" s="1"/>
      <c r="K46" s="136" t="s">
        <v>37</v>
      </c>
      <c r="L46" s="136">
        <f>CEILING(L42*0.4,5)</f>
        <v>125</v>
      </c>
      <c r="M46" s="136">
        <v>6.0</v>
      </c>
      <c r="N46" s="136" t="s">
        <v>138</v>
      </c>
      <c r="O46" s="1"/>
      <c r="P46" s="1"/>
      <c r="Q46" s="1"/>
      <c r="R46" s="1"/>
    </row>
    <row r="47" ht="15.75" customHeight="1">
      <c r="C47" s="136" t="s">
        <v>38</v>
      </c>
      <c r="D47" s="136">
        <f>CEILING(D42*0.55,5)</f>
        <v>85</v>
      </c>
      <c r="E47" s="136">
        <v>4.0</v>
      </c>
      <c r="F47" s="1" t="s">
        <v>139</v>
      </c>
      <c r="G47" s="1"/>
      <c r="H47" s="1"/>
      <c r="K47" s="136" t="s">
        <v>38</v>
      </c>
      <c r="L47" s="136">
        <f>CEILING(L42*0.55,5)</f>
        <v>175</v>
      </c>
      <c r="M47" s="136">
        <v>4.0</v>
      </c>
      <c r="N47" s="136" t="s">
        <v>140</v>
      </c>
      <c r="O47" s="1"/>
      <c r="P47" s="1"/>
      <c r="Q47" s="1"/>
      <c r="R47" s="1"/>
    </row>
    <row r="48" ht="15.75" customHeight="1">
      <c r="C48" s="136" t="s">
        <v>141</v>
      </c>
      <c r="D48" s="136">
        <f>CEILING(D42*0.65,5)</f>
        <v>100</v>
      </c>
      <c r="E48" s="136">
        <v>3.0</v>
      </c>
      <c r="F48" s="1" t="s">
        <v>139</v>
      </c>
      <c r="G48" s="1"/>
      <c r="H48" s="1"/>
      <c r="K48" s="136" t="s">
        <v>141</v>
      </c>
      <c r="L48" s="136">
        <f>CEILING(L42*0.65,5)</f>
        <v>205</v>
      </c>
      <c r="M48" s="136">
        <v>3.0</v>
      </c>
      <c r="N48" s="136" t="s">
        <v>140</v>
      </c>
      <c r="O48" s="1"/>
      <c r="P48" s="1"/>
      <c r="Q48" s="1"/>
      <c r="R48" s="1"/>
    </row>
    <row r="49" ht="15.75" customHeight="1">
      <c r="C49" s="136" t="s">
        <v>142</v>
      </c>
      <c r="D49" s="136">
        <f>CEILING(D42*0.75,2.5)</f>
        <v>112.5</v>
      </c>
      <c r="E49" s="136">
        <v>2.0</v>
      </c>
      <c r="F49" s="1" t="s">
        <v>143</v>
      </c>
      <c r="G49" s="1"/>
      <c r="H49" s="1"/>
      <c r="K49" s="136" t="s">
        <v>142</v>
      </c>
      <c r="L49" s="136">
        <f>CEILING(L42*0.75,2.5)</f>
        <v>232.5</v>
      </c>
      <c r="M49" s="136">
        <v>2.0</v>
      </c>
      <c r="N49" s="136" t="s">
        <v>143</v>
      </c>
      <c r="O49" s="1"/>
      <c r="P49" s="1"/>
      <c r="Q49" s="1"/>
      <c r="R49" s="1"/>
    </row>
    <row r="50" ht="15.75" customHeight="1">
      <c r="C50" s="136" t="s">
        <v>144</v>
      </c>
      <c r="D50" s="136">
        <f>CEILING(D42*0.8,2.5)</f>
        <v>120</v>
      </c>
      <c r="E50" s="136">
        <v>1.0</v>
      </c>
      <c r="F50" s="1" t="s">
        <v>145</v>
      </c>
      <c r="G50" s="1"/>
      <c r="H50" s="1"/>
      <c r="K50" s="136" t="s">
        <v>144</v>
      </c>
      <c r="L50" s="136">
        <f>CEILING(L42*0.8,2.5)</f>
        <v>250</v>
      </c>
      <c r="M50" s="136">
        <v>1.0</v>
      </c>
      <c r="N50" s="136" t="s">
        <v>145</v>
      </c>
      <c r="O50" s="1"/>
      <c r="P50" s="1"/>
      <c r="Q50" s="1"/>
      <c r="R50" s="1"/>
    </row>
    <row r="51" ht="15.75" customHeight="1">
      <c r="C51" s="136" t="s">
        <v>146</v>
      </c>
      <c r="D51" s="136">
        <f>CEILING(D42*0.85,2.5)</f>
        <v>127.5</v>
      </c>
      <c r="E51" s="136">
        <v>1.0</v>
      </c>
      <c r="F51" s="1" t="s">
        <v>147</v>
      </c>
      <c r="G51" s="1"/>
      <c r="H51" s="1"/>
      <c r="K51" s="136" t="s">
        <v>146</v>
      </c>
      <c r="L51" s="136">
        <f>CEILING(L42*0.85,2.5)</f>
        <v>265</v>
      </c>
      <c r="M51" s="136">
        <v>1.0</v>
      </c>
      <c r="N51" s="136" t="s">
        <v>147</v>
      </c>
      <c r="O51" s="1"/>
      <c r="P51" s="1"/>
      <c r="Q51" s="1"/>
      <c r="R51" s="1"/>
    </row>
    <row r="52" ht="15.75" customHeight="1">
      <c r="C52" s="136" t="s">
        <v>148</v>
      </c>
      <c r="D52" s="136">
        <f>FLOOR(D42*0.9,2.5)</f>
        <v>135</v>
      </c>
      <c r="E52" s="136">
        <v>1.0</v>
      </c>
      <c r="F52" s="1" t="s">
        <v>147</v>
      </c>
      <c r="G52" s="1"/>
      <c r="H52" s="1"/>
      <c r="K52" s="136" t="s">
        <v>148</v>
      </c>
      <c r="L52" s="136">
        <f>FLOOR(L42*0.9,2.5)</f>
        <v>277.5</v>
      </c>
      <c r="M52" s="136">
        <v>1.0</v>
      </c>
      <c r="N52" s="1" t="s">
        <v>147</v>
      </c>
      <c r="O52" s="1"/>
      <c r="P52" s="1"/>
      <c r="Q52" s="1"/>
      <c r="R52" s="1"/>
    </row>
    <row r="53" ht="15.75" customHeight="1">
      <c r="C53" s="136" t="s">
        <v>149</v>
      </c>
      <c r="D53" s="136">
        <f>CEILING(D42*0.925,2.5)</f>
        <v>140</v>
      </c>
      <c r="E53" s="136">
        <v>1.0</v>
      </c>
      <c r="F53" s="1" t="s">
        <v>150</v>
      </c>
      <c r="G53" s="1"/>
      <c r="H53" s="1"/>
      <c r="K53" s="136" t="s">
        <v>149</v>
      </c>
      <c r="L53" s="136">
        <f>CEILING(L42*0.925,2.5)</f>
        <v>287.5</v>
      </c>
      <c r="M53" s="136">
        <v>1.0</v>
      </c>
      <c r="N53" s="1" t="s">
        <v>150</v>
      </c>
      <c r="O53" s="1"/>
      <c r="P53" s="1"/>
      <c r="Q53" s="1"/>
      <c r="R53" s="1"/>
    </row>
    <row r="54" ht="15.75" customHeight="1">
      <c r="C54" s="136" t="s">
        <v>153</v>
      </c>
      <c r="D54" s="136">
        <f>CEILING(D42*0.95,2.5)</f>
        <v>142.5</v>
      </c>
      <c r="E54" s="136">
        <v>1.0</v>
      </c>
      <c r="F54" s="1" t="s">
        <v>150</v>
      </c>
      <c r="G54" s="1"/>
      <c r="H54" s="1"/>
      <c r="K54" s="136" t="s">
        <v>153</v>
      </c>
      <c r="L54" s="136">
        <f>CEILING(L42*0.95,2.5)</f>
        <v>295</v>
      </c>
      <c r="M54" s="136">
        <v>1.0</v>
      </c>
      <c r="N54" s="1" t="s">
        <v>150</v>
      </c>
      <c r="O54" s="1"/>
      <c r="P54" s="1"/>
      <c r="Q54" s="1"/>
      <c r="R54" s="1"/>
    </row>
    <row r="55" ht="15.75" customHeight="1">
      <c r="C55" s="136" t="s">
        <v>156</v>
      </c>
      <c r="D55" s="136">
        <f>CEILING(D42*0.975,2.5)</f>
        <v>147.5</v>
      </c>
      <c r="E55" s="136">
        <v>1.0</v>
      </c>
      <c r="F55" s="1" t="s">
        <v>150</v>
      </c>
      <c r="G55" s="1"/>
      <c r="H55" s="1"/>
      <c r="K55" s="136" t="s">
        <v>156</v>
      </c>
      <c r="L55" s="136">
        <f>CEILING(L42*0.975,2.5)</f>
        <v>302.5</v>
      </c>
      <c r="M55" s="136">
        <v>1.0</v>
      </c>
      <c r="N55" s="1" t="s">
        <v>150</v>
      </c>
      <c r="O55" s="1"/>
      <c r="P55" s="1"/>
      <c r="Q55" s="1"/>
      <c r="R55" s="1"/>
    </row>
    <row r="56" ht="15.75" customHeight="1">
      <c r="C56" s="136" t="s">
        <v>157</v>
      </c>
      <c r="D56" s="136">
        <f>CEILING(D42*1,2.5)</f>
        <v>150</v>
      </c>
      <c r="E56" s="136">
        <v>1.0</v>
      </c>
      <c r="F56" s="1" t="s">
        <v>150</v>
      </c>
      <c r="G56" s="1"/>
      <c r="H56" s="1"/>
      <c r="K56" s="136" t="s">
        <v>157</v>
      </c>
      <c r="L56" s="136">
        <f>CEILING(L42*1,2.5)</f>
        <v>310</v>
      </c>
      <c r="M56" s="136">
        <v>1.0</v>
      </c>
      <c r="N56" s="1" t="s">
        <v>150</v>
      </c>
      <c r="O56" s="1"/>
      <c r="P56" s="1"/>
      <c r="Q56" s="1"/>
      <c r="R56" s="1"/>
    </row>
    <row r="57" ht="15.75" customHeight="1">
      <c r="K57" s="1"/>
      <c r="L57" s="1"/>
      <c r="M57" s="1"/>
      <c r="N57" s="1"/>
      <c r="O57" s="1"/>
      <c r="P57" s="1"/>
      <c r="Q57" s="1"/>
      <c r="R57" s="1"/>
    </row>
    <row r="58" ht="15.75" customHeight="1">
      <c r="K58" s="1"/>
      <c r="L58" s="1"/>
      <c r="M58" s="1"/>
      <c r="N58" s="1"/>
      <c r="O58" s="1"/>
      <c r="P58" s="1"/>
      <c r="Q58" s="1"/>
      <c r="R58" s="1"/>
    </row>
    <row r="59" ht="15.75" customHeight="1">
      <c r="K59" s="1"/>
      <c r="L59" s="1"/>
      <c r="M59" s="1"/>
      <c r="N59" s="1"/>
      <c r="O59" s="1"/>
      <c r="P59" s="1"/>
      <c r="Q59" s="1"/>
      <c r="R59" s="1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  <col customWidth="1" min="12" max="12" width="20.57"/>
    <col customWidth="1" min="13" max="13" width="31.43"/>
    <col customWidth="1" min="14" max="14" width="16.43"/>
    <col customWidth="1" min="15" max="15" width="21.0"/>
    <col customWidth="1" min="16" max="16" width="21.43"/>
    <col customWidth="1" min="17" max="17" width="10.57"/>
    <col customWidth="1" min="18" max="18" width="12.43"/>
    <col customWidth="1" min="19" max="19" width="11.43"/>
    <col customWidth="1" min="20" max="20" width="12.29"/>
    <col customWidth="1" min="21" max="21" width="13.29"/>
    <col customWidth="1" min="22" max="22" width="13.71"/>
    <col customWidth="1" min="23" max="23" width="13.14"/>
    <col customWidth="1" min="24" max="24" width="14.29"/>
    <col customWidth="1" min="25" max="25" width="10.0"/>
    <col customWidth="1" min="26" max="26" width="11.86"/>
    <col customWidth="1" min="27" max="27" width="12.57"/>
    <col customWidth="1" min="28" max="28" width="12.29"/>
    <col customWidth="1" min="29" max="29" width="10.29"/>
    <col customWidth="1" min="30" max="30" width="8.71"/>
    <col customWidth="1" min="31" max="31" width="13.29"/>
    <col customWidth="1" min="32" max="32" width="12.0"/>
    <col customWidth="1" min="33" max="33" width="12.86"/>
    <col customWidth="1" min="34" max="34" width="12.14"/>
    <col customWidth="1" min="35" max="35" width="14.0"/>
    <col customWidth="1" min="36" max="36" width="12.43"/>
    <col customWidth="1" min="37" max="37" width="11.43"/>
    <col customWidth="1" min="38" max="38" width="13.43"/>
    <col customWidth="1" min="39" max="39" width="12.29"/>
    <col customWidth="1" min="40" max="40" width="12.43"/>
    <col customWidth="1" min="41" max="41" width="11.14"/>
    <col customWidth="1" min="42" max="42" width="12.0"/>
  </cols>
  <sheetData>
    <row r="3">
      <c r="M3" s="83">
        <v>100.0</v>
      </c>
    </row>
    <row r="5" ht="15.0" customHeight="1">
      <c r="AB5" s="1"/>
      <c r="AC5" s="177"/>
      <c r="AD5" s="73"/>
      <c r="AE5" s="1"/>
    </row>
    <row r="6" ht="15.0" customHeight="1">
      <c r="AB6" s="1"/>
      <c r="AC6" s="178"/>
      <c r="AD6" s="104"/>
      <c r="AE6" s="1"/>
    </row>
    <row r="7">
      <c r="N7" s="6" t="s">
        <v>158</v>
      </c>
      <c r="Q7" s="179" t="s">
        <v>33</v>
      </c>
      <c r="R7" s="58"/>
      <c r="S7" s="58"/>
      <c r="T7" s="58"/>
      <c r="U7" s="58"/>
      <c r="V7" s="58"/>
      <c r="W7" s="59"/>
      <c r="X7" s="179" t="s">
        <v>34</v>
      </c>
      <c r="Y7" s="58"/>
      <c r="Z7" s="58"/>
      <c r="AA7" s="58"/>
      <c r="AB7" s="58"/>
      <c r="AC7" s="58"/>
      <c r="AD7" s="59"/>
      <c r="AE7" s="179" t="s">
        <v>87</v>
      </c>
      <c r="AF7" s="58"/>
      <c r="AG7" s="58"/>
      <c r="AH7" s="58"/>
      <c r="AI7" s="58"/>
      <c r="AJ7" s="58"/>
      <c r="AK7" s="59"/>
      <c r="AL7" s="179" t="s">
        <v>159</v>
      </c>
      <c r="AM7" s="58"/>
      <c r="AN7" s="58"/>
      <c r="AO7" s="58"/>
      <c r="AP7" s="58"/>
      <c r="AQ7" s="58"/>
      <c r="AR7" s="59"/>
      <c r="AS7" s="179" t="s">
        <v>92</v>
      </c>
      <c r="AT7" s="58"/>
      <c r="AU7" s="58"/>
      <c r="AV7" s="58"/>
      <c r="AW7" s="58"/>
      <c r="AX7" s="58"/>
      <c r="AY7" s="59"/>
      <c r="AZ7" s="179" t="s">
        <v>93</v>
      </c>
      <c r="BA7" s="58"/>
      <c r="BB7" s="58"/>
      <c r="BC7" s="58"/>
      <c r="BD7" s="58"/>
      <c r="BE7" s="58"/>
      <c r="BF7" s="59"/>
      <c r="BG7" s="179" t="s">
        <v>95</v>
      </c>
      <c r="BH7" s="58"/>
      <c r="BI7" s="58"/>
      <c r="BJ7" s="58"/>
      <c r="BK7" s="58"/>
      <c r="BL7" s="58"/>
      <c r="BM7" s="59"/>
      <c r="BN7" s="179" t="s">
        <v>96</v>
      </c>
      <c r="BO7" s="58"/>
      <c r="BP7" s="58"/>
      <c r="BQ7" s="58"/>
      <c r="BR7" s="58"/>
      <c r="BS7" s="58"/>
      <c r="BT7" s="59"/>
      <c r="BU7" s="179" t="s">
        <v>97</v>
      </c>
      <c r="BV7" s="58"/>
      <c r="BW7" s="58"/>
      <c r="BX7" s="58"/>
      <c r="BY7" s="58"/>
      <c r="BZ7" s="58"/>
      <c r="CA7" s="59"/>
    </row>
    <row r="8">
      <c r="K8" s="1"/>
      <c r="L8" s="1"/>
      <c r="M8" s="1"/>
      <c r="N8" s="6" t="s">
        <v>160</v>
      </c>
      <c r="O8" s="6" t="s">
        <v>161</v>
      </c>
      <c r="P8" s="6" t="s">
        <v>162</v>
      </c>
      <c r="Q8" s="180" t="s">
        <v>43</v>
      </c>
      <c r="R8" s="181" t="s">
        <v>61</v>
      </c>
      <c r="S8" s="182" t="s">
        <v>44</v>
      </c>
      <c r="T8" s="183" t="s">
        <v>41</v>
      </c>
      <c r="U8" s="180" t="s">
        <v>43</v>
      </c>
      <c r="V8" s="181" t="s">
        <v>61</v>
      </c>
      <c r="W8" s="184" t="s">
        <v>44</v>
      </c>
      <c r="X8" s="185" t="s">
        <v>43</v>
      </c>
      <c r="Y8" s="184" t="s">
        <v>61</v>
      </c>
      <c r="Z8" s="184" t="s">
        <v>44</v>
      </c>
      <c r="AA8" s="62" t="s">
        <v>41</v>
      </c>
      <c r="AB8" s="180" t="s">
        <v>43</v>
      </c>
      <c r="AC8" s="182" t="s">
        <v>61</v>
      </c>
      <c r="AD8" s="184" t="s">
        <v>44</v>
      </c>
      <c r="AE8" s="185" t="s">
        <v>43</v>
      </c>
      <c r="AF8" s="184" t="s">
        <v>61</v>
      </c>
      <c r="AG8" s="184" t="s">
        <v>44</v>
      </c>
      <c r="AH8" s="186" t="s">
        <v>41</v>
      </c>
      <c r="AI8" s="185" t="s">
        <v>43</v>
      </c>
      <c r="AJ8" s="184" t="s">
        <v>61</v>
      </c>
      <c r="AK8" s="184" t="s">
        <v>44</v>
      </c>
      <c r="AL8" s="185" t="s">
        <v>43</v>
      </c>
      <c r="AM8" s="184" t="s">
        <v>61</v>
      </c>
      <c r="AN8" s="184" t="s">
        <v>44</v>
      </c>
      <c r="AO8" s="186" t="s">
        <v>41</v>
      </c>
      <c r="AP8" s="185" t="s">
        <v>43</v>
      </c>
      <c r="AQ8" s="184" t="s">
        <v>61</v>
      </c>
      <c r="AR8" s="184" t="s">
        <v>44</v>
      </c>
      <c r="AS8" s="185" t="s">
        <v>43</v>
      </c>
      <c r="AT8" s="187" t="s">
        <v>61</v>
      </c>
      <c r="AU8" s="187" t="s">
        <v>44</v>
      </c>
      <c r="AV8" s="186" t="s">
        <v>41</v>
      </c>
      <c r="AW8" s="185" t="s">
        <v>43</v>
      </c>
      <c r="AX8" s="187" t="s">
        <v>61</v>
      </c>
      <c r="AY8" s="187" t="s">
        <v>44</v>
      </c>
      <c r="AZ8" s="185" t="s">
        <v>43</v>
      </c>
      <c r="BA8" s="187" t="s">
        <v>61</v>
      </c>
      <c r="BB8" s="187" t="s">
        <v>44</v>
      </c>
      <c r="BC8" s="186" t="s">
        <v>41</v>
      </c>
      <c r="BD8" s="185" t="s">
        <v>43</v>
      </c>
      <c r="BE8" s="187" t="s">
        <v>61</v>
      </c>
      <c r="BF8" s="187" t="s">
        <v>44</v>
      </c>
      <c r="BG8" s="185" t="s">
        <v>43</v>
      </c>
      <c r="BH8" s="187" t="s">
        <v>61</v>
      </c>
      <c r="BI8" s="187" t="s">
        <v>44</v>
      </c>
      <c r="BJ8" s="186" t="s">
        <v>41</v>
      </c>
      <c r="BK8" s="185" t="s">
        <v>43</v>
      </c>
      <c r="BL8" s="187" t="s">
        <v>61</v>
      </c>
      <c r="BM8" s="187" t="s">
        <v>44</v>
      </c>
      <c r="BN8" s="185" t="s">
        <v>43</v>
      </c>
      <c r="BO8" s="187" t="s">
        <v>61</v>
      </c>
      <c r="BP8" s="187" t="s">
        <v>44</v>
      </c>
      <c r="BQ8" s="186" t="s">
        <v>41</v>
      </c>
      <c r="BR8" s="185" t="s">
        <v>43</v>
      </c>
      <c r="BS8" s="187" t="s">
        <v>61</v>
      </c>
      <c r="BT8" s="187" t="s">
        <v>44</v>
      </c>
      <c r="BU8" s="185" t="s">
        <v>43</v>
      </c>
      <c r="BV8" s="187" t="s">
        <v>61</v>
      </c>
      <c r="BW8" s="187" t="s">
        <v>44</v>
      </c>
      <c r="BX8" s="186" t="s">
        <v>41</v>
      </c>
      <c r="BY8" s="185" t="s">
        <v>43</v>
      </c>
      <c r="BZ8" s="187" t="s">
        <v>61</v>
      </c>
      <c r="CA8" s="187" t="s">
        <v>44</v>
      </c>
    </row>
    <row r="9" ht="20.25" customHeight="1">
      <c r="K9" s="6"/>
      <c r="L9" s="26" t="s">
        <v>46</v>
      </c>
      <c r="M9" s="6"/>
      <c r="N9" s="188" t="str">
        <f>'Программа тренировок '!C111</f>
        <v/>
      </c>
      <c r="O9" s="189" t="str">
        <f>'Программа тренировок '!D111</f>
        <v/>
      </c>
      <c r="P9" s="190">
        <f>'Формулы'!I11</f>
        <v>2.5</v>
      </c>
      <c r="Q9" s="136" t="str">
        <f t="shared" ref="Q9:Q10" si="1">MROUND(N9/INDEX($O$93:$X$100,MATCH(10,$N$93:$N$100,0),MATCH(O9,$O$92:$X$92,0))*0.83,P9)</f>
        <v>#N/A</v>
      </c>
      <c r="R9" s="122">
        <f>IF('Программа тренировок '!B111='Программа тренировок '!B121, 1, 3)</f>
        <v>1</v>
      </c>
      <c r="S9" s="136">
        <v>3.0</v>
      </c>
      <c r="T9" s="191" t="str">
        <f>'Программа тренировок '!F154</f>
        <v/>
      </c>
      <c r="U9" s="148" t="str">
        <f t="shared" ref="U9:U11" si="2">MROUND(Q9/INDEX($O$93:$X$100,MATCH(T9,$N$93:$N$100,0),MATCH(S9,$O$92:$X$92,0))*0.75,P9)</f>
        <v>#N/A</v>
      </c>
      <c r="V9" s="136">
        <v>3.0</v>
      </c>
      <c r="W9" s="122">
        <v>6.0</v>
      </c>
      <c r="X9" s="136" t="str">
        <f t="shared" ref="X9:X10" si="3">MROUND(Q9/INDEX($O$93:$X$100,MATCH(T9,$N$93:$N$100,0),MATCH(S9,$O$92:$X$92,0))*0.86,P9)</f>
        <v>#N/A</v>
      </c>
      <c r="Y9" s="148">
        <f>IF('Программа тренировок '!B111='Программа тренировок '!B121, 1, 3)</f>
        <v>1</v>
      </c>
      <c r="Z9" s="136">
        <v>3.0</v>
      </c>
      <c r="AA9" s="192" t="str">
        <f>'Программа тренировок '!M154</f>
        <v/>
      </c>
      <c r="AB9" s="122" t="str">
        <f t="shared" ref="AB9:AB11" si="4">MROUND(X9/INDEX($O$93:$X$100,MATCH(AA9,$N$93:$N$100,0),MATCH(Z9,$O$92:$X$92,0))*0.8,P9)</f>
        <v>#N/A</v>
      </c>
      <c r="AC9" s="136">
        <v>3.0</v>
      </c>
      <c r="AD9" s="78">
        <v>5.0</v>
      </c>
      <c r="AE9" s="136" t="str">
        <f t="shared" ref="AE9:AE10" si="5">MROUND(X9/INDEX($O$93:$X$100,MATCH(AA9,$N$93:$N$100,0),MATCH(Z9,$O$92:$X$92,0))*0.9,P9)</f>
        <v>#N/A</v>
      </c>
      <c r="AF9" s="136">
        <f>IF('Программа тренировок '!B111='Программа тренировок '!B121, 1, 3)</f>
        <v>1</v>
      </c>
      <c r="AG9" s="78">
        <v>3.0</v>
      </c>
      <c r="AH9" s="192" t="str">
        <f>'Программа тренировок '!T154</f>
        <v/>
      </c>
      <c r="AI9" s="148" t="str">
        <f t="array" ref="AI9">MROUND(AE9/INDEX($O$93:$X$100,MATCH(AH9,$N$93:$N$100,0),MATCH(AG9,$O$92:$X$92,0))*0.84,P9)</f>
        <v>#N/A</v>
      </c>
      <c r="AJ9" s="136">
        <v>3.0</v>
      </c>
      <c r="AK9" s="136">
        <v>4.0</v>
      </c>
      <c r="AL9" s="136" t="str">
        <f t="shared" ref="AL9:AL10" si="6">MROUND(AE9/INDEX($O$93:$X$100,MATCH(AH9,$N$93:$N$100,0),MATCH(AG9,$O$92:$X$92,0))*0.86,P9)</f>
        <v>#N/A</v>
      </c>
      <c r="AM9" s="136">
        <f>IF('Программа тренировок '!B111='Программа тренировок '!B121, 1, 3)</f>
        <v>1</v>
      </c>
      <c r="AN9" s="136">
        <v>2.0</v>
      </c>
      <c r="AO9" s="191" t="str">
        <f>'Программа тренировок '!F181</f>
        <v/>
      </c>
      <c r="AP9" s="136" t="str">
        <f t="shared" ref="AP9:AP11" si="7">MROUND(AL9/INDEX($O$93:$X$100,MATCH(AO9,$N$93:$N$100,0),MATCH(AN9,$O$92:$X$92,0))*0.79,P9)</f>
        <v>#N/A</v>
      </c>
      <c r="AQ9" s="136">
        <v>3.0</v>
      </c>
      <c r="AR9" s="122">
        <v>5.0</v>
      </c>
      <c r="AS9" s="136" t="str">
        <f t="shared" ref="AS9:AS10" si="8">MROUND(AL9/INDEX($O$93:$X$100,MATCH(AO9,$N$93:$N$100,0),MATCH(AN9,$O$92:$X$92,0))*0.89,P9)</f>
        <v>#N/A</v>
      </c>
      <c r="AT9" s="136">
        <f>IF('Программа тренировок '!B111='Программа тренировок '!B121, 1, 3)</f>
        <v>1</v>
      </c>
      <c r="AU9" s="136">
        <v>2.0</v>
      </c>
      <c r="AV9" s="191" t="str">
        <f>'Программа тренировок '!M181</f>
        <v/>
      </c>
      <c r="AW9" s="193" t="str">
        <f t="shared" ref="AW9:AW11" si="9">MROUND(AS9/INDEX($O$93:$X$100,MATCH(AV9,$N$93:$N$100,0),MATCH(AU9,$O$92:$X$92,0))*0.82,P9)</f>
        <v>#N/A</v>
      </c>
      <c r="AX9" s="194">
        <v>3.0</v>
      </c>
      <c r="AY9" s="194">
        <v>4.0</v>
      </c>
      <c r="AZ9" s="193" t="str">
        <f t="shared" ref="AZ9:AZ11" si="10">MROUND(AS9/INDEX($O$93:$X$100,MATCH(AV9,$N$93:$N$100,0),MATCH(AU9,$O$92:$X$92,0))*0.92,P9)</f>
        <v>#N/A</v>
      </c>
      <c r="BA9" s="1">
        <f>IF('Программа тренировок '!B111='Программа тренировок '!B121, 1, 3)</f>
        <v>1</v>
      </c>
      <c r="BB9" s="1">
        <v>2.0</v>
      </c>
      <c r="BC9" s="191" t="str">
        <f>'Программа тренировок '!T181</f>
        <v/>
      </c>
      <c r="BD9" s="193" t="str">
        <f t="shared" ref="BD9:BD11" si="11">MROUND(AZ9/INDEX($O$93:$X$100,MATCH(BC9,$N$93:$N$100,0),MATCH(BB9,$O$92:$X$92,0))*0.86,P9)</f>
        <v>#N/A</v>
      </c>
      <c r="BE9" s="1">
        <v>3.0</v>
      </c>
      <c r="BF9" s="1">
        <v>3.0</v>
      </c>
      <c r="BG9" s="193" t="str">
        <f t="shared" ref="BG9:BG10" si="12">MROUND(AZ9/INDEX($O$93:$X$100,MATCH(BC9,$N$93:$N$100,0),MATCH(BB9,$O$92:$X$92,0))*0.91,P9)</f>
        <v>#N/A</v>
      </c>
      <c r="BH9" s="1">
        <f>IF('Программа тренировок '!B111='Программа тренировок '!B121, 1, 3)</f>
        <v>1</v>
      </c>
      <c r="BI9" s="1">
        <v>1.0</v>
      </c>
      <c r="BJ9" s="195" t="str">
        <f>'Программа тренировок '!F208</f>
        <v/>
      </c>
      <c r="BK9" s="193" t="str">
        <f t="shared" ref="BK9:BK11" si="13">MROUND(BG9/INDEX($O$93:$X$100,MATCH(BJ9,$N$93:$N$100,0),MATCH(BI9,$O$92:$X$92,0))*0.81,P9)</f>
        <v>#N/A</v>
      </c>
      <c r="BL9" s="1">
        <v>3.0</v>
      </c>
      <c r="BM9" s="1">
        <v>4.0</v>
      </c>
      <c r="BN9" s="193" t="str">
        <f t="shared" ref="BN9:BN10" si="14">MROUND(BG9/INDEX($O$93:$X$100,MATCH(BJ9,$N$93:$N$100,0),MATCH(BI9,$O$92:$X$92,0))*0.94,P9)</f>
        <v>#N/A</v>
      </c>
      <c r="BO9" s="1">
        <f>IF('Программа тренировок '!B111='Программа тренировок '!B121, 1, 3)</f>
        <v>1</v>
      </c>
      <c r="BP9" s="1">
        <v>1.0</v>
      </c>
      <c r="BQ9" s="195" t="str">
        <f>'Программа тренировок '!M208</f>
        <v/>
      </c>
      <c r="BR9" s="1" t="str">
        <f t="shared" ref="BR9:BR11" si="15">MROUND(BN9/INDEX($O$93:$X$100,MATCH(BQ9,$N$93:$N$100,0),MATCH(BP9,$O$92:$X$92,0))*0.84,P9)</f>
        <v>#N/A</v>
      </c>
      <c r="BS9" s="1">
        <v>3.0</v>
      </c>
      <c r="BT9" s="1">
        <v>3.0</v>
      </c>
      <c r="BU9" s="193" t="str">
        <f t="shared" ref="BU9:BU11" si="16">MROUND(BN9/INDEX($O$93:$X$100,MATCH(BQ9,$N$93:$N$100,0),MATCH(BP9,$O$92:$X$92,0))*0.97,P9)</f>
        <v>#N/A</v>
      </c>
      <c r="BV9" s="1">
        <f>IF('Программа тренировок '!B111='Программа тренировок '!B121, 1, 3)</f>
        <v>1</v>
      </c>
      <c r="BW9" s="1">
        <v>1.0</v>
      </c>
      <c r="BX9" s="195" t="str">
        <f>'Программа тренировок '!T208</f>
        <v/>
      </c>
      <c r="BY9" s="193" t="str">
        <f t="shared" ref="BY9:BY11" si="17">MROUND(BU9/INDEX($O$93:$X$100,MATCH(BX9,$N$93:$N$100,0),MATCH(BW9,$O$92:$X$92,0))*0.89,P9)</f>
        <v>#N/A</v>
      </c>
      <c r="BZ9" s="1">
        <v>3.0</v>
      </c>
      <c r="CA9" s="1">
        <v>2.0</v>
      </c>
    </row>
    <row r="10">
      <c r="I10" s="143" t="s">
        <v>163</v>
      </c>
      <c r="L10" s="26" t="s">
        <v>164</v>
      </c>
      <c r="N10" s="196" t="str">
        <f>'Программа тренировок '!C111</f>
        <v/>
      </c>
      <c r="O10" s="196" t="str">
        <f>'Программа тренировок '!D111</f>
        <v/>
      </c>
      <c r="P10" s="188">
        <f>'Формулы'!I11</f>
        <v>2.5</v>
      </c>
      <c r="Q10" s="136" t="str">
        <f t="shared" si="1"/>
        <v>#N/A</v>
      </c>
      <c r="R10" s="122">
        <v>3.0</v>
      </c>
      <c r="S10" s="136">
        <v>3.0</v>
      </c>
      <c r="T10" s="191" t="str">
        <f>'Программа тренировок '!F154</f>
        <v/>
      </c>
      <c r="U10" s="148" t="str">
        <f t="shared" si="2"/>
        <v>#N/A</v>
      </c>
      <c r="V10" s="136">
        <v>3.0</v>
      </c>
      <c r="W10" s="122">
        <v>6.0</v>
      </c>
      <c r="X10" s="136" t="str">
        <f t="shared" si="3"/>
        <v>#N/A</v>
      </c>
      <c r="Y10" s="148">
        <v>3.0</v>
      </c>
      <c r="Z10" s="136">
        <v>3.0</v>
      </c>
      <c r="AA10" s="192" t="str">
        <f>'Программа тренировок '!M154</f>
        <v/>
      </c>
      <c r="AB10" s="122" t="str">
        <f t="shared" si="4"/>
        <v>#N/A</v>
      </c>
      <c r="AC10" s="136">
        <v>3.0</v>
      </c>
      <c r="AD10" s="78">
        <v>5.0</v>
      </c>
      <c r="AE10" s="136" t="str">
        <f t="shared" si="5"/>
        <v>#N/A</v>
      </c>
      <c r="AF10" s="136">
        <v>3.0</v>
      </c>
      <c r="AG10" s="78">
        <v>3.0</v>
      </c>
      <c r="AH10" s="192" t="str">
        <f>'Программа тренировок '!T154</f>
        <v/>
      </c>
      <c r="AI10" s="148" t="str">
        <f t="shared" ref="AI10:AI11" si="18">MROUND(AE10/INDEX($O$93:$X$100,MATCH(AH10,$N$93:$N$100,0),MATCH(AG10,$O$92:$X$92,0))*0.85,P10)</f>
        <v>#N/A</v>
      </c>
      <c r="AJ10" s="136">
        <v>3.0</v>
      </c>
      <c r="AK10" s="136">
        <v>4.0</v>
      </c>
      <c r="AL10" s="136" t="str">
        <f t="shared" si="6"/>
        <v>#N/A</v>
      </c>
      <c r="AM10" s="136">
        <v>3.0</v>
      </c>
      <c r="AN10" s="136">
        <v>2.0</v>
      </c>
      <c r="AO10" s="191" t="str">
        <f>'Программа тренировок '!F181</f>
        <v/>
      </c>
      <c r="AP10" s="136" t="str">
        <f t="shared" si="7"/>
        <v>#N/A</v>
      </c>
      <c r="AQ10" s="136">
        <v>3.0</v>
      </c>
      <c r="AR10" s="122">
        <v>5.0</v>
      </c>
      <c r="AS10" s="136" t="str">
        <f t="shared" si="8"/>
        <v>#N/A</v>
      </c>
      <c r="AT10" s="136">
        <v>3.0</v>
      </c>
      <c r="AU10" s="136">
        <v>2.0</v>
      </c>
      <c r="AV10" s="191" t="str">
        <f>'Программа тренировок '!M181</f>
        <v/>
      </c>
      <c r="AW10" s="193" t="str">
        <f t="shared" si="9"/>
        <v>#N/A</v>
      </c>
      <c r="AX10" s="194">
        <v>3.0</v>
      </c>
      <c r="AY10" s="194">
        <v>4.0</v>
      </c>
      <c r="AZ10" s="193" t="str">
        <f t="shared" si="10"/>
        <v>#N/A</v>
      </c>
      <c r="BA10" s="1">
        <v>3.0</v>
      </c>
      <c r="BB10" s="1">
        <v>2.0</v>
      </c>
      <c r="BC10" s="191" t="str">
        <f>'Программа тренировок '!T181</f>
        <v/>
      </c>
      <c r="BD10" s="193" t="str">
        <f t="shared" si="11"/>
        <v>#N/A</v>
      </c>
      <c r="BE10" s="1">
        <v>3.0</v>
      </c>
      <c r="BF10" s="1">
        <v>3.0</v>
      </c>
      <c r="BG10" s="193" t="str">
        <f t="shared" si="12"/>
        <v>#N/A</v>
      </c>
      <c r="BH10" s="1">
        <v>3.0</v>
      </c>
      <c r="BI10" s="1">
        <v>1.0</v>
      </c>
      <c r="BJ10" s="195" t="str">
        <f>'Программа тренировок '!F208</f>
        <v/>
      </c>
      <c r="BK10" s="193" t="str">
        <f t="shared" si="13"/>
        <v>#N/A</v>
      </c>
      <c r="BL10" s="1">
        <v>3.0</v>
      </c>
      <c r="BM10" s="1">
        <v>4.0</v>
      </c>
      <c r="BN10" s="193" t="str">
        <f t="shared" si="14"/>
        <v>#N/A</v>
      </c>
      <c r="BO10" s="1">
        <v>3.0</v>
      </c>
      <c r="BP10" s="1">
        <v>1.0</v>
      </c>
      <c r="BQ10" s="195" t="str">
        <f>'Программа тренировок '!M208</f>
        <v/>
      </c>
      <c r="BR10" s="1" t="str">
        <f t="shared" si="15"/>
        <v>#N/A</v>
      </c>
      <c r="BS10" s="1">
        <v>3.0</v>
      </c>
      <c r="BT10" s="1">
        <v>3.0</v>
      </c>
      <c r="BU10" s="193" t="str">
        <f t="shared" si="16"/>
        <v>#N/A</v>
      </c>
      <c r="BV10" s="1">
        <v>3.0</v>
      </c>
      <c r="BW10" s="1">
        <v>1.0</v>
      </c>
      <c r="BX10" s="195" t="str">
        <f>'Программа тренировок '!T208</f>
        <v/>
      </c>
      <c r="BY10" s="193" t="str">
        <f t="shared" si="17"/>
        <v>#N/A</v>
      </c>
      <c r="BZ10" s="1">
        <v>3.0</v>
      </c>
      <c r="CA10" s="1">
        <v>2.0</v>
      </c>
    </row>
    <row r="11" ht="20.25" customHeight="1">
      <c r="I11" s="136">
        <f>'Программа тренировок '!E77</f>
        <v>2.5</v>
      </c>
      <c r="L11" s="26" t="s">
        <v>165</v>
      </c>
      <c r="N11" s="188" t="str">
        <f>'Программа тренировок '!C111</f>
        <v/>
      </c>
      <c r="O11" s="197" t="str">
        <f>'Программа тренировок '!D111</f>
        <v/>
      </c>
      <c r="P11" s="198">
        <f>'Формулы'!I11</f>
        <v>2.5</v>
      </c>
      <c r="Q11" s="136" t="str">
        <f t="array" ref="Q11">MROUND(N11/INDEX($O$93:$X$100,MATCH(10,$N$93:$N$100,0),MATCH(O11,$O$92:$X$92,0))*0.8,P11)</f>
        <v>#N/A</v>
      </c>
      <c r="R11" s="122">
        <f>IF('Программа тренировок '!B111='Программа тренировок '!B121, 1, 3)</f>
        <v>1</v>
      </c>
      <c r="S11" s="136">
        <v>5.0</v>
      </c>
      <c r="T11" s="191" t="str">
        <f>'Программа тренировок '!F154</f>
        <v/>
      </c>
      <c r="U11" s="148" t="str">
        <f t="shared" si="2"/>
        <v>#N/A</v>
      </c>
      <c r="V11" s="136">
        <v>3.0</v>
      </c>
      <c r="W11" s="122">
        <v>6.0</v>
      </c>
      <c r="X11" s="136" t="str">
        <f t="array" ref="X11">MROUND(Q11/INDEX($O$93:$X$100,MATCH(T11,$N$93:$N$100,0),MATCH(S11,$O$92:$X$92,0))*0.84,P11)</f>
        <v>#N/A</v>
      </c>
      <c r="Y11" s="148">
        <f>IF('Программа тренировок '!B111='Программа тренировок '!B121, 1, 3)</f>
        <v>1</v>
      </c>
      <c r="Z11" s="136">
        <v>4.0</v>
      </c>
      <c r="AA11" s="192" t="str">
        <f>'Программа тренировок '!M154</f>
        <v/>
      </c>
      <c r="AB11" s="122" t="str">
        <f t="shared" si="4"/>
        <v>#N/A</v>
      </c>
      <c r="AC11" s="136">
        <v>3.0</v>
      </c>
      <c r="AD11" s="78">
        <v>5.0</v>
      </c>
      <c r="AE11" s="136" t="str">
        <f t="array" ref="AE11">MROUND(X11/INDEX($O$93:$X$100,MATCH(AA11,$N$93:$N$100,0),MATCH(Z11,$O$92:$X$92,0))*0.88,P11)</f>
        <v>#N/A</v>
      </c>
      <c r="AF11" s="136">
        <f>IF('Программа тренировок '!B111='Программа тренировок '!B121, 1, 3)</f>
        <v>1</v>
      </c>
      <c r="AG11" s="78">
        <v>3.0</v>
      </c>
      <c r="AH11" s="192" t="str">
        <f>'Программа тренировок '!T154</f>
        <v/>
      </c>
      <c r="AI11" s="148" t="str">
        <f t="shared" si="18"/>
        <v>#N/A</v>
      </c>
      <c r="AJ11" s="136">
        <v>3.0</v>
      </c>
      <c r="AK11" s="136">
        <v>4.0</v>
      </c>
      <c r="AL11" s="136" t="str">
        <f t="array" ref="AL11">MROUND(AE11/INDEX($O$93:$X$100,MATCH(AH11,$N$93:$N$100,0),MATCH(AG11,$O$92:$X$92,0))*0.82,P11)</f>
        <v>#N/A</v>
      </c>
      <c r="AM11" s="136">
        <f>IF('Программа тренировок '!B111='Программа тренировок '!B121, 1, 3)</f>
        <v>1</v>
      </c>
      <c r="AN11" s="136">
        <v>4.0</v>
      </c>
      <c r="AO11" s="191" t="str">
        <f>'Программа тренировок '!F181</f>
        <v/>
      </c>
      <c r="AP11" s="136" t="str">
        <f t="shared" si="7"/>
        <v>#N/A</v>
      </c>
      <c r="AQ11" s="136">
        <v>3.0</v>
      </c>
      <c r="AR11" s="122">
        <v>5.0</v>
      </c>
      <c r="AS11" s="136" t="str">
        <f t="array" ref="AS11">MROUND(AL11/INDEX($O$93:$X$100,MATCH(AO11,$N$93:$N$100,0),MATCH(AN11,$O$92:$X$92,0))*0.86,P11)</f>
        <v>#N/A</v>
      </c>
      <c r="AT11" s="136">
        <f>IF('Программа тренировок '!B111='Программа тренировок '!B121, 1, 3)</f>
        <v>1</v>
      </c>
      <c r="AU11" s="136">
        <v>3.0</v>
      </c>
      <c r="AV11" s="191" t="str">
        <f>'Программа тренировок '!M181</f>
        <v/>
      </c>
      <c r="AW11" s="193" t="str">
        <f t="shared" si="9"/>
        <v>#N/A</v>
      </c>
      <c r="AX11" s="194">
        <v>3.0</v>
      </c>
      <c r="AY11" s="194">
        <v>4.0</v>
      </c>
      <c r="AZ11" s="193" t="str">
        <f t="shared" si="10"/>
        <v>#N/A</v>
      </c>
      <c r="BA11" s="1">
        <f>IF('Программа тренировок '!B111='Программа тренировок '!B121, 1, 3)</f>
        <v>1</v>
      </c>
      <c r="BB11" s="1">
        <v>2.0</v>
      </c>
      <c r="BC11" s="191" t="str">
        <f>'Программа тренировок '!T181</f>
        <v/>
      </c>
      <c r="BD11" s="193" t="str">
        <f t="shared" si="11"/>
        <v>#N/A</v>
      </c>
      <c r="BE11" s="1">
        <v>3.0</v>
      </c>
      <c r="BF11" s="1">
        <v>3.0</v>
      </c>
      <c r="BG11" s="193" t="str">
        <f t="array" ref="BG11">MROUND(AZ11/INDEX($O$93:$X$100,MATCH(BC11,$N$93:$N$100,0),MATCH(BB11,$O$92:$X$92,0))*0.81,P11)</f>
        <v>#N/A</v>
      </c>
      <c r="BH11" s="1">
        <f>IF('Программа тренировок '!B111='Программа тренировок '!B121, 1, 3)</f>
        <v>1</v>
      </c>
      <c r="BI11" s="1">
        <v>3.0</v>
      </c>
      <c r="BJ11" s="195" t="str">
        <f>'Программа тренировок '!F208</f>
        <v/>
      </c>
      <c r="BK11" s="193" t="str">
        <f t="shared" si="13"/>
        <v>#N/A</v>
      </c>
      <c r="BL11" s="1">
        <v>3.0</v>
      </c>
      <c r="BM11" s="1">
        <v>4.0</v>
      </c>
      <c r="BN11" s="193" t="str">
        <f t="array" ref="BN11">MROUND(BG11/INDEX($O$93:$X$100,MATCH(BJ11,$N$93:$N$100,0),MATCH(BI11,$O$92:$X$92,0))*0.89,P11)</f>
        <v>#N/A</v>
      </c>
      <c r="BO11" s="1">
        <f>IF('Программа тренировок '!B111='Программа тренировок '!B121, 1, 3)</f>
        <v>1</v>
      </c>
      <c r="BP11" s="1">
        <v>2.0</v>
      </c>
      <c r="BQ11" s="195" t="str">
        <f>'Программа тренировок '!M208</f>
        <v/>
      </c>
      <c r="BR11" s="1" t="str">
        <f t="shared" si="15"/>
        <v>#N/A</v>
      </c>
      <c r="BS11" s="1">
        <v>3.0</v>
      </c>
      <c r="BT11" s="1">
        <v>3.0</v>
      </c>
      <c r="BU11" s="193" t="str">
        <f t="shared" si="16"/>
        <v>#N/A</v>
      </c>
      <c r="BV11" s="1">
        <f>IF('Программа тренировок '!B111='Программа тренировок '!B121, 1, 3)</f>
        <v>1</v>
      </c>
      <c r="BW11" s="1">
        <v>1.0</v>
      </c>
      <c r="BX11" s="195" t="str">
        <f>'Программа тренировок '!T208</f>
        <v/>
      </c>
      <c r="BY11" s="193" t="str">
        <f t="shared" si="17"/>
        <v>#N/A</v>
      </c>
      <c r="BZ11" s="1">
        <v>3.0</v>
      </c>
      <c r="CA11" s="1">
        <v>2.0</v>
      </c>
    </row>
    <row r="12" ht="15.0" customHeight="1">
      <c r="I12" s="136">
        <f>'Программа тренировок '!E78</f>
        <v>2.5</v>
      </c>
      <c r="Q12" s="1"/>
      <c r="R12" s="1"/>
      <c r="S12" s="1"/>
      <c r="T12" s="195"/>
      <c r="AA12" s="195"/>
      <c r="AD12" s="1"/>
      <c r="AE12" s="136"/>
      <c r="AF12" s="136"/>
      <c r="AG12" s="104"/>
      <c r="AH12" s="195"/>
      <c r="AI12" s="1"/>
      <c r="AO12" s="195"/>
      <c r="AV12" s="195"/>
      <c r="BC12" s="195"/>
      <c r="BJ12" s="195"/>
      <c r="BQ12" s="195"/>
      <c r="BR12" s="1"/>
      <c r="BX12" s="195"/>
    </row>
    <row r="13">
      <c r="I13" s="136">
        <f>'Программа тренировок '!E79</f>
        <v>5</v>
      </c>
      <c r="L13" s="26" t="s">
        <v>49</v>
      </c>
      <c r="N13" s="188" t="str">
        <f>'Программа тренировок '!C112</f>
        <v/>
      </c>
      <c r="O13" s="188" t="str">
        <f>'Программа тренировок '!D112</f>
        <v/>
      </c>
      <c r="P13" s="196">
        <f>'Формулы'!I12</f>
        <v>2.5</v>
      </c>
      <c r="Q13" s="136" t="str">
        <f t="array" ref="Q13">MROUND(N13/INDEX($O$93:$X$100,MATCH(10,$N$93:$N$100,0),MATCH(O13,$O$92:$X$92,0))*0.83,P13)</f>
        <v>#N/A</v>
      </c>
      <c r="R13" s="122">
        <v>3.0</v>
      </c>
      <c r="S13" s="136">
        <v>3.0</v>
      </c>
      <c r="T13" s="192" t="str">
        <f>'Программа тренировок '!F155</f>
        <v/>
      </c>
      <c r="U13" s="148" t="str">
        <f t="array" ref="U13">MROUND(Q13/INDEX($O$93:$X$100,MATCH(T13,$N$93:$N$100,0),MATCH(S13,$O$92:$X$92,0))*0.75,P13)</f>
        <v>#N/A</v>
      </c>
      <c r="V13" s="136">
        <v>3.0</v>
      </c>
      <c r="W13" s="122">
        <v>6.0</v>
      </c>
      <c r="X13" s="136" t="str">
        <f t="array" ref="X13">MROUND(Q13/INDEX($O$93:$X$100,MATCH(T13,$N$93:$N$100,0),MATCH(S13,$O$92:$X$92,0))*0.86,P13)</f>
        <v>#N/A</v>
      </c>
      <c r="Y13" s="148">
        <v>3.0</v>
      </c>
      <c r="Z13" s="136">
        <v>3.0</v>
      </c>
      <c r="AA13" s="192" t="str">
        <f>'Программа тренировок '!M155</f>
        <v/>
      </c>
      <c r="AB13" s="122" t="str">
        <f t="array" ref="AB13">MROUND(X13/INDEX($O$93:$X$100,MATCH(AA13,$N$93:$N$100,0),MATCH(Z13,$O$92:$X$92,0))*0.8,P13)</f>
        <v>#N/A</v>
      </c>
      <c r="AC13" s="136">
        <v>3.0</v>
      </c>
      <c r="AD13" s="78">
        <v>5.0</v>
      </c>
      <c r="AE13" s="136" t="str">
        <f t="array" ref="AE13">MROUND(X13/INDEX($O$93:$X$100,MATCH(AA13,$N$93:$N$100,0),MATCH(Z13,$O$92:$X$92,0))*0.9,P13)</f>
        <v>#N/A</v>
      </c>
      <c r="AF13" s="136">
        <v>3.0</v>
      </c>
      <c r="AG13" s="78">
        <v>3.0</v>
      </c>
      <c r="AH13" s="192" t="str">
        <f>'Программа тренировок '!T155</f>
        <v/>
      </c>
      <c r="AI13" s="148" t="str">
        <f t="array" ref="AI13">MROUND(AE13/INDEX($O$93:$X$100,MATCH(AH13,$N$93:$N$100,0),MATCH(AG13,$O$92:$X$92,0))*0.85,P13)</f>
        <v>#N/A</v>
      </c>
      <c r="AJ13" s="136">
        <v>3.0</v>
      </c>
      <c r="AK13" s="136">
        <v>4.0</v>
      </c>
      <c r="AL13" s="136" t="str">
        <f t="array" ref="AL13">MROUND(AE13/INDEX($O$93:$X$100,MATCH(AH13,$N$93:$N$100,0),MATCH(AG13,$O$92:$X$92,0))*0.86,P13)</f>
        <v>#N/A</v>
      </c>
      <c r="AM13" s="136">
        <v>3.0</v>
      </c>
      <c r="AN13" s="136">
        <v>2.0</v>
      </c>
      <c r="AO13" s="192" t="str">
        <f>'Программа тренировок '!F182</f>
        <v/>
      </c>
      <c r="AP13" s="136" t="str">
        <f t="array" ref="AP13">MROUND(AL13/INDEX($O$93:$X$100,MATCH(AO13,$N$93:$N$100,0),MATCH(AN13,$O$92:$X$92,0))*0.79,P13)</f>
        <v>#N/A</v>
      </c>
      <c r="AQ13" s="136">
        <v>3.0</v>
      </c>
      <c r="AR13" s="122">
        <v>5.0</v>
      </c>
      <c r="AS13" s="136" t="str">
        <f t="array" ref="AS13">MROUND(AL13/INDEX($O$93:$X$100,MATCH(AO13,$N$93:$N$100,0),MATCH(AN13,$O$92:$X$92,0))*0.89,P13)</f>
        <v>#N/A</v>
      </c>
      <c r="AT13" s="136">
        <v>3.0</v>
      </c>
      <c r="AU13" s="136">
        <v>2.0</v>
      </c>
      <c r="AV13" s="192" t="str">
        <f>'Программа тренировок '!M182</f>
        <v/>
      </c>
      <c r="AW13" s="193" t="str">
        <f t="array" ref="AW13">MROUND(AS13/INDEX($O$93:$X$100,MATCH(AV13,$N$93:$N$100,0),MATCH(AU13,$O$92:$X$92,0))*0.82,P13)</f>
        <v>#N/A</v>
      </c>
      <c r="AX13" s="194">
        <v>3.0</v>
      </c>
      <c r="AY13" s="194">
        <v>4.0</v>
      </c>
      <c r="AZ13" s="193" t="str">
        <f t="array" ref="AZ13">MROUND(AS13/INDEX($O$93:$X$100,MATCH(AV13,$N$93:$N$100,0),MATCH(AU13,$O$92:$X$92,0))*0.92,P13)</f>
        <v>#N/A</v>
      </c>
      <c r="BA13" s="1">
        <v>3.0</v>
      </c>
      <c r="BB13" s="1">
        <v>2.0</v>
      </c>
      <c r="BC13" s="192" t="str">
        <f>'Программа тренировок '!T182</f>
        <v/>
      </c>
      <c r="BD13" s="193" t="str">
        <f t="array" ref="BD13">MROUND(AZ13/INDEX($O$93:$X$100,MATCH(BC13,$N$93:$N$100,0),MATCH(BB13,$O$92:$X$92,0))*0.86,P13)</f>
        <v>#N/A</v>
      </c>
      <c r="BE13" s="1">
        <v>3.0</v>
      </c>
      <c r="BF13" s="1">
        <v>3.0</v>
      </c>
      <c r="BG13" s="193" t="str">
        <f t="array" ref="BG13">MROUND(AZ13/INDEX($O$93:$X$100,MATCH(BC13,$N$93:$N$100,0),MATCH(BB13,$O$92:$X$92,0))*0.91,P13)</f>
        <v>#N/A</v>
      </c>
      <c r="BH13" s="1">
        <v>3.0</v>
      </c>
      <c r="BI13" s="1">
        <v>1.0</v>
      </c>
      <c r="BJ13" s="199" t="str">
        <f>'Программа тренировок '!F209</f>
        <v/>
      </c>
      <c r="BK13" s="193" t="str">
        <f t="array" ref="BK13">MROUND(BG13/INDEX($O$93:$X$100,MATCH(BJ13,$N$93:$N$100,0),MATCH(BI13,$O$92:$X$92,0))*0.81,P13)</f>
        <v>#N/A</v>
      </c>
      <c r="BL13" s="1">
        <v>3.0</v>
      </c>
      <c r="BM13" s="1">
        <v>4.0</v>
      </c>
      <c r="BN13" s="193" t="str">
        <f t="array" ref="BN13">MROUND(BG13/INDEX($O$93:$X$100,MATCH(BJ13,$N$93:$N$100,0),MATCH(BI13,$O$92:$X$92,0))*0.94,P13)</f>
        <v>#N/A</v>
      </c>
      <c r="BO13" s="1">
        <v>3.0</v>
      </c>
      <c r="BP13" s="1">
        <v>1.0</v>
      </c>
      <c r="BQ13" s="199" t="str">
        <f>'Программа тренировок '!M209</f>
        <v/>
      </c>
      <c r="BR13" s="1" t="str">
        <f t="array" ref="BR13">MROUND(BN13/INDEX($O$93:$X$100,MATCH(BQ13,$N$93:$N$100,0),MATCH(BP13,$O$92:$X$92,0))*0.84,P13)</f>
        <v>#N/A</v>
      </c>
      <c r="BS13" s="1">
        <v>3.0</v>
      </c>
      <c r="BT13" s="1">
        <v>3.0</v>
      </c>
      <c r="BU13" s="193" t="str">
        <f t="array" ref="BU13">MROUND(BN13/INDEX($O$93:$X$100,MATCH(BQ13,$N$93:$N$100,0),MATCH(BP13,$O$92:$X$92,0))*0.97,P13)</f>
        <v>#N/A</v>
      </c>
      <c r="BV13" s="1">
        <v>3.0</v>
      </c>
      <c r="BW13" s="1">
        <v>1.0</v>
      </c>
      <c r="BX13" s="199" t="str">
        <f>'Программа тренировок '!T209</f>
        <v/>
      </c>
      <c r="BY13" s="193" t="str">
        <f t="array" ref="BY13">MROUND(BU13/INDEX($O$93:$X$100,MATCH(BX13,$N$93:$N$100,0),MATCH(BW13,$O$92:$X$92,0))*0.89,P13)</f>
        <v>#N/A</v>
      </c>
      <c r="BZ13" s="1">
        <v>3.0</v>
      </c>
      <c r="CA13" s="1">
        <v>2.0</v>
      </c>
    </row>
    <row r="14">
      <c r="I14" s="136">
        <f>'Программа тренировок '!E80</f>
        <v>1</v>
      </c>
      <c r="L14" s="26" t="s">
        <v>65</v>
      </c>
      <c r="N14" s="188" t="str">
        <f>'Программа тренировок '!C112</f>
        <v/>
      </c>
      <c r="O14" s="200">
        <v>8.0</v>
      </c>
      <c r="P14" s="196">
        <f>'Формулы'!I12</f>
        <v>2.5</v>
      </c>
      <c r="Q14" s="152" t="s">
        <v>166</v>
      </c>
      <c r="R14" s="151">
        <v>1.0</v>
      </c>
      <c r="S14" s="1">
        <f>O14-2</f>
        <v>6</v>
      </c>
      <c r="T14" s="192" t="str">
        <f>'Программа тренировок '!F155</f>
        <v/>
      </c>
      <c r="U14" s="152" t="s">
        <v>166</v>
      </c>
      <c r="V14" s="151">
        <v>4.0</v>
      </c>
      <c r="W14" s="151">
        <f>FLOOR((10-T14+S14)-3,1)</f>
        <v>13</v>
      </c>
      <c r="X14" s="152" t="s">
        <v>166</v>
      </c>
      <c r="Y14" s="151">
        <v>1.0</v>
      </c>
      <c r="Z14" s="151">
        <f>FLOOR((10-T14+S14)-1,1)</f>
        <v>15</v>
      </c>
      <c r="AA14" s="192" t="str">
        <f>'Программа тренировок '!M155</f>
        <v/>
      </c>
      <c r="AB14" s="152" t="s">
        <v>166</v>
      </c>
      <c r="AC14" s="1">
        <v>4.0</v>
      </c>
      <c r="AD14" s="153">
        <f>FLOOR((10-AA14+Z14)-2,1)</f>
        <v>23</v>
      </c>
      <c r="AE14" s="152" t="s">
        <v>166</v>
      </c>
      <c r="AF14" s="151">
        <v>1.0</v>
      </c>
      <c r="AG14" s="201">
        <f>FLOOR((10-AA14+Z14),1)</f>
        <v>25</v>
      </c>
      <c r="AH14" s="199" t="str">
        <f>'Программа тренировок '!T155</f>
        <v/>
      </c>
      <c r="AI14" s="152" t="s">
        <v>166</v>
      </c>
      <c r="AJ14" s="151">
        <v>3.0</v>
      </c>
      <c r="AK14" s="151">
        <f>FLOOR((10-AH14+AG14)-2,1)</f>
        <v>33</v>
      </c>
      <c r="AL14" s="152" t="s">
        <v>166</v>
      </c>
      <c r="AM14" s="151">
        <v>1.0</v>
      </c>
      <c r="AN14" s="151">
        <f>FLOOR((10-AH14+AG14)-2,1)</f>
        <v>33</v>
      </c>
      <c r="AO14" s="192" t="str">
        <f>'Программа тренировок '!F182</f>
        <v/>
      </c>
      <c r="AP14" s="152" t="s">
        <v>166</v>
      </c>
      <c r="AQ14" s="151">
        <v>4.0</v>
      </c>
      <c r="AR14" s="151">
        <f>FLOOR((10-AO14+AN14)-3,1)</f>
        <v>40</v>
      </c>
      <c r="AS14" s="152" t="s">
        <v>166</v>
      </c>
      <c r="AT14" s="151">
        <v>1.0</v>
      </c>
      <c r="AU14" s="193">
        <f>FLOOR((10-AO14+AN14)-1,1)</f>
        <v>42</v>
      </c>
      <c r="AV14" s="192" t="str">
        <f>'Программа тренировок '!M182</f>
        <v/>
      </c>
      <c r="AW14" s="152" t="s">
        <v>166</v>
      </c>
      <c r="AX14" s="1">
        <v>4.0</v>
      </c>
      <c r="AY14" s="193">
        <f>FLOOR((10-AV14+AU14)-2,1)</f>
        <v>50</v>
      </c>
      <c r="AZ14" s="152" t="s">
        <v>166</v>
      </c>
      <c r="BA14" s="193">
        <v>1.0</v>
      </c>
      <c r="BB14" s="193">
        <f>FLOOR((10-AV14+AU14),1)</f>
        <v>52</v>
      </c>
      <c r="BC14" s="192" t="str">
        <f>'Программа тренировок '!T182</f>
        <v/>
      </c>
      <c r="BD14" s="152" t="s">
        <v>166</v>
      </c>
      <c r="BE14" s="1">
        <v>3.0</v>
      </c>
      <c r="BF14" s="193">
        <f>FLOOR((10-BC14+BB14)-2,1)</f>
        <v>60</v>
      </c>
      <c r="BG14" s="152" t="s">
        <v>166</v>
      </c>
      <c r="BH14" s="193">
        <v>1.0</v>
      </c>
      <c r="BI14" s="193">
        <f>FLOOR((10-BC14+BB14)-2,1)</f>
        <v>60</v>
      </c>
      <c r="BJ14" s="199" t="str">
        <f>'Программа тренировок '!F209</f>
        <v/>
      </c>
      <c r="BK14" s="152" t="s">
        <v>166</v>
      </c>
      <c r="BL14" s="1">
        <v>4.0</v>
      </c>
      <c r="BM14" s="193">
        <f>FLOOR((10-BJ14+BI14)-3,1)</f>
        <v>67</v>
      </c>
      <c r="BN14" s="152" t="s">
        <v>166</v>
      </c>
      <c r="BO14" s="193">
        <v>1.0</v>
      </c>
      <c r="BP14" s="193">
        <f>FLOOR((10-BJ14+BI14)-1,1)</f>
        <v>69</v>
      </c>
      <c r="BQ14" s="199" t="str">
        <f>'Программа тренировок '!M209</f>
        <v/>
      </c>
      <c r="BR14" s="152" t="s">
        <v>166</v>
      </c>
      <c r="BS14" s="1">
        <v>3.0</v>
      </c>
      <c r="BT14" s="193">
        <f>FLOOR((10-BQ14+BP14)-2,1)</f>
        <v>77</v>
      </c>
      <c r="BU14" s="152" t="s">
        <v>166</v>
      </c>
      <c r="BV14" s="193">
        <v>1.0</v>
      </c>
      <c r="BW14" s="193">
        <f>FLOOR((10-BQ14+BP14),1)</f>
        <v>79</v>
      </c>
      <c r="BX14" s="199" t="str">
        <f>'Программа тренировок '!T209</f>
        <v/>
      </c>
      <c r="BY14" s="152" t="s">
        <v>166</v>
      </c>
      <c r="BZ14" s="1">
        <v>3.0</v>
      </c>
      <c r="CA14" s="193">
        <f>FLOOR((10-BQ14+BP14)-2,1)</f>
        <v>77</v>
      </c>
    </row>
    <row r="15">
      <c r="I15" s="136"/>
      <c r="L15" s="26" t="s">
        <v>167</v>
      </c>
      <c r="N15" s="188" t="str">
        <f>'Программа тренировок '!C112</f>
        <v/>
      </c>
      <c r="O15" s="188" t="str">
        <f>'Программа тренировок '!D112</f>
        <v/>
      </c>
      <c r="P15" s="196">
        <f>'Формулы'!I12</f>
        <v>2.5</v>
      </c>
      <c r="Q15" s="136" t="str">
        <f t="array" ref="Q15">MROUND(N15/INDEX($O$93:$X$100,MATCH(10,$N$93:$N$100,0),MATCH(O15,$O$92:$X$92,0))*0.8,P15)</f>
        <v>#N/A</v>
      </c>
      <c r="R15" s="122">
        <v>3.0</v>
      </c>
      <c r="S15" s="136">
        <v>5.0</v>
      </c>
      <c r="T15" s="192" t="str">
        <f>'Программа тренировок '!F155</f>
        <v/>
      </c>
      <c r="U15" s="148" t="str">
        <f t="array" ref="U15">MROUND(Q15/INDEX($O$93:$X$100,MATCH(T15,$N$93:$N$100,0),MATCH(S15,$O$92:$X$92,0))*0.75,P15)</f>
        <v>#N/A</v>
      </c>
      <c r="V15" s="136">
        <v>3.0</v>
      </c>
      <c r="W15" s="122">
        <v>6.0</v>
      </c>
      <c r="X15" s="136" t="str">
        <f t="array" ref="X15">MROUND(Q15/INDEX($O$93:$X$100,MATCH(T15,$N$93:$N$100,0),MATCH(S15,$O$92:$X$92,0))*0.82,P15)</f>
        <v>#N/A</v>
      </c>
      <c r="Y15" s="148">
        <v>3.0</v>
      </c>
      <c r="Z15" s="136">
        <v>5.0</v>
      </c>
      <c r="AA15" s="192" t="str">
        <f>'Программа тренировок '!M155</f>
        <v/>
      </c>
      <c r="AB15" s="122" t="str">
        <f t="array" ref="AB15">MROUND(X15/INDEX($O$93:$X$100,MATCH(AA15,$N$93:$N$100,0),MATCH(Z15,$O$92:$X$92,0))*0.77,P15)</f>
        <v>#N/A</v>
      </c>
      <c r="AC15" s="136">
        <v>3.0</v>
      </c>
      <c r="AD15" s="78">
        <v>6.0</v>
      </c>
      <c r="AE15" s="136" t="str">
        <f t="array" ref="AE15">MROUND(X15/INDEX($O$93:$X$100,MATCH(AA15,$N$93:$N$100,0),MATCH(Z15,$O$92:$X$92,0))*0.85,P15)</f>
        <v>#N/A</v>
      </c>
      <c r="AF15" s="136">
        <v>3.0</v>
      </c>
      <c r="AG15" s="78">
        <v>5.0</v>
      </c>
      <c r="AH15" s="192" t="str">
        <f>'Программа тренировок '!T155</f>
        <v/>
      </c>
      <c r="AI15" s="148" t="str">
        <f t="array" ref="AI15">MROUND(AE15/INDEX($O$93:$X$100,MATCH(AH15,$N$93:$N$100,0),MATCH(AG15,$O$92:$X$92,0))*0.79,P15)</f>
        <v>#N/A</v>
      </c>
      <c r="AJ15" s="136">
        <v>3.0</v>
      </c>
      <c r="AK15" s="136">
        <v>6.0</v>
      </c>
      <c r="AL15" s="136" t="str">
        <f t="array" ref="AL15">MROUND(AE15/INDEX($O$93:$X$100,MATCH(AH15,$N$93:$N$100,0),MATCH(AG15,$O$92:$X$92,0))*0.82,P15)</f>
        <v>#N/A</v>
      </c>
      <c r="AM15" s="136">
        <v>3.0</v>
      </c>
      <c r="AN15" s="136">
        <v>4.0</v>
      </c>
      <c r="AO15" s="192" t="str">
        <f>'Программа тренировок '!F182</f>
        <v/>
      </c>
      <c r="AP15" s="136" t="str">
        <f t="array" ref="AP15">MROUND(AL15/INDEX($O$93:$X$100,MATCH(AO15,$N$93:$N$100,0),MATCH(AN15,$O$92:$X$92,0))*0.79,P15)</f>
        <v>#N/A</v>
      </c>
      <c r="AQ15" s="136">
        <v>3.0</v>
      </c>
      <c r="AR15" s="122">
        <v>5.0</v>
      </c>
      <c r="AS15" s="136" t="str">
        <f t="array" ref="AS15">MROUND(AL15/INDEX($O$93:$X$100,MATCH(AO15,$N$93:$N$100,0),MATCH(AN15,$O$92:$X$92,0))*0.85,P15)</f>
        <v>#N/A</v>
      </c>
      <c r="AT15" s="136">
        <v>3.0</v>
      </c>
      <c r="AU15" s="136">
        <v>4.0</v>
      </c>
      <c r="AV15" s="192" t="str">
        <f>'Программа тренировок '!M182</f>
        <v/>
      </c>
      <c r="AW15" s="193" t="str">
        <f t="array" ref="AW15">MROUND(AS15/INDEX($O$93:$X$100,MATCH(AV15,$N$93:$N$100,0),MATCH(AU15,$O$92:$X$92,0))*0.8,P15)</f>
        <v>#N/A</v>
      </c>
      <c r="AX15" s="194">
        <v>3.0</v>
      </c>
      <c r="AY15" s="194">
        <v>5.0</v>
      </c>
      <c r="AZ15" s="193" t="str">
        <f t="array" ref="AZ15">MROUND(AS15/INDEX($O$93:$X$100,MATCH(AV15,$N$93:$N$100,0),MATCH(AU15,$O$92:$X$92,0))*0.88,P15)</f>
        <v>#N/A</v>
      </c>
      <c r="BA15" s="1">
        <v>3.0</v>
      </c>
      <c r="BB15" s="1">
        <v>4.0</v>
      </c>
      <c r="BC15" s="192" t="str">
        <f>'Программа тренировок '!T182</f>
        <v/>
      </c>
      <c r="BD15" s="193" t="str">
        <f t="array" ref="BD15">MROUND(AZ15/INDEX($O$93:$X$100,MATCH(BC15,$N$93:$N$100,0),MATCH(BB15,$O$92:$X$92,0))*0.81,P15)</f>
        <v>#N/A</v>
      </c>
      <c r="BE15" s="1">
        <v>3.0</v>
      </c>
      <c r="BF15" s="1">
        <v>5.0</v>
      </c>
      <c r="BG15" s="193" t="str">
        <f t="array" ref="BG15">MROUND(AZ15/INDEX($O$93:$X$100,MATCH(BC15,$N$93:$N$100,0),MATCH(BB15,$O$92:$X$92,0))*0.83,P15)</f>
        <v>#N/A</v>
      </c>
      <c r="BH15" s="1">
        <v>3.0</v>
      </c>
      <c r="BI15" s="1">
        <v>3.0</v>
      </c>
      <c r="BJ15" s="199" t="str">
        <f>'Программа тренировок '!F209</f>
        <v/>
      </c>
      <c r="BK15" s="193" t="str">
        <f t="array" ref="BK15">MROUND(BG15/INDEX($O$93:$X$100,MATCH(BJ15,$N$93:$N$100,0),MATCH(BI15,$O$92:$X$92,0))*0.81,P15)</f>
        <v>#N/A</v>
      </c>
      <c r="BL15" s="1">
        <v>3.0</v>
      </c>
      <c r="BM15" s="1">
        <v>4.0</v>
      </c>
      <c r="BN15" s="193" t="str">
        <f t="array" ref="BN15">MROUND(BG15/INDEX($O$93:$X$100,MATCH(BJ15,$N$93:$N$100,0),MATCH(BI15,$O$92:$X$92,0))*0.86,P15)</f>
        <v>#N/A</v>
      </c>
      <c r="BO15" s="1">
        <v>3.0</v>
      </c>
      <c r="BP15" s="1">
        <v>3.0</v>
      </c>
      <c r="BQ15" s="199" t="str">
        <f>'Программа тренировок '!M209</f>
        <v/>
      </c>
      <c r="BR15" s="1" t="str">
        <f t="array" ref="BR15">MROUND(BN15/INDEX($O$93:$X$100,MATCH(BQ15,$N$93:$N$100,0),MATCH(BP15,$O$92:$X$92,0))*0.82,P15)</f>
        <v>#N/A</v>
      </c>
      <c r="BS15" s="1">
        <v>3.0</v>
      </c>
      <c r="BT15" s="1">
        <v>4.0</v>
      </c>
      <c r="BU15" s="193" t="str">
        <f t="array" ref="BU15">MROUND(BN15/INDEX($O$93:$X$100,MATCH(BQ15,$N$93:$N$100,0),MATCH(BP15,$O$92:$X$92,0))*0.91,P15)</f>
        <v>#N/A</v>
      </c>
      <c r="BV15" s="1">
        <v>3.0</v>
      </c>
      <c r="BW15" s="1">
        <v>3.0</v>
      </c>
      <c r="BX15" s="199" t="str">
        <f>'Программа тренировок '!T209</f>
        <v/>
      </c>
      <c r="BY15" s="193" t="str">
        <f t="array" ref="BY15">MROUND(BU15/INDEX($O$93:$X$100,MATCH(BX15,$N$93:$N$100,0),MATCH(BW15,$O$92:$X$92,0))*0.84,P15)</f>
        <v>#N/A</v>
      </c>
      <c r="BZ15" s="1">
        <v>3.0</v>
      </c>
      <c r="CA15" s="1">
        <v>4.0</v>
      </c>
    </row>
    <row r="16" ht="15.0" customHeight="1">
      <c r="I16" s="1"/>
      <c r="Q16" s="1"/>
      <c r="R16" s="1"/>
      <c r="S16" s="1"/>
      <c r="T16" s="195"/>
      <c r="AA16" s="195"/>
      <c r="AD16" s="1"/>
      <c r="AE16" s="136"/>
      <c r="AF16" s="136"/>
      <c r="AG16" s="104"/>
      <c r="AH16" s="195"/>
      <c r="AI16" s="1"/>
      <c r="AO16" s="195"/>
      <c r="AV16" s="195"/>
      <c r="BC16" s="195"/>
      <c r="BJ16" s="195"/>
      <c r="BQ16" s="195"/>
      <c r="BR16" s="1"/>
      <c r="BX16" s="195"/>
    </row>
    <row r="17">
      <c r="I17" s="1"/>
      <c r="L17" s="26" t="s">
        <v>114</v>
      </c>
      <c r="N17" s="188" t="str">
        <f>IF('Программа тренировок '!B127='Программа тренировок '!B113,'Программа тренировок '!C113,'Программа тренировок '!C127)</f>
        <v/>
      </c>
      <c r="O17" s="188" t="str">
        <f>IF('Программа тренировок '!B127='Программа тренировок '!B113,O54,'Программа тренировок '!D127)</f>
        <v/>
      </c>
      <c r="P17" s="196">
        <f>IF('Программа тренировок '!B132='Программа тренировок '!B118,P54,'Формулы'!I27)</f>
        <v>2.5</v>
      </c>
      <c r="Q17" s="136" t="str">
        <f t="array" ref="Q17">MROUND(N17/INDEX($O$93:$X$100,MATCH(10,$N$93:$N$100,0),MATCH(O17,$O$92:$X$92,0))*0.83,P17)</f>
        <v>#N/A</v>
      </c>
      <c r="R17" s="122">
        <f>IF('Программа тренировок '!B93='Программа тренировок '!B79, 1, 3)</f>
        <v>3</v>
      </c>
      <c r="S17" s="136">
        <v>3.0</v>
      </c>
      <c r="T17" s="191" t="str">
        <f>'Программа тренировок '!F170</f>
        <v/>
      </c>
      <c r="U17" s="148" t="str">
        <f t="shared" ref="U17:U19" si="19">MROUND(Q17/INDEX($O$93:$X$100,MATCH(T17,$N$93:$N$100,0),MATCH(S17,$O$92:$X$92,0))*0.75,P17)</f>
        <v>#N/A</v>
      </c>
      <c r="V17" s="136">
        <v>3.0</v>
      </c>
      <c r="W17" s="122">
        <v>6.0</v>
      </c>
      <c r="X17" s="136" t="str">
        <f t="array" ref="X17">MROUND(Q17/INDEX($O$93:$X$100,MATCH(T17,$N$93:$N$100,0),MATCH(S17,$O$92:$X$92,0))*0.86,P17)</f>
        <v>#N/A</v>
      </c>
      <c r="Y17" s="148">
        <f>IF('Программа тренировок '!B93='Программа тренировок '!B79, 1, 3)</f>
        <v>3</v>
      </c>
      <c r="Z17" s="136">
        <v>3.0</v>
      </c>
      <c r="AA17" s="191" t="str">
        <f>'Программа тренировок '!M170</f>
        <v/>
      </c>
      <c r="AB17" s="122" t="str">
        <f t="array" ref="AB17">MROUND(X17/INDEX($O$93:$X$100,MATCH(AA17,$N$93:$N$100,0),MATCH(Z17,$O$92:$X$92,0))*0.8,P17)</f>
        <v>#N/A</v>
      </c>
      <c r="AC17" s="136">
        <v>3.0</v>
      </c>
      <c r="AD17" s="78">
        <v>5.0</v>
      </c>
      <c r="AE17" s="136" t="str">
        <f t="array" ref="AE17">MROUND(X17/INDEX($O$93:$X$100,MATCH(AA17,$N$93:$N$100,0),MATCH(Z17,$O$92:$X$92,0))*0.9,P17)</f>
        <v>#N/A</v>
      </c>
      <c r="AF17" s="136">
        <f>IF('Программа тренировок '!B93='Программа тренировок '!B79, 1, 3)</f>
        <v>3</v>
      </c>
      <c r="AG17" s="78">
        <v>3.0</v>
      </c>
      <c r="AH17" s="191" t="str">
        <f>'Программа тренировок '!T170</f>
        <v/>
      </c>
      <c r="AI17" s="148" t="str">
        <f t="array" ref="AI17">MROUND(AE17/INDEX($O$93:$X$100,MATCH(AH17,$N$93:$N$100,0),MATCH(AG17,$O$92:$X$92,0))*0.85,P17)</f>
        <v>#N/A</v>
      </c>
      <c r="AJ17" s="136">
        <v>3.0</v>
      </c>
      <c r="AK17" s="136">
        <v>4.0</v>
      </c>
      <c r="AL17" s="136" t="str">
        <f t="array" ref="AL17">MROUND(AE17/INDEX($O$93:$X$100,MATCH(AH17,$N$93:$N$100,0),MATCH(AG17,$O$92:$X$92,0))*0.86,P17)</f>
        <v>#N/A</v>
      </c>
      <c r="AM17" s="136">
        <f>IF('Программа тренировок '!B93='Программа тренировок '!B79, 1, 3)</f>
        <v>3</v>
      </c>
      <c r="AN17" s="136">
        <v>2.0</v>
      </c>
      <c r="AO17" s="191" t="str">
        <f>'Программа тренировок '!F197</f>
        <v/>
      </c>
      <c r="AP17" s="136" t="str">
        <f t="shared" ref="AP17:AP19" si="20">MROUND(AL17/INDEX($O$93:$X$100,MATCH(AO17,$N$93:$N$100,0),MATCH(AN17,$O$92:$X$92,0))*0.79,P17)</f>
        <v>#N/A</v>
      </c>
      <c r="AQ17" s="136">
        <v>3.0</v>
      </c>
      <c r="AR17" s="122">
        <v>5.0</v>
      </c>
      <c r="AS17" s="136" t="str">
        <f t="array" ref="AS17">MROUND(AL17/INDEX($O$93:$X$100,MATCH(AO17,$N$93:$N$100,0),MATCH(AN17,$O$92:$X$92,0))*0.89,P17)</f>
        <v>#N/A</v>
      </c>
      <c r="AT17" s="136">
        <f>IF('Программа тренировок '!B93='Программа тренировок '!B79, 1, 3)</f>
        <v>3</v>
      </c>
      <c r="AU17" s="136">
        <v>2.0</v>
      </c>
      <c r="AV17" s="191" t="str">
        <f>'Программа тренировок '!M197</f>
        <v/>
      </c>
      <c r="AW17" s="193" t="str">
        <f t="array" ref="AW17">MROUND(AS17/INDEX($O$93:$X$100,MATCH(AV17,$N$93:$N$100,0),MATCH(AU17,$O$92:$X$92,0))*0.82,P17)</f>
        <v>#N/A</v>
      </c>
      <c r="AX17" s="194">
        <v>3.0</v>
      </c>
      <c r="AY17" s="194">
        <v>4.0</v>
      </c>
      <c r="AZ17" s="193" t="str">
        <f t="array" ref="AZ17">MROUND(AS17/INDEX($O$93:$X$100,MATCH(AV17,$N$93:$N$100,0),MATCH(AU17,$O$92:$X$92,0))*0.92,P17)</f>
        <v>#N/A</v>
      </c>
      <c r="BA17" s="1">
        <f>IF('Программа тренировок '!B93='Программа тренировок '!B79, 1, 3)</f>
        <v>3</v>
      </c>
      <c r="BB17" s="1">
        <v>2.0</v>
      </c>
      <c r="BC17" s="191" t="str">
        <f>'Программа тренировок '!T197</f>
        <v/>
      </c>
      <c r="BD17" s="193" t="str">
        <f t="array" ref="BD17">MROUND(AZ17/INDEX($O$93:$X$100,MATCH(BC17,$N$93:$N$100,0),MATCH(BB17,$O$92:$X$92,0))*0.86,P17)</f>
        <v>#N/A</v>
      </c>
      <c r="BE17" s="1">
        <v>3.0</v>
      </c>
      <c r="BF17" s="1">
        <v>3.0</v>
      </c>
      <c r="BG17" s="193" t="str">
        <f t="array" ref="BG17">MROUND(AZ17/INDEX($O$93:$X$100,MATCH(BC17,$N$93:$N$100,0),MATCH(BB17,$O$92:$X$92,0))*0.91,P17)</f>
        <v>#N/A</v>
      </c>
      <c r="BH17" s="1">
        <f>IF('Программа тренировок '!B93='Программа тренировок '!B79, 1, 3)</f>
        <v>3</v>
      </c>
      <c r="BI17" s="1">
        <v>1.0</v>
      </c>
      <c r="BJ17" s="195" t="str">
        <f>'Программа тренировок '!F224</f>
        <v/>
      </c>
      <c r="BK17" s="193" t="str">
        <f t="shared" ref="BK17:BK19" si="21">MROUND(BG17/INDEX($O$93:$X$100,MATCH(BJ17,$N$93:$N$100,0),MATCH(BI17,$O$92:$X$92,0))*0.81,P17)</f>
        <v>#N/A</v>
      </c>
      <c r="BL17" s="1">
        <v>3.0</v>
      </c>
      <c r="BM17" s="1">
        <v>4.0</v>
      </c>
      <c r="BN17" s="193" t="str">
        <f t="array" ref="BN17">MROUND(BG17/INDEX($O$93:$X$100,MATCH(BJ17,$N$93:$N$100,0),MATCH(BI17,$O$92:$X$92,0))*0.94,P17)</f>
        <v>#N/A</v>
      </c>
      <c r="BO17" s="1">
        <f>IF('Программа тренировок '!B93='Программа тренировок '!B79, 1, 3)</f>
        <v>3</v>
      </c>
      <c r="BP17" s="1">
        <v>1.0</v>
      </c>
      <c r="BQ17" s="195" t="str">
        <f>'Программа тренировок '!M224</f>
        <v/>
      </c>
      <c r="BR17" s="1" t="str">
        <f t="array" ref="BR17">MROUND(BN17/INDEX($O$93:$X$100,MATCH(BQ17,$N$93:$N$100,0),MATCH(BP17,$O$92:$X$92,0))*0.84,P17)</f>
        <v>#N/A</v>
      </c>
      <c r="BS17" s="1">
        <v>3.0</v>
      </c>
      <c r="BT17" s="1">
        <v>3.0</v>
      </c>
      <c r="BU17" s="193" t="str">
        <f t="array" ref="BU17">MROUND(BN17/INDEX($O$93:$X$100,MATCH(BQ17,$N$93:$N$100,0),MATCH(BP17,$O$92:$X$92,0))*0.97,P17)</f>
        <v>#N/A</v>
      </c>
      <c r="BV17" s="1">
        <f>IF('Программа тренировок '!B93='Программа тренировок '!B79, 1, 3)</f>
        <v>3</v>
      </c>
      <c r="BW17" s="1">
        <v>1.0</v>
      </c>
      <c r="BX17" s="195" t="str">
        <f>'Программа тренировок '!T224</f>
        <v/>
      </c>
      <c r="BY17" s="193" t="str">
        <f t="array" ref="BY17">MROUND(BU17/INDEX($O$93:$X$100,MATCH(BX17,$N$93:$N$100,0),MATCH(BW17,$O$92:$X$92,0))*0.89,P17)</f>
        <v>#N/A</v>
      </c>
      <c r="BZ17" s="1">
        <v>3.0</v>
      </c>
      <c r="CA17" s="1">
        <v>2.0</v>
      </c>
    </row>
    <row r="18">
      <c r="I18" s="143" t="s">
        <v>163</v>
      </c>
      <c r="L18" s="26" t="s">
        <v>62</v>
      </c>
      <c r="N18" s="188" t="str">
        <f>'Программа тренировок '!C127</f>
        <v/>
      </c>
      <c r="O18" s="188" t="str">
        <f>'Программа тренировок '!D127</f>
        <v/>
      </c>
      <c r="P18" s="196">
        <f>'Формулы'!I27</f>
        <v>2.5</v>
      </c>
      <c r="Q18" s="136" t="str">
        <f t="shared" ref="Q18:Q19" si="22">MROUND(N18/INDEX($O$93:$X$100,MATCH(10,$N$93:$N$100,0),MATCH(O18,$O$92:$X$92,0))*0.8,P18)</f>
        <v>#N/A</v>
      </c>
      <c r="R18" s="122">
        <v>3.0</v>
      </c>
      <c r="S18" s="136">
        <v>5.0</v>
      </c>
      <c r="T18" s="191" t="str">
        <f>'Программа тренировок '!F170</f>
        <v/>
      </c>
      <c r="U18" s="148" t="str">
        <f t="shared" si="19"/>
        <v>#N/A</v>
      </c>
      <c r="V18" s="136">
        <v>3.0</v>
      </c>
      <c r="W18" s="122">
        <v>6.0</v>
      </c>
      <c r="X18" s="136" t="str">
        <f t="shared" ref="X18:X19" si="23">MROUND(Q18/INDEX($O$93:$X$100,MATCH(T18,$N$93:$N$100,0),MATCH(S18,$O$92:$X$92,0))*0.82,P18)</f>
        <v>#N/A</v>
      </c>
      <c r="Y18" s="148">
        <v>3.0</v>
      </c>
      <c r="Z18" s="136">
        <v>5.0</v>
      </c>
      <c r="AA18" s="191" t="str">
        <f>'Программа тренировок '!M170</f>
        <v/>
      </c>
      <c r="AB18" s="122" t="str">
        <f t="shared" ref="AB18:AB19" si="24">MROUND(X18/INDEX($O$93:$X$100,MATCH(AA18,$N$93:$N$100,0),MATCH(Z18,$O$92:$X$92,0))*0.77,P18)</f>
        <v>#N/A</v>
      </c>
      <c r="AC18" s="136">
        <v>3.0</v>
      </c>
      <c r="AD18" s="78">
        <v>6.0</v>
      </c>
      <c r="AE18" s="136" t="str">
        <f t="shared" ref="AE18:AE19" si="25">MROUND(X18/INDEX($O$93:$X$100,MATCH(AA18,$N$93:$N$100,0),MATCH(Z18,$O$92:$X$92,0))*0.85,P18)</f>
        <v>#N/A</v>
      </c>
      <c r="AF18" s="136">
        <v>3.0</v>
      </c>
      <c r="AG18" s="78">
        <v>5.0</v>
      </c>
      <c r="AH18" s="191" t="str">
        <f>'Программа тренировок '!T170</f>
        <v/>
      </c>
      <c r="AI18" s="148" t="str">
        <f t="shared" ref="AI18:AI19" si="26">MROUND(AE18/INDEX($O$93:$X$100,MATCH(AH18,$N$93:$N$100,0),MATCH(AG18,$O$92:$X$92,0))*0.79,P18)</f>
        <v>#N/A</v>
      </c>
      <c r="AJ18" s="136">
        <v>3.0</v>
      </c>
      <c r="AK18" s="136">
        <v>6.0</v>
      </c>
      <c r="AL18" s="136" t="str">
        <f t="shared" ref="AL18:AL19" si="27">MROUND(AE18/INDEX($O$93:$X$100,MATCH(AH18,$N$93:$N$100,0),MATCH(AG18,$O$92:$X$92,0))*0.82,P18)</f>
        <v>#N/A</v>
      </c>
      <c r="AM18" s="136">
        <v>3.0</v>
      </c>
      <c r="AN18" s="136">
        <v>4.0</v>
      </c>
      <c r="AO18" s="191" t="str">
        <f>'Программа тренировок '!F197</f>
        <v/>
      </c>
      <c r="AP18" s="136" t="str">
        <f t="shared" si="20"/>
        <v>#N/A</v>
      </c>
      <c r="AQ18" s="136">
        <v>3.0</v>
      </c>
      <c r="AR18" s="122">
        <v>5.0</v>
      </c>
      <c r="AS18" s="136" t="str">
        <f t="shared" ref="AS18:AS19" si="28">MROUND(AL18/INDEX($O$93:$X$100,MATCH(AO18,$N$93:$N$100,0),MATCH(AN18,$O$92:$X$92,0))*0.85,P18)</f>
        <v>#N/A</v>
      </c>
      <c r="AT18" s="136">
        <v>3.0</v>
      </c>
      <c r="AU18" s="136">
        <v>4.0</v>
      </c>
      <c r="AV18" s="191" t="str">
        <f>'Программа тренировок '!M197</f>
        <v/>
      </c>
      <c r="AW18" s="193" t="str">
        <f t="shared" ref="AW18:AW19" si="29">MROUND(AS18/INDEX($O$93:$X$100,MATCH(AV18,$N$93:$N$100,0),MATCH(AU18,$O$92:$X$92,0))*0.8,P18)</f>
        <v>#N/A</v>
      </c>
      <c r="AX18" s="194">
        <v>3.0</v>
      </c>
      <c r="AY18" s="194">
        <v>5.0</v>
      </c>
      <c r="AZ18" s="193" t="str">
        <f t="shared" ref="AZ18:AZ19" si="30">MROUND(AS18/INDEX($O$93:$X$100,MATCH(AV18,$N$93:$N$100,0),MATCH(AU18,$O$92:$X$92,0))*0.88,P18)</f>
        <v>#N/A</v>
      </c>
      <c r="BA18" s="1">
        <v>3.0</v>
      </c>
      <c r="BB18" s="1">
        <v>4.0</v>
      </c>
      <c r="BC18" s="191" t="str">
        <f>'Программа тренировок '!T197</f>
        <v/>
      </c>
      <c r="BD18" s="193" t="str">
        <f t="shared" ref="BD18:BD19" si="31">MROUND(AZ18/INDEX($O$93:$X$100,MATCH(BC18,$N$93:$N$100,0),MATCH(BB18,$O$92:$X$92,0))*0.81,P18)</f>
        <v>#N/A</v>
      </c>
      <c r="BE18" s="1">
        <v>3.0</v>
      </c>
      <c r="BF18" s="1">
        <v>5.0</v>
      </c>
      <c r="BG18" s="193" t="str">
        <f t="shared" ref="BG18:BG19" si="32">MROUND(AZ18/INDEX($O$93:$X$100,MATCH(BC18,$N$93:$N$100,0),MATCH(BB18,$O$92:$X$92,0))*0.83,P18)</f>
        <v>#N/A</v>
      </c>
      <c r="BH18" s="1">
        <v>3.0</v>
      </c>
      <c r="BI18" s="1">
        <v>3.0</v>
      </c>
      <c r="BJ18" s="195" t="str">
        <f>'Программа тренировок '!F224</f>
        <v/>
      </c>
      <c r="BK18" s="193" t="str">
        <f t="shared" si="21"/>
        <v>#N/A</v>
      </c>
      <c r="BL18" s="1">
        <v>3.0</v>
      </c>
      <c r="BM18" s="1">
        <v>4.0</v>
      </c>
      <c r="BN18" s="193" t="str">
        <f t="shared" ref="BN18:BN19" si="33">MROUND(BG18/INDEX($O$93:$X$100,MATCH(BJ18,$N$93:$N$100,0),MATCH(BI18,$O$92:$X$92,0))*0.86,P18)</f>
        <v>#N/A</v>
      </c>
      <c r="BO18" s="1">
        <v>3.0</v>
      </c>
      <c r="BP18" s="1">
        <v>3.0</v>
      </c>
      <c r="BQ18" s="195" t="str">
        <f>'Программа тренировок '!M224</f>
        <v/>
      </c>
      <c r="BR18" s="1" t="str">
        <f t="shared" ref="BR18:BR19" si="34">MROUND(BN18/INDEX($O$93:$X$100,MATCH(BQ18,$N$93:$N$100,0),MATCH(BP18,$O$92:$X$92,0))*0.82,P18)</f>
        <v>#N/A</v>
      </c>
      <c r="BS18" s="1">
        <v>3.0</v>
      </c>
      <c r="BT18" s="1">
        <v>4.0</v>
      </c>
      <c r="BU18" s="193" t="str">
        <f t="shared" ref="BU18:BU19" si="35">MROUND(BN18/INDEX($O$93:$X$100,MATCH(BQ18,$N$93:$N$100,0),MATCH(BP18,$O$92:$X$92,0))*0.91,P18)</f>
        <v>#N/A</v>
      </c>
      <c r="BV18" s="1">
        <v>3.0</v>
      </c>
      <c r="BW18" s="1">
        <v>3.0</v>
      </c>
      <c r="BX18" s="195" t="str">
        <f>'Программа тренировок '!T224</f>
        <v/>
      </c>
      <c r="BY18" s="193" t="str">
        <f t="shared" ref="BY18:BY19" si="36">MROUND(BU18/INDEX($O$93:$X$100,MATCH(BX18,$N$93:$N$100,0),MATCH(BW18,$O$92:$X$92,0))*0.84,P18)</f>
        <v>#N/A</v>
      </c>
      <c r="BZ18" s="1">
        <v>3.0</v>
      </c>
      <c r="CA18" s="1">
        <v>4.0</v>
      </c>
    </row>
    <row r="19">
      <c r="I19" s="136">
        <f>'Программа тренировок '!E85</f>
        <v>2.5</v>
      </c>
      <c r="L19" s="26" t="s">
        <v>57</v>
      </c>
      <c r="N19" s="188" t="str">
        <f>IF('Программа тренировок '!B119='Программа тренировок '!B127,'Программа тренировок '!C119,'Программа тренировок '!C127)</f>
        <v/>
      </c>
      <c r="O19" s="188" t="str">
        <f>IF('Программа тренировок '!B119='Программа тренировок '!B127,'Программа тренировок '!D119,'Программа тренировок '!D127)</f>
        <v/>
      </c>
      <c r="P19" s="196">
        <f>IF('Программа тренировок '!B124='Программа тренировок '!B132,'Формулы'!I19,'Формулы'!I27)</f>
        <v>2.5</v>
      </c>
      <c r="Q19" s="136" t="str">
        <f t="shared" si="22"/>
        <v>#N/A</v>
      </c>
      <c r="R19" s="122">
        <f>IF('Программа тренировок '!B127='Программа тренировок '!B119, 1, 3)</f>
        <v>3</v>
      </c>
      <c r="S19" s="136">
        <v>5.0</v>
      </c>
      <c r="T19" s="191" t="str">
        <f>'Программа тренировок '!F170</f>
        <v/>
      </c>
      <c r="U19" s="148" t="str">
        <f t="shared" si="19"/>
        <v>#N/A</v>
      </c>
      <c r="V19" s="136">
        <v>3.0</v>
      </c>
      <c r="W19" s="122">
        <v>6.0</v>
      </c>
      <c r="X19" s="136" t="str">
        <f t="shared" si="23"/>
        <v>#N/A</v>
      </c>
      <c r="Y19" s="148">
        <f>IF('Программа тренировок '!B127='Программа тренировок '!B119, 1, 3)</f>
        <v>3</v>
      </c>
      <c r="Z19" s="136">
        <v>5.0</v>
      </c>
      <c r="AA19" s="191" t="str">
        <f>'Программа тренировок '!M170</f>
        <v/>
      </c>
      <c r="AB19" s="122" t="str">
        <f t="shared" si="24"/>
        <v>#N/A</v>
      </c>
      <c r="AC19" s="136">
        <v>3.0</v>
      </c>
      <c r="AD19" s="78">
        <v>6.0</v>
      </c>
      <c r="AE19" s="136" t="str">
        <f t="shared" si="25"/>
        <v>#N/A</v>
      </c>
      <c r="AF19" s="136">
        <f>IF('Программа тренировок '!B127='Программа тренировок '!B119, 1, 3)</f>
        <v>3</v>
      </c>
      <c r="AG19" s="78">
        <v>5.0</v>
      </c>
      <c r="AH19" s="191" t="str">
        <f>'Программа тренировок '!T170</f>
        <v/>
      </c>
      <c r="AI19" s="148" t="str">
        <f t="shared" si="26"/>
        <v>#N/A</v>
      </c>
      <c r="AJ19" s="136">
        <v>3.0</v>
      </c>
      <c r="AK19" s="136">
        <v>6.0</v>
      </c>
      <c r="AL19" s="136" t="str">
        <f t="shared" si="27"/>
        <v>#N/A</v>
      </c>
      <c r="AM19" s="136">
        <f>IF('Программа тренировок '!B127='Программа тренировок '!B119, 1, 3)</f>
        <v>3</v>
      </c>
      <c r="AN19" s="136">
        <v>4.0</v>
      </c>
      <c r="AO19" s="191" t="str">
        <f>'Программа тренировок '!F197</f>
        <v/>
      </c>
      <c r="AP19" s="136" t="str">
        <f t="shared" si="20"/>
        <v>#N/A</v>
      </c>
      <c r="AQ19" s="136">
        <v>3.0</v>
      </c>
      <c r="AR19" s="122">
        <v>5.0</v>
      </c>
      <c r="AS19" s="136" t="str">
        <f t="shared" si="28"/>
        <v>#N/A</v>
      </c>
      <c r="AT19" s="136">
        <f>IF('Программа тренировок '!B127='Программа тренировок '!B119, 1, 3)</f>
        <v>3</v>
      </c>
      <c r="AU19" s="136">
        <v>4.0</v>
      </c>
      <c r="AV19" s="191" t="str">
        <f>'Программа тренировок '!M197</f>
        <v/>
      </c>
      <c r="AW19" s="193" t="str">
        <f t="shared" si="29"/>
        <v>#N/A</v>
      </c>
      <c r="AX19" s="194">
        <v>3.0</v>
      </c>
      <c r="AY19" s="194">
        <v>5.0</v>
      </c>
      <c r="AZ19" s="193" t="str">
        <f t="shared" si="30"/>
        <v>#N/A</v>
      </c>
      <c r="BA19" s="1">
        <f>IF('Программа тренировок '!B127='Программа тренировок '!B119, 1, 3)</f>
        <v>3</v>
      </c>
      <c r="BB19" s="1">
        <v>4.0</v>
      </c>
      <c r="BC19" s="191" t="str">
        <f>'Программа тренировок '!T197</f>
        <v/>
      </c>
      <c r="BD19" s="193" t="str">
        <f t="shared" si="31"/>
        <v>#N/A</v>
      </c>
      <c r="BE19" s="1">
        <v>3.0</v>
      </c>
      <c r="BF19" s="1">
        <v>5.0</v>
      </c>
      <c r="BG19" s="193" t="str">
        <f t="shared" si="32"/>
        <v>#N/A</v>
      </c>
      <c r="BH19" s="1">
        <f>IF('Программа тренировок '!B127='Программа тренировок '!B119, 1, 3)</f>
        <v>3</v>
      </c>
      <c r="BI19" s="1">
        <v>3.0</v>
      </c>
      <c r="BJ19" s="195" t="str">
        <f>'Программа тренировок '!F224</f>
        <v/>
      </c>
      <c r="BK19" s="193" t="str">
        <f t="shared" si="21"/>
        <v>#N/A</v>
      </c>
      <c r="BL19" s="1">
        <v>3.0</v>
      </c>
      <c r="BM19" s="1">
        <v>4.0</v>
      </c>
      <c r="BN19" s="193" t="str">
        <f t="shared" si="33"/>
        <v>#N/A</v>
      </c>
      <c r="BO19" s="1">
        <f>IF('Программа тренировок '!B127='Программа тренировок '!B119, 1, 3)</f>
        <v>3</v>
      </c>
      <c r="BP19" s="1">
        <v>3.0</v>
      </c>
      <c r="BQ19" s="195" t="str">
        <f>'Программа тренировок '!M224</f>
        <v/>
      </c>
      <c r="BR19" s="1" t="str">
        <f t="shared" si="34"/>
        <v>#N/A</v>
      </c>
      <c r="BS19" s="1">
        <v>3.0</v>
      </c>
      <c r="BT19" s="1">
        <v>4.0</v>
      </c>
      <c r="BU19" s="193" t="str">
        <f t="shared" si="35"/>
        <v>#N/A</v>
      </c>
      <c r="BV19" s="1">
        <f>IF('Программа тренировок '!B127='Программа тренировок '!B119, 1, 3)</f>
        <v>3</v>
      </c>
      <c r="BW19" s="1">
        <v>3.0</v>
      </c>
      <c r="BX19" s="195" t="str">
        <f>'Программа тренировок '!T224</f>
        <v/>
      </c>
      <c r="BY19" s="193" t="str">
        <f t="shared" si="36"/>
        <v>#N/A</v>
      </c>
      <c r="BZ19" s="1">
        <v>3.0</v>
      </c>
      <c r="CA19" s="1">
        <v>4.0</v>
      </c>
    </row>
    <row r="20" ht="15.0" customHeight="1">
      <c r="I20" s="136">
        <f>'Программа тренировок '!E86</f>
        <v>2.5</v>
      </c>
      <c r="J20" s="202"/>
      <c r="Q20" s="1"/>
      <c r="R20" s="1"/>
      <c r="S20" s="1"/>
      <c r="T20" s="195"/>
      <c r="AA20" s="195"/>
      <c r="AD20" s="1"/>
      <c r="AE20" s="136"/>
      <c r="AF20" s="136"/>
      <c r="AG20" s="104"/>
      <c r="AH20" s="195"/>
      <c r="AI20" s="1"/>
      <c r="AO20" s="195"/>
      <c r="AV20" s="195"/>
      <c r="BC20" s="195"/>
      <c r="BJ20" s="195"/>
      <c r="BQ20" s="195"/>
      <c r="BR20" s="1"/>
      <c r="BX20" s="195"/>
    </row>
    <row r="21" ht="15.75" customHeight="1">
      <c r="I21" s="136">
        <f>'Программа тренировок '!E87</f>
        <v>2.5</v>
      </c>
      <c r="L21" s="26" t="s">
        <v>53</v>
      </c>
      <c r="N21" s="188" t="str">
        <f>'Программа тренировок '!C114</f>
        <v/>
      </c>
      <c r="O21" s="188" t="str">
        <f>'Программа тренировок '!D114</f>
        <v/>
      </c>
      <c r="P21" s="196">
        <f>'Формулы'!I14</f>
        <v>1</v>
      </c>
      <c r="Q21" s="136" t="str">
        <f t="array" ref="Q21">MROUND(N21/INDEX($O$93:$X$100,MATCH(10,$N$93:$N$100,0),MATCH(O21,$O$92:$X$92,0))*0.65,P21)</f>
        <v>#N/A</v>
      </c>
      <c r="R21" s="122">
        <v>3.0</v>
      </c>
      <c r="S21" s="136">
        <v>10.0</v>
      </c>
      <c r="T21" s="191" t="str">
        <f>'Программа тренировок '!F157</f>
        <v/>
      </c>
      <c r="U21" s="148" t="str">
        <f t="array" ref="U21">MROUND(Q21/INDEX($O$93:$X$100,MATCH(T21,$N$93:$N$100,0),MATCH(S21,$O$92:$X$92,0))*0.62,P21)</f>
        <v>#N/A</v>
      </c>
      <c r="V21" s="136">
        <v>1.0</v>
      </c>
      <c r="W21" s="122" t="s">
        <v>168</v>
      </c>
      <c r="X21" s="136" t="str">
        <f t="array" ref="X21">MROUND(Q21/INDEX($O$93:$X$100,MATCH(T21,$N$93:$N$100,0),MATCH(S21,$O$92:$X$92,0))*0.67,P21)</f>
        <v>#N/A</v>
      </c>
      <c r="Y21" s="148">
        <v>3.0</v>
      </c>
      <c r="Z21" s="136">
        <v>10.0</v>
      </c>
      <c r="AA21" s="191" t="str">
        <f>'Программа тренировок '!M157</f>
        <v/>
      </c>
      <c r="AB21" s="122" t="str">
        <f t="array" ref="AB21">MROUND(X21/INDEX($O$93:$X$100,MATCH(AA21,$N$93:$N$100,0),MATCH(Z21,$O$92:$X$92,0))*0.64,P21)</f>
        <v>#N/A</v>
      </c>
      <c r="AC21" s="136">
        <v>1.0</v>
      </c>
      <c r="AD21" s="122" t="s">
        <v>168</v>
      </c>
      <c r="AE21" s="136" t="str">
        <f t="array" ref="AE21">MROUND(X21/INDEX($O$93:$X$100,MATCH(AA21,$N$93:$N$100,0),MATCH(Z21,$O$92:$X$92,0))*0.69,P21)</f>
        <v>#N/A</v>
      </c>
      <c r="AF21" s="136">
        <v>3.0</v>
      </c>
      <c r="AG21" s="78">
        <v>10.0</v>
      </c>
      <c r="AH21" s="192" t="str">
        <f>'Программа тренировок '!T157</f>
        <v/>
      </c>
      <c r="AI21" s="148" t="str">
        <f t="array" ref="AI21">MROUND(AE21/INDEX($O$93:$X$100,MATCH(AH21,$N$93:$N$100,0),MATCH(AG21,$O$92:$X$92,0))*0.67,P21)</f>
        <v>#N/A</v>
      </c>
      <c r="AJ21" s="136">
        <v>1.0</v>
      </c>
      <c r="AK21" s="151" t="s">
        <v>169</v>
      </c>
      <c r="AL21" s="136" t="str">
        <f t="array" ref="AL21">MROUND(AE21/INDEX($O$93:$X$100,MATCH(AH21,$N$93:$N$100,0),MATCH(AG21,$O$92:$X$92,0))*0.68,P21)</f>
        <v>#N/A</v>
      </c>
      <c r="AM21" s="136">
        <v>3.0</v>
      </c>
      <c r="AN21" s="136">
        <v>9.0</v>
      </c>
      <c r="AO21" s="191" t="str">
        <f>'Программа тренировок '!F184</f>
        <v/>
      </c>
      <c r="AP21" s="136" t="str">
        <f t="array" ref="AP21">MROUND(AL21/INDEX($O$93:$X$100,MATCH(AO21,$N$93:$N$100,0),MATCH(AN21,$O$92:$X$92,0))*0.65,P21)</f>
        <v>#N/A</v>
      </c>
      <c r="AQ21" s="136">
        <v>1.0</v>
      </c>
      <c r="AR21" s="151" t="s">
        <v>169</v>
      </c>
      <c r="AS21" s="136" t="str">
        <f t="array" ref="AS21">MROUND(AL21/INDEX($O$93:$X$100,MATCH(AO21,$N$93:$N$100,0),MATCH(AN21,$O$92:$X$92,0))*0.69,P21)</f>
        <v>#N/A</v>
      </c>
      <c r="AT21" s="136">
        <v>3.0</v>
      </c>
      <c r="AU21" s="136">
        <v>9.0</v>
      </c>
      <c r="AV21" s="191" t="str">
        <f>'Программа тренировок '!M184</f>
        <v/>
      </c>
      <c r="AW21" s="193" t="str">
        <f t="array" ref="AW21">MROUND(AS21/INDEX($O$93:$X$100,MATCH(AV21,$N$93:$N$100,0),MATCH(AU21,$O$92:$X$92,0))*0.66,P21)</f>
        <v>#N/A</v>
      </c>
      <c r="AX21" s="194">
        <v>1.0</v>
      </c>
      <c r="AY21" s="194" t="s">
        <v>169</v>
      </c>
      <c r="AZ21" s="193" t="str">
        <f t="array" ref="AZ21">MROUND(AS21/INDEX($O$93:$X$100,MATCH(AV21,$N$93:$N$100,0),MATCH(AU21,$O$92:$X$92,0))*0.71,P21)</f>
        <v>#N/A</v>
      </c>
      <c r="BA21" s="1">
        <v>3.0</v>
      </c>
      <c r="BB21" s="1">
        <v>9.0</v>
      </c>
      <c r="BC21" s="191" t="str">
        <f>'Программа тренировок '!T184</f>
        <v/>
      </c>
      <c r="BD21" s="193" t="str">
        <f t="array" ref="BD21">MROUND(AZ21/INDEX($O$93:$X$100,MATCH(BC21,$N$93:$N$100,0),MATCH(BB21,$O$92:$X$92,0))*0.68,P21)</f>
        <v>#N/A</v>
      </c>
      <c r="BE21" s="1">
        <v>1.0</v>
      </c>
      <c r="BF21" s="1" t="s">
        <v>169</v>
      </c>
      <c r="BG21" s="193" t="str">
        <f t="array" ref="BG21">MROUND(AZ21/INDEX($O$93:$X$100,MATCH(BC21,$N$93:$N$100,0),MATCH(BB21,$O$92:$X$92,0))*0.71,P21)</f>
        <v>#N/A</v>
      </c>
      <c r="BH21" s="1">
        <v>3.0</v>
      </c>
      <c r="BI21" s="1">
        <v>8.0</v>
      </c>
      <c r="BJ21" s="195" t="str">
        <f>'Программа тренировок '!F211</f>
        <v/>
      </c>
      <c r="BK21" s="193" t="str">
        <f t="array" ref="BK21">MROUND(BG21/INDEX($O$93:$X$100,MATCH(BJ21,$N$93:$N$100,0),MATCH(BI21,$O$92:$X$92,0))*0.68,P21)</f>
        <v>#N/A</v>
      </c>
      <c r="BL21" s="1">
        <v>1.0</v>
      </c>
      <c r="BM21" s="1" t="s">
        <v>169</v>
      </c>
      <c r="BN21" s="193" t="str">
        <f t="array" ref="BN21">MROUND(BG21/INDEX($O$93:$X$100,MATCH(BJ21,$N$93:$N$100,0),MATCH(BI21,$O$92:$X$92,0))*0.72,P21)</f>
        <v>#N/A</v>
      </c>
      <c r="BO21" s="1">
        <v>3.0</v>
      </c>
      <c r="BP21" s="1">
        <v>8.0</v>
      </c>
      <c r="BQ21" s="195" t="str">
        <f>'Программа тренировок '!M211</f>
        <v/>
      </c>
      <c r="BR21" s="1" t="str">
        <f t="array" ref="BR21">MROUND(BN21/INDEX($O$93:$X$100,MATCH(BQ21,$N$93:$N$100,0),MATCH(BP21,$O$92:$X$92,0))*0.69,P21)</f>
        <v>#N/A</v>
      </c>
      <c r="BS21" s="1">
        <v>1.0</v>
      </c>
      <c r="BT21" s="1" t="s">
        <v>169</v>
      </c>
      <c r="BU21" s="193" t="str">
        <f t="array" ref="BU21">MROUND(BN21/INDEX($O$93:$X$100,MATCH(BQ21,$N$93:$N$100,0),MATCH(BP21,$O$92:$X$92,0))*0.74,P21)</f>
        <v>#N/A</v>
      </c>
      <c r="BV21" s="1">
        <v>3.0</v>
      </c>
      <c r="BW21" s="1">
        <v>8.0</v>
      </c>
      <c r="BX21" s="195" t="str">
        <f>'Программа тренировок '!T211</f>
        <v/>
      </c>
      <c r="BY21" s="193" t="str">
        <f t="array" ref="BY21">MROUND(BU21/INDEX($O$93:$X$100,MATCH(BX21,$N$93:$N$100,0),MATCH(BW21,$O$92:$X$92,0))*0.71,P21)</f>
        <v>#N/A</v>
      </c>
      <c r="BZ21" s="1">
        <v>1.0</v>
      </c>
      <c r="CA21" s="1" t="s">
        <v>169</v>
      </c>
    </row>
    <row r="22" ht="15.75" customHeight="1">
      <c r="I22" s="136">
        <f>'Программа тренировок '!E88</f>
        <v>3</v>
      </c>
      <c r="L22" s="1" t="s">
        <v>170</v>
      </c>
      <c r="N22" s="188" t="str">
        <f>'Программа тренировок '!C114</f>
        <v/>
      </c>
      <c r="O22" s="188" t="str">
        <f>'Программа тренировок '!D114</f>
        <v/>
      </c>
      <c r="P22" s="196">
        <f>'Формулы'!I14</f>
        <v>1</v>
      </c>
      <c r="Q22" s="136" t="str">
        <f t="array" ref="Q22">MROUND(N22/INDEX($O$93:$X$100,MATCH(10,$N$93:$N$100,0),MATCH(O22,$O$92:$X$92,0))*0.76,P22)</f>
        <v>#N/A</v>
      </c>
      <c r="R22" s="122">
        <v>3.0</v>
      </c>
      <c r="S22" s="136">
        <v>6.0</v>
      </c>
      <c r="T22" s="191" t="str">
        <f>'Программа тренировок '!F157</f>
        <v/>
      </c>
      <c r="U22" s="148" t="str">
        <f t="array" ref="U22">MROUND(Q22/INDEX($O$93:$X$100,MATCH(T22,$N$93:$N$100,0),MATCH(S22,$O$92:$X$92,0))*0.72,P22)</f>
        <v>#N/A</v>
      </c>
      <c r="V22" s="136">
        <v>1.0</v>
      </c>
      <c r="W22" s="122" t="s">
        <v>168</v>
      </c>
      <c r="X22" s="136" t="str">
        <f t="array" ref="X22">MROUND(Q22/INDEX($O$93:$X$100,MATCH(T22,$N$93:$N$100,0),MATCH(S22,$O$92:$X$92,0))*0.79,P22)</f>
        <v>#N/A</v>
      </c>
      <c r="Y22" s="148">
        <v>3.0</v>
      </c>
      <c r="Z22" s="136">
        <v>6.0</v>
      </c>
      <c r="AA22" s="191" t="str">
        <f>'Программа тренировок '!M157</f>
        <v/>
      </c>
      <c r="AB22" s="122" t="str">
        <f t="array" ref="AB22">MROUND(X22/INDEX($O$93:$X$100,MATCH(AA22,$N$93:$N$100,0),MATCH(Z22,$O$92:$X$92,0))*0.76,P22)</f>
        <v>#N/A</v>
      </c>
      <c r="AC22" s="136">
        <v>1.0</v>
      </c>
      <c r="AD22" s="122" t="s">
        <v>168</v>
      </c>
      <c r="AE22" s="136" t="str">
        <f t="array" ref="AE22">MROUND(X22/INDEX($O$93:$X$100,MATCH(AA22,$N$93:$N$100,0),MATCH(Z22,$O$92:$X$92,0))*0.81,P22)</f>
        <v>#N/A</v>
      </c>
      <c r="AF22" s="136">
        <v>3.0</v>
      </c>
      <c r="AG22" s="78">
        <v>6.0</v>
      </c>
      <c r="AH22" s="192" t="str">
        <f>'Программа тренировок '!T157</f>
        <v/>
      </c>
      <c r="AI22" s="148" t="str">
        <f t="array" ref="AI22">MROUND(AE22/INDEX($O$93:$X$100,MATCH(AH22,$N$93:$N$100,0),MATCH(AG22,$O$92:$X$92,0))*0.79,P22)</f>
        <v>#N/A</v>
      </c>
      <c r="AJ22" s="136">
        <v>1.0</v>
      </c>
      <c r="AK22" s="151" t="s">
        <v>169</v>
      </c>
      <c r="AL22" s="136" t="str">
        <f t="array" ref="AL22">MROUND(AE22/INDEX($O$93:$X$100,MATCH(AH22,$N$93:$N$100,0),MATCH(AG22,$O$92:$X$92,0))*0.79,P22)</f>
        <v>#N/A</v>
      </c>
      <c r="AM22" s="136">
        <v>3.0</v>
      </c>
      <c r="AN22" s="136">
        <v>5.0</v>
      </c>
      <c r="AO22" s="191" t="str">
        <f>'Программа тренировок '!F184</f>
        <v/>
      </c>
      <c r="AP22" s="136" t="str">
        <f t="array" ref="AP22">MROUND(AL22/INDEX($O$93:$X$100,MATCH(AO22,$N$93:$N$100,0),MATCH(AN22,$O$92:$X$92,0))*0.76,P22)</f>
        <v>#N/A</v>
      </c>
      <c r="AQ22" s="136">
        <v>1.0</v>
      </c>
      <c r="AR22" s="151" t="s">
        <v>169</v>
      </c>
      <c r="AS22" s="136" t="str">
        <f t="array" ref="AS22">MROUND(AL22/INDEX($O$93:$X$100,MATCH(AO22,$N$93:$N$100,0),MATCH(AN22,$O$92:$X$92,0))*0.82,P22)</f>
        <v>#N/A</v>
      </c>
      <c r="AT22" s="136">
        <v>3.0</v>
      </c>
      <c r="AU22" s="136">
        <v>5.0</v>
      </c>
      <c r="AV22" s="191" t="str">
        <f>'Программа тренировок '!M184</f>
        <v/>
      </c>
      <c r="AW22" s="193" t="str">
        <f t="array" ref="AW22">MROUND(AS22/INDEX($O$93:$X$100,MATCH(AV22,$N$93:$N$100,0),MATCH(AU22,$O$92:$X$92,0))*0.79,P22)</f>
        <v>#N/A</v>
      </c>
      <c r="AX22" s="194">
        <v>1.0</v>
      </c>
      <c r="AY22" s="194" t="s">
        <v>169</v>
      </c>
      <c r="AZ22" s="193" t="str">
        <f t="array" ref="AZ22">MROUND(AS22/INDEX($O$93:$X$100,MATCH(AV22,$N$93:$N$100,0),MATCH(AU22,$O$92:$X$92,0))*0.84,P22)</f>
        <v>#N/A</v>
      </c>
      <c r="BA22" s="1">
        <v>3.0</v>
      </c>
      <c r="BB22" s="1">
        <v>5.0</v>
      </c>
      <c r="BC22" s="191" t="str">
        <f>'Программа тренировок '!T184</f>
        <v/>
      </c>
      <c r="BD22" s="193" t="str">
        <f t="array" ref="BD22">MROUND(AZ22/INDEX($O$93:$X$100,MATCH(BC22,$N$93:$N$100,0),MATCH(BB22,$O$92:$X$92,0))*0.81,P22)</f>
        <v>#N/A</v>
      </c>
      <c r="BE22" s="1">
        <v>1.0</v>
      </c>
      <c r="BF22" s="1" t="s">
        <v>169</v>
      </c>
      <c r="BG22" s="193" t="str">
        <f t="array" ref="BG22">MROUND(AZ22/INDEX($O$93:$X$100,MATCH(BC22,$N$93:$N$100,0),MATCH(BB22,$O$92:$X$92,0))*0.81,P22)</f>
        <v>#N/A</v>
      </c>
      <c r="BH22" s="1">
        <v>3.0</v>
      </c>
      <c r="BI22" s="1">
        <v>4.0</v>
      </c>
      <c r="BJ22" s="195" t="str">
        <f>'Программа тренировок '!F211</f>
        <v/>
      </c>
      <c r="BK22" s="193" t="str">
        <f t="array" ref="BK22">MROUND(BG22/INDEX($O$93:$X$100,MATCH(BJ22,$N$93:$N$100,0),MATCH(BI22,$O$92:$X$92,0))*0.78,P22)</f>
        <v>#N/A</v>
      </c>
      <c r="BL22" s="1">
        <v>1.0</v>
      </c>
      <c r="BM22" s="1" t="s">
        <v>169</v>
      </c>
      <c r="BN22" s="193" t="str">
        <f t="array" ref="BN22">MROUND(BG22/INDEX($O$93:$X$100,MATCH(BJ22,$N$93:$N$100,0),MATCH(BI22,$O$92:$X$92,0))*0.83,P22)</f>
        <v>#N/A</v>
      </c>
      <c r="BO22" s="1">
        <v>3.0</v>
      </c>
      <c r="BP22" s="1">
        <v>4.0</v>
      </c>
      <c r="BQ22" s="195" t="str">
        <f>'Программа тренировок '!M211</f>
        <v/>
      </c>
      <c r="BR22" s="1" t="str">
        <f t="array" ref="BR22">MROUND(BN22/INDEX($O$93:$X$100,MATCH(BQ22,$N$93:$N$100,0),MATCH(BP22,$O$92:$X$92,0))*0.8,P22)</f>
        <v>#N/A</v>
      </c>
      <c r="BS22" s="1">
        <v>1.0</v>
      </c>
      <c r="BT22" s="1" t="s">
        <v>169</v>
      </c>
      <c r="BU22" s="193" t="str">
        <f t="array" ref="BU22">MROUND(BN22/INDEX($O$93:$X$100,MATCH(BQ22,$N$93:$N$100,0),MATCH(BP22,$O$92:$X$92,0))*0.85,P22)</f>
        <v>#N/A</v>
      </c>
      <c r="BV22" s="1">
        <v>3.0</v>
      </c>
      <c r="BW22" s="1">
        <v>4.0</v>
      </c>
      <c r="BX22" s="195" t="str">
        <f>'Программа тренировок '!T211</f>
        <v/>
      </c>
      <c r="BY22" s="193" t="str">
        <f t="array" ref="BY22">MROUND(BU22/INDEX($O$93:$X$100,MATCH(BX22,$N$93:$N$100,0),MATCH(BW22,$O$92:$X$92,0))*0.81,P22)</f>
        <v>#N/A</v>
      </c>
      <c r="BZ22" s="1">
        <v>1.0</v>
      </c>
      <c r="CA22" s="1" t="s">
        <v>169</v>
      </c>
    </row>
    <row r="23" ht="15.75" customHeight="1">
      <c r="I23" s="136">
        <v>2.5</v>
      </c>
      <c r="Q23" s="1"/>
      <c r="R23" s="1"/>
      <c r="S23" s="1"/>
      <c r="T23" s="195"/>
      <c r="AA23" s="195"/>
      <c r="AD23" s="1"/>
      <c r="AE23" s="136"/>
      <c r="AF23" s="136"/>
      <c r="AG23" s="104"/>
      <c r="AH23" s="195"/>
      <c r="AI23" s="1"/>
      <c r="AO23" s="195"/>
      <c r="AV23" s="195"/>
      <c r="BC23" s="195"/>
      <c r="BJ23" s="195"/>
      <c r="BQ23" s="195"/>
      <c r="BR23" s="1"/>
      <c r="BX23" s="195"/>
    </row>
    <row r="24" ht="15.75" customHeight="1">
      <c r="I24" s="1"/>
      <c r="L24" s="26" t="s">
        <v>116</v>
      </c>
      <c r="N24" s="188" t="str">
        <f>'Программа тренировок '!C119</f>
        <v/>
      </c>
      <c r="O24" s="188" t="str">
        <f>'Программа тренировок '!D119</f>
        <v/>
      </c>
      <c r="P24" s="196">
        <f>'Формулы'!I19</f>
        <v>2.5</v>
      </c>
      <c r="Q24" s="136" t="str">
        <f t="array" ref="Q24">MROUND(N24/INDEX($O$93:$X$100,MATCH(10,$N$93:$N$100,0),MATCH(O24,$O$92:$X$92,0))*0.83,P24)</f>
        <v>#N/A</v>
      </c>
      <c r="R24" s="122">
        <v>2.0</v>
      </c>
      <c r="S24" s="136">
        <v>3.0</v>
      </c>
      <c r="T24" s="191" t="str">
        <f>'Программа тренировок '!F162</f>
        <v/>
      </c>
      <c r="U24" s="148" t="str">
        <f t="shared" ref="U24:U26" si="37">MROUND(Q24/INDEX($O$93:$X$100,MATCH(T24,$N$93:$N$100,0),MATCH(S24,$O$92:$X$92,0))*0.75,P24)</f>
        <v>#N/A</v>
      </c>
      <c r="V24" s="136">
        <v>3.0</v>
      </c>
      <c r="W24" s="122">
        <v>6.0</v>
      </c>
      <c r="X24" s="136" t="str">
        <f t="array" ref="X24">MROUND(Q24/INDEX($O$93:$X$100,MATCH(T24,$N$93:$N$100,0),MATCH(S24,$O$92:$X$92,0))*0.86,P24)</f>
        <v>#N/A</v>
      </c>
      <c r="Y24" s="148">
        <v>2.0</v>
      </c>
      <c r="Z24" s="136">
        <v>3.0</v>
      </c>
      <c r="AA24" s="191" t="str">
        <f>'Программа тренировок '!M162</f>
        <v/>
      </c>
      <c r="AB24" s="122" t="str">
        <f t="array" ref="AB24">MROUND(X24/INDEX($O$93:$X$100,MATCH(AA24,$N$93:$N$100,0),MATCH(Z24,$O$92:$X$92,0))*0.8,P24)</f>
        <v>#N/A</v>
      </c>
      <c r="AC24" s="136">
        <v>3.0</v>
      </c>
      <c r="AD24" s="78">
        <v>5.0</v>
      </c>
      <c r="AE24" s="136" t="str">
        <f t="array" ref="AE24">MROUND(X24/INDEX($O$93:$X$100,MATCH(AA24,$N$93:$N$100,0),MATCH(Z24,$O$92:$X$92,0))*0.9,P24)</f>
        <v>#N/A</v>
      </c>
      <c r="AF24" s="136">
        <v>2.0</v>
      </c>
      <c r="AG24" s="78">
        <v>3.0</v>
      </c>
      <c r="AH24" s="191" t="str">
        <f>'Программа тренировок '!T162</f>
        <v/>
      </c>
      <c r="AI24" s="148" t="str">
        <f t="array" ref="AI24">MROUND(AE24/INDEX($O$93:$X$100,MATCH(AH24,$N$93:$N$100,0),MATCH(AG24,$O$92:$X$92,0))*0.85,P24)</f>
        <v>#N/A</v>
      </c>
      <c r="AJ24" s="136">
        <v>3.0</v>
      </c>
      <c r="AK24" s="136">
        <v>4.0</v>
      </c>
      <c r="AL24" s="136" t="str">
        <f t="array" ref="AL24">MROUND(AE24/INDEX($O$93:$X$100,MATCH(AH24,$N$93:$N$100,0),MATCH(AG24,$O$92:$X$92,0))*0.86,P24)</f>
        <v>#N/A</v>
      </c>
      <c r="AM24" s="136">
        <v>2.0</v>
      </c>
      <c r="AN24" s="136">
        <v>2.0</v>
      </c>
      <c r="AO24" s="191" t="str">
        <f>'Программа тренировок '!F189</f>
        <v/>
      </c>
      <c r="AP24" s="136" t="str">
        <f t="shared" ref="AP24:AP26" si="38">MROUND(AL24/INDEX($O$93:$X$100,MATCH(AO24,$N$93:$N$100,0),MATCH(AN24,$O$92:$X$92,0))*0.79,P24)</f>
        <v>#N/A</v>
      </c>
      <c r="AQ24" s="136">
        <v>3.0</v>
      </c>
      <c r="AR24" s="122">
        <v>5.0</v>
      </c>
      <c r="AS24" s="136" t="str">
        <f t="array" ref="AS24">MROUND(AL24/INDEX($O$93:$X$100,MATCH(AO24,$N$93:$N$100,0),MATCH(AN24,$O$92:$X$92,0))*0.89,P24)</f>
        <v>#N/A</v>
      </c>
      <c r="AT24" s="136">
        <v>2.0</v>
      </c>
      <c r="AU24" s="136">
        <v>2.0</v>
      </c>
      <c r="AV24" s="191" t="str">
        <f>'Программа тренировок '!M189</f>
        <v/>
      </c>
      <c r="AW24" s="193" t="str">
        <f t="array" ref="AW24">MROUND(AS24/INDEX($O$93:$X$100,MATCH(AV24,$N$93:$N$100,0),MATCH(AU24,$O$92:$X$92,0))*0.82,P24)</f>
        <v>#N/A</v>
      </c>
      <c r="AX24" s="194">
        <v>3.0</v>
      </c>
      <c r="AY24" s="194">
        <v>4.0</v>
      </c>
      <c r="AZ24" s="193" t="str">
        <f t="array" ref="AZ24">MROUND(AS24/INDEX($O$93:$X$100,MATCH(AV24,$N$93:$N$100,0),MATCH(AU24,$O$92:$X$92,0))*0.92,P24)</f>
        <v>#N/A</v>
      </c>
      <c r="BA24" s="1">
        <v>2.0</v>
      </c>
      <c r="BB24" s="1">
        <v>2.0</v>
      </c>
      <c r="BC24" s="191" t="str">
        <f>'Программа тренировок '!T189</f>
        <v/>
      </c>
      <c r="BD24" s="193" t="str">
        <f t="array" ref="BD24">MROUND(AZ24/INDEX($O$93:$X$100,MATCH(BC24,$N$93:$N$100,0),MATCH(BB24,$O$92:$X$92,0))*0.86,P24)</f>
        <v>#N/A</v>
      </c>
      <c r="BE24" s="1">
        <v>3.0</v>
      </c>
      <c r="BF24" s="1">
        <v>3.0</v>
      </c>
      <c r="BG24" s="193" t="str">
        <f t="array" ref="BG24">MROUND(AZ24/INDEX($O$93:$X$100,MATCH(BC24,$N$93:$N$100,0),MATCH(BB24,$O$92:$X$92,0))*0.91,P24)</f>
        <v>#N/A</v>
      </c>
      <c r="BH24" s="1">
        <v>2.0</v>
      </c>
      <c r="BI24" s="1">
        <v>1.0</v>
      </c>
      <c r="BJ24" s="195" t="str">
        <f>'Программа тренировок '!F216</f>
        <v/>
      </c>
      <c r="BK24" s="193" t="str">
        <f t="shared" ref="BK24:BK26" si="39">MROUND(BG24/INDEX($O$93:$X$100,MATCH(BJ24,$N$93:$N$100,0),MATCH(BI24,$O$92:$X$92,0))*0.81,P24)</f>
        <v>#N/A</v>
      </c>
      <c r="BL24" s="1">
        <v>3.0</v>
      </c>
      <c r="BM24" s="1">
        <v>4.0</v>
      </c>
      <c r="BN24" s="193" t="str">
        <f t="array" ref="BN24">MROUND(BG24/INDEX($O$93:$X$100,MATCH(BJ24,$N$93:$N$100,0),MATCH(BI24,$O$92:$X$92,0))*0.94,P24)</f>
        <v>#N/A</v>
      </c>
      <c r="BO24" s="1">
        <v>2.0</v>
      </c>
      <c r="BP24" s="1">
        <v>1.0</v>
      </c>
      <c r="BQ24" s="195" t="str">
        <f>'Программа тренировок '!M216</f>
        <v/>
      </c>
      <c r="BR24" s="1" t="str">
        <f t="array" ref="BR24">MROUND(BN24/INDEX($O$93:$X$100,MATCH(BQ24,$N$93:$N$100,0),MATCH(BP24,$O$92:$X$92,0))*0.84,P24)</f>
        <v>#N/A</v>
      </c>
      <c r="BS24" s="1">
        <v>3.0</v>
      </c>
      <c r="BT24" s="1">
        <v>3.0</v>
      </c>
      <c r="BU24" s="193" t="str">
        <f t="array" ref="BU24">MROUND(BN24/INDEX($O$93:$X$100,MATCH(BQ24,$N$93:$N$100,0),MATCH(BP24,$O$92:$X$92,0))*0.97,P24)</f>
        <v>#N/A</v>
      </c>
      <c r="BV24" s="1">
        <v>1.0</v>
      </c>
      <c r="BW24" s="1">
        <v>1.0</v>
      </c>
      <c r="BX24" s="195" t="str">
        <f>'Программа тренировок '!T216</f>
        <v/>
      </c>
      <c r="BY24" s="193" t="str">
        <f t="array" ref="BY24">MROUND(BU24/INDEX($O$93:$X$100,MATCH(BX24,$N$93:$N$100,0),MATCH(BW24,$O$92:$X$92,0))*0.89,P24)</f>
        <v>#N/A</v>
      </c>
      <c r="BZ24" s="1">
        <v>3.0</v>
      </c>
      <c r="CA24" s="1">
        <v>2.0</v>
      </c>
    </row>
    <row r="25" ht="15.75" customHeight="1">
      <c r="I25" s="1"/>
      <c r="L25" s="26" t="s">
        <v>119</v>
      </c>
      <c r="N25" s="188" t="str">
        <f>'Программа тренировок '!C119</f>
        <v/>
      </c>
      <c r="O25" s="188" t="str">
        <f>'Программа тренировок '!D119</f>
        <v/>
      </c>
      <c r="P25" s="196">
        <f>'Формулы'!I19</f>
        <v>2.5</v>
      </c>
      <c r="Q25" s="136" t="str">
        <f t="shared" ref="Q25:Q26" si="40">MROUND(N25/INDEX($O$93:$X$100,MATCH(10,$N$93:$N$100,0),MATCH(O25,$O$92:$X$92,0))*0.8,P25)</f>
        <v>#N/A</v>
      </c>
      <c r="R25" s="122">
        <v>1.0</v>
      </c>
      <c r="S25" s="136">
        <v>5.0</v>
      </c>
      <c r="T25" s="191" t="str">
        <f>'Программа тренировок '!F162</f>
        <v/>
      </c>
      <c r="U25" s="148" t="str">
        <f t="shared" si="37"/>
        <v>#N/A</v>
      </c>
      <c r="V25" s="136">
        <v>3.0</v>
      </c>
      <c r="W25" s="122">
        <v>6.0</v>
      </c>
      <c r="X25" s="136" t="str">
        <f t="array" ref="X25">MROUND(Q25/INDEX($O$93:$X$100,MATCH(T25,$N$93:$N$100,0),MATCH(S25,$O$92:$X$92,0))*0.82,P25)</f>
        <v>#N/A</v>
      </c>
      <c r="Y25" s="148">
        <v>1.0</v>
      </c>
      <c r="Z25" s="136">
        <v>5.0</v>
      </c>
      <c r="AA25" s="191" t="str">
        <f>'Программа тренировок '!M162</f>
        <v/>
      </c>
      <c r="AB25" s="122" t="str">
        <f t="array" ref="AB25">MROUND(X25/INDEX($O$93:$X$100,MATCH(AA25,$N$93:$N$100,0),MATCH(Z25,$O$92:$X$92,0))*0.77,P25)</f>
        <v>#N/A</v>
      </c>
      <c r="AC25" s="136">
        <v>3.0</v>
      </c>
      <c r="AD25" s="78">
        <v>6.0</v>
      </c>
      <c r="AE25" s="136" t="str">
        <f t="array" ref="AE25">MROUND(X25/INDEX($O$93:$X$100,MATCH(AA25,$N$93:$N$100,0),MATCH(Z25,$O$92:$X$92,0))*0.85,P25)</f>
        <v>#N/A</v>
      </c>
      <c r="AF25" s="136">
        <v>1.0</v>
      </c>
      <c r="AG25" s="78">
        <v>5.0</v>
      </c>
      <c r="AH25" s="191" t="str">
        <f>'Программа тренировок '!T162</f>
        <v/>
      </c>
      <c r="AI25" s="148" t="str">
        <f t="array" ref="AI25">MROUND(AE25/INDEX($O$93:$X$100,MATCH(AH25,$N$93:$N$100,0),MATCH(AG25,$O$92:$X$92,0))*0.79,P25)</f>
        <v>#N/A</v>
      </c>
      <c r="AJ25" s="136">
        <v>3.0</v>
      </c>
      <c r="AK25" s="136">
        <v>6.0</v>
      </c>
      <c r="AL25" s="136" t="str">
        <f t="shared" ref="AL25:AL26" si="41">MROUND(AE25/INDEX($O$93:$X$100,MATCH(AH25,$N$93:$N$100,0),MATCH(AG25,$O$92:$X$92,0))*0.82,P25)</f>
        <v>#N/A</v>
      </c>
      <c r="AM25" s="136">
        <v>1.0</v>
      </c>
      <c r="AN25" s="136">
        <v>4.0</v>
      </c>
      <c r="AO25" s="191" t="str">
        <f>'Программа тренировок '!F189</f>
        <v/>
      </c>
      <c r="AP25" s="136" t="str">
        <f t="shared" si="38"/>
        <v>#N/A</v>
      </c>
      <c r="AQ25" s="136">
        <v>3.0</v>
      </c>
      <c r="AR25" s="122">
        <v>5.0</v>
      </c>
      <c r="AS25" s="136" t="str">
        <f t="array" ref="AS25">MROUND(AL25/INDEX($O$93:$X$100,MATCH(AO25,$N$93:$N$100,0),MATCH(AN25,$O$92:$X$92,0))*0.85,P25)</f>
        <v>#N/A</v>
      </c>
      <c r="AT25" s="136">
        <v>1.0</v>
      </c>
      <c r="AU25" s="136">
        <v>4.0</v>
      </c>
      <c r="AV25" s="191" t="str">
        <f>'Программа тренировок '!M189</f>
        <v/>
      </c>
      <c r="AW25" s="193" t="str">
        <f t="array" ref="AW25">MROUND(AS25/INDEX($O$93:$X$100,MATCH(AV25,$N$93:$N$100,0),MATCH(AU25,$O$92:$X$92,0))*0.8,P25)</f>
        <v>#N/A</v>
      </c>
      <c r="AX25" s="194">
        <v>3.0</v>
      </c>
      <c r="AY25" s="194">
        <v>5.0</v>
      </c>
      <c r="AZ25" s="193" t="str">
        <f t="array" ref="AZ25">MROUND(AS25/INDEX($O$93:$X$100,MATCH(AV25,$N$93:$N$100,0),MATCH(AU25,$O$92:$X$92,0))*0.88,P25)</f>
        <v>#N/A</v>
      </c>
      <c r="BA25" s="1">
        <v>1.0</v>
      </c>
      <c r="BB25" s="1">
        <v>4.0</v>
      </c>
      <c r="BC25" s="191" t="str">
        <f>'Программа тренировок '!T189</f>
        <v/>
      </c>
      <c r="BD25" s="193" t="str">
        <f t="array" ref="BD25">MROUND(AZ25/INDEX($O$93:$X$100,MATCH(BC25,$N$93:$N$100,0),MATCH(BB25,$O$92:$X$92,0))*0.81,P25)</f>
        <v>#N/A</v>
      </c>
      <c r="BE25" s="1">
        <v>3.0</v>
      </c>
      <c r="BF25" s="1">
        <v>5.0</v>
      </c>
      <c r="BG25" s="193" t="str">
        <f t="array" ref="BG25">MROUND(AZ25/INDEX($O$93:$X$100,MATCH(BC25,$N$93:$N$100,0),MATCH(BB25,$O$92:$X$92,0))*0.83,P25)</f>
        <v>#N/A</v>
      </c>
      <c r="BH25" s="1">
        <v>1.0</v>
      </c>
      <c r="BI25" s="1">
        <v>3.0</v>
      </c>
      <c r="BJ25" s="195" t="str">
        <f>'Программа тренировок '!F216</f>
        <v/>
      </c>
      <c r="BK25" s="193" t="str">
        <f t="shared" si="39"/>
        <v>#N/A</v>
      </c>
      <c r="BL25" s="1">
        <v>3.0</v>
      </c>
      <c r="BM25" s="1">
        <v>4.0</v>
      </c>
      <c r="BN25" s="193" t="str">
        <f t="array" ref="BN25">MROUND(BG25/INDEX($O$93:$X$100,MATCH(BJ25,$N$93:$N$100,0),MATCH(BI25,$O$92:$X$92,0))*0.86,P25)</f>
        <v>#N/A</v>
      </c>
      <c r="BO25" s="1">
        <v>1.0</v>
      </c>
      <c r="BP25" s="1">
        <v>3.0</v>
      </c>
      <c r="BQ25" s="195" t="str">
        <f>'Программа тренировок '!M216</f>
        <v/>
      </c>
      <c r="BR25" s="1" t="str">
        <f t="array" ref="BR25">MROUND(BN25/INDEX($O$93:$X$100,MATCH(BQ25,$N$93:$N$100,0),MATCH(BP25,$O$92:$X$92,0))*0.82,P25)</f>
        <v>#N/A</v>
      </c>
      <c r="BS25" s="1">
        <v>3.0</v>
      </c>
      <c r="BT25" s="1">
        <v>4.0</v>
      </c>
      <c r="BU25" s="193" t="str">
        <f t="array" ref="BU25">MROUND(BN25/INDEX($O$93:$X$100,MATCH(BQ25,$N$93:$N$100,0),MATCH(BP25,$O$92:$X$92,0))*0.91,P25)</f>
        <v>#N/A</v>
      </c>
      <c r="BV25" s="1">
        <v>1.0</v>
      </c>
      <c r="BW25" s="1">
        <v>3.0</v>
      </c>
      <c r="BX25" s="195" t="str">
        <f>'Программа тренировок '!T216</f>
        <v/>
      </c>
      <c r="BY25" s="193" t="str">
        <f t="array" ref="BY25">MROUND(BU25/INDEX($O$93:$X$100,MATCH(BX25,$N$93:$N$100,0),MATCH(BW25,$O$92:$X$92,0))*0.84,P25)</f>
        <v>#N/A</v>
      </c>
      <c r="BZ25" s="1">
        <v>3.0</v>
      </c>
      <c r="CA25" s="1">
        <v>4.0</v>
      </c>
    </row>
    <row r="26" ht="15.75" customHeight="1">
      <c r="I26" s="143" t="s">
        <v>163</v>
      </c>
      <c r="L26" s="26" t="s">
        <v>57</v>
      </c>
      <c r="N26" s="188" t="str">
        <f>'Программа тренировок '!C119</f>
        <v/>
      </c>
      <c r="O26" s="188" t="str">
        <f>'Программа тренировок '!D119</f>
        <v/>
      </c>
      <c r="P26" s="196">
        <f>'Формулы'!I19</f>
        <v>2.5</v>
      </c>
      <c r="Q26" s="136" t="str">
        <f t="shared" si="40"/>
        <v>#N/A</v>
      </c>
      <c r="R26" s="122">
        <v>1.0</v>
      </c>
      <c r="S26" s="136">
        <v>5.0</v>
      </c>
      <c r="T26" s="191" t="str">
        <f>'Программа тренировок '!F162</f>
        <v/>
      </c>
      <c r="U26" s="148" t="str">
        <f t="shared" si="37"/>
        <v>#N/A</v>
      </c>
      <c r="V26" s="136">
        <v>3.0</v>
      </c>
      <c r="W26" s="122">
        <v>6.0</v>
      </c>
      <c r="X26" s="136" t="str">
        <f t="array" ref="X26">MROUND(Q26/INDEX($O$93:$X$100,MATCH(T26,$N$93:$N$100,0),MATCH(S26,$O$92:$X$92,0))*0.84,P26)</f>
        <v>#N/A</v>
      </c>
      <c r="Y26" s="148">
        <v>1.0</v>
      </c>
      <c r="Z26" s="136">
        <v>4.0</v>
      </c>
      <c r="AA26" s="191" t="str">
        <f>'Программа тренировок '!M162</f>
        <v/>
      </c>
      <c r="AB26" s="122" t="str">
        <f t="array" ref="AB26">MROUND(X26/INDEX($O$93:$X$100,MATCH(AA26,$N$93:$N$100,0),MATCH(Z26,$O$92:$X$92,0))*0.8,P26)</f>
        <v>#N/A</v>
      </c>
      <c r="AC26" s="136">
        <v>3.0</v>
      </c>
      <c r="AD26" s="78">
        <v>5.0</v>
      </c>
      <c r="AE26" s="136" t="str">
        <f t="array" ref="AE26">MROUND(X26/INDEX($O$93:$X$100,MATCH(AA26,$N$93:$N$100,0),MATCH(Z26,$O$92:$X$92,0))*0.88,P26)</f>
        <v>#N/A</v>
      </c>
      <c r="AF26" s="136">
        <v>1.0</v>
      </c>
      <c r="AG26" s="78">
        <v>3.0</v>
      </c>
      <c r="AH26" s="191" t="str">
        <f>'Программа тренировок '!T162</f>
        <v/>
      </c>
      <c r="AI26" s="148" t="str">
        <f t="array" ref="AI26">MROUND(AE26/INDEX($O$93:$X$100,MATCH(AH26,$N$93:$N$100,0),MATCH(AG26,$O$92:$X$92,0))*0.85,P26)</f>
        <v>#N/A</v>
      </c>
      <c r="AJ26" s="136">
        <v>3.0</v>
      </c>
      <c r="AK26" s="136">
        <v>4.0</v>
      </c>
      <c r="AL26" s="136" t="str">
        <f t="shared" si="41"/>
        <v>#N/A</v>
      </c>
      <c r="AM26" s="136">
        <v>1.0</v>
      </c>
      <c r="AN26" s="136">
        <v>4.0</v>
      </c>
      <c r="AO26" s="191" t="str">
        <f>'Программа тренировок '!F189</f>
        <v/>
      </c>
      <c r="AP26" s="136" t="str">
        <f t="shared" si="38"/>
        <v>#N/A</v>
      </c>
      <c r="AQ26" s="136">
        <v>3.0</v>
      </c>
      <c r="AR26" s="122">
        <v>5.0</v>
      </c>
      <c r="AS26" s="136" t="str">
        <f t="array" ref="AS26">MROUND(AL26/INDEX($O$93:$X$100,MATCH(AO26,$N$93:$N$100,0),MATCH(AN26,$O$92:$X$92,0))*0.86,P26)</f>
        <v>#N/A</v>
      </c>
      <c r="AT26" s="136">
        <v>1.0</v>
      </c>
      <c r="AU26" s="136">
        <v>3.0</v>
      </c>
      <c r="AV26" s="191" t="str">
        <f>'Программа тренировок '!M189</f>
        <v/>
      </c>
      <c r="AW26" s="193" t="str">
        <f t="array" ref="AW26">MROUND(AS26/INDEX($O$93:$X$100,MATCH(AV26,$N$93:$N$100,0),MATCH(AU26,$O$92:$X$92,0))*0.82,P26)</f>
        <v>#N/A</v>
      </c>
      <c r="AX26" s="194">
        <v>3.0</v>
      </c>
      <c r="AY26" s="194">
        <v>4.0</v>
      </c>
      <c r="AZ26" s="193" t="str">
        <f t="array" ref="AZ26">MROUND(AS26/INDEX($O$93:$X$100,MATCH(AV26,$N$93:$N$100,0),MATCH(AU26,$O$92:$X$92,0))*0.92,P26)</f>
        <v>#N/A</v>
      </c>
      <c r="BA26" s="1">
        <v>1.0</v>
      </c>
      <c r="BB26" s="1">
        <v>2.0</v>
      </c>
      <c r="BC26" s="191" t="str">
        <f>'Программа тренировок '!T189</f>
        <v/>
      </c>
      <c r="BD26" s="193" t="str">
        <f t="array" ref="BD26">MROUND(AZ26/INDEX($O$93:$X$100,MATCH(BC26,$N$93:$N$100,0),MATCH(BB26,$O$92:$X$92,0))*0.86,P26)</f>
        <v>#N/A</v>
      </c>
      <c r="BE26" s="1">
        <v>3.0</v>
      </c>
      <c r="BF26" s="1">
        <v>3.0</v>
      </c>
      <c r="BG26" s="193" t="str">
        <f t="array" ref="BG26">MROUND(AZ26/INDEX($O$93:$X$100,MATCH(BC26,$N$93:$N$100,0),MATCH(BB26,$O$92:$X$92,0))*0.81,P26)</f>
        <v>#N/A</v>
      </c>
      <c r="BH26" s="1">
        <v>1.0</v>
      </c>
      <c r="BI26" s="1">
        <v>3.0</v>
      </c>
      <c r="BJ26" s="195" t="str">
        <f>'Программа тренировок '!F216</f>
        <v/>
      </c>
      <c r="BK26" s="193" t="str">
        <f t="shared" si="39"/>
        <v>#N/A</v>
      </c>
      <c r="BL26" s="1">
        <v>3.0</v>
      </c>
      <c r="BM26" s="1">
        <v>4.0</v>
      </c>
      <c r="BN26" s="193" t="str">
        <f t="array" ref="BN26">MROUND(BG26/INDEX($O$93:$X$100,MATCH(BJ26,$N$93:$N$100,0),MATCH(BI26,$O$92:$X$92,0))*0.89,P26)</f>
        <v>#N/A</v>
      </c>
      <c r="BO26" s="1">
        <v>1.0</v>
      </c>
      <c r="BP26" s="1">
        <v>2.0</v>
      </c>
      <c r="BQ26" s="195" t="str">
        <f>'Программа тренировок '!M216</f>
        <v/>
      </c>
      <c r="BR26" s="1" t="str">
        <f t="array" ref="BR26">MROUND(BN26/INDEX($O$93:$X$100,MATCH(BQ26,$N$93:$N$100,0),MATCH(BP26,$O$92:$X$92,0))*0.84,P26)</f>
        <v>#N/A</v>
      </c>
      <c r="BS26" s="1">
        <v>3.0</v>
      </c>
      <c r="BT26" s="1">
        <v>3.0</v>
      </c>
      <c r="BU26" s="193" t="str">
        <f t="array" ref="BU26">MROUND(BN26/INDEX($O$93:$X$100,MATCH(BQ26,$N$93:$N$100,0),MATCH(BP26,$O$92:$X$92,0))*0.97,P26)</f>
        <v>#N/A</v>
      </c>
      <c r="BV26" s="1">
        <v>1.0</v>
      </c>
      <c r="BW26" s="1">
        <v>1.0</v>
      </c>
      <c r="BX26" s="195" t="str">
        <f>'Программа тренировок '!T216</f>
        <v/>
      </c>
      <c r="BY26" s="193" t="str">
        <f t="array" ref="BY26">MROUND(BU26/INDEX($O$93:$X$100,MATCH(BX26,$N$93:$N$100,0),MATCH(BW26,$O$92:$X$92,0))*0.89,P26)</f>
        <v>#N/A</v>
      </c>
      <c r="BZ26" s="1">
        <v>3.0</v>
      </c>
      <c r="CA26" s="1">
        <v>2.0</v>
      </c>
    </row>
    <row r="27" ht="15.75" customHeight="1">
      <c r="I27" s="136">
        <f>'Программа тренировок '!E93</f>
        <v>2.5</v>
      </c>
      <c r="Q27" s="1"/>
      <c r="R27" s="1"/>
      <c r="S27" s="1"/>
      <c r="T27" s="195"/>
      <c r="AA27" s="195"/>
      <c r="AD27" s="1"/>
      <c r="AE27" s="136"/>
      <c r="AF27" s="136"/>
      <c r="AG27" s="104"/>
      <c r="AH27" s="195"/>
      <c r="AI27" s="1"/>
      <c r="AO27" s="195"/>
      <c r="AV27" s="195"/>
      <c r="BC27" s="195"/>
      <c r="BJ27" s="195"/>
      <c r="BQ27" s="195"/>
      <c r="BR27" s="1"/>
      <c r="BX27" s="195"/>
    </row>
    <row r="28" ht="15.75" customHeight="1">
      <c r="I28" s="136">
        <f>'Программа тренировок '!E94</f>
        <v>2.5</v>
      </c>
      <c r="L28" s="26" t="s">
        <v>46</v>
      </c>
      <c r="M28" s="6"/>
      <c r="N28" s="188" t="str">
        <f>IF('Программа тренировок '!B77='Программа тренировок '!B87, 'Формулы'!N9, 'Программа тренировок '!C121)</f>
        <v/>
      </c>
      <c r="O28" s="188" t="str">
        <f>IF('Программа тренировок '!B77='Программа тренировок '!B87, 'Формулы'!O9, 'Программа тренировок '!D121)</f>
        <v/>
      </c>
      <c r="P28" s="196">
        <f>IF('Программа тренировок '!B67='Программа тренировок '!B77, P9, 'Формулы'!I21)</f>
        <v>2.5</v>
      </c>
      <c r="Q28" s="136" t="str">
        <f t="array" ref="Q28">MROUND(N28/INDEX($O$93:$X$100,MATCH(10,$N$93:$N$100,0),MATCH(O28,$O$92:$X$92,0))*0.8,P28)</f>
        <v>#N/A</v>
      </c>
      <c r="R28" s="122">
        <v>1.0</v>
      </c>
      <c r="S28" s="136">
        <v>5.0</v>
      </c>
      <c r="T28" s="191" t="str">
        <f>'Программа тренировок '!F164</f>
        <v/>
      </c>
      <c r="U28" s="148" t="str">
        <f t="array" ref="U28">MROUND(Q28/INDEX($O$93:$X$100,MATCH(T28,$N$93:$N$100,0),MATCH(S28,$O$92:$X$92,0))*0.75,P28)</f>
        <v>#N/A</v>
      </c>
      <c r="V28" s="136">
        <v>3.0</v>
      </c>
      <c r="W28" s="122">
        <v>6.0</v>
      </c>
      <c r="X28" s="136" t="str">
        <f t="array" ref="X28">MROUND(Q28/INDEX($O$93:$X$100,MATCH(T28,$N$93:$N$100,0),MATCH(S28,$O$92:$X$92,0))*0.84,P28)</f>
        <v>#N/A</v>
      </c>
      <c r="Y28" s="148">
        <v>1.0</v>
      </c>
      <c r="Z28" s="136">
        <v>4.0</v>
      </c>
      <c r="AA28" s="191" t="str">
        <f>'Программа тренировок '!M164</f>
        <v/>
      </c>
      <c r="AB28" s="122" t="str">
        <f t="array" ref="AB28">MROUND(X28/INDEX($O$93:$X$100,MATCH(AA28,$N$93:$N$100,0),MATCH(Z28,$O$92:$X$92,0))*0.8,P28)</f>
        <v>#N/A</v>
      </c>
      <c r="AC28" s="136">
        <v>3.0</v>
      </c>
      <c r="AD28" s="78">
        <v>5.0</v>
      </c>
      <c r="AE28" s="136" t="str">
        <f t="array" ref="AE28">MROUND(X28/INDEX($O$93:$X$100,MATCH(AA28,$N$93:$N$100,0),MATCH(Z28,$O$92:$X$92,0))*0.88,P28)</f>
        <v>#N/A</v>
      </c>
      <c r="AF28" s="136">
        <v>1.0</v>
      </c>
      <c r="AG28" s="78">
        <v>3.0</v>
      </c>
      <c r="AH28" s="191" t="str">
        <f>'Программа тренировок '!T164</f>
        <v/>
      </c>
      <c r="AI28" s="148" t="str">
        <f t="array" ref="AI28">MROUND(AE28/INDEX($O$93:$X$100,MATCH(AH28,$N$93:$N$100,0),MATCH(AG28,$O$92:$X$92,0))*0.85,P28)</f>
        <v>#N/A</v>
      </c>
      <c r="AJ28" s="136">
        <v>3.0</v>
      </c>
      <c r="AK28" s="136">
        <v>4.0</v>
      </c>
      <c r="AL28" s="136" t="str">
        <f t="array" ref="AL28">MROUND(AE28/INDEX($O$93:$X$100,MATCH(AH28,$N$93:$N$100,0),MATCH(AG28,$O$92:$X$92,0))*0.82,P28)</f>
        <v>#N/A</v>
      </c>
      <c r="AM28" s="136">
        <v>1.0</v>
      </c>
      <c r="AN28" s="136">
        <v>4.0</v>
      </c>
      <c r="AO28" s="191" t="str">
        <f>'Программа тренировок '!F191</f>
        <v/>
      </c>
      <c r="AP28" s="136" t="str">
        <f t="array" ref="AP28">MROUND(AL28/INDEX($O$93:$X$100,MATCH(AO28,$N$93:$N$100,0),MATCH(AN28,$O$92:$X$92,0))*0.79,P28)</f>
        <v>#N/A</v>
      </c>
      <c r="AQ28" s="136">
        <v>3.0</v>
      </c>
      <c r="AR28" s="122">
        <v>5.0</v>
      </c>
      <c r="AS28" s="136" t="str">
        <f t="array" ref="AS28">MROUND(AL28/INDEX($O$93:$X$100,MATCH(AO28,$N$93:$N$100,0),MATCH(AN28,$O$92:$X$92,0))*0.86,P28)</f>
        <v>#N/A</v>
      </c>
      <c r="AT28" s="136">
        <v>1.0</v>
      </c>
      <c r="AU28" s="136">
        <v>3.0</v>
      </c>
      <c r="AV28" s="191" t="str">
        <f>'Программа тренировок '!M191</f>
        <v/>
      </c>
      <c r="AW28" s="193" t="str">
        <f t="array" ref="AW28">MROUND(AS28/INDEX($O$93:$X$100,MATCH(AV28,$N$93:$N$100,0),MATCH(AU28,$O$92:$X$92,0))*0.82,P28)</f>
        <v>#N/A</v>
      </c>
      <c r="AX28" s="194">
        <v>3.0</v>
      </c>
      <c r="AY28" s="194">
        <v>4.0</v>
      </c>
      <c r="AZ28" s="193" t="str">
        <f t="array" ref="AZ28">MROUND(AS28/INDEX($O$93:$X$100,MATCH(AV28,$N$93:$N$100,0),MATCH(AU28,$O$92:$X$92,0))*0.92,P28)</f>
        <v>#N/A</v>
      </c>
      <c r="BA28" s="1">
        <v>1.0</v>
      </c>
      <c r="BB28" s="1">
        <v>2.0</v>
      </c>
      <c r="BC28" s="191" t="str">
        <f>'Программа тренировок '!T191</f>
        <v/>
      </c>
      <c r="BD28" s="193" t="str">
        <f t="array" ref="BD28">MROUND(AZ28/INDEX($O$93:$X$100,MATCH(BC28,$N$93:$N$100,0),MATCH(BB28,$O$92:$X$92,0))*0.86,P28)</f>
        <v>#N/A</v>
      </c>
      <c r="BE28" s="1">
        <v>3.0</v>
      </c>
      <c r="BF28" s="1">
        <v>3.0</v>
      </c>
      <c r="BG28" s="193" t="str">
        <f t="shared" ref="BG28:BG29" si="42">MROUND(AZ28/INDEX($O$93:$X$100,MATCH(BC28,$N$93:$N$100,0),MATCH(BB28,$O$92:$X$92,0))*0.81,P28)</f>
        <v>#N/A</v>
      </c>
      <c r="BH28" s="1">
        <v>1.0</v>
      </c>
      <c r="BI28" s="1">
        <v>3.0</v>
      </c>
      <c r="BJ28" s="195" t="str">
        <f>'Программа тренировок '!F218</f>
        <v/>
      </c>
      <c r="BK28" s="193" t="str">
        <f t="array" ref="BK28">MROUND(BG28/INDEX($O$93:$X$100,MATCH(BJ28,$N$93:$N$100,0),MATCH(BI28,$O$92:$X$92,0))*0.81,P28)</f>
        <v>#N/A</v>
      </c>
      <c r="BL28" s="1">
        <v>3.0</v>
      </c>
      <c r="BM28" s="1">
        <v>4.0</v>
      </c>
      <c r="BN28" s="193" t="str">
        <f t="array" ref="BN28">MROUND(BG28/INDEX($O$93:$X$100,MATCH(BJ28,$N$93:$N$100,0),MATCH(BI28,$O$92:$X$92,0))*0.89,P28)</f>
        <v>#N/A</v>
      </c>
      <c r="BO28" s="1">
        <v>1.0</v>
      </c>
      <c r="BP28" s="1">
        <v>2.0</v>
      </c>
      <c r="BQ28" s="195" t="str">
        <f>'Программа тренировок '!M218</f>
        <v/>
      </c>
      <c r="BR28" s="1" t="str">
        <f t="array" ref="BR28">MROUND(BN28/INDEX($O$93:$X$100,MATCH(BQ28,$N$93:$N$100,0),MATCH(BP28,$O$92:$X$92,0))*0.84,P28)</f>
        <v>#N/A</v>
      </c>
      <c r="BS28" s="1">
        <v>3.0</v>
      </c>
      <c r="BT28" s="1">
        <v>3.0</v>
      </c>
      <c r="BU28" s="193" t="str">
        <f t="array" ref="BU28">MROUND(BN28/INDEX($O$93:$X$100,MATCH(BQ28,$N$93:$N$100,0),MATCH(BP28,$O$92:$X$92,0))*0.97,P28)</f>
        <v>#N/A</v>
      </c>
      <c r="BV28" s="1">
        <v>1.0</v>
      </c>
      <c r="BW28" s="1">
        <v>1.0</v>
      </c>
      <c r="BX28" s="195" t="str">
        <f>'Программа тренировок '!T218</f>
        <v/>
      </c>
      <c r="BY28" s="193" t="str">
        <f t="array" ref="BY28">MROUND(BU28/INDEX($O$93:$X$100,MATCH(BX28,$N$93:$N$100,0),MATCH(BW28,$O$92:$X$92,0))*0.89,P28)</f>
        <v>#N/A</v>
      </c>
      <c r="BZ28" s="1">
        <v>3.0</v>
      </c>
      <c r="CA28" s="1">
        <v>2.0</v>
      </c>
    </row>
    <row r="29" ht="15.75" customHeight="1">
      <c r="I29" s="136">
        <f>'Программа тренировок '!E95</f>
        <v>2.5</v>
      </c>
      <c r="L29" s="26" t="s">
        <v>171</v>
      </c>
      <c r="N29" s="188" t="str">
        <f>'Программа тренировок '!C121</f>
        <v/>
      </c>
      <c r="O29" s="188" t="str">
        <f>'Программа тренировок '!D121</f>
        <v/>
      </c>
      <c r="P29" s="196">
        <f>'Формулы'!I21</f>
        <v>2.5</v>
      </c>
      <c r="Q29" s="136" t="str">
        <f t="array" ref="Q29">MROUND(N29/INDEX($O$93:$X$100,MATCH(10,$N$93:$N$100,0),MATCH(O29,$O$92:$X$92,0))*0.76,P29)</f>
        <v>#N/A</v>
      </c>
      <c r="R29" s="122">
        <v>3.0</v>
      </c>
      <c r="S29" s="136">
        <v>6.0</v>
      </c>
      <c r="T29" s="191" t="str">
        <f>'Программа тренировок '!F164</f>
        <v/>
      </c>
      <c r="U29" s="148" t="str">
        <f t="array" ref="U29">MROUND(Q29/INDEX($O$93:$X$100,MATCH(T29,$N$93:$N$100,0),MATCH(S29,$O$92:$X$92,0))*0.72,P29)</f>
        <v>#N/A</v>
      </c>
      <c r="V29" s="136">
        <v>1.0</v>
      </c>
      <c r="W29" s="122" t="s">
        <v>168</v>
      </c>
      <c r="X29" s="136" t="str">
        <f t="array" ref="X29">MROUND(Q29/INDEX($O$93:$X$100,MATCH(T29,$N$93:$N$100,0),MATCH(S29,$O$92:$X$92,0))*0.79,P29)</f>
        <v>#N/A</v>
      </c>
      <c r="Y29" s="148">
        <v>3.0</v>
      </c>
      <c r="Z29" s="136">
        <v>6.0</v>
      </c>
      <c r="AA29" s="191" t="str">
        <f>'Программа тренировок '!M164</f>
        <v/>
      </c>
      <c r="AB29" s="122" t="str">
        <f t="array" ref="AB29">MROUND(X29/INDEX($O$93:$X$100,MATCH(AA29,$N$93:$N$100,0),MATCH(Z29,$O$92:$X$92,0))*0.76,P29)</f>
        <v>#N/A</v>
      </c>
      <c r="AC29" s="136">
        <v>1.0</v>
      </c>
      <c r="AD29" s="122" t="s">
        <v>168</v>
      </c>
      <c r="AE29" s="136" t="str">
        <f t="array" ref="AE29">MROUND(X29/INDEX($O$93:$X$100,MATCH(AA29,$N$93:$N$100,0),MATCH(Z29,$O$92:$X$92,0))*0.81,P29)</f>
        <v>#N/A</v>
      </c>
      <c r="AF29" s="136">
        <v>3.0</v>
      </c>
      <c r="AG29" s="78">
        <v>6.0</v>
      </c>
      <c r="AH29" s="191" t="str">
        <f>'Программа тренировок '!T164</f>
        <v/>
      </c>
      <c r="AI29" s="148" t="str">
        <f t="shared" ref="AI29:AI30" si="43">MROUND(AE29/INDEX($O$93:$X$100,MATCH(AH29,$N$93:$N$100,0),MATCH(AG29,$O$92:$X$92,0))*0.79,P29)</f>
        <v>#N/A</v>
      </c>
      <c r="AJ29" s="136">
        <v>1.0</v>
      </c>
      <c r="AK29" s="122" t="s">
        <v>168</v>
      </c>
      <c r="AL29" s="136" t="str">
        <f t="array" ref="AL29">MROUND(AE29/INDEX($O$93:$X$100,MATCH(AH29,$N$93:$N$100,0),MATCH(AG29,$O$92:$X$92,0))*0.79,P29)</f>
        <v>#N/A</v>
      </c>
      <c r="AM29" s="136">
        <v>3.0</v>
      </c>
      <c r="AN29" s="136">
        <v>5.0</v>
      </c>
      <c r="AO29" s="191" t="str">
        <f>'Программа тренировок '!F191</f>
        <v/>
      </c>
      <c r="AP29" s="136" t="str">
        <f t="array" ref="AP29">MROUND(AL29/INDEX($O$93:$X$100,MATCH(AO29,$N$93:$N$100,0),MATCH(AN29,$O$92:$X$92,0))*0.76,P29)</f>
        <v>#N/A</v>
      </c>
      <c r="AQ29" s="136">
        <v>1.0</v>
      </c>
      <c r="AR29" s="122" t="s">
        <v>169</v>
      </c>
      <c r="AS29" s="136" t="str">
        <f t="array" ref="AS29">MROUND(AL29/INDEX($O$93:$X$100,MATCH(AO29,$N$93:$N$100,0),MATCH(AN29,$O$92:$X$92,0))*0.82,P29)</f>
        <v>#N/A</v>
      </c>
      <c r="AT29" s="136">
        <v>3.0</v>
      </c>
      <c r="AU29" s="136">
        <v>5.0</v>
      </c>
      <c r="AV29" s="191" t="str">
        <f>'Программа тренировок '!M191</f>
        <v/>
      </c>
      <c r="AW29" s="193" t="str">
        <f t="array" ref="AW29">MROUND(AS29/INDEX($O$93:$X$100,MATCH(AV29,$N$93:$N$100,0),MATCH(AU29,$O$92:$X$92,0))*0.79,P29)</f>
        <v>#N/A</v>
      </c>
      <c r="AX29" s="194">
        <v>1.0</v>
      </c>
      <c r="AY29" s="194" t="s">
        <v>169</v>
      </c>
      <c r="AZ29" s="193" t="str">
        <f t="array" ref="AZ29">MROUND(AS29/INDEX($O$93:$X$100,MATCH(AV29,$N$93:$N$100,0),MATCH(AU29,$O$92:$X$92,0))*0.84,P29)</f>
        <v>#N/A</v>
      </c>
      <c r="BA29" s="1">
        <v>3.0</v>
      </c>
      <c r="BB29" s="1">
        <v>5.0</v>
      </c>
      <c r="BC29" s="191" t="str">
        <f>'Программа тренировок '!T191</f>
        <v/>
      </c>
      <c r="BD29" s="193" t="str">
        <f t="shared" ref="BD29:BD30" si="44">MROUND(AZ29/INDEX($O$93:$X$100,MATCH(BC29,$N$93:$N$100,0),MATCH(BB29,$O$92:$X$92,0))*0.81,P29)</f>
        <v>#N/A</v>
      </c>
      <c r="BE29" s="1">
        <v>1.0</v>
      </c>
      <c r="BF29" s="1" t="s">
        <v>169</v>
      </c>
      <c r="BG29" s="193" t="str">
        <f t="shared" si="42"/>
        <v>#N/A</v>
      </c>
      <c r="BH29" s="1">
        <v>3.0</v>
      </c>
      <c r="BI29" s="1">
        <v>4.0</v>
      </c>
      <c r="BJ29" s="195" t="str">
        <f>'Программа тренировок '!F218</f>
        <v/>
      </c>
      <c r="BK29" s="193" t="str">
        <f t="array" ref="BK29">MROUND(BG29/INDEX($O$93:$X$100,MATCH(BJ29,$N$93:$N$100,0),MATCH(BI29,$O$92:$X$92,0))*0.78,P29)</f>
        <v>#N/A</v>
      </c>
      <c r="BL29" s="1">
        <v>1.0</v>
      </c>
      <c r="BM29" s="1" t="s">
        <v>169</v>
      </c>
      <c r="BN29" s="193" t="str">
        <f t="array" ref="BN29">MROUND(BG29/INDEX($O$93:$X$100,MATCH(BJ29,$N$93:$N$100,0),MATCH(BI29,$O$92:$X$92,0))*0.83,P29)</f>
        <v>#N/A</v>
      </c>
      <c r="BO29" s="1">
        <v>3.0</v>
      </c>
      <c r="BP29" s="1">
        <v>4.0</v>
      </c>
      <c r="BQ29" s="195" t="str">
        <f>'Программа тренировок '!M218</f>
        <v/>
      </c>
      <c r="BR29" s="1" t="str">
        <f t="array" ref="BR29">MROUND(BN29/INDEX($O$93:$X$100,MATCH(BQ29,$N$93:$N$100,0),MATCH(BP29,$O$92:$X$92,0))*0.8,P29)</f>
        <v>#N/A</v>
      </c>
      <c r="BS29" s="1">
        <v>1.0</v>
      </c>
      <c r="BT29" s="1" t="s">
        <v>169</v>
      </c>
      <c r="BU29" s="193" t="str">
        <f t="array" ref="BU29">MROUND(BN29/INDEX($O$93:$X$100,MATCH(BQ29,$N$93:$N$100,0),MATCH(BP29,$O$92:$X$92,0))*0.85,P29)</f>
        <v>#N/A</v>
      </c>
      <c r="BV29" s="1">
        <v>3.0</v>
      </c>
      <c r="BW29" s="1">
        <v>4.0</v>
      </c>
      <c r="BX29" s="195" t="str">
        <f>'Программа тренировок '!T218</f>
        <v/>
      </c>
      <c r="BY29" s="193" t="str">
        <f t="array" ref="BY29">MROUND(BU29/INDEX($O$93:$X$100,MATCH(BX29,$N$93:$N$100,0),MATCH(BW29,$O$92:$X$92,0))*0.81,P29)</f>
        <v>#N/A</v>
      </c>
      <c r="BZ29" s="1">
        <v>1.0</v>
      </c>
      <c r="CA29" s="1" t="s">
        <v>169</v>
      </c>
    </row>
    <row r="30" ht="15.75" customHeight="1">
      <c r="I30" s="136">
        <f>'Программа тренировок '!E96</f>
        <v>3</v>
      </c>
      <c r="L30" s="26" t="s">
        <v>165</v>
      </c>
      <c r="N30" s="188" t="str">
        <f>IF('Программа тренировок '!B77='Программа тренировок '!B87, 'Формулы'!N9, 'Программа тренировок '!C121)</f>
        <v/>
      </c>
      <c r="O30" s="188" t="str">
        <f>IF('Программа тренировок '!B77='Программа тренировок '!B87, 'Формулы'!O11, 'Программа тренировок '!D121)</f>
        <v/>
      </c>
      <c r="P30" s="196">
        <f>IF('Программа тренировок '!B67='Программа тренировок '!B77, P11, 'Формулы'!I21)</f>
        <v>2.5</v>
      </c>
      <c r="Q30" s="136" t="str">
        <f t="array" ref="Q30">MROUND(N30/INDEX($O$93:$X$100,MATCH(10,$N$93:$N$100,0),MATCH(O30,$O$92:$X$92,0))*0.8,P30)</f>
        <v>#N/A</v>
      </c>
      <c r="R30" s="122">
        <v>1.0</v>
      </c>
      <c r="S30" s="136">
        <v>5.0</v>
      </c>
      <c r="T30" s="191" t="str">
        <f>'Программа тренировок '!F164</f>
        <v/>
      </c>
      <c r="U30" s="148" t="str">
        <f t="array" ref="U30">MROUND(Q30/INDEX($O$93:$X$100,MATCH(T30,$N$93:$N$100,0),MATCH(S30,$O$92:$X$92,0))*0.75,P30)</f>
        <v>#N/A</v>
      </c>
      <c r="V30" s="136">
        <v>3.0</v>
      </c>
      <c r="W30" s="122">
        <v>6.0</v>
      </c>
      <c r="X30" s="136" t="str">
        <f t="array" ref="X30">MROUND(Q30/INDEX($O$93:$X$100,MATCH(T30,$N$93:$N$100,0),MATCH(S30,$O$92:$X$92,0))*0.82,P30)</f>
        <v>#N/A</v>
      </c>
      <c r="Y30" s="148">
        <v>1.0</v>
      </c>
      <c r="Z30" s="136">
        <v>5.0</v>
      </c>
      <c r="AA30" s="191" t="str">
        <f>'Программа тренировок '!M164</f>
        <v/>
      </c>
      <c r="AB30" s="122" t="str">
        <f t="array" ref="AB30">MROUND(X30/INDEX($O$93:$X$100,MATCH(AA30,$N$93:$N$100,0),MATCH(Z30,$O$92:$X$92,0))*0.77,P30)</f>
        <v>#N/A</v>
      </c>
      <c r="AC30" s="136">
        <v>3.0</v>
      </c>
      <c r="AD30" s="78">
        <v>6.0</v>
      </c>
      <c r="AE30" s="136" t="str">
        <f t="array" ref="AE30">MROUND(X30/INDEX($O$93:$X$100,MATCH(AA30,$N$93:$N$100,0),MATCH(Z30,$O$92:$X$92,0))*0.85,P30)</f>
        <v>#N/A</v>
      </c>
      <c r="AF30" s="136">
        <v>1.0</v>
      </c>
      <c r="AG30" s="78">
        <v>5.0</v>
      </c>
      <c r="AH30" s="191" t="str">
        <f>'Программа тренировок '!T164</f>
        <v/>
      </c>
      <c r="AI30" s="148" t="str">
        <f t="shared" si="43"/>
        <v>#N/A</v>
      </c>
      <c r="AJ30" s="136">
        <v>3.0</v>
      </c>
      <c r="AK30" s="136">
        <v>6.0</v>
      </c>
      <c r="AL30" s="136" t="str">
        <f t="array" ref="AL30">MROUND(AE30/INDEX($O$93:$X$100,MATCH(AH30,$N$93:$N$100,0),MATCH(AG30,$O$92:$X$92,0))*0.82,P30)</f>
        <v>#N/A</v>
      </c>
      <c r="AM30" s="136">
        <v>1.0</v>
      </c>
      <c r="AN30" s="136">
        <v>4.0</v>
      </c>
      <c r="AO30" s="191" t="str">
        <f>'Программа тренировок '!F191</f>
        <v/>
      </c>
      <c r="AP30" s="136" t="str">
        <f t="array" ref="AP30">MROUND(AL30/INDEX($O$93:$X$100,MATCH(AO30,$N$93:$N$100,0),MATCH(AN30,$O$92:$X$92,0))*0.79,P30)</f>
        <v>#N/A</v>
      </c>
      <c r="AQ30" s="136">
        <v>3.0</v>
      </c>
      <c r="AR30" s="122">
        <v>5.0</v>
      </c>
      <c r="AS30" s="136" t="str">
        <f t="array" ref="AS30">MROUND(AL30/INDEX($O$93:$X$100,MATCH(AO30,$N$93:$N$100,0),MATCH(AN30,$O$92:$X$92,0))*0.85,P30)</f>
        <v>#N/A</v>
      </c>
      <c r="AT30" s="136">
        <v>1.0</v>
      </c>
      <c r="AU30" s="136">
        <v>4.0</v>
      </c>
      <c r="AV30" s="191" t="str">
        <f>'Программа тренировок '!M191</f>
        <v/>
      </c>
      <c r="AW30" s="193" t="str">
        <f t="array" ref="AW30">MROUND(AS30/INDEX($O$93:$X$100,MATCH(AV30,$N$93:$N$100,0),MATCH(AU30,$O$92:$X$92,0))*0.8,P30)</f>
        <v>#N/A</v>
      </c>
      <c r="AX30" s="194">
        <v>3.0</v>
      </c>
      <c r="AY30" s="194">
        <v>5.0</v>
      </c>
      <c r="AZ30" s="193" t="str">
        <f t="array" ref="AZ30">MROUND(AS30/INDEX($O$93:$X$100,MATCH(AV30,$N$93:$N$100,0),MATCH(AU30,$O$92:$X$92,0))*0.88,P30)</f>
        <v>#N/A</v>
      </c>
      <c r="BA30" s="1">
        <v>1.0</v>
      </c>
      <c r="BB30" s="1">
        <v>4.0</v>
      </c>
      <c r="BC30" s="191" t="str">
        <f>'Программа тренировок '!T191</f>
        <v/>
      </c>
      <c r="BD30" s="193" t="str">
        <f t="shared" si="44"/>
        <v>#N/A</v>
      </c>
      <c r="BE30" s="1">
        <v>3.0</v>
      </c>
      <c r="BF30" s="1">
        <v>5.0</v>
      </c>
      <c r="BG30" s="193" t="str">
        <f t="array" ref="BG30">MROUND(AZ30/INDEX($O$93:$X$100,MATCH(BC30,$N$93:$N$100,0),MATCH(BB30,$O$92:$X$92,0))*0.83,P30)</f>
        <v>#N/A</v>
      </c>
      <c r="BH30" s="1">
        <v>1.0</v>
      </c>
      <c r="BI30" s="1">
        <v>3.0</v>
      </c>
      <c r="BJ30" s="195" t="str">
        <f>'Программа тренировок '!F218</f>
        <v/>
      </c>
      <c r="BK30" s="193" t="str">
        <f t="array" ref="BK30">MROUND(BG30/INDEX($O$93:$X$100,MATCH(BJ30,$N$93:$N$100,0),MATCH(BI30,$O$92:$X$92,0))*0.81,P30)</f>
        <v>#N/A</v>
      </c>
      <c r="BL30" s="1">
        <v>3.0</v>
      </c>
      <c r="BM30" s="1">
        <v>4.0</v>
      </c>
      <c r="BN30" s="193" t="str">
        <f t="array" ref="BN30">MROUND(BG30/INDEX($O$93:$X$100,MATCH(BJ30,$N$93:$N$100,0),MATCH(BI30,$O$92:$X$92,0))*0.86,P30)</f>
        <v>#N/A</v>
      </c>
      <c r="BO30" s="1">
        <v>1.0</v>
      </c>
      <c r="BP30" s="1">
        <v>3.0</v>
      </c>
      <c r="BQ30" s="195" t="str">
        <f>'Программа тренировок '!M218</f>
        <v/>
      </c>
      <c r="BR30" s="1" t="str">
        <f t="array" ref="BR30">MROUND(BN30/INDEX($O$93:$X$100,MATCH(BQ30,$N$93:$N$100,0),MATCH(BP30,$O$92:$X$92,0))*0.82,P30)</f>
        <v>#N/A</v>
      </c>
      <c r="BS30" s="1">
        <v>3.0</v>
      </c>
      <c r="BT30" s="1">
        <v>4.0</v>
      </c>
      <c r="BU30" s="193" t="str">
        <f t="array" ref="BU30">MROUND(BN30/INDEX($O$93:$X$100,MATCH(BQ30,$N$93:$N$100,0),MATCH(BP30,$O$92:$X$92,0))*0.91,P30)</f>
        <v>#N/A</v>
      </c>
      <c r="BV30" s="1">
        <v>1.0</v>
      </c>
      <c r="BW30" s="1">
        <v>3.0</v>
      </c>
      <c r="BX30" s="195" t="str">
        <f>'Программа тренировок '!T218</f>
        <v/>
      </c>
      <c r="BY30" s="193" t="str">
        <f t="array" ref="BY30">MROUND(BU30/INDEX($O$93:$X$100,MATCH(BX30,$N$93:$N$100,0),MATCH(BW30,$O$92:$X$92,0))*0.84,P30)</f>
        <v>#N/A</v>
      </c>
      <c r="BZ30" s="1">
        <v>3.0</v>
      </c>
      <c r="CA30" s="1">
        <v>4.0</v>
      </c>
    </row>
    <row r="31" ht="15.75" customHeight="1">
      <c r="I31" s="136" t="str">
        <f>'Программа тренировок '!E97</f>
        <v/>
      </c>
      <c r="Q31" s="1"/>
      <c r="R31" s="1"/>
      <c r="S31" s="1"/>
      <c r="T31" s="195"/>
      <c r="AA31" s="195"/>
      <c r="AD31" s="1"/>
      <c r="AE31" s="136"/>
      <c r="AF31" s="136"/>
      <c r="AG31" s="104"/>
      <c r="AH31" s="195"/>
      <c r="AI31" s="1"/>
      <c r="AO31" s="195"/>
      <c r="AV31" s="195"/>
      <c r="BC31" s="195"/>
      <c r="BJ31" s="195"/>
      <c r="BQ31" s="195"/>
      <c r="BR31" s="1"/>
      <c r="BX31" s="195"/>
    </row>
    <row r="32" ht="15.75" customHeight="1">
      <c r="Q32" s="1"/>
      <c r="R32" s="1" t="s">
        <v>172</v>
      </c>
      <c r="S32" s="1"/>
      <c r="T32" s="195"/>
      <c r="AA32" s="195"/>
      <c r="AD32" s="1"/>
      <c r="AE32" s="136"/>
      <c r="AF32" s="136"/>
      <c r="AG32" s="104"/>
      <c r="AH32" s="195"/>
      <c r="AI32" s="1"/>
      <c r="AO32" s="195"/>
      <c r="AV32" s="195"/>
      <c r="BC32" s="195"/>
      <c r="BJ32" s="195"/>
      <c r="BQ32" s="195"/>
      <c r="BR32" s="1"/>
      <c r="BX32" s="195"/>
    </row>
    <row r="33" ht="15.75" customHeight="1">
      <c r="L33" s="26" t="s">
        <v>58</v>
      </c>
      <c r="N33" s="188" t="str">
        <f>'Программа тренировок '!C120</f>
        <v/>
      </c>
      <c r="O33" s="188" t="str">
        <f>'Программа тренировок '!D120</f>
        <v/>
      </c>
      <c r="P33" s="196">
        <f>'Формулы'!I20</f>
        <v>2.5</v>
      </c>
      <c r="Q33" s="136" t="str">
        <f t="array" ref="Q33">MROUND(N33/INDEX($O$93:$X$100,MATCH(10,$N$93:$N$100,0),MATCH(O33,$O$92:$X$92,0))*0.8,P33)</f>
        <v>#N/A</v>
      </c>
      <c r="R33" s="122">
        <v>3.0</v>
      </c>
      <c r="S33" s="136">
        <v>5.0</v>
      </c>
      <c r="T33" s="192" t="str">
        <f>'Программа тренировок '!F163</f>
        <v/>
      </c>
      <c r="U33" s="148" t="str">
        <f t="array" ref="U33">MROUND(Q33/INDEX($O$93:$X$100,MATCH(T33,$N$93:$N$100,0),MATCH(S33,$O$92:$X$92,0))*0.75,P33)</f>
        <v>#N/A</v>
      </c>
      <c r="V33" s="136">
        <v>3.0</v>
      </c>
      <c r="W33" s="122">
        <v>6.0</v>
      </c>
      <c r="X33" s="136" t="str">
        <f t="array" ref="X33">MROUND(Q33/INDEX($O$93:$X$100,MATCH(T33,$N$93:$N$100,0),MATCH(S33,$O$92:$X$92,0))*0.82,P33)</f>
        <v>#N/A</v>
      </c>
      <c r="Y33" s="148">
        <v>3.0</v>
      </c>
      <c r="Z33" s="136">
        <v>5.0</v>
      </c>
      <c r="AA33" s="192" t="str">
        <f>'Программа тренировок '!M163</f>
        <v/>
      </c>
      <c r="AB33" s="122" t="str">
        <f t="array" ref="AB33">MROUND(X33/INDEX($O$93:$X$100,MATCH(AA33,$N$93:$N$100,0),MATCH(Z33,$O$92:$X$92,0))*0.77,P33)</f>
        <v>#N/A</v>
      </c>
      <c r="AC33" s="136">
        <v>3.0</v>
      </c>
      <c r="AD33" s="78">
        <v>6.0</v>
      </c>
      <c r="AE33" s="136" t="str">
        <f t="array" ref="AE33">MROUND(X33/INDEX($O$93:$X$100,MATCH(AA33,$N$93:$N$100,0),MATCH(Z33,$O$92:$X$92,0))*0.85,P33)</f>
        <v>#N/A</v>
      </c>
      <c r="AF33" s="136">
        <v>3.0</v>
      </c>
      <c r="AG33" s="78">
        <v>5.0</v>
      </c>
      <c r="AH33" s="192" t="str">
        <f>'Программа тренировок '!T163</f>
        <v/>
      </c>
      <c r="AI33" s="148" t="str">
        <f t="shared" ref="AI33:AI34" si="45">MROUND(AE33/INDEX($O$93:$X$100,MATCH(AH33,$N$93:$N$100,0),MATCH(AG33,$O$92:$X$92,0))*0.79,P33)</f>
        <v>#N/A</v>
      </c>
      <c r="AJ33" s="136">
        <v>3.0</v>
      </c>
      <c r="AK33" s="136">
        <v>6.0</v>
      </c>
      <c r="AL33" s="136" t="str">
        <f t="array" ref="AL33">MROUND(AE33/INDEX($O$93:$X$100,MATCH(AH33,$N$93:$N$100,0),MATCH(AG33,$O$92:$X$92,0))*0.82,P33)</f>
        <v>#N/A</v>
      </c>
      <c r="AM33" s="136">
        <v>3.0</v>
      </c>
      <c r="AN33" s="136">
        <v>4.0</v>
      </c>
      <c r="AO33" s="192" t="str">
        <f>'Программа тренировок '!F190</f>
        <v/>
      </c>
      <c r="AP33" s="136" t="str">
        <f t="array" ref="AP33">MROUND(AL33/INDEX($O$93:$X$100,MATCH(AO33,$N$93:$N$100,0),MATCH(AN33,$O$92:$X$92,0))*0.79,P33)</f>
        <v>#N/A</v>
      </c>
      <c r="AQ33" s="136">
        <v>3.0</v>
      </c>
      <c r="AR33" s="122">
        <v>5.0</v>
      </c>
      <c r="AS33" s="136" t="str">
        <f t="array" ref="AS33">MROUND(AL33/INDEX($O$93:$X$100,MATCH(AO33,$N$93:$N$100,0),MATCH(AN33,$O$92:$X$92,0))*0.85,P33)</f>
        <v>#N/A</v>
      </c>
      <c r="AT33" s="136">
        <v>3.0</v>
      </c>
      <c r="AU33" s="136">
        <v>4.0</v>
      </c>
      <c r="AV33" s="192" t="str">
        <f>'Программа тренировок '!M190</f>
        <v/>
      </c>
      <c r="AW33" s="193" t="str">
        <f t="array" ref="AW33">MROUND(AS33/INDEX($O$93:$X$100,MATCH(AV33,$N$93:$N$100,0),MATCH(AU33,$O$92:$X$92,0))*0.8,P33)</f>
        <v>#N/A</v>
      </c>
      <c r="AX33" s="194">
        <v>3.0</v>
      </c>
      <c r="AY33" s="194">
        <v>5.0</v>
      </c>
      <c r="AZ33" s="193" t="str">
        <f t="array" ref="AZ33">MROUND(AS33/INDEX($O$93:$X$100,MATCH(AV33,$N$93:$N$100,0),MATCH(AU33,$O$92:$X$92,0))*0.88,P33)</f>
        <v>#N/A</v>
      </c>
      <c r="BA33" s="1">
        <v>3.0</v>
      </c>
      <c r="BB33" s="1">
        <v>4.0</v>
      </c>
      <c r="BC33" s="192" t="str">
        <f>'Программа тренировок '!T190</f>
        <v/>
      </c>
      <c r="BD33" s="193" t="str">
        <f t="shared" ref="BD33:BD34" si="46">MROUND(AZ33/INDEX($O$93:$X$100,MATCH(BC33,$N$93:$N$100,0),MATCH(BB33,$O$92:$X$92,0))*0.81,P33)</f>
        <v>#N/A</v>
      </c>
      <c r="BE33" s="1">
        <v>3.0</v>
      </c>
      <c r="BF33" s="1">
        <v>5.0</v>
      </c>
      <c r="BG33" s="193" t="str">
        <f t="array" ref="BG33">MROUND(AZ33/INDEX($O$93:$X$100,MATCH(BC33,$N$93:$N$100,0),MATCH(BB33,$O$92:$X$92,0))*0.83,P33)</f>
        <v>#N/A</v>
      </c>
      <c r="BH33" s="1">
        <v>3.0</v>
      </c>
      <c r="BI33" s="1">
        <v>3.0</v>
      </c>
      <c r="BJ33" s="199" t="str">
        <f>'Программа тренировок '!F217</f>
        <v/>
      </c>
      <c r="BK33" s="193" t="str">
        <f t="array" ref="BK33">MROUND(BG33/INDEX($O$93:$X$100,MATCH(BJ33,$N$93:$N$100,0),MATCH(BI33,$O$92:$X$92,0))*0.81,P33)</f>
        <v>#N/A</v>
      </c>
      <c r="BL33" s="1">
        <v>3.0</v>
      </c>
      <c r="BM33" s="1">
        <v>4.0</v>
      </c>
      <c r="BN33" s="193" t="str">
        <f t="array" ref="BN33">MROUND(BG33/INDEX($O$93:$X$100,MATCH(BJ33,$N$93:$N$100,0),MATCH(BI33,$O$92:$X$92,0))*0.86,P33)</f>
        <v>#N/A</v>
      </c>
      <c r="BO33" s="1">
        <v>3.0</v>
      </c>
      <c r="BP33" s="1">
        <v>3.0</v>
      </c>
      <c r="BQ33" s="199" t="str">
        <f>'Программа тренировок '!M217</f>
        <v/>
      </c>
      <c r="BR33" s="1" t="str">
        <f t="array" ref="BR33">MROUND(BN33/INDEX($O$93:$X$100,MATCH(BQ33,$N$93:$N$100,0),MATCH(BP33,$O$92:$X$92,0))*0.82,P33)</f>
        <v>#N/A</v>
      </c>
      <c r="BS33" s="1">
        <v>3.0</v>
      </c>
      <c r="BT33" s="1">
        <v>4.0</v>
      </c>
      <c r="BU33" s="193" t="str">
        <f t="array" ref="BU33">MROUND(BN33/INDEX($O$93:$X$100,MATCH(BQ33,$N$93:$N$100,0),MATCH(BP33,$O$92:$X$92,0))*0.91,P33)</f>
        <v>#N/A</v>
      </c>
      <c r="BV33" s="1">
        <v>3.0</v>
      </c>
      <c r="BW33" s="1">
        <v>3.0</v>
      </c>
      <c r="BX33" s="199" t="str">
        <f>'Программа тренировок '!T217</f>
        <v/>
      </c>
      <c r="BY33" s="193" t="str">
        <f t="array" ref="BY33">MROUND(BU33/INDEX($O$93:$X$100,MATCH(BX33,$N$93:$N$100,0),MATCH(BW33,$O$92:$X$92,0))*0.84,P33)</f>
        <v>#N/A</v>
      </c>
      <c r="BZ33" s="1">
        <v>3.0</v>
      </c>
      <c r="CA33" s="1">
        <v>4.0</v>
      </c>
    </row>
    <row r="34" ht="15.75" customHeight="1">
      <c r="L34" s="5" t="s">
        <v>173</v>
      </c>
      <c r="N34" s="188" t="str">
        <f>'Программа тренировок '!C120</f>
        <v/>
      </c>
      <c r="O34" s="188" t="str">
        <f>'Программа тренировок '!D120</f>
        <v/>
      </c>
      <c r="P34" s="196">
        <f>'Формулы'!I20</f>
        <v>2.5</v>
      </c>
      <c r="Q34" s="136" t="str">
        <f t="array" ref="Q34">MROUND(N34/INDEX($O$93:$X$100,MATCH(10,$N$93:$N$100,0),MATCH(O34,$O$92:$X$92,0))*0.76,P34)</f>
        <v>#N/A</v>
      </c>
      <c r="R34" s="122">
        <v>3.0</v>
      </c>
      <c r="S34" s="136">
        <v>6.0</v>
      </c>
      <c r="T34" s="192" t="str">
        <f>'Программа тренировок '!F163</f>
        <v/>
      </c>
      <c r="U34" s="148" t="str">
        <f t="array" ref="U34">MROUND(Q34/INDEX($O$93:$X$100,MATCH(T34,$N$93:$N$100,0),MATCH(S34,$O$92:$X$92,0))*0.72,P34)</f>
        <v>#N/A</v>
      </c>
      <c r="V34" s="136">
        <v>1.0</v>
      </c>
      <c r="W34" s="122" t="s">
        <v>168</v>
      </c>
      <c r="X34" s="136" t="str">
        <f t="array" ref="X34">MROUND(Q34/INDEX($O$93:$X$100,MATCH(T34,$N$93:$N$100,0),MATCH(S34,$O$92:$X$92,0))*0.79,P34)</f>
        <v>#N/A</v>
      </c>
      <c r="Y34" s="148">
        <v>3.0</v>
      </c>
      <c r="Z34" s="136">
        <v>6.0</v>
      </c>
      <c r="AA34" s="192" t="str">
        <f>'Программа тренировок '!M163</f>
        <v/>
      </c>
      <c r="AB34" s="122" t="str">
        <f t="array" ref="AB34">MROUND(X34/INDEX($O$93:$X$100,MATCH(AA34,$N$93:$N$100,0),MATCH(Z34,$O$92:$X$92,0))*0.76,P34)</f>
        <v>#N/A</v>
      </c>
      <c r="AC34" s="136">
        <v>1.0</v>
      </c>
      <c r="AD34" s="122" t="s">
        <v>168</v>
      </c>
      <c r="AE34" s="136" t="str">
        <f t="array" ref="AE34">MROUND(X34/INDEX($O$93:$X$100,MATCH(AA34,$N$93:$N$100,0),MATCH(Z34,$O$92:$X$92,0))*0.81,P34)</f>
        <v>#N/A</v>
      </c>
      <c r="AF34" s="136">
        <v>3.0</v>
      </c>
      <c r="AG34" s="78">
        <v>6.0</v>
      </c>
      <c r="AH34" s="192" t="str">
        <f>'Программа тренировок '!T163</f>
        <v/>
      </c>
      <c r="AI34" s="148" t="str">
        <f t="shared" si="45"/>
        <v>#N/A</v>
      </c>
      <c r="AJ34" s="136">
        <v>1.0</v>
      </c>
      <c r="AK34" s="122" t="s">
        <v>168</v>
      </c>
      <c r="AL34" s="136" t="str">
        <f t="array" ref="AL34">MROUND(AE34/INDEX($O$93:$X$100,MATCH(AH34,$N$93:$N$100,0),MATCH(AG34,$O$92:$X$92,0))*0.79,P34)</f>
        <v>#N/A</v>
      </c>
      <c r="AM34" s="136">
        <v>3.0</v>
      </c>
      <c r="AN34" s="136">
        <v>5.0</v>
      </c>
      <c r="AO34" s="192" t="str">
        <f>'Программа тренировок '!F190</f>
        <v/>
      </c>
      <c r="AP34" s="136" t="str">
        <f t="array" ref="AP34">MROUND(AL34/INDEX($O$93:$X$100,MATCH(AO34,$N$93:$N$100,0),MATCH(AN34,$O$92:$X$92,0))*0.76,P34)</f>
        <v>#N/A</v>
      </c>
      <c r="AQ34" s="136">
        <v>1.0</v>
      </c>
      <c r="AR34" s="122" t="s">
        <v>169</v>
      </c>
      <c r="AS34" s="136" t="str">
        <f t="array" ref="AS34">MROUND(AL34/INDEX($O$93:$X$100,MATCH(AO34,$N$93:$N$100,0),MATCH(AN34,$O$92:$X$92,0))*0.82,P34)</f>
        <v>#N/A</v>
      </c>
      <c r="AT34" s="136">
        <v>3.0</v>
      </c>
      <c r="AU34" s="136">
        <v>5.0</v>
      </c>
      <c r="AV34" s="192" t="str">
        <f>'Программа тренировок '!M190</f>
        <v/>
      </c>
      <c r="AW34" s="193" t="str">
        <f t="array" ref="AW34">MROUND(AS34/INDEX($O$93:$X$100,MATCH(AV34,$N$93:$N$100,0),MATCH(AU34,$O$92:$X$92,0))*0.79,P34)</f>
        <v>#N/A</v>
      </c>
      <c r="AX34" s="194">
        <v>1.0</v>
      </c>
      <c r="AY34" s="194" t="s">
        <v>169</v>
      </c>
      <c r="AZ34" s="193" t="str">
        <f t="array" ref="AZ34">MROUND(AS34/INDEX($O$93:$X$100,MATCH(AV34,$N$93:$N$100,0),MATCH(AU34,$O$92:$X$92,0))*0.84,P34)</f>
        <v>#N/A</v>
      </c>
      <c r="BA34" s="1">
        <v>3.0</v>
      </c>
      <c r="BB34" s="1">
        <v>5.0</v>
      </c>
      <c r="BC34" s="192" t="str">
        <f>'Программа тренировок '!T190</f>
        <v/>
      </c>
      <c r="BD34" s="193" t="str">
        <f t="shared" si="46"/>
        <v>#N/A</v>
      </c>
      <c r="BE34" s="1">
        <v>1.0</v>
      </c>
      <c r="BF34" s="1" t="s">
        <v>169</v>
      </c>
      <c r="BG34" s="193" t="str">
        <f t="array" ref="BG34">MROUND(AZ34/INDEX($O$93:$X$100,MATCH(BC34,$N$93:$N$100,0),MATCH(BB34,$O$92:$X$92,0))*0.81,P34)</f>
        <v>#N/A</v>
      </c>
      <c r="BH34" s="1">
        <v>3.0</v>
      </c>
      <c r="BI34" s="1">
        <v>4.0</v>
      </c>
      <c r="BJ34" s="199" t="str">
        <f>'Программа тренировок '!F217</f>
        <v/>
      </c>
      <c r="BK34" s="193" t="str">
        <f t="array" ref="BK34">MROUND(BG34/INDEX($O$93:$X$100,MATCH(BJ34,$N$93:$N$100,0),MATCH(BI34,$O$92:$X$92,0))*0.78,P34)</f>
        <v>#N/A</v>
      </c>
      <c r="BL34" s="1">
        <v>1.0</v>
      </c>
      <c r="BM34" s="1" t="s">
        <v>169</v>
      </c>
      <c r="BN34" s="193" t="str">
        <f t="array" ref="BN34">MROUND(BG34/INDEX($O$93:$X$100,MATCH(BJ34,$N$93:$N$100,0),MATCH(BI34,$O$92:$X$92,0))*0.83,P34)</f>
        <v>#N/A</v>
      </c>
      <c r="BO34" s="1">
        <v>3.0</v>
      </c>
      <c r="BP34" s="1">
        <v>4.0</v>
      </c>
      <c r="BQ34" s="199" t="str">
        <f>'Программа тренировок '!M217</f>
        <v/>
      </c>
      <c r="BR34" s="1" t="str">
        <f t="array" ref="BR34">MROUND(BN34/INDEX($O$93:$X$100,MATCH(BQ34,$N$93:$N$100,0),MATCH(BP34,$O$92:$X$92,0))*0.8,P34)</f>
        <v>#N/A</v>
      </c>
      <c r="BS34" s="1">
        <v>1.0</v>
      </c>
      <c r="BT34" s="1" t="s">
        <v>169</v>
      </c>
      <c r="BU34" s="193" t="str">
        <f t="array" ref="BU34">MROUND(BN34/INDEX($O$93:$X$100,MATCH(BQ34,$N$93:$N$100,0),MATCH(BP34,$O$92:$X$92,0))*0.85,P34)</f>
        <v>#N/A</v>
      </c>
      <c r="BV34" s="1">
        <v>3.0</v>
      </c>
      <c r="BW34" s="1">
        <v>4.0</v>
      </c>
      <c r="BX34" s="199" t="str">
        <f>'Программа тренировок '!T217</f>
        <v/>
      </c>
      <c r="BY34" s="193" t="str">
        <f t="array" ref="BY34">MROUND(BU34/INDEX($O$93:$X$100,MATCH(BX34,$N$93:$N$100,0),MATCH(BW34,$O$92:$X$92,0))*0.81,P34)</f>
        <v>#N/A</v>
      </c>
      <c r="BZ34" s="1">
        <v>1.0</v>
      </c>
      <c r="CA34" s="1" t="s">
        <v>169</v>
      </c>
    </row>
    <row r="35" ht="15.75" customHeight="1">
      <c r="Q35" s="1"/>
      <c r="R35" s="1"/>
      <c r="S35" s="1"/>
      <c r="T35" s="195"/>
      <c r="AA35" s="195"/>
      <c r="AD35" s="1"/>
      <c r="AE35" s="136"/>
      <c r="AF35" s="136"/>
      <c r="AG35" s="104"/>
      <c r="AH35" s="195"/>
      <c r="AI35" s="1"/>
      <c r="AO35" s="195"/>
      <c r="AV35" s="195"/>
      <c r="BC35" s="195"/>
      <c r="BJ35" s="195"/>
      <c r="BQ35" s="195"/>
      <c r="BR35" s="1"/>
      <c r="BX35" s="195"/>
    </row>
    <row r="36" ht="15.75" customHeight="1">
      <c r="L36" s="26" t="s">
        <v>174</v>
      </c>
      <c r="N36" s="188" t="str">
        <f>'Программа тренировок '!C122</f>
        <v/>
      </c>
      <c r="O36" s="188" t="str">
        <f>'Программа тренировок '!D122</f>
        <v/>
      </c>
      <c r="P36" s="196">
        <f>'Формулы'!I22</f>
        <v>3</v>
      </c>
      <c r="Q36" s="136" t="str">
        <f t="array" ref="Q36">MROUND(N36/INDEX($O$93:$X$100,MATCH(10,$N$93:$N$100,0),MATCH(O36,$O$92:$X$92,0))*0.8,P36)</f>
        <v>#N/A</v>
      </c>
      <c r="R36" s="122">
        <v>1.0</v>
      </c>
      <c r="S36" s="136">
        <v>5.0</v>
      </c>
      <c r="T36" s="191" t="str">
        <f>'Программа тренировок '!F165</f>
        <v/>
      </c>
      <c r="U36" s="148" t="str">
        <f t="array" ref="U36">MROUND(Q36/INDEX($O$93:$X$100,MATCH(T36,$N$93:$N$100,0),MATCH(S36,$O$92:$X$92,0))*0.75,P36)</f>
        <v>#N/A</v>
      </c>
      <c r="V36" s="136">
        <v>3.0</v>
      </c>
      <c r="W36" s="122">
        <v>6.0</v>
      </c>
      <c r="X36" s="136" t="str">
        <f t="array" ref="X36">MROUND(Q36/INDEX($O$93:$X$100,MATCH(T36,$N$93:$N$100,0),MATCH(S36,$O$92:$X$92,0))*0.82,P36)</f>
        <v>#N/A</v>
      </c>
      <c r="Y36" s="148">
        <v>1.0</v>
      </c>
      <c r="Z36" s="136">
        <v>5.0</v>
      </c>
      <c r="AA36" s="191" t="str">
        <f>'Программа тренировок '!M165</f>
        <v/>
      </c>
      <c r="AB36" s="122" t="str">
        <f t="array" ref="AB36">MROUND(X36/INDEX($O$93:$X$100,MATCH(AA36,$N$93:$N$100,0),MATCH(Z36,$O$92:$X$92,0))*0.77,P36)</f>
        <v>#N/A</v>
      </c>
      <c r="AC36" s="136">
        <v>3.0</v>
      </c>
      <c r="AD36" s="78">
        <v>6.0</v>
      </c>
      <c r="AE36" s="136" t="str">
        <f t="array" ref="AE36">MROUND(X36/INDEX($O$93:$X$100,MATCH(AA36,$N$93:$N$100,0),MATCH(Z36,$O$92:$X$92,0))*0.85,P36)</f>
        <v>#N/A</v>
      </c>
      <c r="AF36" s="136">
        <v>1.0</v>
      </c>
      <c r="AG36" s="78">
        <v>5.0</v>
      </c>
      <c r="AH36" s="191" t="str">
        <f>'Программа тренировок '!T165</f>
        <v/>
      </c>
      <c r="AI36" s="148" t="str">
        <f t="array" ref="AI36">MROUND(AE36/INDEX($O$93:$X$100,MATCH(AH36,$N$93:$N$100,0),MATCH(AG36,$O$92:$X$92,0))*0.79,P36)</f>
        <v>#N/A</v>
      </c>
      <c r="AJ36" s="136">
        <v>3.0</v>
      </c>
      <c r="AK36" s="136">
        <v>6.0</v>
      </c>
      <c r="AL36" s="136" t="str">
        <f t="array" ref="AL36">MROUND(AE36/INDEX($O$93:$X$100,MATCH(AH36,$N$93:$N$100,0),MATCH(AG36,$O$92:$X$92,0))*0.82,P36)</f>
        <v>#N/A</v>
      </c>
      <c r="AM36" s="136">
        <v>1.0</v>
      </c>
      <c r="AN36" s="136">
        <v>4.0</v>
      </c>
      <c r="AO36" s="191" t="str">
        <f>'Программа тренировок '!F192</f>
        <v/>
      </c>
      <c r="AP36" s="136" t="str">
        <f t="array" ref="AP36">MROUND(AL36/INDEX($O$93:$X$100,MATCH(AO36,$N$93:$N$100,0),MATCH(AN36,$O$92:$X$92,0))*0.79,P36)</f>
        <v>#N/A</v>
      </c>
      <c r="AQ36" s="136">
        <v>3.0</v>
      </c>
      <c r="AR36" s="122">
        <v>5.0</v>
      </c>
      <c r="AS36" s="136" t="str">
        <f t="array" ref="AS36">MROUND(AL36/INDEX($O$93:$X$100,MATCH(AO36,$N$93:$N$100,0),MATCH(AN36,$O$92:$X$92,0))*0.85,P36)</f>
        <v>#N/A</v>
      </c>
      <c r="AT36" s="136">
        <v>1.0</v>
      </c>
      <c r="AU36" s="136">
        <v>4.0</v>
      </c>
      <c r="AV36" s="191" t="str">
        <f>'Программа тренировок '!M192</f>
        <v/>
      </c>
      <c r="AW36" s="193" t="str">
        <f t="array" ref="AW36">MROUND(AS36/INDEX($O$93:$X$100,MATCH(AV36,$N$93:$N$100,0),MATCH(AU36,$O$92:$X$92,0))*0.8,P36)</f>
        <v>#N/A</v>
      </c>
      <c r="AX36" s="194">
        <v>3.0</v>
      </c>
      <c r="AY36" s="194">
        <v>5.0</v>
      </c>
      <c r="AZ36" s="193" t="str">
        <f t="array" ref="AZ36">MROUND(AS36/INDEX($O$93:$X$100,MATCH(AV36,$N$93:$N$100,0),MATCH(AU36,$O$92:$X$92,0))*0.88,P36)</f>
        <v>#N/A</v>
      </c>
      <c r="BA36" s="1">
        <v>1.0</v>
      </c>
      <c r="BB36" s="1">
        <v>4.0</v>
      </c>
      <c r="BC36" s="191" t="str">
        <f>'Программа тренировок '!T192</f>
        <v/>
      </c>
      <c r="BD36" s="193" t="str">
        <f t="array" ref="BD36">MROUND(AZ36/INDEX($O$93:$X$100,MATCH(BC36,$N$93:$N$100,0),MATCH(BB36,$O$92:$X$92,0))*0.81,P36)</f>
        <v>#N/A</v>
      </c>
      <c r="BE36" s="1">
        <v>3.0</v>
      </c>
      <c r="BF36" s="1">
        <v>5.0</v>
      </c>
      <c r="BG36" s="193" t="str">
        <f t="array" ref="BG36">MROUND(AZ36/INDEX($O$93:$X$100,MATCH(BC36,$N$93:$N$100,0),MATCH(BB36,$O$92:$X$92,0))*0.83,P36)</f>
        <v>#N/A</v>
      </c>
      <c r="BH36" s="1">
        <v>1.0</v>
      </c>
      <c r="BI36" s="1">
        <v>3.0</v>
      </c>
      <c r="BJ36" s="195" t="str">
        <f>'Программа тренировок '!F219</f>
        <v/>
      </c>
      <c r="BK36" s="193" t="str">
        <f t="array" ref="BK36">MROUND(BG36/INDEX($O$93:$X$100,MATCH(BJ36,$N$93:$N$100,0),MATCH(BI36,$O$92:$X$92,0))*0.81,P36)</f>
        <v>#N/A</v>
      </c>
      <c r="BL36" s="1">
        <v>3.0</v>
      </c>
      <c r="BM36" s="1">
        <v>4.0</v>
      </c>
      <c r="BN36" s="193" t="str">
        <f t="array" ref="BN36">MROUND(BG36/INDEX($O$93:$X$100,MATCH(BJ36,$N$93:$N$100,0),MATCH(BI36,$O$92:$X$92,0))*0.86,P36)</f>
        <v>#N/A</v>
      </c>
      <c r="BO36" s="1">
        <v>1.0</v>
      </c>
      <c r="BP36" s="1">
        <v>3.0</v>
      </c>
      <c r="BQ36" s="195" t="str">
        <f>'Программа тренировок '!M219</f>
        <v/>
      </c>
      <c r="BR36" s="1" t="str">
        <f t="array" ref="BR36">MROUND(BN36/INDEX($O$93:$X$100,MATCH(BQ36,$N$93:$N$100,0),MATCH(BP36,$O$92:$X$92,0))*0.82,P36)</f>
        <v>#N/A</v>
      </c>
      <c r="BS36" s="1">
        <v>3.0</v>
      </c>
      <c r="BT36" s="1">
        <v>4.0</v>
      </c>
      <c r="BU36" s="193" t="str">
        <f t="array" ref="BU36">MROUND(BN36/INDEX($O$93:$X$100,MATCH(BQ36,$N$93:$N$100,0),MATCH(BP36,$O$92:$X$92,0))*0.91,P36)</f>
        <v>#N/A</v>
      </c>
      <c r="BV36" s="1">
        <v>1.0</v>
      </c>
      <c r="BW36" s="1">
        <v>3.0</v>
      </c>
      <c r="BX36" s="195" t="str">
        <f>'Программа тренировок '!T219</f>
        <v/>
      </c>
      <c r="BY36" s="193" t="str">
        <f t="array" ref="BY36">MROUND(BU36/INDEX($O$93:$X$100,MATCH(BX36,$N$93:$N$100,0),MATCH(BW36,$O$92:$X$92,0))*0.84,P36)</f>
        <v>#N/A</v>
      </c>
      <c r="BZ36" s="1">
        <v>3.0</v>
      </c>
      <c r="CA36" s="1">
        <v>4.0</v>
      </c>
    </row>
    <row r="37" ht="15.75" customHeight="1">
      <c r="L37" s="203" t="s">
        <v>175</v>
      </c>
      <c r="N37" s="204" t="str">
        <f>'Программа тренировок '!C122</f>
        <v/>
      </c>
      <c r="O37" s="200" t="str">
        <f>'Программа тренировок '!D122</f>
        <v/>
      </c>
      <c r="P37" s="188">
        <f>'Формулы'!I22</f>
        <v>3</v>
      </c>
      <c r="Q37" s="152" t="s">
        <v>166</v>
      </c>
      <c r="R37" s="151">
        <v>1.0</v>
      </c>
      <c r="S37" s="1">
        <f>O37-2</f>
        <v>-2</v>
      </c>
      <c r="T37" s="191" t="str">
        <f>'Программа тренировок '!F165</f>
        <v/>
      </c>
      <c r="U37" s="152" t="s">
        <v>166</v>
      </c>
      <c r="V37" s="151">
        <v>4.0</v>
      </c>
      <c r="W37" s="151">
        <f>FLOOR((10-T37+S37)-3,1)</f>
        <v>5</v>
      </c>
      <c r="X37" s="152" t="s">
        <v>166</v>
      </c>
      <c r="Y37" s="151">
        <v>1.0</v>
      </c>
      <c r="Z37" s="151">
        <f>FLOOR((10-T37+S37)-1,1)</f>
        <v>7</v>
      </c>
      <c r="AA37" s="191" t="str">
        <f>'Программа тренировок '!M165</f>
        <v/>
      </c>
      <c r="AB37" s="152" t="s">
        <v>166</v>
      </c>
      <c r="AC37" s="1">
        <v>4.0</v>
      </c>
      <c r="AD37" s="153">
        <f>FLOOR((10-AA37+Z37)-2,1)</f>
        <v>15</v>
      </c>
      <c r="AE37" s="152" t="s">
        <v>166</v>
      </c>
      <c r="AF37" s="151">
        <v>1.0</v>
      </c>
      <c r="AG37" s="201">
        <f>FLOOR((10-AA37+Z37),1)</f>
        <v>17</v>
      </c>
      <c r="AH37" s="195" t="str">
        <f>'Программа тренировок '!T165</f>
        <v/>
      </c>
      <c r="AI37" s="152" t="s">
        <v>166</v>
      </c>
      <c r="AJ37" s="151">
        <v>3.0</v>
      </c>
      <c r="AK37" s="151">
        <f>FLOOR((10-AH37+AG37)-2,1)</f>
        <v>25</v>
      </c>
      <c r="AL37" s="152" t="s">
        <v>166</v>
      </c>
      <c r="AM37" s="151">
        <v>1.0</v>
      </c>
      <c r="AN37" s="151">
        <f>FLOOR((10-AH37+AG37)-2,1)</f>
        <v>25</v>
      </c>
      <c r="AO37" s="192" t="str">
        <f>'Программа тренировок '!F192</f>
        <v/>
      </c>
      <c r="AP37" s="152" t="s">
        <v>166</v>
      </c>
      <c r="AQ37" s="151">
        <v>4.0</v>
      </c>
      <c r="AR37" s="151">
        <f>FLOOR((10-AO37+AN37)-3,1)</f>
        <v>32</v>
      </c>
      <c r="AS37" s="152" t="s">
        <v>166</v>
      </c>
      <c r="AT37" s="151">
        <v>1.0</v>
      </c>
      <c r="AU37" s="193">
        <f>FLOOR((10-AO37+AN37)-1,1)</f>
        <v>34</v>
      </c>
      <c r="AV37" s="192" t="str">
        <f>'Программа тренировок '!M192</f>
        <v/>
      </c>
      <c r="AW37" s="152" t="s">
        <v>166</v>
      </c>
      <c r="AX37" s="1">
        <v>4.0</v>
      </c>
      <c r="AY37" s="193">
        <f>FLOOR((10-AV37+AU37)-2,1)</f>
        <v>42</v>
      </c>
      <c r="AZ37" s="152" t="s">
        <v>166</v>
      </c>
      <c r="BA37" s="193">
        <v>1.0</v>
      </c>
      <c r="BB37" s="193">
        <f>FLOOR((10-AV37+AU37),1)</f>
        <v>44</v>
      </c>
      <c r="BC37" s="192" t="str">
        <f>'Программа тренировок '!T192</f>
        <v/>
      </c>
      <c r="BD37" s="152" t="s">
        <v>166</v>
      </c>
      <c r="BE37" s="1">
        <v>3.0</v>
      </c>
      <c r="BF37" s="193">
        <f>FLOOR((10-BC37+BB37)-2,1)</f>
        <v>52</v>
      </c>
      <c r="BG37" s="152" t="s">
        <v>166</v>
      </c>
      <c r="BH37" s="193">
        <v>1.0</v>
      </c>
      <c r="BI37" s="193">
        <f>FLOOR((10-BC37+BB37)-2,1)</f>
        <v>52</v>
      </c>
      <c r="BJ37" s="195" t="str">
        <f>'Программа тренировок '!F219</f>
        <v/>
      </c>
      <c r="BK37" s="152" t="s">
        <v>166</v>
      </c>
      <c r="BL37" s="1">
        <v>4.0</v>
      </c>
      <c r="BM37" s="193">
        <f>FLOOR((10-BJ37+BI37)-3,1)</f>
        <v>59</v>
      </c>
      <c r="BN37" s="152" t="s">
        <v>166</v>
      </c>
      <c r="BO37" s="193">
        <v>1.0</v>
      </c>
      <c r="BP37" s="193">
        <f>FLOOR((10-BJ37+BI37)-1,1)</f>
        <v>61</v>
      </c>
      <c r="BQ37" s="195" t="str">
        <f>'Программа тренировок '!M219</f>
        <v/>
      </c>
      <c r="BR37" s="152" t="s">
        <v>166</v>
      </c>
      <c r="BS37" s="1">
        <v>3.0</v>
      </c>
      <c r="BT37" s="193">
        <f>FLOOR((10-BQ37+BP37)-2,1)</f>
        <v>69</v>
      </c>
      <c r="BU37" s="152" t="s">
        <v>166</v>
      </c>
      <c r="BV37" s="193">
        <v>1.0</v>
      </c>
      <c r="BW37" s="193">
        <f>FLOOR((10-BQ37+BP37),1)</f>
        <v>71</v>
      </c>
      <c r="BX37" s="195" t="str">
        <f>'Программа тренировок '!T219</f>
        <v/>
      </c>
      <c r="BY37" s="152" t="s">
        <v>166</v>
      </c>
      <c r="BZ37" s="1">
        <v>3.0</v>
      </c>
      <c r="CA37" s="193">
        <f>FLOOR((10-BQ37+BP37)-2,1)</f>
        <v>69</v>
      </c>
    </row>
    <row r="38" ht="15.75" customHeight="1">
      <c r="L38" s="26" t="s">
        <v>59</v>
      </c>
      <c r="N38" s="188" t="str">
        <f>'Программа тренировок '!C122</f>
        <v/>
      </c>
      <c r="O38" s="188" t="str">
        <f>'Программа тренировок '!D122</f>
        <v/>
      </c>
      <c r="P38" s="196">
        <f>'Формулы'!I22</f>
        <v>3</v>
      </c>
      <c r="Q38" s="136" t="str">
        <f t="array" ref="Q38">MROUND(N38/INDEX($O$93:$X$100,MATCH(10,$N$93:$N$100,0),MATCH(O38,$O$92:$X$92,0))*0.65,P38)</f>
        <v>#N/A</v>
      </c>
      <c r="R38" s="122">
        <v>3.0</v>
      </c>
      <c r="S38" s="136">
        <v>10.0</v>
      </c>
      <c r="T38" s="191" t="str">
        <f>'Программа тренировок '!F165</f>
        <v/>
      </c>
      <c r="U38" s="148" t="str">
        <f t="array" ref="U38">MROUND(Q38/INDEX($O$93:$X$100,MATCH(T38,$N$93:$N$100,0),MATCH(S38,$O$92:$X$92,0))*0.62,P38)</f>
        <v>#N/A</v>
      </c>
      <c r="V38" s="136">
        <v>1.0</v>
      </c>
      <c r="W38" s="122" t="s">
        <v>168</v>
      </c>
      <c r="X38" s="136" t="str">
        <f t="array" ref="X38">MROUND(Q38/INDEX($O$93:$X$100,MATCH(T38,$N$93:$N$100,0),MATCH(S38,$O$92:$X$92,0))*0.67,P38)</f>
        <v>#N/A</v>
      </c>
      <c r="Y38" s="148">
        <v>3.0</v>
      </c>
      <c r="Z38" s="136">
        <v>10.0</v>
      </c>
      <c r="AA38" s="191" t="str">
        <f>'Программа тренировок '!M165</f>
        <v/>
      </c>
      <c r="AB38" s="122" t="str">
        <f t="array" ref="AB38">MROUND(X38/INDEX($O$93:$X$100,MATCH(AA38,$N$93:$N$100,0),MATCH(Z38,$O$92:$X$92,0))*0.64,P38)</f>
        <v>#N/A</v>
      </c>
      <c r="AC38" s="136">
        <v>1.0</v>
      </c>
      <c r="AD38" s="122" t="s">
        <v>168</v>
      </c>
      <c r="AE38" s="136" t="str">
        <f t="array" ref="AE38">MROUND(X38/INDEX($O$93:$X$100,MATCH(AA38,$N$93:$N$100,0),MATCH(Z38,$O$92:$X$92,0))*0.69,P38)</f>
        <v>#N/A</v>
      </c>
      <c r="AF38" s="136">
        <v>3.0</v>
      </c>
      <c r="AG38" s="78">
        <v>10.0</v>
      </c>
      <c r="AH38" s="191" t="str">
        <f>'Программа тренировок '!T165</f>
        <v/>
      </c>
      <c r="AI38" s="148" t="str">
        <f t="array" ref="AI38">MROUND(AE38/INDEX($O$93:$X$100,MATCH(AH38,$N$93:$N$100,0),MATCH(AG38,$O$92:$X$92,0))*0.67,P38)</f>
        <v>#N/A</v>
      </c>
      <c r="AJ38" s="136">
        <v>1.0</v>
      </c>
      <c r="AK38" s="122" t="s">
        <v>168</v>
      </c>
      <c r="AL38" s="136" t="str">
        <f t="array" ref="AL38">MROUND(AE38/INDEX($O$93:$X$100,MATCH(AH38,$N$93:$N$100,0),MATCH(AG38,$O$92:$X$92,0))*0.68,P38)</f>
        <v>#N/A</v>
      </c>
      <c r="AM38" s="136">
        <v>3.0</v>
      </c>
      <c r="AN38" s="136">
        <v>9.0</v>
      </c>
      <c r="AO38" s="191" t="str">
        <f>'Программа тренировок '!F192</f>
        <v/>
      </c>
      <c r="AP38" s="136" t="str">
        <f t="array" ref="AP38">MROUND(AL38/INDEX($O$93:$X$100,MATCH(AO38,$N$93:$N$100,0),MATCH(AN38,$O$92:$X$92,0))*0.65,P38)</f>
        <v>#N/A</v>
      </c>
      <c r="AQ38" s="136">
        <v>1.0</v>
      </c>
      <c r="AR38" s="122" t="s">
        <v>169</v>
      </c>
      <c r="AS38" s="136" t="str">
        <f t="array" ref="AS38">MROUND(AL38/INDEX($O$93:$X$100,MATCH(AO38,$N$93:$N$100,0),MATCH(AN38,$O$92:$X$92,0))*0.69,P38)</f>
        <v>#N/A</v>
      </c>
      <c r="AT38" s="136">
        <v>3.0</v>
      </c>
      <c r="AU38" s="136">
        <v>9.0</v>
      </c>
      <c r="AV38" s="191" t="str">
        <f>'Программа тренировок '!M192</f>
        <v/>
      </c>
      <c r="AW38" s="193" t="str">
        <f t="array" ref="AW38">MROUND(AS38/INDEX($O$93:$X$100,MATCH(AV38,$N$93:$N$100,0),MATCH(AU38,$O$92:$X$92,0))*0.66,P38)</f>
        <v>#N/A</v>
      </c>
      <c r="AX38" s="194">
        <v>1.0</v>
      </c>
      <c r="AY38" s="194" t="s">
        <v>169</v>
      </c>
      <c r="AZ38" s="193" t="str">
        <f t="array" ref="AZ38">MROUND(AS38/INDEX($O$93:$X$100,MATCH(AV38,$N$93:$N$100,0),MATCH(AU38,$O$92:$X$92,0))*0.71,P38)</f>
        <v>#N/A</v>
      </c>
      <c r="BA38" s="1">
        <v>3.0</v>
      </c>
      <c r="BB38" s="1">
        <v>9.0</v>
      </c>
      <c r="BC38" s="191" t="str">
        <f>'Программа тренировок '!T192</f>
        <v/>
      </c>
      <c r="BD38" s="193" t="str">
        <f t="array" ref="BD38">MROUND(AZ38/INDEX($O$93:$X$100,MATCH(BC38,$N$93:$N$100,0),MATCH(BB38,$O$92:$X$92,0))*0.68,P38)</f>
        <v>#N/A</v>
      </c>
      <c r="BE38" s="1">
        <v>1.0</v>
      </c>
      <c r="BF38" s="1" t="s">
        <v>169</v>
      </c>
      <c r="BG38" s="193" t="str">
        <f t="array" ref="BG38">MROUND(AZ38/INDEX($O$93:$X$100,MATCH(BC38,$N$93:$N$100,0),MATCH(BB38,$O$92:$X$92,0))*0.71,P38)</f>
        <v>#N/A</v>
      </c>
      <c r="BH38" s="1">
        <v>3.0</v>
      </c>
      <c r="BI38" s="1">
        <v>8.0</v>
      </c>
      <c r="BJ38" s="195" t="str">
        <f>'Программа тренировок '!F219</f>
        <v/>
      </c>
      <c r="BK38" s="193" t="str">
        <f t="array" ref="BK38">MROUND(BG38/INDEX($O$93:$X$100,MATCH(BJ38,$N$93:$N$100,0),MATCH(BI38,$O$92:$X$92,0))*0.68,P38)</f>
        <v>#N/A</v>
      </c>
      <c r="BL38" s="1">
        <v>1.0</v>
      </c>
      <c r="BM38" s="1" t="s">
        <v>169</v>
      </c>
      <c r="BN38" s="193" t="str">
        <f t="array" ref="BN38">MROUND(BG38/INDEX($O$93:$X$100,MATCH(BJ38,$N$93:$N$100,0),MATCH(BI38,$O$92:$X$92,0))*0.72,P38)</f>
        <v>#N/A</v>
      </c>
      <c r="BO38" s="1">
        <v>3.0</v>
      </c>
      <c r="BP38" s="1">
        <v>8.0</v>
      </c>
      <c r="BQ38" s="195" t="str">
        <f>'Программа тренировок '!M219</f>
        <v/>
      </c>
      <c r="BR38" s="1" t="str">
        <f t="array" ref="BR38">MROUND(BN38/INDEX($O$93:$X$100,MATCH(BQ38,$N$93:$N$100,0),MATCH(BP38,$O$92:$X$92,0))*0.69,P38)</f>
        <v>#N/A</v>
      </c>
      <c r="BS38" s="1">
        <v>1.0</v>
      </c>
      <c r="BT38" s="1" t="s">
        <v>169</v>
      </c>
      <c r="BU38" s="193" t="str">
        <f t="array" ref="BU38">MROUND(BN38/INDEX($O$93:$X$100,MATCH(BQ38,$N$93:$N$100,0),MATCH(BP38,$O$92:$X$92,0))*0.74,P38)</f>
        <v>#N/A</v>
      </c>
      <c r="BV38" s="1">
        <v>3.0</v>
      </c>
      <c r="BW38" s="1">
        <v>8.0</v>
      </c>
      <c r="BX38" s="195" t="str">
        <f>'Программа тренировок '!T219</f>
        <v/>
      </c>
      <c r="BY38" s="193" t="str">
        <f t="array" ref="BY38">MROUND(BU38/INDEX($O$93:$X$100,MATCH(BX38,$N$93:$N$100,0),MATCH(BW38,$O$92:$X$92,0))*0.71,P38)</f>
        <v>#N/A</v>
      </c>
      <c r="BZ38" s="1">
        <v>1.0</v>
      </c>
      <c r="CA38" s="1" t="s">
        <v>169</v>
      </c>
    </row>
    <row r="39" ht="15.75" customHeight="1">
      <c r="L39" s="1" t="s">
        <v>55</v>
      </c>
      <c r="Q39" s="1"/>
      <c r="R39" s="1"/>
      <c r="S39" s="1"/>
      <c r="T39" s="195"/>
      <c r="AA39" s="195"/>
      <c r="AD39" s="1"/>
      <c r="AE39" s="136"/>
      <c r="AF39" s="136"/>
      <c r="AG39" s="104"/>
      <c r="AH39" s="195"/>
      <c r="AI39" s="1"/>
      <c r="AL39" s="1" t="str">
        <f>+AH3AH39:AM39</f>
        <v>#NAME?</v>
      </c>
      <c r="AO39" s="195"/>
      <c r="AV39" s="195"/>
      <c r="BC39" s="195"/>
      <c r="BJ39" s="195"/>
      <c r="BQ39" s="195"/>
      <c r="BR39" s="1"/>
      <c r="BX39" s="195"/>
    </row>
    <row r="40" ht="15.75" customHeight="1">
      <c r="L40" s="26" t="s">
        <v>176</v>
      </c>
      <c r="N40" s="188" t="str">
        <f>'Программа тренировок '!C123</f>
        <v/>
      </c>
      <c r="O40" s="188" t="str">
        <f>'Программа тренировок '!D123</f>
        <v/>
      </c>
      <c r="P40" s="196">
        <f>'Формулы'!I23</f>
        <v>2.5</v>
      </c>
      <c r="Q40" s="136" t="str">
        <f t="array" ref="Q40">MROUND(N40/INDEX($O$93:$X$100,MATCH(10,$N$93:$N$100,0),MATCH(O40,$O$92:$X$92,0))*0.8,P40)</f>
        <v>#N/A</v>
      </c>
      <c r="R40" s="122">
        <v>3.0</v>
      </c>
      <c r="S40" s="136">
        <v>5.0</v>
      </c>
      <c r="T40" s="191" t="str">
        <f>'Программа тренировок '!F166</f>
        <v/>
      </c>
      <c r="U40" s="148" t="str">
        <f t="array" ref="U40">MROUND(Q40/INDEX($O$93:$X$100,MATCH(T40,$N$93:$N$100,0),MATCH(S40,$O$92:$X$92,0))*0.75,P40)</f>
        <v>#N/A</v>
      </c>
      <c r="V40" s="136">
        <v>3.0</v>
      </c>
      <c r="W40" s="122">
        <v>6.0</v>
      </c>
      <c r="X40" s="136" t="str">
        <f t="array" ref="X40">MROUND(Q40/INDEX($O$93:$X$100,MATCH(T40,$N$93:$N$100,0),MATCH(S40,$O$92:$X$92,0))*0.82,P40)</f>
        <v>#N/A</v>
      </c>
      <c r="Y40" s="148">
        <v>3.0</v>
      </c>
      <c r="Z40" s="136">
        <v>5.0</v>
      </c>
      <c r="AA40" s="191" t="str">
        <f>'Программа тренировок '!M166</f>
        <v/>
      </c>
      <c r="AB40" s="122" t="str">
        <f t="array" ref="AB40">MROUND(X40/INDEX($O$93:$X$100,MATCH(AA40,$N$93:$N$100,0),MATCH(Z40,$O$92:$X$92,0))*0.77,P40)</f>
        <v>#N/A</v>
      </c>
      <c r="AC40" s="136">
        <v>3.0</v>
      </c>
      <c r="AD40" s="78">
        <v>6.0</v>
      </c>
      <c r="AE40" s="136" t="str">
        <f t="array" ref="AE40">MROUND(X40/INDEX($O$93:$X$100,MATCH(AA40,$N$93:$N$100,0),MATCH(Z40,$O$92:$X$92,0))*0.85,P40)</f>
        <v>#N/A</v>
      </c>
      <c r="AF40" s="136">
        <v>3.0</v>
      </c>
      <c r="AG40" s="78">
        <v>5.0</v>
      </c>
      <c r="AH40" s="191" t="str">
        <f>'Программа тренировок '!T166</f>
        <v/>
      </c>
      <c r="AI40" s="148" t="str">
        <f t="array" ref="AI40">MROUND(AE40/INDEX($O$93:$X$100,MATCH(AH40,$N$93:$N$100,0),MATCH(AG40,$O$92:$X$92,0))*0.79,P40)</f>
        <v>#N/A</v>
      </c>
      <c r="AJ40" s="136">
        <v>3.0</v>
      </c>
      <c r="AK40" s="136">
        <v>6.0</v>
      </c>
      <c r="AL40" s="136" t="str">
        <f t="array" ref="AL40">MROUND(AE40/INDEX($O$93:$X$100,MATCH(AH40,$N$93:$N$100,0),MATCH(AG40,$O$92:$X$92,0))*0.82,P40)</f>
        <v>#N/A</v>
      </c>
      <c r="AM40" s="136">
        <v>3.0</v>
      </c>
      <c r="AN40" s="136">
        <v>4.0</v>
      </c>
      <c r="AO40" s="191" t="str">
        <f>'Программа тренировок '!F193</f>
        <v/>
      </c>
      <c r="AP40" s="136" t="str">
        <f t="array" ref="AP40">MROUND(AL40/INDEX($O$93:$X$100,MATCH(AO40,$N$93:$N$100,0),MATCH(AN40,$O$92:$X$92,0))*0.79,P40)</f>
        <v>#N/A</v>
      </c>
      <c r="AQ40" s="136">
        <v>3.0</v>
      </c>
      <c r="AR40" s="122">
        <v>5.0</v>
      </c>
      <c r="AS40" s="136" t="str">
        <f t="array" ref="AS40">MROUND(AL40/INDEX($O$93:$X$100,MATCH(AO40,$N$93:$N$100,0),MATCH(AN40,$O$92:$X$92,0))*0.85,P40)</f>
        <v>#N/A</v>
      </c>
      <c r="AT40" s="136">
        <v>3.0</v>
      </c>
      <c r="AU40" s="136">
        <v>4.0</v>
      </c>
      <c r="AV40" s="191" t="str">
        <f>'Программа тренировок '!M193</f>
        <v/>
      </c>
      <c r="AW40" s="193" t="str">
        <f t="array" ref="AW40">MROUND(AS40/INDEX($O$93:$X$100,MATCH(AV40,$N$93:$N$100,0),MATCH(AU40,$O$92:$X$92,0))*0.8,P40)</f>
        <v>#N/A</v>
      </c>
      <c r="AX40" s="194">
        <v>3.0</v>
      </c>
      <c r="AY40" s="194">
        <v>5.0</v>
      </c>
      <c r="AZ40" s="193" t="str">
        <f t="array" ref="AZ40">MROUND(AS40/INDEX($O$93:$X$100,MATCH(AV40,$N$93:$N$100,0),MATCH(AU40,$O$92:$X$92,0))*0.88,P40)</f>
        <v>#N/A</v>
      </c>
      <c r="BA40" s="1">
        <v>3.0</v>
      </c>
      <c r="BB40" s="1">
        <v>4.0</v>
      </c>
      <c r="BC40" s="191" t="str">
        <f>'Программа тренировок '!T193</f>
        <v/>
      </c>
      <c r="BD40" s="193" t="str">
        <f t="array" ref="BD40">MROUND(AZ40/INDEX($O$93:$X$100,MATCH(BC40,$N$93:$N$100,0),MATCH(BB40,$O$92:$X$92,0))*0.81,P40)</f>
        <v>#N/A</v>
      </c>
      <c r="BE40" s="1">
        <v>3.0</v>
      </c>
      <c r="BF40" s="1">
        <v>5.0</v>
      </c>
      <c r="BG40" s="193" t="str">
        <f t="array" ref="BG40">MROUND(AZ40/INDEX($O$93:$X$100,MATCH(BC40,$N$93:$N$100,0),MATCH(BB40,$O$92:$X$92,0))*0.83,P40)</f>
        <v>#N/A</v>
      </c>
      <c r="BH40" s="1">
        <v>3.0</v>
      </c>
      <c r="BI40" s="1">
        <v>3.0</v>
      </c>
      <c r="BJ40" s="195" t="str">
        <f>'Программа тренировок '!F220</f>
        <v/>
      </c>
      <c r="BK40" s="193" t="str">
        <f t="array" ref="BK40">MROUND(BG40/INDEX($O$93:$X$100,MATCH(BJ40,$N$93:$N$100,0),MATCH(BI40,$O$92:$X$92,0))*0.81,P40)</f>
        <v>#N/A</v>
      </c>
      <c r="BL40" s="1">
        <v>3.0</v>
      </c>
      <c r="BM40" s="1">
        <v>4.0</v>
      </c>
      <c r="BN40" s="193" t="str">
        <f t="array" ref="BN40">MROUND(BG40/INDEX($O$93:$X$100,MATCH(BJ40,$N$93:$N$100,0),MATCH(BI40,$O$92:$X$92,0))*0.86,P40)</f>
        <v>#N/A</v>
      </c>
      <c r="BO40" s="1">
        <v>3.0</v>
      </c>
      <c r="BP40" s="1">
        <v>3.0</v>
      </c>
      <c r="BQ40" s="195" t="str">
        <f>'Программа тренировок '!M220</f>
        <v/>
      </c>
      <c r="BR40" s="1" t="str">
        <f t="array" ref="BR40">MROUND(BN40/INDEX($O$93:$X$100,MATCH(BQ40,$N$93:$N$100,0),MATCH(BP40,$O$92:$X$92,0))*0.82,P40)</f>
        <v>#N/A</v>
      </c>
      <c r="BS40" s="1">
        <v>3.0</v>
      </c>
      <c r="BT40" s="1">
        <v>4.0</v>
      </c>
      <c r="BU40" s="193" t="str">
        <f t="array" ref="BU40">MROUND(BN40/INDEX($O$93:$X$100,MATCH(BQ40,$N$93:$N$100,0),MATCH(BP40,$O$92:$X$92,0))*0.91,P40)</f>
        <v>#N/A</v>
      </c>
      <c r="BV40" s="1">
        <v>3.0</v>
      </c>
      <c r="BW40" s="1">
        <v>3.0</v>
      </c>
      <c r="BX40" s="195" t="str">
        <f>'Программа тренировок '!T220</f>
        <v/>
      </c>
      <c r="BY40" s="193" t="str">
        <f t="array" ref="BY40">MROUND(BU40/INDEX($O$93:$X$100,MATCH(BX40,$N$93:$N$100,0),MATCH(BW40,$O$92:$X$92,0))*0.84,P40)</f>
        <v>#N/A</v>
      </c>
      <c r="BZ40" s="1">
        <v>3.0</v>
      </c>
      <c r="CA40" s="1">
        <v>4.0</v>
      </c>
    </row>
    <row r="41" ht="15.75" customHeight="1">
      <c r="L41" s="26" t="s">
        <v>177</v>
      </c>
      <c r="N41" s="188" t="str">
        <f>'Программа тренировок '!C123</f>
        <v/>
      </c>
      <c r="O41" s="188" t="str">
        <f>'Программа тренировок '!D123</f>
        <v/>
      </c>
      <c r="P41" s="196">
        <f>'Формулы'!I23</f>
        <v>2.5</v>
      </c>
      <c r="Q41" s="136" t="str">
        <f t="array" ref="Q41">MROUND(N41/INDEX($O$93:$X$100,MATCH(10,$N$93:$N$100,0),MATCH(O41,$O$92:$X$92,0))*0.65,P41)</f>
        <v>#N/A</v>
      </c>
      <c r="R41" s="122">
        <v>3.0</v>
      </c>
      <c r="S41" s="136">
        <v>10.0</v>
      </c>
      <c r="T41" s="191" t="str">
        <f>'Программа тренировок '!F166</f>
        <v/>
      </c>
      <c r="U41" s="148" t="str">
        <f t="array" ref="U41">MROUND(Q41/INDEX($O$93:$X$100,MATCH(T41,$N$93:$N$100,0),MATCH(S41,$O$92:$X$92,0))*0.62,P41)</f>
        <v>#N/A</v>
      </c>
      <c r="V41" s="136">
        <v>1.0</v>
      </c>
      <c r="W41" s="122" t="s">
        <v>168</v>
      </c>
      <c r="X41" s="136" t="str">
        <f t="array" ref="X41">MROUND(Q41/INDEX($O$93:$X$100,MATCH(T41,$N$93:$N$100,0),MATCH(S41,$O$92:$X$92,0))*0.67,P41)</f>
        <v>#N/A</v>
      </c>
      <c r="Y41" s="148">
        <v>3.0</v>
      </c>
      <c r="Z41" s="136">
        <v>10.0</v>
      </c>
      <c r="AA41" s="191" t="str">
        <f>'Программа тренировок '!M166</f>
        <v/>
      </c>
      <c r="AB41" s="122" t="str">
        <f t="array" ref="AB41">MROUND(X41/INDEX($O$93:$X$100,MATCH(AA41,$N$93:$N$100,0),MATCH(Z41,$O$92:$X$92,0))*0.64,P41)</f>
        <v>#N/A</v>
      </c>
      <c r="AC41" s="136">
        <v>1.0</v>
      </c>
      <c r="AD41" s="122" t="s">
        <v>168</v>
      </c>
      <c r="AE41" s="136" t="str">
        <f t="array" ref="AE41">MROUND(X41/INDEX($O$93:$X$100,MATCH(AA41,$N$93:$N$100,0),MATCH(Z41,$O$92:$X$92,0))*0.69,P41)</f>
        <v>#N/A</v>
      </c>
      <c r="AF41" s="136">
        <v>3.0</v>
      </c>
      <c r="AG41" s="78">
        <v>10.0</v>
      </c>
      <c r="AH41" s="191" t="str">
        <f>'Программа тренировок '!T166</f>
        <v/>
      </c>
      <c r="AI41" s="148" t="str">
        <f t="array" ref="AI41">MROUND(AE41/INDEX($O$93:$X$100,MATCH(AH41,$N$93:$N$100,0),MATCH(AG41,$O$92:$X$92,0))*0.67,P41)</f>
        <v>#N/A</v>
      </c>
      <c r="AJ41" s="136">
        <v>1.0</v>
      </c>
      <c r="AK41" s="122" t="s">
        <v>168</v>
      </c>
      <c r="AL41" s="136" t="str">
        <f t="array" ref="AL41">MROUND(AE41/INDEX($O$93:$X$100,MATCH(AH41,$N$93:$N$100,0),MATCH(AG41,$O$92:$X$92,0))*0.68,P41)</f>
        <v>#N/A</v>
      </c>
      <c r="AM41" s="136">
        <v>3.0</v>
      </c>
      <c r="AN41" s="136">
        <v>9.0</v>
      </c>
      <c r="AO41" s="191" t="str">
        <f>'Программа тренировок '!F193</f>
        <v/>
      </c>
      <c r="AP41" s="136" t="str">
        <f t="array" ref="AP41">MROUND(AL41/INDEX($O$93:$X$100,MATCH(AO41,$N$93:$N$100,0),MATCH(AN41,$O$92:$X$92,0))*0.65,P41)</f>
        <v>#N/A</v>
      </c>
      <c r="AQ41" s="136">
        <v>1.0</v>
      </c>
      <c r="AR41" s="122" t="s">
        <v>169</v>
      </c>
      <c r="AS41" s="136" t="str">
        <f t="array" ref="AS41">MROUND(AL41/INDEX($O$93:$X$100,MATCH(AO41,$N$93:$N$100,0),MATCH(AN41,$O$92:$X$92,0))*0.69,P41)</f>
        <v>#N/A</v>
      </c>
      <c r="AT41" s="136">
        <v>3.0</v>
      </c>
      <c r="AU41" s="136">
        <v>9.0</v>
      </c>
      <c r="AV41" s="191" t="str">
        <f>'Программа тренировок '!M193</f>
        <v/>
      </c>
      <c r="AW41" s="193" t="str">
        <f t="array" ref="AW41">MROUND(AS41/INDEX($O$93:$X$100,MATCH(AV41,$N$93:$N$100,0),MATCH(AU41,$O$92:$X$92,0))*0.66,P41)</f>
        <v>#N/A</v>
      </c>
      <c r="AX41" s="194">
        <v>1.0</v>
      </c>
      <c r="AY41" s="194" t="s">
        <v>169</v>
      </c>
      <c r="AZ41" s="193" t="str">
        <f t="array" ref="AZ41">MROUND(AS41/INDEX($O$93:$X$100,MATCH(AV41,$N$93:$N$100,0),MATCH(AU41,$O$92:$X$92,0))*0.71,P41)</f>
        <v>#N/A</v>
      </c>
      <c r="BA41" s="1">
        <v>3.0</v>
      </c>
      <c r="BB41" s="1">
        <v>9.0</v>
      </c>
      <c r="BC41" s="191" t="str">
        <f>'Программа тренировок '!T193</f>
        <v/>
      </c>
      <c r="BD41" s="193" t="str">
        <f t="array" ref="BD41">MROUND(AZ41/INDEX($O$93:$X$100,MATCH(BC41,$N$93:$N$100,0),MATCH(BB41,$O$92:$X$92,0))*0.68,P41)</f>
        <v>#N/A</v>
      </c>
      <c r="BE41" s="1">
        <v>1.0</v>
      </c>
      <c r="BF41" s="1" t="s">
        <v>169</v>
      </c>
      <c r="BG41" s="193" t="str">
        <f t="array" ref="BG41">MROUND(AZ41/INDEX($O$93:$X$100,MATCH(BC41,$N$93:$N$100,0),MATCH(BB41,$O$92:$X$92,0))*0.71,P41)</f>
        <v>#N/A</v>
      </c>
      <c r="BH41" s="1">
        <v>3.0</v>
      </c>
      <c r="BI41" s="1">
        <v>8.0</v>
      </c>
      <c r="BJ41" s="195" t="str">
        <f>'Программа тренировок '!F220</f>
        <v/>
      </c>
      <c r="BK41" s="193" t="str">
        <f t="array" ref="BK41">MROUND(BG41/INDEX($O$93:$X$100,MATCH(BJ41,$N$93:$N$100,0),MATCH(BI41,$O$92:$X$92,0))*0.68,P41)</f>
        <v>#N/A</v>
      </c>
      <c r="BL41" s="1">
        <v>1.0</v>
      </c>
      <c r="BM41" s="1" t="s">
        <v>169</v>
      </c>
      <c r="BN41" s="193" t="str">
        <f t="array" ref="BN41">MROUND(BG41/INDEX($O$93:$X$100,MATCH(BJ41,$N$93:$N$100,0),MATCH(BI41,$O$92:$X$92,0))*0.72,P41)</f>
        <v>#N/A</v>
      </c>
      <c r="BO41" s="1">
        <v>3.0</v>
      </c>
      <c r="BP41" s="1">
        <v>8.0</v>
      </c>
      <c r="BQ41" s="195" t="str">
        <f>'Программа тренировок '!M220</f>
        <v/>
      </c>
      <c r="BR41" s="1" t="str">
        <f t="array" ref="BR41">MROUND(BN41/INDEX($O$93:$X$100,MATCH(BQ41,$N$93:$N$100,0),MATCH(BP41,$O$92:$X$92,0))*0.69,P41)</f>
        <v>#N/A</v>
      </c>
      <c r="BS41" s="1">
        <v>1.0</v>
      </c>
      <c r="BT41" s="1" t="s">
        <v>169</v>
      </c>
      <c r="BU41" s="193" t="str">
        <f t="array" ref="BU41">MROUND(BN41/INDEX($O$93:$X$100,MATCH(BQ41,$N$93:$N$100,0),MATCH(BP41,$O$92:$X$92,0))*0.74,P41)</f>
        <v>#N/A</v>
      </c>
      <c r="BV41" s="1">
        <v>3.0</v>
      </c>
      <c r="BW41" s="1">
        <v>8.0</v>
      </c>
      <c r="BX41" s="195" t="str">
        <f>'Программа тренировок '!T220</f>
        <v/>
      </c>
      <c r="BY41" s="193" t="str">
        <f t="array" ref="BY41">MROUND(BU41/INDEX($O$93:$X$100,MATCH(BX41,$N$93:$N$100,0),MATCH(BW41,$O$92:$X$92,0))*0.71,P41)</f>
        <v>#N/A</v>
      </c>
      <c r="BZ41" s="1">
        <v>1.0</v>
      </c>
      <c r="CA41" s="1" t="s">
        <v>169</v>
      </c>
    </row>
    <row r="42" ht="15.75" customHeight="1">
      <c r="Q42" s="1"/>
      <c r="R42" s="1"/>
      <c r="S42" s="1"/>
      <c r="T42" s="195"/>
      <c r="AA42" s="195"/>
      <c r="AD42" s="1"/>
      <c r="AE42" s="136"/>
      <c r="AF42" s="136"/>
      <c r="AG42" s="104"/>
      <c r="AH42" s="195"/>
      <c r="AI42" s="1"/>
      <c r="AO42" s="195"/>
      <c r="AV42" s="195"/>
      <c r="BC42" s="195"/>
      <c r="BJ42" s="195"/>
      <c r="BQ42" s="195"/>
      <c r="BR42" s="1"/>
      <c r="BX42" s="195"/>
    </row>
    <row r="43" ht="15.75" customHeight="1">
      <c r="Q43" s="1"/>
      <c r="R43" s="1"/>
      <c r="S43" s="1"/>
      <c r="T43" s="195"/>
      <c r="AA43" s="195"/>
      <c r="AD43" s="1"/>
      <c r="AE43" s="136"/>
      <c r="AF43" s="136"/>
      <c r="AG43" s="104"/>
      <c r="AH43" s="195"/>
      <c r="AI43" s="1"/>
      <c r="AO43" s="195"/>
      <c r="AV43" s="195"/>
      <c r="BC43" s="195"/>
      <c r="BJ43" s="195"/>
      <c r="BQ43" s="195"/>
      <c r="BR43" s="1"/>
      <c r="BX43" s="195"/>
    </row>
    <row r="44" ht="15.75" customHeight="1">
      <c r="L44" s="26" t="s">
        <v>103</v>
      </c>
      <c r="N44" s="188" t="str">
        <f>'Программа тренировок '!C128</f>
        <v/>
      </c>
      <c r="O44" s="188" t="str">
        <f>'Программа тренировок '!D128</f>
        <v/>
      </c>
      <c r="P44" s="196">
        <f>'Формулы'!I28</f>
        <v>2.5</v>
      </c>
      <c r="Q44" s="136" t="str">
        <f t="array" ref="Q44">MROUND(N44/INDEX($O$93:$X$100,MATCH(10,$N$93:$N$100,0),MATCH(O44,$O$92:$X$92,0))*0.83,P44)</f>
        <v>#N/A</v>
      </c>
      <c r="R44" s="122">
        <v>1.0</v>
      </c>
      <c r="S44" s="136">
        <v>3.0</v>
      </c>
      <c r="T44" s="192" t="str">
        <f>'Программа тренировок '!F171</f>
        <v/>
      </c>
      <c r="U44" s="148" t="str">
        <f t="array" ref="U44">MROUND(Q44/INDEX($O$93:$X$100,MATCH(T44,$N$93:$N$100,0),MATCH(S44,$O$92:$X$92,0))*0.75,P44)</f>
        <v>#N/A</v>
      </c>
      <c r="V44" s="136">
        <v>3.0</v>
      </c>
      <c r="W44" s="122">
        <v>6.0</v>
      </c>
      <c r="X44" s="136" t="str">
        <f t="array" ref="X44">MROUND(Q44/INDEX($O$93:$X$100,MATCH(T44,$N$93:$N$100,0),MATCH(S44,$O$92:$X$92,0))*0.86,P44)</f>
        <v>#N/A</v>
      </c>
      <c r="Y44" s="148">
        <v>1.0</v>
      </c>
      <c r="Z44" s="136">
        <v>3.0</v>
      </c>
      <c r="AA44" s="192" t="str">
        <f>'Программа тренировок '!M171</f>
        <v/>
      </c>
      <c r="AB44" s="122" t="str">
        <f t="array" ref="AB44">MROUND(X44/INDEX($O$93:$X$100,MATCH(AA44,$N$93:$N$100,0),MATCH(Z44,$O$92:$X$92,0))*0.8,P44)</f>
        <v>#N/A</v>
      </c>
      <c r="AC44" s="136">
        <v>3.0</v>
      </c>
      <c r="AD44" s="78">
        <v>5.0</v>
      </c>
      <c r="AE44" s="136" t="str">
        <f t="array" ref="AE44">MROUND(X44/INDEX($O$93:$X$100,MATCH(AA44,$N$93:$N$100,0),MATCH(Z44,$O$92:$X$92,0))*0.9,P44)</f>
        <v>#N/A</v>
      </c>
      <c r="AF44" s="136">
        <v>1.0</v>
      </c>
      <c r="AG44" s="78">
        <v>3.0</v>
      </c>
      <c r="AH44" s="192" t="str">
        <f>'Программа тренировок '!T171</f>
        <v/>
      </c>
      <c r="AI44" s="148" t="str">
        <f t="array" ref="AI44">MROUND(AE44/INDEX($O$93:$X$100,MATCH(AH44,$N$93:$N$100,0),MATCH(AG44,$O$92:$X$92,0))*0.85,P44)</f>
        <v>#N/A</v>
      </c>
      <c r="AJ44" s="136">
        <v>3.0</v>
      </c>
      <c r="AK44" s="136">
        <v>4.0</v>
      </c>
      <c r="AL44" s="136" t="str">
        <f t="array" ref="AL44">MROUND(AE44/INDEX($O$93:$X$100,MATCH(AH44,$N$93:$N$100,0),MATCH(AG44,$O$92:$X$92,0))*0.86,P44)</f>
        <v>#N/A</v>
      </c>
      <c r="AM44" s="136">
        <v>1.0</v>
      </c>
      <c r="AN44" s="136">
        <v>2.0</v>
      </c>
      <c r="AO44" s="192" t="str">
        <f>'Программа тренировок '!F198</f>
        <v/>
      </c>
      <c r="AP44" s="136" t="str">
        <f t="array" ref="AP44">MROUND(AL44/INDEX($O$93:$X$100,MATCH(AO44,$N$93:$N$100,0),MATCH(AN44,$O$92:$X$92,0))*0.79,P44)</f>
        <v>#N/A</v>
      </c>
      <c r="AQ44" s="136">
        <v>3.0</v>
      </c>
      <c r="AR44" s="122">
        <v>5.0</v>
      </c>
      <c r="AS44" s="136" t="str">
        <f t="array" ref="AS44">MROUND(AL44/INDEX($O$93:$X$100,MATCH(AO44,$N$93:$N$100,0),MATCH(AN44,$O$92:$X$92,0))*0.89,P44)</f>
        <v>#N/A</v>
      </c>
      <c r="AT44" s="136">
        <v>1.0</v>
      </c>
      <c r="AU44" s="136">
        <v>2.0</v>
      </c>
      <c r="AV44" s="192" t="str">
        <f>'Программа тренировок '!M198</f>
        <v/>
      </c>
      <c r="AW44" s="193" t="str">
        <f t="array" ref="AW44">MROUND(AS44/INDEX($O$93:$X$100,MATCH(AV44,$N$93:$N$100,0),MATCH(AU44,$O$92:$X$92,0))*0.82,P44)</f>
        <v>#N/A</v>
      </c>
      <c r="AX44" s="194">
        <v>3.0</v>
      </c>
      <c r="AY44" s="194">
        <v>4.0</v>
      </c>
      <c r="AZ44" s="193" t="str">
        <f t="array" ref="AZ44">MROUND(AS44/INDEX($O$93:$X$100,MATCH(AV44,$N$93:$N$100,0),MATCH(AU44,$O$92:$X$92,0))*0.92,P44)</f>
        <v>#N/A</v>
      </c>
      <c r="BA44" s="1">
        <v>1.0</v>
      </c>
      <c r="BB44" s="1">
        <v>2.0</v>
      </c>
      <c r="BC44" s="192" t="str">
        <f>'Программа тренировок '!T198</f>
        <v/>
      </c>
      <c r="BD44" s="193" t="str">
        <f t="array" ref="BD44">MROUND(AZ44/INDEX($O$93:$X$100,MATCH(BC44,$N$93:$N$100,0),MATCH(BB44,$O$92:$X$92,0))*0.86,P44)</f>
        <v>#N/A</v>
      </c>
      <c r="BE44" s="1">
        <v>3.0</v>
      </c>
      <c r="BF44" s="1">
        <v>3.0</v>
      </c>
      <c r="BG44" s="193" t="str">
        <f t="array" ref="BG44">MROUND(AZ44/INDEX($O$93:$X$100,MATCH(BC44,$N$93:$N$100,0),MATCH(BB44,$O$92:$X$92,0))*0.91,P44)</f>
        <v>#N/A</v>
      </c>
      <c r="BH44" s="1">
        <v>1.0</v>
      </c>
      <c r="BI44" s="1">
        <v>1.0</v>
      </c>
      <c r="BJ44" s="199" t="str">
        <f>'Программа тренировок '!F225</f>
        <v/>
      </c>
      <c r="BK44" s="193" t="str">
        <f t="array" ref="BK44">MROUND(BG44/INDEX($O$93:$X$100,MATCH(BJ44,$N$93:$N$100,0),MATCH(BI44,$O$92:$X$92,0))*0.81,P44)</f>
        <v>#N/A</v>
      </c>
      <c r="BL44" s="1">
        <v>3.0</v>
      </c>
      <c r="BM44" s="1">
        <v>4.0</v>
      </c>
      <c r="BN44" s="193" t="str">
        <f t="array" ref="BN44">MROUND(BG44/INDEX($O$93:$X$100,MATCH(BJ44,$N$93:$N$100,0),MATCH(BI44,$O$92:$X$92,0))*0.94,P44)</f>
        <v>#N/A</v>
      </c>
      <c r="BO44" s="1">
        <v>1.0</v>
      </c>
      <c r="BP44" s="1">
        <v>1.0</v>
      </c>
      <c r="BQ44" s="199" t="str">
        <f>'Программа тренировок '!M225</f>
        <v/>
      </c>
      <c r="BR44" s="1" t="str">
        <f t="array" ref="BR44">MROUND(BN44/INDEX($O$93:$X$100,MATCH(BQ44,$N$93:$N$100,0),MATCH(BP44,$O$92:$X$92,0))*0.84,P44)</f>
        <v>#N/A</v>
      </c>
      <c r="BS44" s="1">
        <v>3.0</v>
      </c>
      <c r="BT44" s="1">
        <v>3.0</v>
      </c>
      <c r="BU44" s="193" t="str">
        <f t="array" ref="BU44">MROUND(BN44/INDEX($O$93:$X$100,MATCH(BQ44,$N$93:$N$100,0),MATCH(BP44,$O$92:$X$92,0))*0.97,P44)</f>
        <v>#N/A</v>
      </c>
      <c r="BV44" s="1">
        <v>1.0</v>
      </c>
      <c r="BW44" s="1">
        <v>1.0</v>
      </c>
      <c r="BX44" s="199" t="str">
        <f>'Программа тренировок '!T225</f>
        <v/>
      </c>
      <c r="BY44" s="193" t="str">
        <f t="array" ref="BY44">MROUND(BU44/INDEX($O$93:$X$100,MATCH(BX44,$N$93:$N$100,0),MATCH(BW44,$O$92:$X$92,0))*0.89,P44)</f>
        <v>#N/A</v>
      </c>
      <c r="BZ44" s="1">
        <v>3.0</v>
      </c>
      <c r="CA44" s="1">
        <v>2.0</v>
      </c>
    </row>
    <row r="45" ht="15.75" customHeight="1">
      <c r="L45" s="26" t="s">
        <v>63</v>
      </c>
      <c r="N45" s="188" t="str">
        <f>'Программа тренировок '!C128</f>
        <v/>
      </c>
      <c r="O45" s="188" t="str">
        <f>'Программа тренировок '!D128</f>
        <v/>
      </c>
      <c r="P45" s="196">
        <f>'Формулы'!I28</f>
        <v>2.5</v>
      </c>
      <c r="Q45" s="136" t="str">
        <f t="array" ref="Q45">MROUND(N45/INDEX($O$93:$X$100,MATCH(10,$N$93:$N$100,0),MATCH(O45,$O$92:$X$92,0))*0.76,P45)</f>
        <v>#N/A</v>
      </c>
      <c r="R45" s="122">
        <v>3.0</v>
      </c>
      <c r="S45" s="136">
        <v>6.0</v>
      </c>
      <c r="T45" s="192" t="str">
        <f>'Программа тренировок '!F171</f>
        <v/>
      </c>
      <c r="U45" s="148" t="str">
        <f t="array" ref="U45">MROUND(Q45/INDEX($O$93:$X$100,MATCH(T45,$N$93:$N$100,0),MATCH(S45,$O$92:$X$92,0))*0.72,P45)</f>
        <v>#N/A</v>
      </c>
      <c r="V45" s="136">
        <v>1.0</v>
      </c>
      <c r="W45" s="122" t="s">
        <v>168</v>
      </c>
      <c r="X45" s="136" t="str">
        <f t="array" ref="X45">MROUND(Q45/INDEX($O$93:$X$100,MATCH(T45,$N$93:$N$100,0),MATCH(S45,$O$92:$X$92,0))*0.79,P45)</f>
        <v>#N/A</v>
      </c>
      <c r="Y45" s="148">
        <v>3.0</v>
      </c>
      <c r="Z45" s="136">
        <v>6.0</v>
      </c>
      <c r="AA45" s="192" t="str">
        <f>'Программа тренировок '!M171</f>
        <v/>
      </c>
      <c r="AB45" s="122" t="str">
        <f t="array" ref="AB45">MROUND(X45/INDEX($O$93:$X$100,MATCH(AA45,$N$93:$N$100,0),MATCH(Z45,$O$92:$X$92,0))*0.76,P45)</f>
        <v>#N/A</v>
      </c>
      <c r="AC45" s="136">
        <v>1.0</v>
      </c>
      <c r="AD45" s="122" t="s">
        <v>168</v>
      </c>
      <c r="AE45" s="136" t="str">
        <f t="array" ref="AE45">MROUND(X45/INDEX($O$93:$X$100,MATCH(AA45,$N$93:$N$100,0),MATCH(Z45,$O$92:$X$92,0))*0.81,P45)</f>
        <v>#N/A</v>
      </c>
      <c r="AF45" s="136">
        <v>3.0</v>
      </c>
      <c r="AG45" s="78">
        <v>6.0</v>
      </c>
      <c r="AH45" s="192" t="str">
        <f>'Программа тренировок '!T171</f>
        <v/>
      </c>
      <c r="AI45" s="148" t="str">
        <f t="array" ref="AI45">MROUND(AE45/INDEX($O$93:$X$100,MATCH(AH45,$N$93:$N$100,0),MATCH(AG45,$O$92:$X$92,0))*0.79,P45)</f>
        <v>#N/A</v>
      </c>
      <c r="AJ45" s="136">
        <v>1.0</v>
      </c>
      <c r="AK45" s="122" t="s">
        <v>168</v>
      </c>
      <c r="AL45" s="136" t="str">
        <f t="array" ref="AL45">MROUND(AE45/INDEX($O$93:$X$100,MATCH(AH45,$N$93:$N$100,0),MATCH(AG45,$O$92:$X$92,0))*0.79,P45)</f>
        <v>#N/A</v>
      </c>
      <c r="AM45" s="136">
        <v>3.0</v>
      </c>
      <c r="AN45" s="136">
        <v>5.0</v>
      </c>
      <c r="AO45" s="192" t="str">
        <f>'Программа тренировок '!F198</f>
        <v/>
      </c>
      <c r="AP45" s="136" t="str">
        <f t="array" ref="AP45">MROUND(AL45/INDEX($O$93:$X$100,MATCH(AO45,$N$93:$N$100,0),MATCH(AN45,$O$92:$X$92,0))*0.76,P45)</f>
        <v>#N/A</v>
      </c>
      <c r="AQ45" s="136">
        <v>1.0</v>
      </c>
      <c r="AR45" s="122" t="s">
        <v>169</v>
      </c>
      <c r="AS45" s="136" t="str">
        <f t="array" ref="AS45">MROUND(AL45/INDEX($O$93:$X$100,MATCH(AO45,$N$93:$N$100,0),MATCH(AN45,$O$92:$X$92,0))*0.82,P45)</f>
        <v>#N/A</v>
      </c>
      <c r="AT45" s="136">
        <v>3.0</v>
      </c>
      <c r="AU45" s="136">
        <v>5.0</v>
      </c>
      <c r="AV45" s="192" t="str">
        <f>'Программа тренировок '!M198</f>
        <v/>
      </c>
      <c r="AW45" s="193" t="str">
        <f t="array" ref="AW45">MROUND(AS45/INDEX($O$93:$X$100,MATCH(AV45,$N$93:$N$100,0),MATCH(AU45,$O$92:$X$92,0))*0.79,P45)</f>
        <v>#N/A</v>
      </c>
      <c r="AX45" s="194">
        <v>1.0</v>
      </c>
      <c r="AY45" s="194" t="s">
        <v>169</v>
      </c>
      <c r="AZ45" s="193" t="str">
        <f t="array" ref="AZ45">MROUND(AS45/INDEX($O$93:$X$100,MATCH(AV45,$N$93:$N$100,0),MATCH(AU45,$O$92:$X$92,0))*0.84,P45)</f>
        <v>#N/A</v>
      </c>
      <c r="BA45" s="1">
        <v>3.0</v>
      </c>
      <c r="BB45" s="1">
        <v>5.0</v>
      </c>
      <c r="BC45" s="192" t="str">
        <f>'Программа тренировок '!T198</f>
        <v/>
      </c>
      <c r="BD45" s="193" t="str">
        <f t="array" ref="BD45">MROUND(AZ45/INDEX($O$93:$X$100,MATCH(BC45,$N$93:$N$100,0),MATCH(BB45,$O$92:$X$92,0))*0.81,P45)</f>
        <v>#N/A</v>
      </c>
      <c r="BE45" s="1">
        <v>1.0</v>
      </c>
      <c r="BF45" s="1" t="s">
        <v>169</v>
      </c>
      <c r="BG45" s="193" t="str">
        <f t="array" ref="BG45">MROUND(AZ45/INDEX($O$93:$X$100,MATCH(BC45,$N$93:$N$100,0),MATCH(BB45,$O$92:$X$92,0))*0.81,P45)</f>
        <v>#N/A</v>
      </c>
      <c r="BH45" s="1">
        <v>3.0</v>
      </c>
      <c r="BI45" s="1">
        <v>4.0</v>
      </c>
      <c r="BJ45" s="199" t="str">
        <f>'Программа тренировок '!F225</f>
        <v/>
      </c>
      <c r="BK45" s="193" t="str">
        <f t="array" ref="BK45">MROUND(BG45/INDEX($O$93:$X$100,MATCH(BJ45,$N$93:$N$100,0),MATCH(BI45,$O$92:$X$92,0))*0.78,P45)</f>
        <v>#N/A</v>
      </c>
      <c r="BL45" s="1">
        <v>1.0</v>
      </c>
      <c r="BM45" s="1" t="s">
        <v>169</v>
      </c>
      <c r="BN45" s="193" t="str">
        <f t="array" ref="BN45">MROUND(BG45/INDEX($O$93:$X$100,MATCH(BJ45,$N$93:$N$100,0),MATCH(BI45,$O$92:$X$92,0))*0.83,P45)</f>
        <v>#N/A</v>
      </c>
      <c r="BO45" s="1">
        <v>3.0</v>
      </c>
      <c r="BP45" s="1">
        <v>4.0</v>
      </c>
      <c r="BQ45" s="199" t="str">
        <f>'Программа тренировок '!M225</f>
        <v/>
      </c>
      <c r="BR45" s="1" t="str">
        <f t="array" ref="BR45">MROUND(BN45/INDEX($O$93:$X$100,MATCH(BQ45,$N$93:$N$100,0),MATCH(BP45,$O$92:$X$92,0))*0.8,P45)</f>
        <v>#N/A</v>
      </c>
      <c r="BS45" s="1">
        <v>1.0</v>
      </c>
      <c r="BT45" s="1" t="s">
        <v>169</v>
      </c>
      <c r="BU45" s="193" t="str">
        <f t="array" ref="BU45">MROUND(BN45/INDEX($O$93:$X$100,MATCH(BQ45,$N$93:$N$100,0),MATCH(BP45,$O$92:$X$92,0))*0.85,P45)</f>
        <v>#N/A</v>
      </c>
      <c r="BV45" s="1">
        <v>3.0</v>
      </c>
      <c r="BW45" s="1">
        <v>4.0</v>
      </c>
      <c r="BX45" s="199" t="str">
        <f>'Программа тренировок '!T225</f>
        <v/>
      </c>
      <c r="BY45" s="193" t="str">
        <f t="array" ref="BY45">MROUND(BU45/INDEX($O$93:$X$100,MATCH(BX45,$N$93:$N$100,0),MATCH(BW45,$O$92:$X$92,0))*0.81,P45)</f>
        <v>#N/A</v>
      </c>
      <c r="BZ45" s="1">
        <v>1.0</v>
      </c>
      <c r="CA45" s="1" t="s">
        <v>169</v>
      </c>
    </row>
    <row r="46" ht="15.75" customHeight="1">
      <c r="Q46" s="1"/>
      <c r="R46" s="1"/>
      <c r="S46" s="1"/>
      <c r="T46" s="195"/>
      <c r="AA46" s="195"/>
      <c r="AD46" s="1"/>
      <c r="AE46" s="136"/>
      <c r="AF46" s="136"/>
      <c r="AG46" s="104"/>
      <c r="AH46" s="195"/>
      <c r="AI46" s="1"/>
      <c r="AO46" s="195"/>
      <c r="AV46" s="195"/>
      <c r="BC46" s="195"/>
      <c r="BJ46" s="195"/>
      <c r="BQ46" s="195"/>
      <c r="BR46" s="1"/>
      <c r="BX46" s="195"/>
    </row>
    <row r="47" ht="15.75" customHeight="1">
      <c r="Q47" s="1"/>
      <c r="R47" s="1"/>
      <c r="S47" s="1"/>
      <c r="T47" s="195"/>
      <c r="AA47" s="195"/>
      <c r="AD47" s="1"/>
      <c r="AE47" s="136"/>
      <c r="AF47" s="136"/>
      <c r="AG47" s="104"/>
      <c r="AH47" s="195"/>
      <c r="AI47" s="1"/>
      <c r="AO47" s="195"/>
      <c r="AV47" s="195"/>
      <c r="BC47" s="195"/>
      <c r="BJ47" s="195"/>
      <c r="BQ47" s="195"/>
      <c r="BR47" s="1"/>
      <c r="BX47" s="195"/>
    </row>
    <row r="48" ht="15.75" customHeight="1">
      <c r="L48" s="26" t="s">
        <v>64</v>
      </c>
      <c r="N48" s="188" t="str">
        <f>'Программа тренировок '!C129</f>
        <v/>
      </c>
      <c r="O48" s="188" t="str">
        <f>'Программа тренировок '!D129</f>
        <v/>
      </c>
      <c r="P48" s="196">
        <f>'Формулы'!I29</f>
        <v>2.5</v>
      </c>
      <c r="Q48" s="136" t="str">
        <f t="array" ref="Q48">MROUND(N48/INDEX($O$93:$X$100,MATCH(10,$N$93:$N$100,0),MATCH(O48,$O$92:$X$92,0))*0.8,P48)</f>
        <v>#N/A</v>
      </c>
      <c r="R48" s="122">
        <v>3.0</v>
      </c>
      <c r="S48" s="136">
        <v>5.0</v>
      </c>
      <c r="T48" s="191" t="str">
        <f>'Программа тренировок '!F172</f>
        <v/>
      </c>
      <c r="U48" s="148" t="str">
        <f t="array" ref="U48">MROUND(Q48/INDEX($O$93:$X$100,MATCH(T48,$N$93:$N$100,0),MATCH(S48,$O$92:$X$92,0))*0.75,P48)</f>
        <v>#N/A</v>
      </c>
      <c r="V48" s="136">
        <v>3.0</v>
      </c>
      <c r="W48" s="122">
        <v>6.0</v>
      </c>
      <c r="X48" s="136" t="str">
        <f t="array" ref="X48">MROUND(Q48/INDEX($O$93:$X$100,MATCH(T48,$N$93:$N$100,0),MATCH(S48,$O$92:$X$92,0))*0.82,P48)</f>
        <v>#N/A</v>
      </c>
      <c r="Y48" s="148">
        <v>3.0</v>
      </c>
      <c r="Z48" s="136">
        <v>5.0</v>
      </c>
      <c r="AA48" s="191" t="str">
        <f>'Программа тренировок '!M172</f>
        <v/>
      </c>
      <c r="AB48" s="122" t="str">
        <f t="array" ref="AB48">MROUND(X48/INDEX($O$93:$X$100,MATCH(AA48,$N$93:$N$100,0),MATCH(Z48,$O$92:$X$92,0))*0.77,P48)</f>
        <v>#N/A</v>
      </c>
      <c r="AC48" s="136">
        <v>3.0</v>
      </c>
      <c r="AD48" s="78">
        <v>6.0</v>
      </c>
      <c r="AE48" s="136" t="str">
        <f t="array" ref="AE48">MROUND(X48/INDEX($O$93:$X$100,MATCH(AA48,$N$93:$N$100,0),MATCH(Z48,$O$92:$X$92,0))*0.85,P48)</f>
        <v>#N/A</v>
      </c>
      <c r="AF48" s="136">
        <v>3.0</v>
      </c>
      <c r="AG48" s="78">
        <v>5.0</v>
      </c>
      <c r="AH48" s="191" t="str">
        <f>'Программа тренировок '!T172</f>
        <v/>
      </c>
      <c r="AI48" s="148" t="str">
        <f t="shared" ref="AI48:AI50" si="47">MROUND(AE48/INDEX($O$93:$X$100,MATCH(AH48,$N$93:$N$100,0),MATCH(AG48,$O$92:$X$92,0))*0.79,P48)</f>
        <v>#N/A</v>
      </c>
      <c r="AJ48" s="136">
        <v>3.0</v>
      </c>
      <c r="AK48" s="136">
        <v>6.0</v>
      </c>
      <c r="AL48" s="136" t="str">
        <f t="array" ref="AL48">MROUND(AE48/INDEX($O$93:$X$100,MATCH(AH48,$N$93:$N$100,0),MATCH(AG48,$O$92:$X$92,0))*0.82,P48)</f>
        <v>#N/A</v>
      </c>
      <c r="AM48" s="136">
        <v>3.0</v>
      </c>
      <c r="AN48" s="136">
        <v>4.0</v>
      </c>
      <c r="AO48" s="191" t="str">
        <f>'Программа тренировок '!F199</f>
        <v/>
      </c>
      <c r="AP48" s="136" t="str">
        <f t="array" ref="AP48">MROUND(AL48/INDEX($O$93:$X$100,MATCH(AO48,$N$93:$N$100,0),MATCH(AN48,$O$92:$X$92,0))*0.79,P48)</f>
        <v>#N/A</v>
      </c>
      <c r="AQ48" s="136">
        <v>3.0</v>
      </c>
      <c r="AR48" s="122">
        <v>5.0</v>
      </c>
      <c r="AS48" s="136" t="str">
        <f t="array" ref="AS48">MROUND(AL48/INDEX($O$93:$X$100,MATCH(AO48,$N$93:$N$100,0),MATCH(AN48,$O$92:$X$92,0))*0.85,P48)</f>
        <v>#N/A</v>
      </c>
      <c r="AT48" s="136">
        <v>3.0</v>
      </c>
      <c r="AU48" s="136">
        <v>4.0</v>
      </c>
      <c r="AV48" s="191" t="str">
        <f>'Программа тренировок '!M199</f>
        <v/>
      </c>
      <c r="AW48" s="193" t="str">
        <f t="array" ref="AW48">MROUND(AS48/INDEX($O$93:$X$100,MATCH(AV48,$N$93:$N$100,0),MATCH(AU48,$O$92:$X$92,0))*0.8,P48)</f>
        <v>#N/A</v>
      </c>
      <c r="AX48" s="194">
        <v>3.0</v>
      </c>
      <c r="AY48" s="194">
        <v>5.0</v>
      </c>
      <c r="AZ48" s="193" t="str">
        <f t="array" ref="AZ48">MROUND(AS48/INDEX($O$93:$X$100,MATCH(AV48,$N$93:$N$100,0),MATCH(AU48,$O$92:$X$92,0))*0.88,P48)</f>
        <v>#N/A</v>
      </c>
      <c r="BA48" s="1">
        <v>3.0</v>
      </c>
      <c r="BB48" s="1">
        <v>4.0</v>
      </c>
      <c r="BC48" s="191" t="str">
        <f>'Программа тренировок '!T199</f>
        <v/>
      </c>
      <c r="BD48" s="193" t="str">
        <f t="shared" ref="BD48:BD50" si="48">MROUND(AZ48/INDEX($O$93:$X$100,MATCH(BC48,$N$93:$N$100,0),MATCH(BB48,$O$92:$X$92,0))*0.81,P48)</f>
        <v>#N/A</v>
      </c>
      <c r="BE48" s="1">
        <v>3.0</v>
      </c>
      <c r="BF48" s="1">
        <v>5.0</v>
      </c>
      <c r="BG48" s="193" t="str">
        <f t="array" ref="BG48">MROUND(AZ48/INDEX($O$93:$X$100,MATCH(BC48,$N$93:$N$100,0),MATCH(BB48,$O$92:$X$92,0))*0.83,P48)</f>
        <v>#N/A</v>
      </c>
      <c r="BH48" s="1">
        <v>3.0</v>
      </c>
      <c r="BI48" s="1">
        <v>3.0</v>
      </c>
      <c r="BJ48" s="195" t="str">
        <f>'Программа тренировок '!F226</f>
        <v/>
      </c>
      <c r="BK48" s="193" t="str">
        <f t="array" ref="BK48">MROUND(BG48/INDEX($O$93:$X$100,MATCH(BJ48,$N$93:$N$100,0),MATCH(BI48,$O$92:$X$92,0))*0.81,P48)</f>
        <v>#N/A</v>
      </c>
      <c r="BL48" s="1">
        <v>3.0</v>
      </c>
      <c r="BM48" s="1">
        <v>4.0</v>
      </c>
      <c r="BN48" s="193" t="str">
        <f t="array" ref="BN48">MROUND(BG48/INDEX($O$93:$X$100,MATCH(BJ48,$N$93:$N$100,0),MATCH(BI48,$O$92:$X$92,0))*0.86,P48)</f>
        <v>#N/A</v>
      </c>
      <c r="BO48" s="1">
        <v>3.0</v>
      </c>
      <c r="BP48" s="1">
        <v>3.0</v>
      </c>
      <c r="BQ48" s="195" t="str">
        <f>'Программа тренировок '!M226</f>
        <v/>
      </c>
      <c r="BR48" s="1" t="str">
        <f t="array" ref="BR48">MROUND(BN48/INDEX($O$93:$X$100,MATCH(BQ48,$N$93:$N$100,0),MATCH(BP48,$O$92:$X$92,0))*0.82,P48)</f>
        <v>#N/A</v>
      </c>
      <c r="BS48" s="1">
        <v>3.0</v>
      </c>
      <c r="BT48" s="1">
        <v>4.0</v>
      </c>
      <c r="BU48" s="193" t="str">
        <f t="array" ref="BU48">MROUND(BN48/INDEX($O$93:$X$100,MATCH(BQ48,$N$93:$N$100,0),MATCH(BP48,$O$92:$X$92,0))*0.91,P48)</f>
        <v>#N/A</v>
      </c>
      <c r="BV48" s="1">
        <v>3.0</v>
      </c>
      <c r="BW48" s="1">
        <v>3.0</v>
      </c>
      <c r="BX48" s="195" t="str">
        <f>'Программа тренировок '!T226</f>
        <v/>
      </c>
      <c r="BY48" s="193" t="str">
        <f t="array" ref="BY48">MROUND(BU48/INDEX($O$93:$X$100,MATCH(BX48,$N$93:$N$100,0),MATCH(BW48,$O$92:$X$92,0))*0.84,P48)</f>
        <v>#N/A</v>
      </c>
      <c r="BZ48" s="1">
        <v>3.0</v>
      </c>
      <c r="CA48" s="1">
        <v>4.0</v>
      </c>
    </row>
    <row r="49" ht="15.75" customHeight="1">
      <c r="L49" s="5" t="s">
        <v>178</v>
      </c>
      <c r="N49" s="188" t="str">
        <f>'Программа тренировок '!C129</f>
        <v/>
      </c>
      <c r="O49" s="188" t="str">
        <f>'Программа тренировок '!D129</f>
        <v/>
      </c>
      <c r="P49" s="196">
        <f>'Формулы'!I29</f>
        <v>2.5</v>
      </c>
      <c r="Q49" s="136" t="str">
        <f t="shared" ref="Q49:Q50" si="49">MROUND(N49/INDEX($O$93:$X$100,MATCH(10,$N$93:$N$100,0),MATCH(O49,$O$92:$X$92,0))*0.76,P49)</f>
        <v>#N/A</v>
      </c>
      <c r="R49" s="122">
        <v>3.0</v>
      </c>
      <c r="S49" s="136">
        <v>6.0</v>
      </c>
      <c r="T49" s="191" t="str">
        <f>'Программа тренировок '!F172</f>
        <v/>
      </c>
      <c r="U49" s="148" t="str">
        <f t="shared" ref="U49:U50" si="50">MROUND(Q49/INDEX($O$93:$X$100,MATCH(T49,$N$93:$N$100,0),MATCH(S49,$O$92:$X$92,0))*0.72,P49)</f>
        <v>#N/A</v>
      </c>
      <c r="V49" s="136">
        <v>1.0</v>
      </c>
      <c r="W49" s="122" t="s">
        <v>168</v>
      </c>
      <c r="X49" s="136" t="str">
        <f t="shared" ref="X49:X50" si="51">MROUND(Q49/INDEX($O$93:$X$100,MATCH(T49,$N$93:$N$100,0),MATCH(S49,$O$92:$X$92,0))*0.79,P49)</f>
        <v>#N/A</v>
      </c>
      <c r="Y49" s="148">
        <v>3.0</v>
      </c>
      <c r="Z49" s="136">
        <v>6.0</v>
      </c>
      <c r="AA49" s="191" t="str">
        <f>'Программа тренировок '!M172</f>
        <v/>
      </c>
      <c r="AB49" s="122" t="str">
        <f t="shared" ref="AB49:AB50" si="52">MROUND(X49/INDEX($O$93:$X$100,MATCH(AA49,$N$93:$N$100,0),MATCH(Z49,$O$92:$X$92,0))*0.76,P49)</f>
        <v>#N/A</v>
      </c>
      <c r="AC49" s="136">
        <v>1.0</v>
      </c>
      <c r="AD49" s="122" t="s">
        <v>168</v>
      </c>
      <c r="AE49" s="136" t="str">
        <f t="shared" ref="AE49:AE50" si="53">MROUND(X49/INDEX($O$93:$X$100,MATCH(AA49,$N$93:$N$100,0),MATCH(Z49,$O$92:$X$92,0))*0.81,P49)</f>
        <v>#N/A</v>
      </c>
      <c r="AF49" s="136">
        <v>3.0</v>
      </c>
      <c r="AG49" s="78">
        <v>6.0</v>
      </c>
      <c r="AH49" s="191" t="str">
        <f>'Программа тренировок '!T172</f>
        <v/>
      </c>
      <c r="AI49" s="148" t="str">
        <f t="shared" si="47"/>
        <v>#N/A</v>
      </c>
      <c r="AJ49" s="136">
        <v>1.0</v>
      </c>
      <c r="AK49" s="122" t="s">
        <v>168</v>
      </c>
      <c r="AL49" s="136" t="str">
        <f t="shared" ref="AL49:AL50" si="54">MROUND(AE49/INDEX($O$93:$X$100,MATCH(AH49,$N$93:$N$100,0),MATCH(AG49,$O$92:$X$92,0))*0.79,P49)</f>
        <v>#N/A</v>
      </c>
      <c r="AM49" s="136">
        <v>3.0</v>
      </c>
      <c r="AN49" s="136">
        <v>5.0</v>
      </c>
      <c r="AO49" s="191" t="str">
        <f>'Программа тренировок '!F199</f>
        <v/>
      </c>
      <c r="AP49" s="136" t="str">
        <f t="shared" ref="AP49:AP50" si="55">MROUND(AL49/INDEX($O$93:$X$100,MATCH(AO49,$N$93:$N$100,0),MATCH(AN49,$O$92:$X$92,0))*0.76,P49)</f>
        <v>#N/A</v>
      </c>
      <c r="AQ49" s="136">
        <v>1.0</v>
      </c>
      <c r="AR49" s="122" t="s">
        <v>169</v>
      </c>
      <c r="AS49" s="136" t="str">
        <f t="shared" ref="AS49:AS50" si="56">MROUND(AL49/INDEX($O$93:$X$100,MATCH(AO49,$N$93:$N$100,0),MATCH(AN49,$O$92:$X$92,0))*0.82,P49)</f>
        <v>#N/A</v>
      </c>
      <c r="AT49" s="136">
        <v>3.0</v>
      </c>
      <c r="AU49" s="136">
        <v>5.0</v>
      </c>
      <c r="AV49" s="191" t="str">
        <f>'Программа тренировок '!M199</f>
        <v/>
      </c>
      <c r="AW49" s="193" t="str">
        <f t="shared" ref="AW49:AW50" si="57">MROUND(AS49/INDEX($O$93:$X$100,MATCH(AV49,$N$93:$N$100,0),MATCH(AU49,$O$92:$X$92,0))*0.79,P49)</f>
        <v>#N/A</v>
      </c>
      <c r="AX49" s="194">
        <v>1.0</v>
      </c>
      <c r="AY49" s="194" t="s">
        <v>169</v>
      </c>
      <c r="AZ49" s="193" t="str">
        <f t="shared" ref="AZ49:AZ50" si="58">MROUND(AS49/INDEX($O$93:$X$100,MATCH(AV49,$N$93:$N$100,0),MATCH(AU49,$O$92:$X$92,0))*0.84,P49)</f>
        <v>#N/A</v>
      </c>
      <c r="BA49" s="1">
        <v>3.0</v>
      </c>
      <c r="BB49" s="1">
        <v>5.0</v>
      </c>
      <c r="BC49" s="191" t="str">
        <f>'Программа тренировок '!T199</f>
        <v/>
      </c>
      <c r="BD49" s="193" t="str">
        <f t="shared" si="48"/>
        <v>#N/A</v>
      </c>
      <c r="BE49" s="1">
        <v>1.0</v>
      </c>
      <c r="BF49" s="1" t="s">
        <v>169</v>
      </c>
      <c r="BG49" s="193" t="str">
        <f t="shared" ref="BG49:BG50" si="59">MROUND(AZ49/INDEX($O$93:$X$100,MATCH(BC49,$N$93:$N$100,0),MATCH(BB49,$O$92:$X$92,0))*0.81,P49)</f>
        <v>#N/A</v>
      </c>
      <c r="BH49" s="1">
        <v>3.0</v>
      </c>
      <c r="BI49" s="1">
        <v>4.0</v>
      </c>
      <c r="BJ49" s="195" t="str">
        <f>'Программа тренировок '!F226</f>
        <v/>
      </c>
      <c r="BK49" s="193" t="str">
        <f t="shared" ref="BK49:BK50" si="60">MROUND(BG49/INDEX($O$93:$X$100,MATCH(BJ49,$N$93:$N$100,0),MATCH(BI49,$O$92:$X$92,0))*0.78,P49)</f>
        <v>#N/A</v>
      </c>
      <c r="BL49" s="1">
        <v>1.0</v>
      </c>
      <c r="BM49" s="1" t="s">
        <v>169</v>
      </c>
      <c r="BN49" s="193" t="str">
        <f t="shared" ref="BN49:BN50" si="61">MROUND(BG49/INDEX($O$93:$X$100,MATCH(BJ49,$N$93:$N$100,0),MATCH(BI49,$O$92:$X$92,0))*0.83,P49)</f>
        <v>#N/A</v>
      </c>
      <c r="BO49" s="1">
        <v>3.0</v>
      </c>
      <c r="BP49" s="1">
        <v>4.0</v>
      </c>
      <c r="BQ49" s="195" t="str">
        <f>'Программа тренировок '!M226</f>
        <v/>
      </c>
      <c r="BR49" s="1" t="str">
        <f t="shared" ref="BR49:BR50" si="62">MROUND(BN49/INDEX($O$93:$X$100,MATCH(BQ49,$N$93:$N$100,0),MATCH(BP49,$O$92:$X$92,0))*0.8,P49)</f>
        <v>#N/A</v>
      </c>
      <c r="BS49" s="1">
        <v>1.0</v>
      </c>
      <c r="BT49" s="1" t="s">
        <v>169</v>
      </c>
      <c r="BU49" s="193" t="str">
        <f t="shared" ref="BU49:BU50" si="63">MROUND(BN49/INDEX($O$93:$X$100,MATCH(BQ49,$N$93:$N$100,0),MATCH(BP49,$O$92:$X$92,0))*0.85,P49)</f>
        <v>#N/A</v>
      </c>
      <c r="BV49" s="1">
        <v>3.0</v>
      </c>
      <c r="BW49" s="1">
        <v>4.0</v>
      </c>
      <c r="BX49" s="195" t="str">
        <f>'Программа тренировок '!T226</f>
        <v/>
      </c>
      <c r="BY49" s="193" t="str">
        <f t="shared" ref="BY49:BY50" si="64">MROUND(BU49/INDEX($O$93:$X$100,MATCH(BX49,$N$93:$N$100,0),MATCH(BW49,$O$92:$X$92,0))*0.81,P49)</f>
        <v>#N/A</v>
      </c>
      <c r="BZ49" s="1">
        <v>1.0</v>
      </c>
      <c r="CA49" s="1" t="s">
        <v>169</v>
      </c>
    </row>
    <row r="50" ht="15.75" customHeight="1">
      <c r="L50" s="5" t="s">
        <v>179</v>
      </c>
      <c r="N50" s="188" t="str">
        <f>'Программа тренировок '!C129</f>
        <v/>
      </c>
      <c r="O50" s="188" t="str">
        <f>'Программа тренировок '!D129</f>
        <v/>
      </c>
      <c r="P50" s="196">
        <f>'Формулы'!I29</f>
        <v>2.5</v>
      </c>
      <c r="Q50" s="136" t="str">
        <f t="shared" si="49"/>
        <v>#N/A</v>
      </c>
      <c r="R50" s="122">
        <v>3.0</v>
      </c>
      <c r="S50" s="136">
        <v>6.0</v>
      </c>
      <c r="T50" s="191" t="str">
        <f>'Программа тренировок '!F172</f>
        <v/>
      </c>
      <c r="U50" s="148" t="str">
        <f t="shared" si="50"/>
        <v>#N/A</v>
      </c>
      <c r="V50" s="136">
        <v>1.0</v>
      </c>
      <c r="W50" s="122" t="s">
        <v>168</v>
      </c>
      <c r="X50" s="136" t="str">
        <f t="shared" si="51"/>
        <v>#N/A</v>
      </c>
      <c r="Y50" s="148">
        <v>3.0</v>
      </c>
      <c r="Z50" s="136">
        <v>6.0</v>
      </c>
      <c r="AA50" s="191" t="str">
        <f>'Программа тренировок '!M172</f>
        <v/>
      </c>
      <c r="AB50" s="122" t="str">
        <f t="shared" si="52"/>
        <v>#N/A</v>
      </c>
      <c r="AC50" s="136">
        <v>1.0</v>
      </c>
      <c r="AD50" s="122" t="s">
        <v>168</v>
      </c>
      <c r="AE50" s="136" t="str">
        <f t="shared" si="53"/>
        <v>#N/A</v>
      </c>
      <c r="AF50" s="136">
        <v>3.0</v>
      </c>
      <c r="AG50" s="78">
        <v>6.0</v>
      </c>
      <c r="AH50" s="191" t="str">
        <f>'Программа тренировок '!T172</f>
        <v/>
      </c>
      <c r="AI50" s="148" t="str">
        <f t="shared" si="47"/>
        <v>#N/A</v>
      </c>
      <c r="AJ50" s="136">
        <v>1.0</v>
      </c>
      <c r="AK50" s="122" t="s">
        <v>168</v>
      </c>
      <c r="AL50" s="136" t="str">
        <f t="shared" si="54"/>
        <v>#N/A</v>
      </c>
      <c r="AM50" s="136">
        <v>3.0</v>
      </c>
      <c r="AN50" s="136">
        <v>5.0</v>
      </c>
      <c r="AO50" s="191" t="str">
        <f>'Программа тренировок '!F199</f>
        <v/>
      </c>
      <c r="AP50" s="136" t="str">
        <f t="shared" si="55"/>
        <v>#N/A</v>
      </c>
      <c r="AQ50" s="136">
        <v>1.0</v>
      </c>
      <c r="AR50" s="122" t="s">
        <v>169</v>
      </c>
      <c r="AS50" s="136" t="str">
        <f t="shared" si="56"/>
        <v>#N/A</v>
      </c>
      <c r="AT50" s="136">
        <v>3.0</v>
      </c>
      <c r="AU50" s="136">
        <v>5.0</v>
      </c>
      <c r="AV50" s="191" t="str">
        <f>'Программа тренировок '!M199</f>
        <v/>
      </c>
      <c r="AW50" s="193" t="str">
        <f t="shared" si="57"/>
        <v>#N/A</v>
      </c>
      <c r="AX50" s="194">
        <v>1.0</v>
      </c>
      <c r="AY50" s="194" t="s">
        <v>169</v>
      </c>
      <c r="AZ50" s="193" t="str">
        <f t="shared" si="58"/>
        <v>#N/A</v>
      </c>
      <c r="BA50" s="1">
        <v>3.0</v>
      </c>
      <c r="BB50" s="1">
        <v>5.0</v>
      </c>
      <c r="BC50" s="191" t="str">
        <f>'Программа тренировок '!T199</f>
        <v/>
      </c>
      <c r="BD50" s="193" t="str">
        <f t="shared" si="48"/>
        <v>#N/A</v>
      </c>
      <c r="BE50" s="1">
        <v>1.0</v>
      </c>
      <c r="BF50" s="1" t="s">
        <v>169</v>
      </c>
      <c r="BG50" s="193" t="str">
        <f t="shared" si="59"/>
        <v>#N/A</v>
      </c>
      <c r="BH50" s="1">
        <v>3.0</v>
      </c>
      <c r="BI50" s="1">
        <v>4.0</v>
      </c>
      <c r="BJ50" s="195" t="str">
        <f>'Программа тренировок '!F226</f>
        <v/>
      </c>
      <c r="BK50" s="193" t="str">
        <f t="shared" si="60"/>
        <v>#N/A</v>
      </c>
      <c r="BL50" s="1">
        <v>1.0</v>
      </c>
      <c r="BM50" s="1" t="s">
        <v>169</v>
      </c>
      <c r="BN50" s="193" t="str">
        <f t="shared" si="61"/>
        <v>#N/A</v>
      </c>
      <c r="BO50" s="1">
        <v>3.0</v>
      </c>
      <c r="BP50" s="1">
        <v>4.0</v>
      </c>
      <c r="BQ50" s="195" t="str">
        <f>'Программа тренировок '!M226</f>
        <v/>
      </c>
      <c r="BR50" s="1" t="str">
        <f t="shared" si="62"/>
        <v>#N/A</v>
      </c>
      <c r="BS50" s="1">
        <v>1.0</v>
      </c>
      <c r="BT50" s="1" t="s">
        <v>169</v>
      </c>
      <c r="BU50" s="193" t="str">
        <f t="shared" si="63"/>
        <v>#N/A</v>
      </c>
      <c r="BV50" s="1">
        <v>3.0</v>
      </c>
      <c r="BW50" s="1">
        <v>4.0</v>
      </c>
      <c r="BX50" s="195" t="str">
        <f>'Программа тренировок '!T226</f>
        <v/>
      </c>
      <c r="BY50" s="193" t="str">
        <f t="shared" si="64"/>
        <v>#N/A</v>
      </c>
      <c r="BZ50" s="1">
        <v>1.0</v>
      </c>
      <c r="CA50" s="1" t="s">
        <v>169</v>
      </c>
    </row>
    <row r="51" ht="15.75" customHeight="1">
      <c r="Q51" s="1"/>
      <c r="R51" s="1"/>
      <c r="S51" s="1"/>
      <c r="T51" s="195"/>
      <c r="AA51" s="195"/>
      <c r="AD51" s="1"/>
      <c r="AE51" s="136"/>
      <c r="AF51" s="136"/>
      <c r="AG51" s="104"/>
      <c r="AH51" s="195"/>
      <c r="AI51" s="1"/>
      <c r="AO51" s="195"/>
      <c r="AV51" s="195"/>
      <c r="BC51" s="195"/>
      <c r="BJ51" s="195"/>
      <c r="BQ51" s="195"/>
      <c r="BR51" s="1"/>
      <c r="BX51" s="195"/>
    </row>
    <row r="52" ht="15.75" customHeight="1">
      <c r="Q52" s="1"/>
      <c r="R52" s="1"/>
      <c r="S52" s="1"/>
      <c r="T52" s="195"/>
      <c r="AA52" s="195"/>
      <c r="AD52" s="1"/>
      <c r="AE52" s="136"/>
      <c r="AF52" s="136"/>
      <c r="AG52" s="104"/>
      <c r="AH52" s="195"/>
      <c r="AI52" s="1"/>
      <c r="AO52" s="195"/>
      <c r="AV52" s="195"/>
      <c r="BC52" s="195"/>
      <c r="BJ52" s="195"/>
      <c r="BQ52" s="195"/>
      <c r="BR52" s="1"/>
      <c r="BX52" s="195"/>
    </row>
    <row r="53" ht="15.75" customHeight="1">
      <c r="Q53" s="1"/>
      <c r="R53" s="1"/>
      <c r="S53" s="1"/>
      <c r="T53" s="195"/>
      <c r="AA53" s="195"/>
      <c r="AD53" s="1"/>
      <c r="AE53" s="136"/>
      <c r="AF53" s="136"/>
      <c r="AG53" s="104"/>
      <c r="AH53" s="195"/>
      <c r="AI53" s="1"/>
      <c r="AO53" s="195"/>
      <c r="AV53" s="195"/>
      <c r="BC53" s="195"/>
      <c r="BJ53" s="195"/>
      <c r="BQ53" s="195"/>
      <c r="BR53" s="1"/>
      <c r="BX53" s="195"/>
    </row>
    <row r="54" ht="15.75" customHeight="1">
      <c r="L54" s="26" t="s">
        <v>114</v>
      </c>
      <c r="N54" s="188" t="str">
        <f>'Программа тренировок '!C113</f>
        <v/>
      </c>
      <c r="O54" s="188" t="str">
        <f>'Программа тренировок '!D113</f>
        <v/>
      </c>
      <c r="P54" s="196">
        <f>'Формулы'!I13</f>
        <v>5</v>
      </c>
      <c r="Q54" s="136" t="str">
        <f t="array" ref="Q54">MROUND(N54/INDEX($O$93:$X$100,MATCH(10,$N$93:$N$100,0),MATCH(O54,$O$92:$X$92,0))*0.83,P54)</f>
        <v>#N/A</v>
      </c>
      <c r="R54" s="122">
        <v>1.0</v>
      </c>
      <c r="S54" s="136">
        <v>3.0</v>
      </c>
      <c r="T54" s="191" t="str">
        <f>'Программа тренировок '!F156</f>
        <v/>
      </c>
      <c r="U54" s="148" t="str">
        <f t="shared" ref="U54:U56" si="65">MROUND(Q54/INDEX($O$93:$X$100,MATCH(T54,$N$93:$N$100,0),MATCH(S54,$O$92:$X$92,0))*0.75,P54)</f>
        <v>#N/A</v>
      </c>
      <c r="V54" s="136">
        <v>3.0</v>
      </c>
      <c r="W54" s="122">
        <v>6.0</v>
      </c>
      <c r="X54" s="136" t="str">
        <f t="array" ref="X54">MROUND(Q54/INDEX($O$93:$X$100,MATCH(T54,$N$93:$N$100,0),MATCH(S54,$O$92:$X$92,0))*0.86,P54)</f>
        <v>#N/A</v>
      </c>
      <c r="Y54" s="148">
        <v>1.0</v>
      </c>
      <c r="Z54" s="136">
        <v>3.0</v>
      </c>
      <c r="AA54" s="191" t="str">
        <f>'Программа тренировок '!M156</f>
        <v/>
      </c>
      <c r="AB54" s="122" t="str">
        <f t="array" ref="AB54">MROUND(X54/INDEX($O$93:$X$100,MATCH(AA54,$N$93:$N$100,0),MATCH(Z54,$O$92:$X$92,0))*0.8,P54)</f>
        <v>#N/A</v>
      </c>
      <c r="AC54" s="136">
        <v>3.0</v>
      </c>
      <c r="AD54" s="78">
        <v>5.0</v>
      </c>
      <c r="AE54" s="136" t="str">
        <f t="array" ref="AE54">MROUND(X54/INDEX($O$93:$X$100,MATCH(AA54,$N$93:$N$100,0),MATCH(Z54,$O$92:$X$92,0))*0.9,P54)</f>
        <v>#N/A</v>
      </c>
      <c r="AF54" s="136">
        <v>1.0</v>
      </c>
      <c r="AG54" s="78">
        <v>3.0</v>
      </c>
      <c r="AH54" s="192" t="str">
        <f>'Программа тренировок '!T156</f>
        <v/>
      </c>
      <c r="AI54" s="148" t="str">
        <f t="array" ref="AI54">MROUND(AE54/INDEX($O$93:$X$100,MATCH(AH54,$N$93:$N$100,0),MATCH(AG54,$O$92:$X$92,0))*0.85,P54)</f>
        <v>#N/A</v>
      </c>
      <c r="AJ54" s="136">
        <v>3.0</v>
      </c>
      <c r="AK54" s="136">
        <v>4.0</v>
      </c>
      <c r="AL54" s="136" t="str">
        <f t="array" ref="AL54">MROUND(AE54/INDEX($O$93:$X$100,MATCH(AH54,$N$93:$N$100,0),MATCH(AG54,$O$92:$X$92,0))*0.86,P54)</f>
        <v>#N/A</v>
      </c>
      <c r="AM54" s="136">
        <v>1.0</v>
      </c>
      <c r="AN54" s="136">
        <v>2.0</v>
      </c>
      <c r="AO54" s="191" t="str">
        <f>'Программа тренировок '!F183</f>
        <v/>
      </c>
      <c r="AP54" s="136" t="str">
        <f t="shared" ref="AP54:AP56" si="66">MROUND(AL54/INDEX($O$93:$X$100,MATCH(AO54,$N$93:$N$100,0),MATCH(AN54,$O$92:$X$92,0))*0.79,P54)</f>
        <v>#N/A</v>
      </c>
      <c r="AQ54" s="136">
        <v>3.0</v>
      </c>
      <c r="AR54" s="122">
        <v>5.0</v>
      </c>
      <c r="AS54" s="136" t="str">
        <f t="array" ref="AS54">MROUND(AL54/INDEX($O$93:$X$100,MATCH(AO54,$N$93:$N$100,0),MATCH(AN54,$O$92:$X$92,0))*0.89,P54)</f>
        <v>#N/A</v>
      </c>
      <c r="AT54" s="136">
        <v>1.0</v>
      </c>
      <c r="AU54" s="136">
        <v>2.0</v>
      </c>
      <c r="AV54" s="191" t="str">
        <f>'Программа тренировок '!M183</f>
        <v/>
      </c>
      <c r="AW54" s="193" t="str">
        <f t="array" ref="AW54">MROUND(AS54/INDEX($O$93:$X$100,MATCH(AV54,$N$93:$N$100,0),MATCH(AU54,$O$92:$X$92,0))*0.82,P54)</f>
        <v>#N/A</v>
      </c>
      <c r="AX54" s="194">
        <v>3.0</v>
      </c>
      <c r="AY54" s="194">
        <v>4.0</v>
      </c>
      <c r="AZ54" s="193" t="str">
        <f t="array" ref="AZ54">MROUND(AS54/INDEX($O$93:$X$100,MATCH(AV54,$N$93:$N$100,0),MATCH(AU54,$O$92:$X$92,0))*0.92,P54)</f>
        <v>#N/A</v>
      </c>
      <c r="BA54" s="1">
        <v>1.0</v>
      </c>
      <c r="BB54" s="1">
        <v>2.0</v>
      </c>
      <c r="BC54" s="191" t="str">
        <f>'Программа тренировок '!T183</f>
        <v/>
      </c>
      <c r="BD54" s="193" t="str">
        <f t="array" ref="BD54">MROUND(AZ54/INDEX($O$93:$X$100,MATCH(BC54,$N$93:$N$100,0),MATCH(BB54,$O$92:$X$92,0))*0.86,P54)</f>
        <v>#N/A</v>
      </c>
      <c r="BE54" s="1">
        <v>3.0</v>
      </c>
      <c r="BF54" s="1">
        <v>3.0</v>
      </c>
      <c r="BG54" s="193" t="str">
        <f t="array" ref="BG54">MROUND(AZ54/INDEX($O$93:$X$100,MATCH(BC54,$N$93:$N$100,0),MATCH(BB54,$O$92:$X$92,0))*0.91,P54)</f>
        <v>#N/A</v>
      </c>
      <c r="BH54" s="1">
        <v>1.0</v>
      </c>
      <c r="BI54" s="1">
        <v>1.0</v>
      </c>
      <c r="BJ54" s="195" t="str">
        <f>'Программа тренировок '!F210</f>
        <v/>
      </c>
      <c r="BK54" s="193" t="str">
        <f t="shared" ref="BK54:BK56" si="67">MROUND(BG54/INDEX($O$93:$X$100,MATCH(BJ54,$N$93:$N$100,0),MATCH(BI54,$O$92:$X$92,0))*0.81,P54)</f>
        <v>#N/A</v>
      </c>
      <c r="BL54" s="1">
        <v>3.0</v>
      </c>
      <c r="BM54" s="1">
        <v>4.0</v>
      </c>
      <c r="BN54" s="193" t="str">
        <f t="array" ref="BN54">MROUND(BG54/INDEX($O$93:$X$100,MATCH(BJ54,$N$93:$N$100,0),MATCH(BI54,$O$92:$X$92,0))*0.94,P54)</f>
        <v>#N/A</v>
      </c>
      <c r="BO54" s="1">
        <v>1.0</v>
      </c>
      <c r="BP54" s="1">
        <v>1.0</v>
      </c>
      <c r="BQ54" s="195" t="str">
        <f>'Программа тренировок '!M210</f>
        <v/>
      </c>
      <c r="BR54" s="1" t="str">
        <f t="array" ref="BR54">MROUND(BN54/INDEX($O$93:$X$100,MATCH(BQ54,$N$93:$N$100,0),MATCH(BP54,$O$92:$X$92,0))*0.84,P54)</f>
        <v>#N/A</v>
      </c>
      <c r="BS54" s="1">
        <v>3.0</v>
      </c>
      <c r="BT54" s="1">
        <v>3.0</v>
      </c>
      <c r="BU54" s="193" t="str">
        <f t="array" ref="BU54">MROUND(BN54/INDEX($O$93:$X$100,MATCH(BQ54,$N$93:$N$100,0),MATCH(BP54,$O$92:$X$92,0))*0.97,P54)</f>
        <v>#N/A</v>
      </c>
      <c r="BV54" s="1">
        <v>1.0</v>
      </c>
      <c r="BW54" s="1">
        <v>1.0</v>
      </c>
      <c r="BX54" s="195" t="str">
        <f>'Программа тренировок '!T210</f>
        <v/>
      </c>
      <c r="BY54" s="193" t="str">
        <f t="array" ref="BY54">MROUND(BU54/INDEX($O$93:$X$100,MATCH(BX54,$N$93:$N$100,0),MATCH(BW54,$O$92:$X$92,0))*0.89,P54)</f>
        <v>#N/A</v>
      </c>
      <c r="BZ54" s="1">
        <v>3.0</v>
      </c>
      <c r="CA54" s="1">
        <v>2.0</v>
      </c>
    </row>
    <row r="55" ht="15.75" customHeight="1">
      <c r="L55" s="26" t="s">
        <v>51</v>
      </c>
      <c r="N55" s="188" t="str">
        <f>'Программа тренировок '!C113</f>
        <v/>
      </c>
      <c r="O55" s="188" t="str">
        <f>'Программа тренировок '!D113</f>
        <v/>
      </c>
      <c r="P55" s="196">
        <f>'Формулы'!I13</f>
        <v>5</v>
      </c>
      <c r="Q55" s="136" t="str">
        <f t="shared" ref="Q55:Q56" si="68">MROUND(N55/INDEX($O$93:$X$100,MATCH(10,$N$93:$N$100,0),MATCH(O55,$O$92:$X$92,0))*0.8,P55)</f>
        <v>#N/A</v>
      </c>
      <c r="R55" s="122">
        <v>3.0</v>
      </c>
      <c r="S55" s="136">
        <v>5.0</v>
      </c>
      <c r="T55" s="191" t="str">
        <f>'Программа тренировок '!F156</f>
        <v/>
      </c>
      <c r="U55" s="148" t="str">
        <f t="shared" si="65"/>
        <v>#N/A</v>
      </c>
      <c r="V55" s="136">
        <v>3.0</v>
      </c>
      <c r="W55" s="122">
        <v>8.0</v>
      </c>
      <c r="X55" s="136" t="str">
        <f t="shared" ref="X55:X56" si="69">MROUND(Q55/INDEX($O$93:$X$100,MATCH(T55,$N$93:$N$100,0),MATCH(S55,$O$92:$X$92,0))*0.82,P55)</f>
        <v>#N/A</v>
      </c>
      <c r="Y55" s="148">
        <v>3.0</v>
      </c>
      <c r="Z55" s="136">
        <v>5.0</v>
      </c>
      <c r="AA55" s="191" t="str">
        <f>'Программа тренировок '!M156</f>
        <v/>
      </c>
      <c r="AB55" s="122" t="str">
        <f t="shared" ref="AB55:AB56" si="70">MROUND(X55/INDEX($O$93:$X$100,MATCH(AA55,$N$93:$N$100,0),MATCH(Z55,$O$92:$X$92,0))*0.77,P55)</f>
        <v>#N/A</v>
      </c>
      <c r="AC55" s="136">
        <v>3.0</v>
      </c>
      <c r="AD55" s="78">
        <v>7.0</v>
      </c>
      <c r="AE55" s="136" t="str">
        <f t="shared" ref="AE55:AE56" si="71">MROUND(X55/INDEX($O$93:$X$100,MATCH(AA55,$N$93:$N$100,0),MATCH(Z55,$O$92:$X$92,0))*0.85,P55)</f>
        <v>#N/A</v>
      </c>
      <c r="AF55" s="136">
        <v>3.0</v>
      </c>
      <c r="AG55" s="78">
        <v>5.0</v>
      </c>
      <c r="AH55" s="192" t="str">
        <f>'Программа тренировок '!T156</f>
        <v/>
      </c>
      <c r="AI55" s="148" t="str">
        <f t="shared" ref="AI55:AI56" si="72">MROUND(AE55/INDEX($O$93:$X$100,MATCH(AH55,$N$93:$N$100,0),MATCH(AG55,$O$92:$X$92,0))*0.79,P55)</f>
        <v>#N/A</v>
      </c>
      <c r="AJ55" s="136">
        <v>3.0</v>
      </c>
      <c r="AK55" s="136">
        <v>6.0</v>
      </c>
      <c r="AL55" s="136" t="str">
        <f t="shared" ref="AL55:AL56" si="73">MROUND(AE55/INDEX($O$93:$X$100,MATCH(AH55,$N$93:$N$100,0),MATCH(AG55,$O$92:$X$92,0))*0.82,P55)</f>
        <v>#N/A</v>
      </c>
      <c r="AM55" s="136">
        <v>3.0</v>
      </c>
      <c r="AN55" s="136">
        <v>4.0</v>
      </c>
      <c r="AO55" s="191" t="str">
        <f>'Программа тренировок '!F183</f>
        <v/>
      </c>
      <c r="AP55" s="136" t="str">
        <f t="shared" si="66"/>
        <v>#N/A</v>
      </c>
      <c r="AQ55" s="136">
        <v>3.0</v>
      </c>
      <c r="AR55" s="122">
        <v>7.0</v>
      </c>
      <c r="AS55" s="136" t="str">
        <f t="shared" ref="AS55:AS56" si="74">MROUND(AL55/INDEX($O$93:$X$100,MATCH(AO55,$N$93:$N$100,0),MATCH(AN55,$O$92:$X$92,0))*0.85,P55)</f>
        <v>#N/A</v>
      </c>
      <c r="AT55" s="136">
        <v>3.0</v>
      </c>
      <c r="AU55" s="136">
        <v>4.0</v>
      </c>
      <c r="AV55" s="191" t="str">
        <f>'Программа тренировок '!M183</f>
        <v/>
      </c>
      <c r="AW55" s="193" t="str">
        <f t="shared" ref="AW55:AW56" si="75">MROUND(AS55/INDEX($O$93:$X$100,MATCH(AV55,$N$93:$N$100,0),MATCH(AU55,$O$92:$X$92,0))*0.8,P55)</f>
        <v>#N/A</v>
      </c>
      <c r="AX55" s="194">
        <v>3.0</v>
      </c>
      <c r="AY55" s="194">
        <v>6.0</v>
      </c>
      <c r="AZ55" s="193" t="str">
        <f t="shared" ref="AZ55:AZ56" si="76">MROUND(AS55/INDEX($O$93:$X$100,MATCH(AV55,$N$93:$N$100,0),MATCH(AU55,$O$92:$X$92,0))*0.88,P55)</f>
        <v>#N/A</v>
      </c>
      <c r="BA55" s="1">
        <v>3.0</v>
      </c>
      <c r="BB55" s="1">
        <v>4.0</v>
      </c>
      <c r="BC55" s="191" t="str">
        <f>'Программа тренировок '!T183</f>
        <v/>
      </c>
      <c r="BD55" s="193" t="str">
        <f t="shared" ref="BD55:BD56" si="77">MROUND(AZ55/INDEX($O$93:$X$100,MATCH(BC55,$N$93:$N$100,0),MATCH(BB55,$O$92:$X$92,0))*0.81,P55)</f>
        <v>#N/A</v>
      </c>
      <c r="BE55" s="1">
        <v>3.0</v>
      </c>
      <c r="BF55" s="1">
        <v>5.0</v>
      </c>
      <c r="BG55" s="193" t="str">
        <f t="shared" ref="BG55:BG56" si="78">MROUND(AZ55/INDEX($O$93:$X$100,MATCH(BC55,$N$93:$N$100,0),MATCH(BB55,$O$92:$X$92,0))*0.83,P55)</f>
        <v>#N/A</v>
      </c>
      <c r="BH55" s="1">
        <v>3.0</v>
      </c>
      <c r="BI55" s="1">
        <v>3.0</v>
      </c>
      <c r="BJ55" s="195" t="str">
        <f>'Программа тренировок '!F210</f>
        <v/>
      </c>
      <c r="BK55" s="193" t="str">
        <f t="shared" si="67"/>
        <v>#N/A</v>
      </c>
      <c r="BL55" s="1">
        <v>3.0</v>
      </c>
      <c r="BM55" s="1">
        <v>6.0</v>
      </c>
      <c r="BN55" s="193" t="str">
        <f t="shared" ref="BN55:BN56" si="79">MROUND(BG55/INDEX($O$93:$X$100,MATCH(BJ55,$N$93:$N$100,0),MATCH(BI55,$O$92:$X$92,0))*0.86,P55)</f>
        <v>#N/A</v>
      </c>
      <c r="BO55" s="1">
        <v>3.0</v>
      </c>
      <c r="BP55" s="1">
        <v>3.0</v>
      </c>
      <c r="BQ55" s="195" t="str">
        <f>'Программа тренировок '!M210</f>
        <v/>
      </c>
      <c r="BR55" s="1" t="str">
        <f t="shared" ref="BR55:BR56" si="80">MROUND(BN55/INDEX($O$93:$X$100,MATCH(BQ55,$N$93:$N$100,0),MATCH(BP55,$O$92:$X$92,0))*0.82,P55)</f>
        <v>#N/A</v>
      </c>
      <c r="BS55" s="1">
        <v>3.0</v>
      </c>
      <c r="BT55" s="1">
        <v>5.0</v>
      </c>
      <c r="BU55" s="193" t="str">
        <f t="shared" ref="BU55:BU56" si="81">MROUND(BN55/INDEX($O$93:$X$100,MATCH(BQ55,$N$93:$N$100,0),MATCH(BP55,$O$92:$X$92,0))*0.91,P55)</f>
        <v>#N/A</v>
      </c>
      <c r="BV55" s="1">
        <v>3.0</v>
      </c>
      <c r="BW55" s="1">
        <v>3.0</v>
      </c>
      <c r="BX55" s="195" t="str">
        <f>'Программа тренировок '!T210</f>
        <v/>
      </c>
      <c r="BY55" s="193" t="str">
        <f t="shared" ref="BY55:BY56" si="82">MROUND(BU55/INDEX($O$93:$X$100,MATCH(BX55,$N$93:$N$100,0),MATCH(BW55,$O$92:$X$92,0))*0.84,P55)</f>
        <v>#N/A</v>
      </c>
      <c r="BZ55" s="1">
        <v>3.0</v>
      </c>
      <c r="CA55" s="1">
        <v>4.0</v>
      </c>
    </row>
    <row r="56" ht="15.75" customHeight="1">
      <c r="L56" s="26" t="s">
        <v>180</v>
      </c>
      <c r="N56" s="188" t="str">
        <f>'Программа тренировок '!C113</f>
        <v/>
      </c>
      <c r="O56" s="188" t="str">
        <f>'Программа тренировок '!D113</f>
        <v/>
      </c>
      <c r="P56" s="196">
        <f>'Формулы'!I13</f>
        <v>5</v>
      </c>
      <c r="Q56" s="136" t="str">
        <f t="shared" si="68"/>
        <v>#N/A</v>
      </c>
      <c r="R56" s="122">
        <v>1.0</v>
      </c>
      <c r="S56" s="136">
        <v>5.0</v>
      </c>
      <c r="T56" s="191" t="str">
        <f>'Программа тренировок '!F156</f>
        <v/>
      </c>
      <c r="U56" s="148" t="str">
        <f t="shared" si="65"/>
        <v>#N/A</v>
      </c>
      <c r="V56" s="136">
        <v>3.0</v>
      </c>
      <c r="W56" s="122">
        <v>6.0</v>
      </c>
      <c r="X56" s="136" t="str">
        <f t="shared" si="69"/>
        <v>#N/A</v>
      </c>
      <c r="Y56" s="148">
        <v>1.0</v>
      </c>
      <c r="Z56" s="136">
        <v>5.0</v>
      </c>
      <c r="AA56" s="191" t="str">
        <f>'Программа тренировок '!M156</f>
        <v/>
      </c>
      <c r="AB56" s="122" t="str">
        <f t="shared" si="70"/>
        <v>#N/A</v>
      </c>
      <c r="AC56" s="136">
        <v>3.0</v>
      </c>
      <c r="AD56" s="78">
        <v>6.0</v>
      </c>
      <c r="AE56" s="136" t="str">
        <f t="shared" si="71"/>
        <v>#N/A</v>
      </c>
      <c r="AF56" s="136">
        <v>1.0</v>
      </c>
      <c r="AG56" s="78">
        <v>5.0</v>
      </c>
      <c r="AH56" s="192" t="str">
        <f>'Программа тренировок '!T156</f>
        <v/>
      </c>
      <c r="AI56" s="148" t="str">
        <f t="shared" si="72"/>
        <v>#N/A</v>
      </c>
      <c r="AJ56" s="136">
        <v>3.0</v>
      </c>
      <c r="AK56" s="136">
        <v>6.0</v>
      </c>
      <c r="AL56" s="136" t="str">
        <f t="shared" si="73"/>
        <v>#N/A</v>
      </c>
      <c r="AM56" s="136">
        <v>1.0</v>
      </c>
      <c r="AN56" s="136">
        <v>4.0</v>
      </c>
      <c r="AO56" s="191" t="str">
        <f>'Программа тренировок '!F183</f>
        <v/>
      </c>
      <c r="AP56" s="136" t="str">
        <f t="shared" si="66"/>
        <v>#N/A</v>
      </c>
      <c r="AQ56" s="136">
        <v>3.0</v>
      </c>
      <c r="AR56" s="122">
        <v>5.0</v>
      </c>
      <c r="AS56" s="136" t="str">
        <f t="shared" si="74"/>
        <v>#N/A</v>
      </c>
      <c r="AT56" s="136">
        <v>1.0</v>
      </c>
      <c r="AU56" s="136">
        <v>4.0</v>
      </c>
      <c r="AV56" s="191" t="str">
        <f>'Программа тренировок '!M183</f>
        <v/>
      </c>
      <c r="AW56" s="193" t="str">
        <f t="shared" si="75"/>
        <v>#N/A</v>
      </c>
      <c r="AX56" s="194">
        <v>3.0</v>
      </c>
      <c r="AY56" s="194">
        <v>5.0</v>
      </c>
      <c r="AZ56" s="193" t="str">
        <f t="shared" si="76"/>
        <v>#N/A</v>
      </c>
      <c r="BA56" s="1">
        <v>1.0</v>
      </c>
      <c r="BB56" s="1">
        <v>4.0</v>
      </c>
      <c r="BC56" s="191" t="str">
        <f>'Программа тренировок '!T183</f>
        <v/>
      </c>
      <c r="BD56" s="193" t="str">
        <f t="shared" si="77"/>
        <v>#N/A</v>
      </c>
      <c r="BE56" s="1">
        <v>3.0</v>
      </c>
      <c r="BF56" s="1">
        <v>5.0</v>
      </c>
      <c r="BG56" s="193" t="str">
        <f t="shared" si="78"/>
        <v>#N/A</v>
      </c>
      <c r="BH56" s="1">
        <v>1.0</v>
      </c>
      <c r="BI56" s="1">
        <v>3.0</v>
      </c>
      <c r="BJ56" s="195" t="str">
        <f>'Программа тренировок '!F210</f>
        <v/>
      </c>
      <c r="BK56" s="193" t="str">
        <f t="shared" si="67"/>
        <v>#N/A</v>
      </c>
      <c r="BL56" s="1">
        <v>3.0</v>
      </c>
      <c r="BM56" s="1">
        <v>4.0</v>
      </c>
      <c r="BN56" s="193" t="str">
        <f t="shared" si="79"/>
        <v>#N/A</v>
      </c>
      <c r="BO56" s="1">
        <v>1.0</v>
      </c>
      <c r="BP56" s="1">
        <v>3.0</v>
      </c>
      <c r="BQ56" s="195" t="str">
        <f>'Программа тренировок '!M210</f>
        <v/>
      </c>
      <c r="BR56" s="1" t="str">
        <f t="shared" si="80"/>
        <v>#N/A</v>
      </c>
      <c r="BS56" s="1">
        <v>3.0</v>
      </c>
      <c r="BT56" s="1">
        <v>4.0</v>
      </c>
      <c r="BU56" s="193" t="str">
        <f t="shared" si="81"/>
        <v>#N/A</v>
      </c>
      <c r="BV56" s="1">
        <v>1.0</v>
      </c>
      <c r="BW56" s="1">
        <v>3.0</v>
      </c>
      <c r="BX56" s="195" t="str">
        <f>'Программа тренировок '!T210</f>
        <v/>
      </c>
      <c r="BY56" s="193" t="str">
        <f t="shared" si="82"/>
        <v>#N/A</v>
      </c>
      <c r="BZ56" s="1">
        <v>3.0</v>
      </c>
      <c r="CA56" s="1">
        <v>4.0</v>
      </c>
    </row>
    <row r="57" ht="15.75" customHeight="1">
      <c r="Q57" s="1"/>
      <c r="R57" s="1"/>
      <c r="S57" s="1"/>
      <c r="T57" s="195"/>
      <c r="AA57" s="195"/>
      <c r="AD57" s="1"/>
      <c r="AE57" s="136"/>
      <c r="AF57" s="136"/>
      <c r="AG57" s="104"/>
      <c r="AH57" s="195"/>
      <c r="AI57" s="1"/>
      <c r="AO57" s="195"/>
      <c r="AV57" s="195"/>
      <c r="BC57" s="195"/>
      <c r="BJ57" s="195"/>
      <c r="BQ57" s="195"/>
      <c r="BR57" s="1"/>
      <c r="BX57" s="195"/>
    </row>
    <row r="58" ht="15.75" customHeight="1">
      <c r="Q58" s="1"/>
      <c r="R58" s="1"/>
      <c r="S58" s="1"/>
      <c r="T58" s="195"/>
      <c r="AA58" s="195"/>
      <c r="AD58" s="1"/>
      <c r="AE58" s="136"/>
      <c r="AF58" s="136"/>
      <c r="AG58" s="104"/>
      <c r="AH58" s="195"/>
      <c r="AI58" s="1"/>
      <c r="AO58" s="195"/>
      <c r="AV58" s="195"/>
      <c r="BC58" s="195"/>
      <c r="BJ58" s="195"/>
      <c r="BQ58" s="195"/>
      <c r="BR58" s="1"/>
      <c r="BX58" s="195"/>
    </row>
    <row r="59" ht="15.75" customHeight="1">
      <c r="L59" s="26" t="s">
        <v>65</v>
      </c>
      <c r="N59" s="188" t="str">
        <f>IF('Программа тренировок '!B155='Программа тренировок '!B173, 'Формулы'!N14, 'Программа тренировок '!C130)</f>
        <v/>
      </c>
      <c r="O59" s="200" t="str">
        <f>IF('Программа тренировок '!B112='Программа тренировок '!B130, O14, 'Программа тренировок '!D130)</f>
        <v/>
      </c>
      <c r="P59" s="188">
        <f>IF('Программа тренировок '!B117='Программа тренировок '!B135, P14, 'Формулы'!I30)</f>
        <v>2.5</v>
      </c>
      <c r="Q59" s="152" t="s">
        <v>166</v>
      </c>
      <c r="R59" s="151">
        <v>1.0</v>
      </c>
      <c r="S59" s="1">
        <f>O59-2</f>
        <v>-2</v>
      </c>
      <c r="T59" s="191" t="str">
        <f>'Программа тренировок '!F173</f>
        <v/>
      </c>
      <c r="U59" s="152" t="s">
        <v>166</v>
      </c>
      <c r="V59" s="151">
        <v>4.0</v>
      </c>
      <c r="W59" s="151">
        <f>FLOOR((10-T59+S59)-3,1)</f>
        <v>5</v>
      </c>
      <c r="X59" s="152" t="s">
        <v>166</v>
      </c>
      <c r="Y59" s="151">
        <v>1.0</v>
      </c>
      <c r="Z59" s="151">
        <f>FLOOR((10-T59+S59)-1,1)</f>
        <v>7</v>
      </c>
      <c r="AA59" s="191" t="str">
        <f>'Программа тренировок '!M173</f>
        <v/>
      </c>
      <c r="AB59" s="152" t="s">
        <v>166</v>
      </c>
      <c r="AC59" s="1">
        <v>4.0</v>
      </c>
      <c r="AD59" s="153">
        <f>FLOOR((10-AA59+Z59)-2,1)</f>
        <v>15</v>
      </c>
      <c r="AE59" s="152" t="s">
        <v>166</v>
      </c>
      <c r="AF59" s="151">
        <v>1.0</v>
      </c>
      <c r="AG59" s="201">
        <f>FLOOR((10-AA59+Z59),1)</f>
        <v>17</v>
      </c>
      <c r="AH59" s="195" t="str">
        <f>'Программа тренировок '!T173</f>
        <v/>
      </c>
      <c r="AI59" s="152" t="s">
        <v>166</v>
      </c>
      <c r="AJ59" s="151">
        <v>3.0</v>
      </c>
      <c r="AK59" s="151">
        <f>FLOOR((10-AH59+AG59)-2,1)</f>
        <v>25</v>
      </c>
      <c r="AL59" s="152" t="s">
        <v>166</v>
      </c>
      <c r="AM59" s="151">
        <v>1.0</v>
      </c>
      <c r="AN59" s="151">
        <f>FLOOR((10-AH59+AG59)-2,1)</f>
        <v>25</v>
      </c>
      <c r="AO59" s="192" t="str">
        <f>'Программа тренировок '!F200</f>
        <v/>
      </c>
      <c r="AP59" s="152" t="s">
        <v>166</v>
      </c>
      <c r="AQ59" s="151">
        <v>4.0</v>
      </c>
      <c r="AR59" s="151">
        <f>FLOOR((10-AO59+AN59)-3,1)</f>
        <v>32</v>
      </c>
      <c r="AS59" s="152" t="s">
        <v>166</v>
      </c>
      <c r="AT59" s="151">
        <v>1.0</v>
      </c>
      <c r="AU59" s="193">
        <f>FLOOR((10-AO59+AN59)-1,1)</f>
        <v>34</v>
      </c>
      <c r="AV59" s="192" t="str">
        <f>'Программа тренировок '!M200</f>
        <v/>
      </c>
      <c r="AW59" s="152" t="s">
        <v>166</v>
      </c>
      <c r="AX59" s="1">
        <v>4.0</v>
      </c>
      <c r="AY59" s="193">
        <f>FLOOR((10-AV59+AU59)-2,1)</f>
        <v>42</v>
      </c>
      <c r="AZ59" s="152" t="s">
        <v>166</v>
      </c>
      <c r="BA59" s="193">
        <v>1.0</v>
      </c>
      <c r="BB59" s="193">
        <f>FLOOR((10-AV59+AU59),1)</f>
        <v>44</v>
      </c>
      <c r="BC59" s="192" t="str">
        <f>'Программа тренировок '!T200</f>
        <v/>
      </c>
      <c r="BD59" s="152" t="s">
        <v>166</v>
      </c>
      <c r="BE59" s="1">
        <v>3.0</v>
      </c>
      <c r="BF59" s="193">
        <f>FLOOR((10-BC59+BB59)-2,1)</f>
        <v>52</v>
      </c>
      <c r="BG59" s="152" t="s">
        <v>166</v>
      </c>
      <c r="BH59" s="193">
        <v>1.0</v>
      </c>
      <c r="BI59" s="193">
        <f>FLOOR((10-BC59+BB59)-2,1)</f>
        <v>52</v>
      </c>
      <c r="BJ59" s="195" t="str">
        <f>'Программа тренировок '!F227</f>
        <v/>
      </c>
      <c r="BK59" s="152" t="s">
        <v>166</v>
      </c>
      <c r="BL59" s="1">
        <v>4.0</v>
      </c>
      <c r="BM59" s="193">
        <f>FLOOR((10-BJ59+BI59)-3,1)</f>
        <v>59</v>
      </c>
      <c r="BN59" s="152" t="s">
        <v>166</v>
      </c>
      <c r="BO59" s="193">
        <v>1.0</v>
      </c>
      <c r="BP59" s="193">
        <f>FLOOR((10-BJ59+BI59)-1,1)</f>
        <v>61</v>
      </c>
      <c r="BQ59" s="195" t="str">
        <f>'Программа тренировок '!M227</f>
        <v/>
      </c>
      <c r="BR59" s="152" t="s">
        <v>166</v>
      </c>
      <c r="BS59" s="1">
        <v>3.0</v>
      </c>
      <c r="BT59" s="193">
        <f>FLOOR((10-BQ59+BP59)-2,1)</f>
        <v>69</v>
      </c>
      <c r="BU59" s="152" t="s">
        <v>166</v>
      </c>
      <c r="BV59" s="193">
        <v>1.0</v>
      </c>
      <c r="BW59" s="193">
        <f>FLOOR((10-BQ59+BP59),1)</f>
        <v>71</v>
      </c>
      <c r="BX59" s="195" t="str">
        <f>'Программа тренировок '!T227</f>
        <v/>
      </c>
      <c r="BY59" s="152" t="s">
        <v>166</v>
      </c>
      <c r="BZ59" s="1">
        <v>3.0</v>
      </c>
      <c r="CA59" s="193">
        <f>FLOOR((10-BQ59+BP59)-2,1)</f>
        <v>69</v>
      </c>
    </row>
    <row r="60" ht="15.75" customHeight="1">
      <c r="L60" s="26" t="s">
        <v>181</v>
      </c>
      <c r="N60" s="188" t="str">
        <f>'Программа тренировок '!C130</f>
        <v/>
      </c>
      <c r="O60" s="188" t="str">
        <f>'Программа тренировок '!D130</f>
        <v/>
      </c>
      <c r="P60" s="196">
        <f>'Формулы'!I30</f>
        <v>3</v>
      </c>
      <c r="Q60" s="136" t="str">
        <f t="shared" ref="Q60:Q61" si="83">MROUND(N60/INDEX($O$93:$X$100,MATCH(10,$N$93:$N$100,0),MATCH(O60,$O$92:$X$92,0))*0.65,P60)</f>
        <v>#N/A</v>
      </c>
      <c r="R60" s="122">
        <v>3.0</v>
      </c>
      <c r="S60" s="136">
        <v>10.0</v>
      </c>
      <c r="T60" s="191" t="str">
        <f>'Программа тренировок '!F173</f>
        <v/>
      </c>
      <c r="U60" s="148" t="str">
        <f t="shared" ref="U60:U61" si="84">MROUND(Q60/INDEX($O$93:$X$100,MATCH(T60,$N$93:$N$100,0),MATCH(S60,$O$92:$X$92,0))*0.62,P60)</f>
        <v>#N/A</v>
      </c>
      <c r="V60" s="136">
        <v>1.0</v>
      </c>
      <c r="W60" s="122" t="s">
        <v>168</v>
      </c>
      <c r="X60" s="136" t="str">
        <f t="shared" ref="X60:X61" si="85">MROUND(Q60/INDEX($O$93:$X$100,MATCH(T60,$N$93:$N$100,0),MATCH(S60,$O$92:$X$92,0))*0.67,P60)</f>
        <v>#N/A</v>
      </c>
      <c r="Y60" s="148">
        <v>3.0</v>
      </c>
      <c r="Z60" s="136">
        <v>10.0</v>
      </c>
      <c r="AA60" s="191" t="str">
        <f>'Программа тренировок '!M173</f>
        <v/>
      </c>
      <c r="AB60" s="122" t="str">
        <f t="shared" ref="AB60:AB61" si="86">MROUND(X60/INDEX($O$93:$X$100,MATCH(AA60,$N$93:$N$100,0),MATCH(Z60,$O$92:$X$92,0))*0.64,P60)</f>
        <v>#N/A</v>
      </c>
      <c r="AC60" s="136">
        <v>1.0</v>
      </c>
      <c r="AD60" s="122" t="s">
        <v>168</v>
      </c>
      <c r="AE60" s="136" t="str">
        <f t="shared" ref="AE60:AE61" si="87">MROUND(X60/INDEX($O$93:$X$100,MATCH(AA60,$N$93:$N$100,0),MATCH(Z60,$O$92:$X$92,0))*0.69,P60)</f>
        <v>#N/A</v>
      </c>
      <c r="AF60" s="136">
        <v>3.0</v>
      </c>
      <c r="AG60" s="78">
        <v>10.0</v>
      </c>
      <c r="AH60" s="191" t="str">
        <f>'Программа тренировок '!T173</f>
        <v/>
      </c>
      <c r="AI60" s="148" t="str">
        <f t="shared" ref="AI60:AI61" si="88">MROUND(AE60/INDEX($O$93:$X$100,MATCH(AH60,$N$93:$N$100,0),MATCH(AG60,$O$92:$X$92,0))*0.67,P60)</f>
        <v>#N/A</v>
      </c>
      <c r="AJ60" s="136">
        <v>1.0</v>
      </c>
      <c r="AK60" s="122" t="s">
        <v>168</v>
      </c>
      <c r="AL60" s="136" t="str">
        <f t="shared" ref="AL60:AL61" si="89">MROUND(AE60/INDEX($O$93:$X$100,MATCH(AH60,$N$93:$N$100,0),MATCH(AG60,$O$92:$X$92,0))*0.68,P60)</f>
        <v>#N/A</v>
      </c>
      <c r="AM60" s="136">
        <v>3.0</v>
      </c>
      <c r="AN60" s="136">
        <v>9.0</v>
      </c>
      <c r="AO60" s="191" t="str">
        <f>'Программа тренировок '!F200</f>
        <v/>
      </c>
      <c r="AP60" s="136" t="str">
        <f t="shared" ref="AP60:AP61" si="90">MROUND(AL60/INDEX($O$93:$X$100,MATCH(AO60,$N$93:$N$100,0),MATCH(AN60,$O$92:$X$92,0))*0.65,P60)</f>
        <v>#N/A</v>
      </c>
      <c r="AQ60" s="136">
        <v>1.0</v>
      </c>
      <c r="AR60" s="122" t="s">
        <v>169</v>
      </c>
      <c r="AS60" s="136" t="str">
        <f t="shared" ref="AS60:AS61" si="91">MROUND(AL60/INDEX($O$93:$X$100,MATCH(AO60,$N$93:$N$100,0),MATCH(AN60,$O$92:$X$92,0))*0.69,P60)</f>
        <v>#N/A</v>
      </c>
      <c r="AT60" s="136">
        <v>3.0</v>
      </c>
      <c r="AU60" s="136">
        <v>9.0</v>
      </c>
      <c r="AV60" s="191" t="str">
        <f>'Программа тренировок '!M200</f>
        <v/>
      </c>
      <c r="AW60" s="193" t="str">
        <f t="shared" ref="AW60:AW61" si="92">MROUND(AS60/INDEX($O$93:$X$100,MATCH(AV60,$N$93:$N$100,0),MATCH(AU60,$O$92:$X$92,0))*0.66,P60)</f>
        <v>#N/A</v>
      </c>
      <c r="AX60" s="194">
        <v>1.0</v>
      </c>
      <c r="AY60" s="194" t="s">
        <v>169</v>
      </c>
      <c r="AZ60" s="193" t="str">
        <f t="shared" ref="AZ60:AZ61" si="93">MROUND(AS60/INDEX($O$93:$X$100,MATCH(AV60,$N$93:$N$100,0),MATCH(AU60,$O$92:$X$92,0))*0.71,P60)</f>
        <v>#N/A</v>
      </c>
      <c r="BA60" s="1">
        <v>3.0</v>
      </c>
      <c r="BB60" s="1">
        <v>9.0</v>
      </c>
      <c r="BC60" s="191" t="str">
        <f>'Программа тренировок '!T200</f>
        <v/>
      </c>
      <c r="BD60" s="193" t="str">
        <f t="shared" ref="BD60:BD61" si="94">MROUND(AZ60/INDEX($O$93:$X$100,MATCH(BC60,$N$93:$N$100,0),MATCH(BB60,$O$92:$X$92,0))*0.68,P60)</f>
        <v>#N/A</v>
      </c>
      <c r="BE60" s="1">
        <v>1.0</v>
      </c>
      <c r="BF60" s="1" t="s">
        <v>169</v>
      </c>
      <c r="BG60" s="193" t="str">
        <f t="shared" ref="BG60:BG61" si="95">MROUND(AZ60/INDEX($O$93:$X$100,MATCH(BC60,$N$93:$N$100,0),MATCH(BB60,$O$92:$X$92,0))*0.71,P60)</f>
        <v>#N/A</v>
      </c>
      <c r="BH60" s="1">
        <v>3.0</v>
      </c>
      <c r="BI60" s="1">
        <v>8.0</v>
      </c>
      <c r="BJ60" s="195" t="str">
        <f>'Программа тренировок '!F227</f>
        <v/>
      </c>
      <c r="BK60" s="193" t="str">
        <f t="shared" ref="BK60:BK61" si="96">MROUND(BG60/INDEX($O$93:$X$100,MATCH(BJ60,$N$93:$N$100,0),MATCH(BI60,$O$92:$X$92,0))*0.68,P60)</f>
        <v>#N/A</v>
      </c>
      <c r="BL60" s="1">
        <v>1.0</v>
      </c>
      <c r="BM60" s="1" t="s">
        <v>169</v>
      </c>
      <c r="BN60" s="193" t="str">
        <f t="shared" ref="BN60:BN61" si="97">MROUND(BG60/INDEX($O$93:$X$100,MATCH(BJ60,$N$93:$N$100,0),MATCH(BI60,$O$92:$X$92,0))*0.72,P60)</f>
        <v>#N/A</v>
      </c>
      <c r="BO60" s="1">
        <v>3.0</v>
      </c>
      <c r="BP60" s="1">
        <v>8.0</v>
      </c>
      <c r="BQ60" s="195" t="str">
        <f>'Программа тренировок '!M227</f>
        <v/>
      </c>
      <c r="BR60" s="1" t="str">
        <f t="shared" ref="BR60:BR61" si="98">MROUND(BN60/INDEX($O$93:$X$100,MATCH(BQ60,$N$93:$N$100,0),MATCH(BP60,$O$92:$X$92,0))*0.69,P60)</f>
        <v>#N/A</v>
      </c>
      <c r="BS60" s="1">
        <v>1.0</v>
      </c>
      <c r="BT60" s="1" t="s">
        <v>169</v>
      </c>
      <c r="BU60" s="193" t="str">
        <f t="shared" ref="BU60:BU61" si="99">MROUND(BN60/INDEX($O$93:$X$100,MATCH(BQ60,$N$93:$N$100,0),MATCH(BP60,$O$92:$X$92,0))*0.74,P60)</f>
        <v>#N/A</v>
      </c>
      <c r="BV60" s="1">
        <v>3.0</v>
      </c>
      <c r="BW60" s="1">
        <v>8.0</v>
      </c>
      <c r="BX60" s="195" t="str">
        <f>'Программа тренировок '!T227</f>
        <v/>
      </c>
      <c r="BY60" s="193" t="str">
        <f t="shared" ref="BY60:BY61" si="100">MROUND(BU60/INDEX($O$93:$X$100,MATCH(BX60,$N$93:$N$100,0),MATCH(BW60,$O$92:$X$92,0))*0.71,P60)</f>
        <v>#N/A</v>
      </c>
      <c r="BZ60" s="1">
        <v>1.0</v>
      </c>
      <c r="CA60" s="1" t="s">
        <v>169</v>
      </c>
    </row>
    <row r="61" ht="15.75" customHeight="1">
      <c r="L61" s="26" t="s">
        <v>105</v>
      </c>
      <c r="N61" s="188" t="str">
        <f>'Программа тренировок '!C130</f>
        <v/>
      </c>
      <c r="O61" s="188" t="str">
        <f>'Программа тренировок '!D130</f>
        <v/>
      </c>
      <c r="P61" s="196">
        <f>'Формулы'!I30</f>
        <v>3</v>
      </c>
      <c r="Q61" s="136" t="str">
        <f t="shared" si="83"/>
        <v>#N/A</v>
      </c>
      <c r="R61" s="122">
        <v>3.0</v>
      </c>
      <c r="S61" s="136">
        <v>10.0</v>
      </c>
      <c r="T61" s="191" t="str">
        <f>'Программа тренировок '!F173</f>
        <v/>
      </c>
      <c r="U61" s="148" t="str">
        <f t="shared" si="84"/>
        <v>#N/A</v>
      </c>
      <c r="V61" s="136">
        <v>1.0</v>
      </c>
      <c r="W61" s="122" t="s">
        <v>168</v>
      </c>
      <c r="X61" s="136" t="str">
        <f t="shared" si="85"/>
        <v>#N/A</v>
      </c>
      <c r="Y61" s="148">
        <v>3.0</v>
      </c>
      <c r="Z61" s="136">
        <v>10.0</v>
      </c>
      <c r="AA61" s="191" t="str">
        <f>'Программа тренировок '!M173</f>
        <v/>
      </c>
      <c r="AB61" s="122" t="str">
        <f t="shared" si="86"/>
        <v>#N/A</v>
      </c>
      <c r="AC61" s="136">
        <v>1.0</v>
      </c>
      <c r="AD61" s="122" t="s">
        <v>168</v>
      </c>
      <c r="AE61" s="136" t="str">
        <f t="shared" si="87"/>
        <v>#N/A</v>
      </c>
      <c r="AF61" s="136">
        <v>3.0</v>
      </c>
      <c r="AG61" s="78">
        <v>10.0</v>
      </c>
      <c r="AH61" s="191" t="str">
        <f>'Программа тренировок '!T173</f>
        <v/>
      </c>
      <c r="AI61" s="148" t="str">
        <f t="shared" si="88"/>
        <v>#N/A</v>
      </c>
      <c r="AJ61" s="136">
        <v>1.0</v>
      </c>
      <c r="AK61" s="122" t="s">
        <v>168</v>
      </c>
      <c r="AL61" s="136" t="str">
        <f t="shared" si="89"/>
        <v>#N/A</v>
      </c>
      <c r="AM61" s="136">
        <v>3.0</v>
      </c>
      <c r="AN61" s="136">
        <v>9.0</v>
      </c>
      <c r="AO61" s="191" t="str">
        <f>'Программа тренировок '!F200</f>
        <v/>
      </c>
      <c r="AP61" s="136" t="str">
        <f t="shared" si="90"/>
        <v>#N/A</v>
      </c>
      <c r="AQ61" s="136">
        <v>1.0</v>
      </c>
      <c r="AR61" s="122" t="s">
        <v>169</v>
      </c>
      <c r="AS61" s="136" t="str">
        <f t="shared" si="91"/>
        <v>#N/A</v>
      </c>
      <c r="AT61" s="136">
        <v>3.0</v>
      </c>
      <c r="AU61" s="136">
        <v>9.0</v>
      </c>
      <c r="AV61" s="191" t="str">
        <f>'Программа тренировок '!M200</f>
        <v/>
      </c>
      <c r="AW61" s="193" t="str">
        <f t="shared" si="92"/>
        <v>#N/A</v>
      </c>
      <c r="AX61" s="194">
        <v>1.0</v>
      </c>
      <c r="AY61" s="194" t="s">
        <v>169</v>
      </c>
      <c r="AZ61" s="193" t="str">
        <f t="shared" si="93"/>
        <v>#N/A</v>
      </c>
      <c r="BA61" s="1">
        <v>3.0</v>
      </c>
      <c r="BB61" s="1">
        <v>9.0</v>
      </c>
      <c r="BC61" s="191" t="str">
        <f>'Программа тренировок '!T200</f>
        <v/>
      </c>
      <c r="BD61" s="193" t="str">
        <f t="shared" si="94"/>
        <v>#N/A</v>
      </c>
      <c r="BE61" s="1">
        <v>1.0</v>
      </c>
      <c r="BF61" s="1" t="s">
        <v>169</v>
      </c>
      <c r="BG61" s="193" t="str">
        <f t="shared" si="95"/>
        <v>#N/A</v>
      </c>
      <c r="BH61" s="1">
        <v>3.0</v>
      </c>
      <c r="BI61" s="1">
        <v>8.0</v>
      </c>
      <c r="BJ61" s="195" t="str">
        <f>'Программа тренировок '!F227</f>
        <v/>
      </c>
      <c r="BK61" s="193" t="str">
        <f t="shared" si="96"/>
        <v>#N/A</v>
      </c>
      <c r="BL61" s="1">
        <v>1.0</v>
      </c>
      <c r="BM61" s="1" t="s">
        <v>169</v>
      </c>
      <c r="BN61" s="193" t="str">
        <f t="shared" si="97"/>
        <v>#N/A</v>
      </c>
      <c r="BO61" s="1">
        <v>3.0</v>
      </c>
      <c r="BP61" s="1">
        <v>8.0</v>
      </c>
      <c r="BQ61" s="195" t="str">
        <f>'Программа тренировок '!M227</f>
        <v/>
      </c>
      <c r="BR61" s="1" t="str">
        <f t="shared" si="98"/>
        <v>#N/A</v>
      </c>
      <c r="BS61" s="1">
        <v>1.0</v>
      </c>
      <c r="BT61" s="1" t="s">
        <v>169</v>
      </c>
      <c r="BU61" s="193" t="str">
        <f t="shared" si="99"/>
        <v>#N/A</v>
      </c>
      <c r="BV61" s="1">
        <v>3.0</v>
      </c>
      <c r="BW61" s="1">
        <v>8.0</v>
      </c>
      <c r="BX61" s="195" t="str">
        <f>'Программа тренировок '!T227</f>
        <v/>
      </c>
      <c r="BY61" s="193" t="str">
        <f t="shared" si="100"/>
        <v>#N/A</v>
      </c>
      <c r="BZ61" s="1">
        <v>1.0</v>
      </c>
      <c r="CA61" s="1" t="s">
        <v>169</v>
      </c>
    </row>
    <row r="62" ht="15.75" customHeight="1">
      <c r="Q62" s="1"/>
      <c r="R62" s="1"/>
      <c r="S62" s="1"/>
      <c r="T62" s="195"/>
      <c r="AA62" s="195"/>
      <c r="AD62" s="1"/>
      <c r="AE62" s="136"/>
      <c r="AF62" s="136"/>
      <c r="AG62" s="104"/>
      <c r="AH62" s="195"/>
      <c r="AI62" s="1"/>
      <c r="AO62" s="195"/>
      <c r="AV62" s="195"/>
      <c r="BC62" s="195"/>
      <c r="BJ62" s="195"/>
      <c r="BQ62" s="195"/>
      <c r="BR62" s="1"/>
      <c r="BX62" s="195"/>
    </row>
    <row r="63" ht="15.75" customHeight="1">
      <c r="L63" s="1" t="s">
        <v>55</v>
      </c>
      <c r="Q63" s="1"/>
      <c r="R63" s="1"/>
      <c r="S63" s="1"/>
      <c r="T63" s="195"/>
      <c r="AA63" s="195"/>
      <c r="AD63" s="1"/>
      <c r="AE63" s="136"/>
      <c r="AF63" s="136"/>
      <c r="AG63" s="104"/>
      <c r="AH63" s="195"/>
      <c r="AI63" s="1"/>
      <c r="AO63" s="195"/>
      <c r="AV63" s="195"/>
      <c r="BC63" s="195"/>
      <c r="BJ63" s="195"/>
      <c r="BQ63" s="195"/>
      <c r="BR63" s="1"/>
      <c r="BX63" s="195"/>
    </row>
    <row r="64" ht="15.75" customHeight="1">
      <c r="L64" s="26" t="s">
        <v>182</v>
      </c>
      <c r="N64" s="188" t="str">
        <f>'Программа тренировок '!C131</f>
        <v/>
      </c>
      <c r="O64" s="188" t="str">
        <f>'Программа тренировок '!D131</f>
        <v/>
      </c>
      <c r="P64" s="196" t="str">
        <f>'Формулы'!I31</f>
        <v/>
      </c>
      <c r="Q64" s="136" t="str">
        <f t="shared" ref="Q64:Q65" si="101">MROUND(N64/INDEX($O$93:$X$100,MATCH(10,$N$93:$N$100,0),MATCH(O64,$O$92:$X$92,0))*0.65,P64)</f>
        <v>#N/A</v>
      </c>
      <c r="R64" s="122">
        <v>3.0</v>
      </c>
      <c r="S64" s="136">
        <v>10.0</v>
      </c>
      <c r="T64" s="191" t="str">
        <f>'Программа тренировок '!F174</f>
        <v/>
      </c>
      <c r="U64" s="148" t="str">
        <f t="shared" ref="U64:U65" si="102">MROUND(Q64/INDEX($O$93:$X$100,MATCH(T64,$N$93:$N$100,0),MATCH(S64,$O$92:$X$92,0))*0.62,P64)</f>
        <v>#N/A</v>
      </c>
      <c r="V64" s="136">
        <v>1.0</v>
      </c>
      <c r="W64" s="122" t="s">
        <v>168</v>
      </c>
      <c r="X64" s="136" t="str">
        <f t="shared" ref="X64:X65" si="103">MROUND(Q64/INDEX($O$93:$X$100,MATCH(T64,$N$93:$N$100,0),MATCH(S64,$O$92:$X$92,0))*0.67,P64)</f>
        <v>#N/A</v>
      </c>
      <c r="Y64" s="148">
        <v>3.0</v>
      </c>
      <c r="Z64" s="136">
        <v>10.0</v>
      </c>
      <c r="AA64" s="191" t="str">
        <f>'Программа тренировок '!M174</f>
        <v/>
      </c>
      <c r="AB64" s="122" t="str">
        <f t="shared" ref="AB64:AB65" si="104">MROUND(X64/INDEX($O$93:$X$100,MATCH(AA64,$N$93:$N$100,0),MATCH(Z64,$O$92:$X$92,0))*0.64,P64)</f>
        <v>#N/A</v>
      </c>
      <c r="AC64" s="136">
        <v>1.0</v>
      </c>
      <c r="AD64" s="122" t="s">
        <v>168</v>
      </c>
      <c r="AE64" s="136" t="str">
        <f t="shared" ref="AE64:AE65" si="105">MROUND(X64/INDEX($O$93:$X$100,MATCH(AA64,$N$93:$N$100,0),MATCH(Z64,$O$92:$X$92,0))*0.69,P64)</f>
        <v>#N/A</v>
      </c>
      <c r="AF64" s="136">
        <v>3.0</v>
      </c>
      <c r="AG64" s="78">
        <v>10.0</v>
      </c>
      <c r="AH64" s="191" t="str">
        <f>'Программа тренировок '!T174</f>
        <v/>
      </c>
      <c r="AI64" s="148" t="str">
        <f t="shared" ref="AI64:AI65" si="106">MROUND(AE64/INDEX($O$93:$X$100,MATCH(AH64,$N$93:$N$100,0),MATCH(AG64,$O$92:$X$92,0))*0.67,P64)</f>
        <v>#N/A</v>
      </c>
      <c r="AJ64" s="136">
        <v>1.0</v>
      </c>
      <c r="AK64" s="122" t="s">
        <v>168</v>
      </c>
      <c r="AL64" s="136" t="str">
        <f t="shared" ref="AL64:AL65" si="107">MROUND(AE64/INDEX($O$93:$X$100,MATCH(AH64,$N$93:$N$100,0),MATCH(AG64,$O$92:$X$92,0))*0.68,P64)</f>
        <v>#N/A</v>
      </c>
      <c r="AM64" s="136">
        <v>3.0</v>
      </c>
      <c r="AN64" s="136">
        <v>9.0</v>
      </c>
      <c r="AO64" s="191" t="str">
        <f>'Программа тренировок '!F201</f>
        <v/>
      </c>
      <c r="AP64" s="136" t="str">
        <f t="shared" ref="AP64:AP65" si="108">MROUND(AL64/INDEX($O$93:$X$100,MATCH(AO64,$N$93:$N$100,0),MATCH(AN64,$O$92:$X$92,0))*0.65,P64)</f>
        <v>#N/A</v>
      </c>
      <c r="AQ64" s="136">
        <v>1.0</v>
      </c>
      <c r="AR64" s="122" t="s">
        <v>169</v>
      </c>
      <c r="AS64" s="136" t="str">
        <f t="shared" ref="AS64:AS65" si="109">MROUND(AL64/INDEX($O$93:$X$100,MATCH(AO64,$N$93:$N$100,0),MATCH(AN64,$O$92:$X$92,0))*0.69,P64)</f>
        <v>#N/A</v>
      </c>
      <c r="AT64" s="136">
        <v>3.0</v>
      </c>
      <c r="AU64" s="136">
        <v>9.0</v>
      </c>
      <c r="AV64" s="191" t="str">
        <f>'Программа тренировок '!M201</f>
        <v/>
      </c>
      <c r="AW64" s="193" t="str">
        <f t="shared" ref="AW64:AW65" si="110">MROUND(AS64/INDEX($O$93:$X$100,MATCH(AV64,$N$93:$N$100,0),MATCH(AU64,$O$92:$X$92,0))*0.66,P64)</f>
        <v>#N/A</v>
      </c>
      <c r="AX64" s="194">
        <v>1.0</v>
      </c>
      <c r="AY64" s="194" t="s">
        <v>169</v>
      </c>
      <c r="AZ64" s="193" t="str">
        <f t="shared" ref="AZ64:AZ65" si="111">MROUND(AS64/INDEX($O$93:$X$100,MATCH(AV64,$N$93:$N$100,0),MATCH(AU64,$O$92:$X$92,0))*0.71,P64)</f>
        <v>#N/A</v>
      </c>
      <c r="BA64" s="1">
        <v>3.0</v>
      </c>
      <c r="BB64" s="1">
        <v>9.0</v>
      </c>
      <c r="BC64" s="191" t="str">
        <f>'Программа тренировок '!T201</f>
        <v/>
      </c>
      <c r="BD64" s="193" t="str">
        <f t="shared" ref="BD64:BD65" si="112">MROUND(AZ64/INDEX($O$93:$X$100,MATCH(BC64,$N$93:$N$100,0),MATCH(BB64,$O$92:$X$92,0))*0.68,P64)</f>
        <v>#N/A</v>
      </c>
      <c r="BE64" s="1">
        <v>1.0</v>
      </c>
      <c r="BF64" s="1" t="s">
        <v>169</v>
      </c>
      <c r="BG64" s="193" t="str">
        <f t="shared" ref="BG64:BG65" si="113">MROUND(AZ64/INDEX($O$93:$X$100,MATCH(BC64,$N$93:$N$100,0),MATCH(BB64,$O$92:$X$92,0))*0.71,P64)</f>
        <v>#N/A</v>
      </c>
      <c r="BH64" s="1">
        <v>3.0</v>
      </c>
      <c r="BI64" s="1">
        <v>8.0</v>
      </c>
      <c r="BJ64" s="195" t="str">
        <f>'Программа тренировок '!F228</f>
        <v/>
      </c>
      <c r="BK64" s="193" t="str">
        <f t="shared" ref="BK64:BK65" si="114">MROUND(BG64/INDEX($O$93:$X$100,MATCH(BJ64,$N$93:$N$100,0),MATCH(BI64,$O$92:$X$92,0))*0.68,P64)</f>
        <v>#N/A</v>
      </c>
      <c r="BL64" s="1">
        <v>1.0</v>
      </c>
      <c r="BM64" s="1" t="s">
        <v>169</v>
      </c>
      <c r="BN64" s="193" t="str">
        <f t="shared" ref="BN64:BN65" si="115">MROUND(BG64/INDEX($O$93:$X$100,MATCH(BJ64,$N$93:$N$100,0),MATCH(BI64,$O$92:$X$92,0))*0.72,P64)</f>
        <v>#N/A</v>
      </c>
      <c r="BO64" s="1">
        <v>3.0</v>
      </c>
      <c r="BP64" s="1">
        <v>8.0</v>
      </c>
      <c r="BQ64" s="195" t="str">
        <f>'Программа тренировок '!M228</f>
        <v/>
      </c>
      <c r="BR64" s="1" t="str">
        <f t="shared" ref="BR64:BR65" si="116">MROUND(BN64/INDEX($O$93:$X$100,MATCH(BQ64,$N$93:$N$100,0),MATCH(BP64,$O$92:$X$92,0))*0.69,P64)</f>
        <v>#N/A</v>
      </c>
      <c r="BS64" s="1">
        <v>1.0</v>
      </c>
      <c r="BT64" s="1" t="s">
        <v>169</v>
      </c>
      <c r="BU64" s="193" t="str">
        <f t="shared" ref="BU64:BU65" si="117">MROUND(BN64/INDEX($O$93:$X$100,MATCH(BQ64,$N$93:$N$100,0),MATCH(BP64,$O$92:$X$92,0))*0.74,P64)</f>
        <v>#N/A</v>
      </c>
      <c r="BV64" s="1">
        <v>3.0</v>
      </c>
      <c r="BW64" s="1">
        <v>8.0</v>
      </c>
      <c r="BX64" s="195" t="str">
        <f>'Программа тренировок '!T228</f>
        <v/>
      </c>
      <c r="BY64" s="193" t="str">
        <f t="shared" ref="BY64:BY65" si="118">MROUND(BU64/INDEX($O$93:$X$100,MATCH(BX64,$N$93:$N$100,0),MATCH(BW64,$O$92:$X$92,0))*0.71,P64)</f>
        <v>#N/A</v>
      </c>
      <c r="BZ64" s="1">
        <v>1.0</v>
      </c>
      <c r="CA64" s="1" t="s">
        <v>169</v>
      </c>
    </row>
    <row r="65" ht="15.75" customHeight="1">
      <c r="L65" s="26" t="s">
        <v>183</v>
      </c>
      <c r="N65" s="188" t="str">
        <f>'Программа тренировок '!C131</f>
        <v/>
      </c>
      <c r="O65" s="188" t="str">
        <f>'Программа тренировок '!D131</f>
        <v/>
      </c>
      <c r="P65" s="196" t="str">
        <f>'Формулы'!I31</f>
        <v/>
      </c>
      <c r="Q65" s="136" t="str">
        <f t="shared" si="101"/>
        <v>#N/A</v>
      </c>
      <c r="R65" s="122">
        <v>3.0</v>
      </c>
      <c r="S65" s="136">
        <v>10.0</v>
      </c>
      <c r="T65" s="191" t="str">
        <f>'Программа тренировок '!F174</f>
        <v/>
      </c>
      <c r="U65" s="148" t="str">
        <f t="shared" si="102"/>
        <v>#N/A</v>
      </c>
      <c r="V65" s="136">
        <v>1.0</v>
      </c>
      <c r="W65" s="122" t="s">
        <v>168</v>
      </c>
      <c r="X65" s="136" t="str">
        <f t="shared" si="103"/>
        <v>#N/A</v>
      </c>
      <c r="Y65" s="148">
        <v>3.0</v>
      </c>
      <c r="Z65" s="136">
        <v>10.0</v>
      </c>
      <c r="AA65" s="191" t="str">
        <f>'Программа тренировок '!M174</f>
        <v/>
      </c>
      <c r="AB65" s="122" t="str">
        <f t="shared" si="104"/>
        <v>#N/A</v>
      </c>
      <c r="AC65" s="136">
        <v>1.0</v>
      </c>
      <c r="AD65" s="122" t="s">
        <v>168</v>
      </c>
      <c r="AE65" s="136" t="str">
        <f t="shared" si="105"/>
        <v>#N/A</v>
      </c>
      <c r="AF65" s="136">
        <v>3.0</v>
      </c>
      <c r="AG65" s="78">
        <v>10.0</v>
      </c>
      <c r="AH65" s="191" t="str">
        <f>'Программа тренировок '!T174</f>
        <v/>
      </c>
      <c r="AI65" s="148" t="str">
        <f t="shared" si="106"/>
        <v>#N/A</v>
      </c>
      <c r="AJ65" s="136">
        <v>1.0</v>
      </c>
      <c r="AK65" s="122" t="s">
        <v>168</v>
      </c>
      <c r="AL65" s="136" t="str">
        <f t="shared" si="107"/>
        <v>#N/A</v>
      </c>
      <c r="AM65" s="136">
        <v>3.0</v>
      </c>
      <c r="AN65" s="136">
        <v>9.0</v>
      </c>
      <c r="AO65" s="191" t="str">
        <f>'Программа тренировок '!F201</f>
        <v/>
      </c>
      <c r="AP65" s="136" t="str">
        <f t="shared" si="108"/>
        <v>#N/A</v>
      </c>
      <c r="AQ65" s="136">
        <v>1.0</v>
      </c>
      <c r="AR65" s="122" t="s">
        <v>169</v>
      </c>
      <c r="AS65" s="136" t="str">
        <f t="shared" si="109"/>
        <v>#N/A</v>
      </c>
      <c r="AT65" s="136">
        <v>3.0</v>
      </c>
      <c r="AU65" s="136">
        <v>9.0</v>
      </c>
      <c r="AV65" s="191" t="str">
        <f>'Программа тренировок '!M201</f>
        <v/>
      </c>
      <c r="AW65" s="193" t="str">
        <f t="shared" si="110"/>
        <v>#N/A</v>
      </c>
      <c r="AX65" s="194">
        <v>1.0</v>
      </c>
      <c r="AY65" s="194" t="s">
        <v>169</v>
      </c>
      <c r="AZ65" s="193" t="str">
        <f t="shared" si="111"/>
        <v>#N/A</v>
      </c>
      <c r="BA65" s="1">
        <v>3.0</v>
      </c>
      <c r="BB65" s="1">
        <v>9.0</v>
      </c>
      <c r="BC65" s="191" t="str">
        <f>'Программа тренировок '!T201</f>
        <v/>
      </c>
      <c r="BD65" s="193" t="str">
        <f t="shared" si="112"/>
        <v>#N/A</v>
      </c>
      <c r="BE65" s="1">
        <v>1.0</v>
      </c>
      <c r="BF65" s="1" t="s">
        <v>169</v>
      </c>
      <c r="BG65" s="193" t="str">
        <f t="shared" si="113"/>
        <v>#N/A</v>
      </c>
      <c r="BH65" s="1">
        <v>3.0</v>
      </c>
      <c r="BI65" s="1">
        <v>8.0</v>
      </c>
      <c r="BJ65" s="195" t="str">
        <f>'Программа тренировок '!F228</f>
        <v/>
      </c>
      <c r="BK65" s="193" t="str">
        <f t="shared" si="114"/>
        <v>#N/A</v>
      </c>
      <c r="BL65" s="1">
        <v>1.0</v>
      </c>
      <c r="BM65" s="1" t="s">
        <v>169</v>
      </c>
      <c r="BN65" s="193" t="str">
        <f t="shared" si="115"/>
        <v>#N/A</v>
      </c>
      <c r="BO65" s="1">
        <v>3.0</v>
      </c>
      <c r="BP65" s="1">
        <v>8.0</v>
      </c>
      <c r="BQ65" s="195" t="str">
        <f>'Программа тренировок '!M228</f>
        <v/>
      </c>
      <c r="BR65" s="1" t="str">
        <f t="shared" si="116"/>
        <v>#N/A</v>
      </c>
      <c r="BS65" s="1">
        <v>1.0</v>
      </c>
      <c r="BT65" s="1" t="s">
        <v>169</v>
      </c>
      <c r="BU65" s="193" t="str">
        <f t="shared" si="117"/>
        <v>#N/A</v>
      </c>
      <c r="BV65" s="1">
        <v>3.0</v>
      </c>
      <c r="BW65" s="1">
        <v>8.0</v>
      </c>
      <c r="BX65" s="195" t="str">
        <f>'Программа тренировок '!T228</f>
        <v/>
      </c>
      <c r="BY65" s="193" t="str">
        <f t="shared" si="118"/>
        <v>#N/A</v>
      </c>
      <c r="BZ65" s="1">
        <v>1.0</v>
      </c>
      <c r="CA65" s="1" t="s">
        <v>169</v>
      </c>
    </row>
    <row r="66" ht="15.75" customHeight="1">
      <c r="AD66" s="1"/>
      <c r="AE66" s="136"/>
      <c r="AF66" s="136"/>
      <c r="AG66" s="104"/>
      <c r="AI66" s="1"/>
      <c r="BR66" s="1"/>
    </row>
    <row r="67" ht="15.75" customHeight="1">
      <c r="L67" s="1" t="s">
        <v>55</v>
      </c>
      <c r="AD67" s="1"/>
      <c r="AE67" s="136"/>
      <c r="AF67" s="136"/>
      <c r="AG67" s="1"/>
      <c r="BR67" s="1"/>
    </row>
    <row r="68" ht="15.75" customHeight="1">
      <c r="L68" s="26" t="s">
        <v>184</v>
      </c>
      <c r="N68" s="1" t="str">
        <f>'Программа тренировок '!C115</f>
        <v/>
      </c>
      <c r="O68" s="1" t="str">
        <f>'Программа тренировок '!D115</f>
        <v/>
      </c>
      <c r="P68" s="1" t="str">
        <f>'Формулы'!I15</f>
        <v/>
      </c>
      <c r="Q68" s="152" t="s">
        <v>166</v>
      </c>
      <c r="R68" s="151">
        <v>1.0</v>
      </c>
      <c r="S68" s="1">
        <f>O68-2</f>
        <v>-2</v>
      </c>
      <c r="T68" s="191" t="str">
        <f>'Программа тренировок '!F158</f>
        <v/>
      </c>
      <c r="U68" s="152" t="s">
        <v>166</v>
      </c>
      <c r="V68" s="151">
        <v>4.0</v>
      </c>
      <c r="W68" s="151">
        <f t="shared" ref="W68:W69" si="119">FLOOR((10-$T$68+$S$68)-3,1)</f>
        <v>5</v>
      </c>
      <c r="X68" s="152" t="s">
        <v>166</v>
      </c>
      <c r="Y68" s="151">
        <v>1.0</v>
      </c>
      <c r="Z68" s="151">
        <f>FLOOR((10-T68+S68)-1,1)</f>
        <v>7</v>
      </c>
      <c r="AA68" s="191" t="str">
        <f>'Программа тренировок '!M158</f>
        <v/>
      </c>
      <c r="AB68" s="152" t="s">
        <v>166</v>
      </c>
      <c r="AC68" s="1">
        <v>4.0</v>
      </c>
      <c r="AD68" s="153">
        <f>FLOOR((10-AA68+Z68)-2,1)</f>
        <v>15</v>
      </c>
      <c r="AE68" s="152" t="s">
        <v>166</v>
      </c>
      <c r="AF68" s="151">
        <v>1.0</v>
      </c>
      <c r="AG68" s="201">
        <f>FLOOR((10-AA68+Z68),1)</f>
        <v>17</v>
      </c>
      <c r="AH68" s="195" t="str">
        <f>'Программа тренировок '!T158</f>
        <v/>
      </c>
      <c r="AI68" s="152" t="s">
        <v>166</v>
      </c>
      <c r="AJ68" s="151">
        <v>3.0</v>
      </c>
      <c r="AK68" s="151">
        <f>FLOOR((10-AH68+AG68)-2,1)</f>
        <v>25</v>
      </c>
      <c r="AL68" s="152" t="s">
        <v>166</v>
      </c>
      <c r="AM68" s="151">
        <v>1.0</v>
      </c>
      <c r="AN68" s="151">
        <f>FLOOR((10-AH68+AG68)-2,1)</f>
        <v>25</v>
      </c>
      <c r="AO68" s="192" t="str">
        <f>'Программа тренировок '!F185</f>
        <v/>
      </c>
      <c r="AP68" s="152" t="s">
        <v>166</v>
      </c>
      <c r="AQ68" s="151">
        <v>4.0</v>
      </c>
      <c r="AR68" s="151">
        <f>FLOOR((10-AO68+AN68)-3,1)</f>
        <v>32</v>
      </c>
      <c r="AS68" s="152" t="s">
        <v>166</v>
      </c>
      <c r="AT68" s="151">
        <v>1.0</v>
      </c>
      <c r="AU68" s="193">
        <f>FLOOR((10-AO68+AN68)-1,1)</f>
        <v>34</v>
      </c>
      <c r="AV68" s="192" t="str">
        <f>'Программа тренировок '!M185</f>
        <v/>
      </c>
      <c r="AW68" s="152" t="s">
        <v>166</v>
      </c>
      <c r="AX68" s="1">
        <v>4.0</v>
      </c>
      <c r="AY68" s="193">
        <f>FLOOR((10-AV68+AU68)-2,1)</f>
        <v>42</v>
      </c>
      <c r="AZ68" s="152" t="s">
        <v>166</v>
      </c>
      <c r="BA68" s="193">
        <v>1.0</v>
      </c>
      <c r="BB68" s="193">
        <f>FLOOR((10-AV68+AU68),1)</f>
        <v>44</v>
      </c>
      <c r="BC68" s="192" t="str">
        <f>'Программа тренировок '!T185</f>
        <v/>
      </c>
      <c r="BD68" s="152" t="s">
        <v>166</v>
      </c>
      <c r="BE68" s="1">
        <v>3.0</v>
      </c>
      <c r="BF68" s="193">
        <f>FLOOR((10-BC68+BB68)-2,1)</f>
        <v>52</v>
      </c>
      <c r="BG68" s="152" t="s">
        <v>166</v>
      </c>
      <c r="BH68" s="193">
        <v>1.0</v>
      </c>
      <c r="BI68" s="193">
        <f>FLOOR((10-BC68+BB68)-2,1)</f>
        <v>52</v>
      </c>
      <c r="BJ68" s="195" t="str">
        <f>'Программа тренировок '!F212</f>
        <v/>
      </c>
      <c r="BK68" s="152" t="s">
        <v>166</v>
      </c>
      <c r="BL68" s="1">
        <v>4.0</v>
      </c>
      <c r="BM68" s="193">
        <f>FLOOR((10-BJ68+BI68)-3,1)</f>
        <v>59</v>
      </c>
      <c r="BN68" s="152" t="s">
        <v>166</v>
      </c>
      <c r="BO68" s="193">
        <v>1.0</v>
      </c>
      <c r="BP68" s="193">
        <f>FLOOR((10-BJ68+BI68)-1,1)</f>
        <v>61</v>
      </c>
      <c r="BQ68" s="195" t="str">
        <f>'Программа тренировок '!M212</f>
        <v/>
      </c>
      <c r="BR68" s="152" t="s">
        <v>166</v>
      </c>
      <c r="BS68" s="1">
        <v>3.0</v>
      </c>
      <c r="BT68" s="193">
        <f>FLOOR((10-BQ68+BP68)-2,1)</f>
        <v>69</v>
      </c>
      <c r="BU68" s="152" t="s">
        <v>166</v>
      </c>
      <c r="BV68" s="193">
        <v>1.0</v>
      </c>
      <c r="BW68" s="193">
        <f>FLOOR((10-BQ68+BP68),1)</f>
        <v>71</v>
      </c>
      <c r="BX68" s="195" t="str">
        <f>'Программа тренировок '!T212</f>
        <v/>
      </c>
      <c r="BY68" s="152" t="s">
        <v>166</v>
      </c>
      <c r="BZ68" s="1">
        <v>3.0</v>
      </c>
      <c r="CA68" s="193">
        <f>FLOOR((10-BQ68+BP68)-2,1)</f>
        <v>69</v>
      </c>
    </row>
    <row r="69" ht="15.75" customHeight="1">
      <c r="L69" s="205" t="s">
        <v>185</v>
      </c>
      <c r="N69" s="1" t="str">
        <f>'Программа тренировок '!C115</f>
        <v/>
      </c>
      <c r="O69" s="1" t="str">
        <f>'Программа тренировок '!D115</f>
        <v/>
      </c>
      <c r="P69" s="193" t="str">
        <f>'Формулы'!I15</f>
        <v/>
      </c>
      <c r="Q69" s="152" t="s">
        <v>166</v>
      </c>
      <c r="R69" s="151">
        <v>1.0</v>
      </c>
      <c r="S69" s="1">
        <f>O68-2</f>
        <v>-2</v>
      </c>
      <c r="T69" s="191" t="str">
        <f>'Программа тренировок '!F158</f>
        <v/>
      </c>
      <c r="U69" s="152" t="s">
        <v>166</v>
      </c>
      <c r="V69" s="151">
        <v>4.0</v>
      </c>
      <c r="W69" s="151">
        <f t="shared" si="119"/>
        <v>5</v>
      </c>
      <c r="X69" s="152" t="s">
        <v>166</v>
      </c>
      <c r="Y69" s="151">
        <v>1.0</v>
      </c>
      <c r="Z69" s="151">
        <f>FLOOR((10-T68+S68)-1,1)</f>
        <v>7</v>
      </c>
      <c r="AA69" s="191" t="str">
        <f>'Программа тренировок '!M158</f>
        <v/>
      </c>
      <c r="AB69" s="152" t="s">
        <v>166</v>
      </c>
      <c r="AC69" s="1">
        <v>4.0</v>
      </c>
      <c r="AD69" s="153">
        <f>FLOOR((10-AA68+Z68)-2,1)</f>
        <v>15</v>
      </c>
      <c r="AE69" s="152" t="s">
        <v>166</v>
      </c>
      <c r="AF69" s="151">
        <v>1.0</v>
      </c>
      <c r="AG69" s="201">
        <f>FLOOR((10-AA68+Z68),1)</f>
        <v>17</v>
      </c>
      <c r="AH69" s="195" t="str">
        <f>'Программа тренировок '!T158</f>
        <v/>
      </c>
      <c r="AI69" s="152" t="s">
        <v>166</v>
      </c>
      <c r="AJ69" s="151">
        <v>3.0</v>
      </c>
      <c r="AK69" s="151">
        <f>FLOOR((10-AH68+AG68)-2,1)</f>
        <v>25</v>
      </c>
      <c r="AL69" s="152" t="s">
        <v>166</v>
      </c>
      <c r="AM69" s="151">
        <v>1.0</v>
      </c>
      <c r="AN69" s="151">
        <f>FLOOR((10-AH68+AG68)-2,1)</f>
        <v>25</v>
      </c>
      <c r="AO69" s="192" t="str">
        <f>'Программа тренировок '!F185</f>
        <v/>
      </c>
      <c r="AP69" s="152" t="s">
        <v>166</v>
      </c>
      <c r="AQ69" s="151">
        <v>4.0</v>
      </c>
      <c r="AR69" s="151">
        <f>FLOOR((10-AO68+AN68)-3,1)</f>
        <v>32</v>
      </c>
      <c r="AS69" s="152" t="s">
        <v>166</v>
      </c>
      <c r="AT69" s="151">
        <v>1.0</v>
      </c>
      <c r="AU69" s="193">
        <f>FLOOR((10-AO68+AN68)-1,1)</f>
        <v>34</v>
      </c>
      <c r="AV69" s="192" t="str">
        <f>'Программа тренировок '!M185</f>
        <v/>
      </c>
      <c r="AW69" s="152" t="s">
        <v>166</v>
      </c>
      <c r="AX69" s="1">
        <v>4.0</v>
      </c>
      <c r="AY69" s="193">
        <f>FLOOR((10-AV68+AU68)-2,1)</f>
        <v>42</v>
      </c>
      <c r="AZ69" s="152" t="s">
        <v>166</v>
      </c>
      <c r="BA69" s="193">
        <v>1.0</v>
      </c>
      <c r="BB69" s="193">
        <f>FLOOR((10-AV68+AU68),1)</f>
        <v>44</v>
      </c>
      <c r="BC69" s="192" t="str">
        <f>'Программа тренировок '!T185</f>
        <v/>
      </c>
      <c r="BD69" s="152" t="s">
        <v>166</v>
      </c>
      <c r="BE69" s="1">
        <v>3.0</v>
      </c>
      <c r="BF69" s="193">
        <f>FLOOR((10-BC68+BB68)-2,1)</f>
        <v>52</v>
      </c>
      <c r="BG69" s="152" t="s">
        <v>166</v>
      </c>
      <c r="BH69" s="193">
        <v>1.0</v>
      </c>
      <c r="BI69" s="193">
        <f>FLOOR((10-BC68+BB68)-2,1)</f>
        <v>52</v>
      </c>
      <c r="BJ69" s="195" t="str">
        <f>'Программа тренировок '!F212</f>
        <v/>
      </c>
      <c r="BK69" s="152" t="s">
        <v>166</v>
      </c>
      <c r="BL69" s="1">
        <v>4.0</v>
      </c>
      <c r="BM69" s="193">
        <f>FLOOR((10-BJ68+BI68)-3,1)</f>
        <v>59</v>
      </c>
      <c r="BN69" s="152" t="s">
        <v>166</v>
      </c>
      <c r="BO69" s="193">
        <v>1.0</v>
      </c>
      <c r="BP69" s="193">
        <f>FLOOR((10-BJ68+BI68)-1,1)</f>
        <v>61</v>
      </c>
      <c r="BQ69" s="195" t="str">
        <f>'Программа тренировок '!M212</f>
        <v/>
      </c>
      <c r="BR69" s="152" t="s">
        <v>166</v>
      </c>
      <c r="BS69" s="1">
        <v>3.0</v>
      </c>
      <c r="BT69" s="193">
        <f>FLOOR((10-BQ68+BP68)-2,1)</f>
        <v>69</v>
      </c>
      <c r="BU69" s="152" t="s">
        <v>166</v>
      </c>
      <c r="BV69" s="193">
        <v>1.0</v>
      </c>
      <c r="BW69" s="193">
        <f>FLOOR((10-BQ68+BP68),1)</f>
        <v>71</v>
      </c>
      <c r="BX69" s="195" t="str">
        <f>'Программа тренировок '!T212</f>
        <v/>
      </c>
      <c r="BY69" s="152" t="s">
        <v>166</v>
      </c>
      <c r="BZ69" s="1">
        <v>3.0</v>
      </c>
      <c r="CA69" s="193">
        <f>FLOOR((10-BQ68+BP68)-2,1)</f>
        <v>69</v>
      </c>
    </row>
    <row r="70" ht="15.75" customHeight="1">
      <c r="AD70" s="1"/>
      <c r="AE70" s="178"/>
      <c r="AF70" s="104"/>
      <c r="AG70" s="1"/>
      <c r="BR70" s="1"/>
    </row>
    <row r="71" ht="15.75" customHeight="1">
      <c r="AD71" s="1"/>
      <c r="AE71" s="178"/>
      <c r="AF71" s="104"/>
      <c r="AG71" s="1"/>
      <c r="BR71" s="1"/>
    </row>
    <row r="72" ht="15.75" customHeight="1"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R72" s="1"/>
    </row>
    <row r="73" ht="15.75" customHeight="1">
      <c r="L73" s="26"/>
      <c r="M73" s="1"/>
      <c r="N73" s="1"/>
      <c r="O73" s="1"/>
      <c r="P73" s="1"/>
      <c r="Q73" s="206"/>
      <c r="R73" s="206"/>
      <c r="S73" s="206"/>
      <c r="T73" s="206"/>
      <c r="U73" s="206"/>
      <c r="V73" s="206"/>
      <c r="W73" s="206"/>
      <c r="X73" s="206"/>
      <c r="Y73" s="206"/>
      <c r="Z73" s="206"/>
      <c r="AA73" s="206"/>
      <c r="AB73" s="206"/>
      <c r="AC73" s="206"/>
      <c r="AD73" s="206"/>
      <c r="AE73" s="206"/>
      <c r="AF73" s="206"/>
      <c r="AG73" s="206"/>
      <c r="AH73" s="1"/>
      <c r="AI73" s="206"/>
      <c r="AJ73" s="206"/>
      <c r="AK73" s="206"/>
      <c r="AL73" s="206"/>
      <c r="AM73" s="206"/>
      <c r="AN73" s="206"/>
      <c r="AO73" s="206"/>
      <c r="AP73" s="206"/>
      <c r="AQ73" s="206"/>
      <c r="AR73" s="1"/>
      <c r="AS73" s="1"/>
      <c r="AT73" s="1"/>
      <c r="AU73" s="1"/>
      <c r="AV73" s="1"/>
      <c r="AW73" s="1"/>
      <c r="AX73" s="1"/>
      <c r="AY73" s="1"/>
      <c r="AZ73" s="1"/>
      <c r="BA73" s="1"/>
      <c r="BR73" s="1"/>
    </row>
    <row r="74" ht="15.75" customHeight="1">
      <c r="L74" s="26"/>
      <c r="M74" s="6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R74" s="1"/>
    </row>
    <row r="75" ht="15.75" customHeight="1"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R75" s="1"/>
    </row>
    <row r="76" ht="15.75" customHeight="1">
      <c r="L76" s="26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R76" s="1"/>
    </row>
    <row r="77" ht="15.75" customHeight="1"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R77" s="1"/>
    </row>
    <row r="78" ht="15.75" customHeight="1"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R78" s="1"/>
    </row>
    <row r="79" ht="15.75" customHeight="1">
      <c r="L79" s="1"/>
      <c r="M79" s="1"/>
      <c r="N79" s="1"/>
      <c r="O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R79" s="1"/>
    </row>
    <row r="80" ht="15.75" customHeight="1">
      <c r="L80" s="1"/>
      <c r="M80" s="1"/>
      <c r="N80" s="1"/>
      <c r="O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R80" s="1"/>
    </row>
    <row r="81" ht="15.75" customHeight="1">
      <c r="L81" s="1"/>
      <c r="M81" s="1"/>
      <c r="N81" s="1"/>
      <c r="O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R81" s="1"/>
    </row>
    <row r="82" ht="15.75" customHeight="1">
      <c r="L82" s="1"/>
      <c r="M82" s="1"/>
      <c r="N82" s="1"/>
      <c r="O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R82" s="1"/>
    </row>
    <row r="83" ht="15.75" customHeight="1">
      <c r="L83" s="26"/>
      <c r="M83" s="1"/>
      <c r="N83" s="1"/>
      <c r="O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R83" s="1"/>
    </row>
    <row r="84" ht="15.75" customHeight="1"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R84" s="1"/>
    </row>
    <row r="85" ht="15.75" customHeight="1"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R85" s="1"/>
    </row>
    <row r="86" ht="15.75" customHeight="1">
      <c r="AD86" s="1"/>
      <c r="AE86" s="178"/>
      <c r="AF86" s="104"/>
      <c r="AG86" s="1"/>
      <c r="BR86" s="1"/>
    </row>
    <row r="87" ht="15.75" customHeight="1">
      <c r="AD87" s="1"/>
      <c r="AE87" s="178"/>
      <c r="AF87" s="104"/>
      <c r="AG87" s="1"/>
      <c r="BR87" s="1"/>
    </row>
    <row r="88" ht="15.75" customHeight="1">
      <c r="AC88" s="1"/>
      <c r="AD88" s="178"/>
      <c r="AE88" s="104"/>
      <c r="AF88" s="1"/>
      <c r="BR88" s="1"/>
    </row>
    <row r="89" ht="15.75" customHeight="1">
      <c r="AC89" s="1"/>
      <c r="AD89" s="178"/>
      <c r="AE89" s="104"/>
      <c r="AF89" s="1"/>
      <c r="BR89" s="1"/>
    </row>
    <row r="90" ht="15.75" customHeight="1">
      <c r="AC90" s="1"/>
      <c r="AD90" s="178"/>
      <c r="AE90" s="104"/>
      <c r="AF90" s="1"/>
      <c r="BR90" s="1"/>
    </row>
    <row r="91" ht="15.75" customHeight="1">
      <c r="N91" s="1"/>
      <c r="O91" s="80" t="s">
        <v>50</v>
      </c>
      <c r="P91" s="81"/>
      <c r="Q91" s="81"/>
      <c r="R91" s="81"/>
      <c r="S91" s="81"/>
      <c r="T91" s="81"/>
      <c r="U91" s="81"/>
      <c r="V91" s="81"/>
      <c r="W91" s="81"/>
      <c r="X91" s="82"/>
      <c r="AC91" s="1"/>
      <c r="AD91" s="178"/>
      <c r="AE91" s="104"/>
      <c r="AF91" s="1"/>
      <c r="BR91" s="1"/>
    </row>
    <row r="92" ht="15.75" customHeight="1">
      <c r="N92" s="84" t="s">
        <v>41</v>
      </c>
      <c r="O92" s="84">
        <v>1.0</v>
      </c>
      <c r="P92" s="84">
        <v>2.0</v>
      </c>
      <c r="Q92" s="84">
        <v>3.0</v>
      </c>
      <c r="R92" s="84">
        <v>4.0</v>
      </c>
      <c r="S92" s="84">
        <v>5.0</v>
      </c>
      <c r="T92" s="84">
        <v>6.0</v>
      </c>
      <c r="U92" s="84">
        <v>7.0</v>
      </c>
      <c r="V92" s="84">
        <v>8.0</v>
      </c>
      <c r="W92" s="84">
        <v>9.0</v>
      </c>
      <c r="X92" s="84">
        <v>10.0</v>
      </c>
      <c r="AC92" s="1"/>
      <c r="AD92" s="178"/>
      <c r="AE92" s="104"/>
      <c r="AF92" s="1"/>
      <c r="BR92" s="1"/>
    </row>
    <row r="93" ht="15.75" customHeight="1">
      <c r="N93" s="88">
        <v>10.0</v>
      </c>
      <c r="O93" s="89">
        <v>1.0</v>
      </c>
      <c r="P93" s="89">
        <v>0.96</v>
      </c>
      <c r="Q93" s="89">
        <v>0.92</v>
      </c>
      <c r="R93" s="89">
        <v>0.89</v>
      </c>
      <c r="S93" s="89">
        <v>0.86</v>
      </c>
      <c r="T93" s="89">
        <v>0.84</v>
      </c>
      <c r="U93" s="89">
        <v>0.81</v>
      </c>
      <c r="V93" s="89">
        <v>0.79</v>
      </c>
      <c r="W93" s="89">
        <v>0.76</v>
      </c>
      <c r="X93" s="89">
        <v>0.74</v>
      </c>
      <c r="AC93" s="1"/>
      <c r="AD93" s="178"/>
      <c r="AE93" s="104"/>
      <c r="AF93" s="1"/>
      <c r="BR93" s="1"/>
    </row>
    <row r="94" ht="15.75" customHeight="1">
      <c r="N94" s="88">
        <v>9.5</v>
      </c>
      <c r="O94" s="89">
        <v>0.98</v>
      </c>
      <c r="P94" s="89">
        <v>0.94</v>
      </c>
      <c r="Q94" s="89">
        <v>0.91</v>
      </c>
      <c r="R94" s="89">
        <v>0.88</v>
      </c>
      <c r="S94" s="89">
        <v>0.85</v>
      </c>
      <c r="T94" s="89">
        <v>0.82</v>
      </c>
      <c r="U94" s="89">
        <v>0.8</v>
      </c>
      <c r="V94" s="89">
        <v>0.77</v>
      </c>
      <c r="W94" s="89">
        <v>0.75</v>
      </c>
      <c r="X94" s="89">
        <v>0.72</v>
      </c>
      <c r="AC94" s="1"/>
      <c r="AD94" s="207"/>
      <c r="AE94" s="208"/>
      <c r="AF94" s="1"/>
      <c r="BR94" s="1"/>
    </row>
    <row r="95" ht="15.75" customHeight="1">
      <c r="N95" s="88">
        <v>9.0</v>
      </c>
      <c r="O95" s="89">
        <v>0.96</v>
      </c>
      <c r="P95" s="89">
        <v>0.92</v>
      </c>
      <c r="Q95" s="89">
        <v>0.89</v>
      </c>
      <c r="R95" s="89">
        <v>0.86</v>
      </c>
      <c r="S95" s="89">
        <v>0.84</v>
      </c>
      <c r="T95" s="89">
        <v>0.81</v>
      </c>
      <c r="U95" s="89">
        <v>0.79</v>
      </c>
      <c r="V95" s="89">
        <v>0.76</v>
      </c>
      <c r="W95" s="89">
        <v>0.74</v>
      </c>
      <c r="X95" s="89">
        <v>0.71</v>
      </c>
      <c r="BR95" s="1"/>
    </row>
    <row r="96" ht="15.75" customHeight="1">
      <c r="N96" s="88">
        <v>8.5</v>
      </c>
      <c r="O96" s="89">
        <v>0.94</v>
      </c>
      <c r="P96" s="89">
        <v>0.91</v>
      </c>
      <c r="Q96" s="89">
        <v>0.88</v>
      </c>
      <c r="R96" s="89">
        <v>0.85</v>
      </c>
      <c r="S96" s="89">
        <v>0.82</v>
      </c>
      <c r="T96" s="89">
        <v>0.8</v>
      </c>
      <c r="U96" s="89">
        <v>0.77</v>
      </c>
      <c r="V96" s="89">
        <v>0.75</v>
      </c>
      <c r="W96" s="89">
        <v>0.72</v>
      </c>
      <c r="X96" s="89">
        <v>0.69</v>
      </c>
      <c r="BR96" s="1"/>
    </row>
    <row r="97" ht="15.75" customHeight="1">
      <c r="N97" s="88">
        <v>8.0</v>
      </c>
      <c r="O97" s="89">
        <v>0.92</v>
      </c>
      <c r="P97" s="89">
        <v>0.89</v>
      </c>
      <c r="Q97" s="89">
        <v>0.86</v>
      </c>
      <c r="R97" s="89">
        <v>0.84</v>
      </c>
      <c r="S97" s="89">
        <v>0.81</v>
      </c>
      <c r="T97" s="89">
        <v>0.79</v>
      </c>
      <c r="U97" s="89">
        <v>0.76</v>
      </c>
      <c r="V97" s="89">
        <v>0.74</v>
      </c>
      <c r="W97" s="89">
        <v>0.71</v>
      </c>
      <c r="X97" s="89">
        <v>0.68</v>
      </c>
      <c r="BR97" s="1"/>
    </row>
    <row r="98" ht="15.75" customHeight="1">
      <c r="N98" s="88">
        <v>7.5</v>
      </c>
      <c r="O98" s="89">
        <v>0.91</v>
      </c>
      <c r="P98" s="89">
        <v>0.88</v>
      </c>
      <c r="Q98" s="89">
        <v>0.85</v>
      </c>
      <c r="R98" s="89">
        <v>0.82</v>
      </c>
      <c r="S98" s="89">
        <v>0.8</v>
      </c>
      <c r="T98" s="89">
        <v>0.77</v>
      </c>
      <c r="U98" s="89">
        <v>0.75</v>
      </c>
      <c r="V98" s="89">
        <v>0.72</v>
      </c>
      <c r="W98" s="89">
        <v>0.69</v>
      </c>
      <c r="X98" s="89">
        <v>0.67</v>
      </c>
      <c r="BR98" s="1"/>
    </row>
    <row r="99" ht="15.75" customHeight="1">
      <c r="N99" s="88">
        <v>7.0</v>
      </c>
      <c r="O99" s="89">
        <v>0.89</v>
      </c>
      <c r="P99" s="89">
        <v>0.86</v>
      </c>
      <c r="Q99" s="89">
        <v>0.84</v>
      </c>
      <c r="R99" s="89">
        <v>0.81</v>
      </c>
      <c r="S99" s="89">
        <v>0.79</v>
      </c>
      <c r="T99" s="89">
        <v>0.76</v>
      </c>
      <c r="U99" s="89">
        <v>0.74</v>
      </c>
      <c r="V99" s="89">
        <v>0.71</v>
      </c>
      <c r="W99" s="89">
        <v>0.68</v>
      </c>
      <c r="X99" s="89">
        <v>0.65</v>
      </c>
      <c r="BR99" s="1"/>
    </row>
    <row r="100" ht="15.75" customHeight="1">
      <c r="N100" s="88">
        <v>6.5</v>
      </c>
      <c r="O100" s="89">
        <v>0.88</v>
      </c>
      <c r="P100" s="89">
        <v>0.85</v>
      </c>
      <c r="Q100" s="89">
        <v>0.82</v>
      </c>
      <c r="R100" s="89">
        <v>0.8</v>
      </c>
      <c r="S100" s="89">
        <v>0.77</v>
      </c>
      <c r="T100" s="89">
        <v>0.75</v>
      </c>
      <c r="U100" s="89">
        <v>0.72</v>
      </c>
      <c r="V100" s="89">
        <v>0.69</v>
      </c>
      <c r="W100" s="89">
        <v>0.67</v>
      </c>
      <c r="X100" s="89">
        <v>0.64</v>
      </c>
      <c r="BR100" s="1"/>
    </row>
    <row r="101" ht="15.75" customHeight="1">
      <c r="BR101" s="1"/>
    </row>
    <row r="102" ht="15.75" customHeight="1">
      <c r="BR102" s="1"/>
    </row>
    <row r="103" ht="15.75" customHeight="1">
      <c r="BR103" s="1"/>
    </row>
    <row r="104" ht="15.75" customHeight="1">
      <c r="BR104" s="1"/>
    </row>
    <row r="105" ht="15.75" customHeight="1">
      <c r="BR105" s="1"/>
    </row>
    <row r="106" ht="15.75" customHeight="1">
      <c r="BR106" s="1"/>
    </row>
    <row r="107" ht="15.75" customHeight="1">
      <c r="BR107" s="1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N7:BT7"/>
    <mergeCell ref="BU7:CA7"/>
    <mergeCell ref="Q7:W7"/>
    <mergeCell ref="X7:AD7"/>
    <mergeCell ref="AE7:AK7"/>
    <mergeCell ref="AL7:AR7"/>
    <mergeCell ref="AS7:AY7"/>
    <mergeCell ref="AZ7:BF7"/>
    <mergeCell ref="BG7:BM7"/>
    <mergeCell ref="O91:X91"/>
  </mergeCells>
  <dataValidations>
    <dataValidation type="list" allowBlank="1" showErrorMessage="1" sqref="I11:I15 I19:I23 I27:I31">
      <formula1>'Коэффициенты'!$O$18:$O$22</formula1>
    </dataValidation>
  </dataValidations>
  <hyperlinks>
    <hyperlink r:id="rId1" ref="L9"/>
    <hyperlink r:id="rId2" ref="L10"/>
    <hyperlink r:id="rId3" ref="L11"/>
    <hyperlink r:id="rId4" ref="L13"/>
    <hyperlink r:id="rId5" ref="L14"/>
    <hyperlink r:id="rId6" ref="L15"/>
    <hyperlink r:id="rId7" ref="L17"/>
    <hyperlink r:id="rId8" ref="L18"/>
    <hyperlink r:id="rId9" ref="L19"/>
    <hyperlink r:id="rId10" ref="L21"/>
    <hyperlink r:id="rId11" ref="L24"/>
    <hyperlink r:id="rId12" ref="L25"/>
    <hyperlink r:id="rId13" ref="L26"/>
    <hyperlink r:id="rId14" ref="L28"/>
    <hyperlink r:id="rId15" ref="L29"/>
    <hyperlink r:id="rId16" ref="L30"/>
    <hyperlink r:id="rId17" ref="L33"/>
    <hyperlink r:id="rId18" ref="L36"/>
    <hyperlink r:id="rId19" ref="L37"/>
    <hyperlink r:id="rId20" ref="L38"/>
    <hyperlink r:id="rId21" ref="L40"/>
    <hyperlink r:id="rId22" ref="L41"/>
    <hyperlink r:id="rId23" ref="L44"/>
    <hyperlink r:id="rId24" ref="L45"/>
    <hyperlink r:id="rId25" ref="L48"/>
    <hyperlink r:id="rId26" ref="L54"/>
    <hyperlink r:id="rId27" ref="L55"/>
    <hyperlink r:id="rId28" ref="L59"/>
    <hyperlink r:id="rId29" ref="L60"/>
    <hyperlink r:id="rId30" ref="L61"/>
    <hyperlink r:id="rId31" ref="L64"/>
    <hyperlink r:id="rId32" ref="L65"/>
    <hyperlink r:id="rId33" ref="L68"/>
    <hyperlink r:id="rId34" ref="L69"/>
  </hyperlinks>
  <printOptions/>
  <pageMargins bottom="0.75" footer="0.0" header="0.0" left="0.7" right="0.7" top="0.75"/>
  <pageSetup paperSize="9" orientation="portrait"/>
  <drawing r:id="rId3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7.43"/>
    <col customWidth="1" min="9" max="19" width="8.71"/>
  </cols>
  <sheetData>
    <row r="2">
      <c r="C2" s="1">
        <v>1.0</v>
      </c>
      <c r="H2" s="6" t="s">
        <v>186</v>
      </c>
      <c r="I2" s="6" t="s">
        <v>187</v>
      </c>
      <c r="K2" s="6" t="s">
        <v>186</v>
      </c>
      <c r="L2" s="6" t="s">
        <v>187</v>
      </c>
    </row>
    <row r="3">
      <c r="C3" s="1">
        <v>2.0</v>
      </c>
      <c r="D3" s="1">
        <v>2.5</v>
      </c>
      <c r="E3" s="1">
        <v>3.0</v>
      </c>
      <c r="F3" s="1">
        <v>2.5</v>
      </c>
      <c r="H3" s="1">
        <f>IF('Программа тренировок '!D233="boosty.to/yetiblog", 4, 9)</f>
        <v>4</v>
      </c>
      <c r="I3" s="1">
        <f>100/92</f>
        <v>1.086956522</v>
      </c>
      <c r="K3" s="1">
        <v>4.0</v>
      </c>
      <c r="L3" s="1">
        <f>100/85</f>
        <v>1.176470588</v>
      </c>
      <c r="N3" s="1">
        <v>4.0</v>
      </c>
      <c r="O3" s="1">
        <f>100/97</f>
        <v>1.030927835</v>
      </c>
      <c r="Q3" s="1">
        <v>2.0</v>
      </c>
    </row>
    <row r="4">
      <c r="C4" s="1">
        <v>3.0</v>
      </c>
      <c r="D4" s="1">
        <v>5.0</v>
      </c>
      <c r="E4" s="1">
        <v>6.0</v>
      </c>
      <c r="F4" s="1">
        <v>3.0</v>
      </c>
      <c r="H4" s="1">
        <v>5.0</v>
      </c>
      <c r="I4" s="1">
        <f>100/89</f>
        <v>1.123595506</v>
      </c>
      <c r="K4" s="1">
        <v>5.0</v>
      </c>
      <c r="L4" s="1">
        <f>100/80</f>
        <v>1.25</v>
      </c>
      <c r="N4" s="1">
        <v>5.0</v>
      </c>
      <c r="O4" s="1">
        <f>100/95</f>
        <v>1.052631579</v>
      </c>
      <c r="Q4" s="1">
        <v>4.0</v>
      </c>
    </row>
    <row r="5">
      <c r="C5" s="1">
        <v>4.0</v>
      </c>
      <c r="D5" s="1">
        <v>7.5</v>
      </c>
      <c r="E5" s="1">
        <v>9.0</v>
      </c>
      <c r="F5" s="1">
        <v>5.0</v>
      </c>
      <c r="H5" s="1">
        <v>6.0</v>
      </c>
      <c r="I5" s="1" t="str">
        <f>IF('Программа тренировок '!B7=S154, 100/87, "")</f>
        <v/>
      </c>
      <c r="K5" s="1">
        <v>6.0</v>
      </c>
      <c r="L5" s="1">
        <f>100/75</f>
        <v>1.333333333</v>
      </c>
      <c r="N5" s="1">
        <v>6.0</v>
      </c>
      <c r="O5" s="1">
        <f>100/92</f>
        <v>1.086956522</v>
      </c>
      <c r="Q5" s="1">
        <v>6.0</v>
      </c>
    </row>
    <row r="6">
      <c r="C6" s="1">
        <v>5.0</v>
      </c>
      <c r="D6" s="1">
        <v>10.0</v>
      </c>
      <c r="F6" s="1">
        <v>6.0</v>
      </c>
      <c r="H6" s="1">
        <v>7.0</v>
      </c>
      <c r="I6" s="1">
        <f>100/85</f>
        <v>1.176470588</v>
      </c>
      <c r="K6" s="1">
        <v>7.0</v>
      </c>
      <c r="L6" s="1">
        <f>100/70</f>
        <v>1.428571429</v>
      </c>
      <c r="N6" s="209">
        <v>7.0</v>
      </c>
      <c r="O6" s="1" t="str">
        <f>IF('Программа тренировок '!B7=S154, 100/90,"")</f>
        <v/>
      </c>
    </row>
    <row r="7">
      <c r="C7" s="1">
        <v>6.0</v>
      </c>
      <c r="D7" s="1">
        <v>15.0</v>
      </c>
      <c r="F7" s="1">
        <v>7.5</v>
      </c>
      <c r="N7" s="210" t="str">
        <f>IF('Программа тренировок '!B232=S153, "8", "")</f>
        <v>8</v>
      </c>
      <c r="O7" s="1">
        <f>100/87</f>
        <v>1.149425287</v>
      </c>
    </row>
    <row r="8">
      <c r="C8" s="1">
        <v>7.0</v>
      </c>
      <c r="D8" s="1">
        <v>20.0</v>
      </c>
      <c r="F8" s="1">
        <v>9.0</v>
      </c>
      <c r="N8" s="1">
        <v>9.0</v>
      </c>
      <c r="O8" s="1">
        <f>100/85</f>
        <v>1.176470588</v>
      </c>
    </row>
    <row r="9">
      <c r="C9" s="1">
        <v>8.0</v>
      </c>
      <c r="F9" s="1">
        <v>10.0</v>
      </c>
      <c r="N9" s="1">
        <v>10.0</v>
      </c>
      <c r="O9" s="1">
        <f>100/83</f>
        <v>1.204819277</v>
      </c>
    </row>
    <row r="10">
      <c r="C10" s="1">
        <v>9.0</v>
      </c>
      <c r="F10" s="1">
        <v>15.0</v>
      </c>
      <c r="N10" s="1">
        <v>11.0</v>
      </c>
      <c r="O10" s="1">
        <f>100/81</f>
        <v>1.234567901</v>
      </c>
    </row>
    <row r="11">
      <c r="C11" s="1">
        <v>10.0</v>
      </c>
      <c r="F11" s="1">
        <v>20.0</v>
      </c>
      <c r="N11" s="1">
        <v>12.0</v>
      </c>
      <c r="O11" s="1">
        <f>100/79</f>
        <v>1.265822785</v>
      </c>
    </row>
    <row r="16">
      <c r="E16" s="1">
        <v>1.0</v>
      </c>
    </row>
    <row r="17">
      <c r="E17" s="1">
        <v>2.0</v>
      </c>
    </row>
    <row r="18">
      <c r="E18" s="1">
        <v>3.0</v>
      </c>
      <c r="O18" s="1">
        <v>1.0</v>
      </c>
    </row>
    <row r="19">
      <c r="E19" s="1">
        <v>4.0</v>
      </c>
      <c r="O19" s="1">
        <v>2.0</v>
      </c>
    </row>
    <row r="20">
      <c r="E20" s="1">
        <v>5.0</v>
      </c>
      <c r="O20" s="1">
        <v>2.5</v>
      </c>
    </row>
    <row r="21" ht="15.75" customHeight="1">
      <c r="E21" s="1">
        <v>6.0</v>
      </c>
      <c r="O21" s="1">
        <v>3.0</v>
      </c>
    </row>
    <row r="22" ht="15.75" customHeight="1">
      <c r="E22" s="1">
        <v>7.0</v>
      </c>
      <c r="O22" s="1">
        <v>5.0</v>
      </c>
    </row>
    <row r="23" ht="15.75" customHeight="1">
      <c r="E23" s="1">
        <v>8.0</v>
      </c>
    </row>
    <row r="24" ht="15.75" customHeight="1">
      <c r="E24" s="1">
        <v>9.0</v>
      </c>
    </row>
    <row r="25" ht="15.75" customHeight="1">
      <c r="E25" s="1">
        <v>10.0</v>
      </c>
    </row>
    <row r="26" ht="15.75" customHeight="1">
      <c r="E26" s="1">
        <v>11.0</v>
      </c>
    </row>
    <row r="27" ht="15.75" customHeight="1">
      <c r="E27" s="1">
        <v>12.0</v>
      </c>
    </row>
    <row r="28" ht="15.75" customHeight="1">
      <c r="E28" s="1">
        <v>13.0</v>
      </c>
    </row>
    <row r="29" ht="15.75" customHeight="1">
      <c r="E29" s="1">
        <v>14.0</v>
      </c>
    </row>
    <row r="30" ht="15.75" customHeight="1">
      <c r="E30" s="1">
        <v>15.0</v>
      </c>
    </row>
    <row r="31" ht="15.75" customHeight="1">
      <c r="E31" s="1">
        <v>16.0</v>
      </c>
    </row>
    <row r="32" ht="15.75" customHeight="1">
      <c r="E32" s="1">
        <v>17.0</v>
      </c>
    </row>
    <row r="33" ht="15.75" customHeight="1">
      <c r="E33" s="1">
        <v>18.0</v>
      </c>
    </row>
    <row r="34" ht="15.75" customHeight="1">
      <c r="E34" s="1">
        <v>19.0</v>
      </c>
    </row>
    <row r="35" ht="15.75" customHeight="1">
      <c r="E35" s="1">
        <v>20.0</v>
      </c>
    </row>
    <row r="36" ht="15.75" customHeight="1">
      <c r="E36" s="1">
        <v>21.0</v>
      </c>
    </row>
    <row r="37" ht="15.75" customHeight="1">
      <c r="E37" s="1">
        <v>22.0</v>
      </c>
    </row>
    <row r="38" ht="15.75" customHeight="1">
      <c r="E38" s="1">
        <v>23.0</v>
      </c>
    </row>
    <row r="39" ht="15.75" customHeight="1">
      <c r="E39" s="1">
        <v>24.0</v>
      </c>
    </row>
    <row r="40" ht="15.75" customHeight="1">
      <c r="E40" s="1">
        <v>25.0</v>
      </c>
    </row>
    <row r="41" ht="15.75" customHeight="1">
      <c r="E41" s="1">
        <v>26.0</v>
      </c>
    </row>
    <row r="42" ht="15.75" customHeight="1">
      <c r="E42" s="1">
        <v>27.0</v>
      </c>
    </row>
    <row r="43" ht="15.75" customHeight="1">
      <c r="E43" s="1">
        <v>28.0</v>
      </c>
    </row>
    <row r="44" ht="15.75" customHeight="1">
      <c r="E44" s="1">
        <v>29.0</v>
      </c>
    </row>
    <row r="45" ht="15.75" customHeight="1">
      <c r="E45" s="1">
        <v>30.0</v>
      </c>
    </row>
    <row r="46" ht="15.75" customHeight="1">
      <c r="E46" s="1">
        <v>31.0</v>
      </c>
    </row>
    <row r="47" ht="15.75" customHeight="1">
      <c r="E47" s="1">
        <v>32.0</v>
      </c>
    </row>
    <row r="48" ht="15.75" customHeight="1">
      <c r="E48" s="1">
        <v>33.0</v>
      </c>
    </row>
    <row r="49" ht="15.75" customHeight="1">
      <c r="E49" s="1">
        <v>34.0</v>
      </c>
    </row>
    <row r="50" ht="15.75" customHeight="1">
      <c r="E50" s="1">
        <v>35.0</v>
      </c>
    </row>
    <row r="51" ht="15.75" customHeight="1">
      <c r="E51" s="1">
        <v>36.0</v>
      </c>
    </row>
    <row r="52" ht="15.75" customHeight="1">
      <c r="E52" s="1">
        <v>37.0</v>
      </c>
    </row>
    <row r="53" ht="15.75" customHeight="1">
      <c r="E53" s="1">
        <v>38.0</v>
      </c>
    </row>
    <row r="54" ht="15.75" customHeight="1">
      <c r="E54" s="1">
        <v>39.0</v>
      </c>
    </row>
    <row r="55" ht="15.75" customHeight="1">
      <c r="E55" s="1">
        <v>40.0</v>
      </c>
    </row>
    <row r="56" ht="15.75" customHeight="1">
      <c r="E56" s="1">
        <v>41.0</v>
      </c>
    </row>
    <row r="57" ht="15.75" customHeight="1">
      <c r="E57" s="1">
        <v>42.0</v>
      </c>
    </row>
    <row r="58" ht="15.75" customHeight="1">
      <c r="E58" s="1">
        <v>43.0</v>
      </c>
    </row>
    <row r="59" ht="15.75" customHeight="1">
      <c r="E59" s="1">
        <v>44.0</v>
      </c>
    </row>
    <row r="60" ht="15.75" customHeight="1">
      <c r="E60" s="1">
        <v>45.0</v>
      </c>
    </row>
    <row r="61" ht="15.75" customHeight="1">
      <c r="E61" s="1">
        <v>46.0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>
      <c r="S153" s="1" t="s">
        <v>98</v>
      </c>
    </row>
    <row r="154" ht="15.75" customHeight="1">
      <c r="S154" s="1" t="s">
        <v>188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4">
      <c r="C4" s="211" t="s">
        <v>189</v>
      </c>
    </row>
    <row r="5">
      <c r="C5" s="212"/>
    </row>
    <row r="6">
      <c r="C6" s="213" t="s">
        <v>190</v>
      </c>
    </row>
    <row r="7">
      <c r="C7" s="212" t="s">
        <v>191</v>
      </c>
    </row>
    <row r="8">
      <c r="C8" s="213" t="s">
        <v>192</v>
      </c>
    </row>
    <row r="9">
      <c r="C9" s="213" t="s">
        <v>193</v>
      </c>
    </row>
    <row r="10">
      <c r="C10" s="213" t="s">
        <v>194</v>
      </c>
    </row>
    <row r="11">
      <c r="C11" s="213" t="s">
        <v>195</v>
      </c>
    </row>
    <row r="12">
      <c r="C12" s="213" t="s">
        <v>196</v>
      </c>
    </row>
    <row r="13">
      <c r="C13" s="213" t="s">
        <v>197</v>
      </c>
    </row>
    <row r="15">
      <c r="C15" s="214" t="s">
        <v>198</v>
      </c>
    </row>
    <row r="16">
      <c r="C16" s="214" t="s">
        <v>199</v>
      </c>
    </row>
    <row r="18">
      <c r="C18" s="7" t="s">
        <v>200</v>
      </c>
    </row>
    <row r="19">
      <c r="C19" s="5" t="s">
        <v>201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2017-11-22T10:19:40Z</dcterms:created>
  <dc:creator>RePack by Diakov</dc:creator>
</cp:coreProperties>
</file>