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ocuments\Job Applications\Tesla Preperation\Sale Engineering Internship\Case Study\Code\Useful Excel spreadsheets for presentation\Final Excel Files\"/>
    </mc:Choice>
  </mc:AlternateContent>
  <xr:revisionPtr revIDLastSave="0" documentId="8_{E872541B-C847-4F22-A319-E5309EA3AC20}" xr6:coauthVersionLast="47" xr6:coauthVersionMax="47" xr10:uidLastSave="{00000000-0000-0000-0000-000000000000}"/>
  <bookViews>
    <workbookView xWindow="-96" yWindow="-96" windowWidth="23232" windowHeight="12552" xr2:uid="{4D5A8EE2-A0B4-440F-908E-7FDC99BA0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1" l="1"/>
  <c r="R26" i="1"/>
  <c r="Q26" i="1"/>
  <c r="G36" i="1"/>
  <c r="J36" i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35" i="1"/>
  <c r="P17" i="1"/>
  <c r="U32" i="1"/>
  <c r="P4" i="1"/>
  <c r="P3" i="1"/>
  <c r="E29" i="1"/>
  <c r="D27" i="1"/>
  <c r="D26" i="1"/>
  <c r="D25" i="1"/>
  <c r="D23" i="1"/>
  <c r="D24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29" i="1"/>
  <c r="F27" i="1"/>
  <c r="G27" i="1" s="1"/>
  <c r="H27" i="1" s="1"/>
  <c r="F26" i="1"/>
  <c r="G26" i="1" s="1"/>
  <c r="H26" i="1" s="1"/>
  <c r="F25" i="1"/>
  <c r="G25" i="1" s="1"/>
  <c r="F24" i="1"/>
  <c r="G24" i="1" s="1"/>
  <c r="F23" i="1"/>
  <c r="G23" i="1" s="1"/>
  <c r="H23" i="1" s="1"/>
  <c r="F22" i="1"/>
  <c r="G22" i="1" s="1"/>
  <c r="H22" i="1" s="1"/>
  <c r="F21" i="1"/>
  <c r="G21" i="1" s="1"/>
  <c r="F20" i="1"/>
  <c r="G20" i="1" s="1"/>
  <c r="F19" i="1"/>
  <c r="G19" i="1" s="1"/>
  <c r="H19" i="1" s="1"/>
  <c r="F18" i="1"/>
  <c r="G18" i="1" s="1"/>
  <c r="H18" i="1" s="1"/>
  <c r="F17" i="1"/>
  <c r="G17" i="1" s="1"/>
  <c r="F16" i="1"/>
  <c r="G16" i="1" s="1"/>
  <c r="F15" i="1"/>
  <c r="G15" i="1" s="1"/>
  <c r="H15" i="1" s="1"/>
  <c r="F14" i="1"/>
  <c r="G14" i="1" s="1"/>
  <c r="H14" i="1" s="1"/>
  <c r="F13" i="1"/>
  <c r="G13" i="1" s="1"/>
  <c r="F12" i="1"/>
  <c r="G12" i="1" s="1"/>
  <c r="F11" i="1"/>
  <c r="G11" i="1" s="1"/>
  <c r="H11" i="1" s="1"/>
  <c r="F10" i="1"/>
  <c r="G10" i="1" s="1"/>
  <c r="H10" i="1" s="1"/>
  <c r="F9" i="1"/>
  <c r="G9" i="1" s="1"/>
  <c r="F8" i="1"/>
  <c r="G8" i="1" s="1"/>
  <c r="F7" i="1"/>
  <c r="G7" i="1" s="1"/>
  <c r="H7" i="1" s="1"/>
  <c r="F6" i="1"/>
  <c r="G6" i="1" s="1"/>
  <c r="H6" i="1" s="1"/>
  <c r="F5" i="1"/>
  <c r="G5" i="1" s="1"/>
  <c r="F4" i="1"/>
  <c r="G4" i="1" s="1"/>
  <c r="X15" i="1" l="1"/>
  <c r="D29" i="1"/>
  <c r="G29" i="1"/>
  <c r="F29" i="1"/>
  <c r="H12" i="1"/>
  <c r="H24" i="1"/>
  <c r="H9" i="1"/>
  <c r="H17" i="1"/>
  <c r="H25" i="1"/>
  <c r="H16" i="1"/>
  <c r="H4" i="1"/>
  <c r="H20" i="1"/>
  <c r="H8" i="1"/>
  <c r="H21" i="1"/>
  <c r="H13" i="1"/>
  <c r="H5" i="1"/>
  <c r="P14" i="1" l="1"/>
  <c r="P7" i="1"/>
  <c r="X25" i="1"/>
  <c r="P9" i="1" s="1"/>
  <c r="H29" i="1"/>
  <c r="X7" i="1" s="1"/>
  <c r="P8" i="1" l="1"/>
  <c r="P20" i="1" s="1"/>
  <c r="P15" i="1"/>
  <c r="I13" i="1"/>
  <c r="J13" i="1" s="1"/>
  <c r="K13" i="1" s="1"/>
  <c r="L13" i="1" s="1"/>
  <c r="I22" i="1"/>
  <c r="J22" i="1" s="1"/>
  <c r="K22" i="1" s="1"/>
  <c r="L22" i="1" s="1"/>
  <c r="I19" i="1"/>
  <c r="J19" i="1" s="1"/>
  <c r="K19" i="1" s="1"/>
  <c r="L19" i="1" s="1"/>
  <c r="I12" i="1"/>
  <c r="J12" i="1" s="1"/>
  <c r="K12" i="1" s="1"/>
  <c r="L12" i="1" s="1"/>
  <c r="I11" i="1"/>
  <c r="J11" i="1" s="1"/>
  <c r="K11" i="1" s="1"/>
  <c r="L11" i="1" s="1"/>
  <c r="I10" i="1"/>
  <c r="J10" i="1" s="1"/>
  <c r="K10" i="1" s="1"/>
  <c r="L10" i="1" s="1"/>
  <c r="I9" i="1"/>
  <c r="J9" i="1" s="1"/>
  <c r="K9" i="1" s="1"/>
  <c r="L9" i="1" s="1"/>
  <c r="I16" i="1"/>
  <c r="J16" i="1" s="1"/>
  <c r="K16" i="1" s="1"/>
  <c r="L16" i="1" s="1"/>
  <c r="I17" i="1"/>
  <c r="J17" i="1" s="1"/>
  <c r="K17" i="1" s="1"/>
  <c r="L17" i="1" s="1"/>
  <c r="I15" i="1"/>
  <c r="J15" i="1" s="1"/>
  <c r="K15" i="1" s="1"/>
  <c r="L15" i="1" s="1"/>
  <c r="I20" i="1"/>
  <c r="J20" i="1" s="1"/>
  <c r="K20" i="1" s="1"/>
  <c r="L20" i="1" s="1"/>
  <c r="I18" i="1"/>
  <c r="J18" i="1" s="1"/>
  <c r="K18" i="1" s="1"/>
  <c r="L18" i="1" s="1"/>
  <c r="I14" i="1"/>
  <c r="J14" i="1" s="1"/>
  <c r="K14" i="1" s="1"/>
  <c r="L14" i="1" s="1"/>
  <c r="I21" i="1"/>
  <c r="J21" i="1" s="1"/>
  <c r="K21" i="1" s="1"/>
  <c r="L21" i="1" s="1"/>
  <c r="I4" i="1"/>
  <c r="J4" i="1" s="1"/>
  <c r="K4" i="1" s="1"/>
  <c r="L4" i="1" s="1"/>
  <c r="I5" i="1"/>
  <c r="I6" i="1"/>
  <c r="J6" i="1" s="1"/>
  <c r="K6" i="1" s="1"/>
  <c r="L6" i="1" s="1"/>
  <c r="I23" i="1"/>
  <c r="I7" i="1"/>
  <c r="I26" i="1"/>
  <c r="I25" i="1"/>
  <c r="I24" i="1"/>
  <c r="I8" i="1"/>
  <c r="I27" i="1"/>
  <c r="J27" i="1" s="1"/>
  <c r="K27" i="1" s="1"/>
  <c r="L27" i="1" s="1"/>
  <c r="J24" i="1" l="1"/>
  <c r="K24" i="1" s="1"/>
  <c r="L24" i="1" s="1"/>
  <c r="J25" i="1"/>
  <c r="K25" i="1" s="1"/>
  <c r="L25" i="1" s="1"/>
  <c r="J26" i="1"/>
  <c r="K26" i="1" s="1"/>
  <c r="L26" i="1" s="1"/>
  <c r="J7" i="1"/>
  <c r="K7" i="1" s="1"/>
  <c r="L7" i="1" s="1"/>
  <c r="J23" i="1"/>
  <c r="K23" i="1" s="1"/>
  <c r="L23" i="1" s="1"/>
  <c r="J5" i="1"/>
  <c r="K5" i="1" s="1"/>
  <c r="J8" i="1"/>
  <c r="K8" i="1" s="1"/>
  <c r="L8" i="1" s="1"/>
  <c r="K31" i="1" l="1"/>
  <c r="L5" i="1"/>
  <c r="L31" i="1" s="1"/>
  <c r="J29" i="1"/>
  <c r="K29" i="1"/>
  <c r="U35" i="1" l="1"/>
  <c r="U36" i="1" s="1"/>
  <c r="P16" i="1" s="1"/>
  <c r="P21" i="1" s="1"/>
</calcChain>
</file>

<file path=xl/sharedStrings.xml><?xml version="1.0" encoding="utf-8"?>
<sst xmlns="http://schemas.openxmlformats.org/spreadsheetml/2006/main" count="91" uniqueCount="79">
  <si>
    <t>Hour</t>
  </si>
  <si>
    <t>cost of fuel</t>
  </si>
  <si>
    <t>multiplying factor</t>
  </si>
  <si>
    <t>kw production</t>
  </si>
  <si>
    <t>TOTAL ENERGY</t>
  </si>
  <si>
    <t>Buffer:</t>
  </si>
  <si>
    <t>Cost of panel</t>
  </si>
  <si>
    <t>Cost of batteries</t>
  </si>
  <si>
    <t>cost of generator</t>
  </si>
  <si>
    <t>Operating Costs</t>
  </si>
  <si>
    <t>Solar</t>
  </si>
  <si>
    <t>Battery</t>
  </si>
  <si>
    <t>Battery charge spread out</t>
  </si>
  <si>
    <t>Generator Energy Demand</t>
  </si>
  <si>
    <t>#CONSTNATS</t>
  </si>
  <si>
    <t>#Battery Specs</t>
  </si>
  <si>
    <t>#Solar Panel Specs</t>
  </si>
  <si>
    <t>#Inverter Specs</t>
  </si>
  <si>
    <t>#Charge Controller Specs</t>
  </si>
  <si>
    <t>Multiplying factor</t>
  </si>
  <si>
    <t>Cost Comparison</t>
  </si>
  <si>
    <t>multiplying factor:</t>
  </si>
  <si>
    <t>Cost/year</t>
  </si>
  <si>
    <t>Cost/Year</t>
  </si>
  <si>
    <t>Equipment</t>
  </si>
  <si>
    <t>COST OF MODEL / Year</t>
  </si>
  <si>
    <t xml:space="preserve">battery_capacity = </t>
  </si>
  <si>
    <t xml:space="preserve">battery_cost = </t>
  </si>
  <si>
    <t xml:space="preserve">battery_dc_voltage = </t>
  </si>
  <si>
    <t>battery_maintenance =</t>
  </si>
  <si>
    <t xml:space="preserve">panel_cost = </t>
  </si>
  <si>
    <t xml:space="preserve">panel_maintenance = </t>
  </si>
  <si>
    <t>panel_wattage =</t>
  </si>
  <si>
    <t xml:space="preserve">efficiency = </t>
  </si>
  <si>
    <t xml:space="preserve">inverter_cost = </t>
  </si>
  <si>
    <t>inverter_maintenance =</t>
  </si>
  <si>
    <t>controller_cost =</t>
  </si>
  <si>
    <t xml:space="preserve">controller_maintenance = </t>
  </si>
  <si>
    <t xml:space="preserve">controller_amperage = </t>
  </si>
  <si>
    <t>Number of panels</t>
  </si>
  <si>
    <t>Number of batteries</t>
  </si>
  <si>
    <t>Number of inverters</t>
  </si>
  <si>
    <t>Number of controllers</t>
  </si>
  <si>
    <t>#Generators</t>
  </si>
  <si>
    <t>Generator cost</t>
  </si>
  <si>
    <t>Generator maintenance</t>
  </si>
  <si>
    <t>unit</t>
  </si>
  <si>
    <t>kW</t>
  </si>
  <si>
    <t>$</t>
  </si>
  <si>
    <t>$/year</t>
  </si>
  <si>
    <t>V</t>
  </si>
  <si>
    <t>A</t>
  </si>
  <si>
    <t>Initial Cost</t>
  </si>
  <si>
    <t>Cost of controller</t>
  </si>
  <si>
    <t>Number of generators</t>
  </si>
  <si>
    <t>Max Generator Demand</t>
  </si>
  <si>
    <t>Fuel/year</t>
  </si>
  <si>
    <t>(full capacity)</t>
  </si>
  <si>
    <t>Fuel rate (gallons/hour)</t>
  </si>
  <si>
    <t>gallons/hour</t>
  </si>
  <si>
    <t>$/gallon</t>
  </si>
  <si>
    <t>Number of hour Generator is operating</t>
  </si>
  <si>
    <t xml:space="preserve">Generator running? </t>
  </si>
  <si>
    <t>hours</t>
  </si>
  <si>
    <t>Hours/year</t>
  </si>
  <si>
    <t>Generator Fuel</t>
  </si>
  <si>
    <t>Generator Maintenance</t>
  </si>
  <si>
    <t>No solar or battery</t>
  </si>
  <si>
    <t>All solar and battery, no generator</t>
  </si>
  <si>
    <t>Total operation cost for 25 years</t>
  </si>
  <si>
    <t>Total Cost of Trial for 25 years</t>
  </si>
  <si>
    <t>Load Demand (kW)</t>
  </si>
  <si>
    <t>Array Output (kW)</t>
  </si>
  <si>
    <t>Generator Output (kW)</t>
  </si>
  <si>
    <t>Load Demand with Buffer (kW)</t>
  </si>
  <si>
    <t>TOTAL</t>
  </si>
  <si>
    <t>Battery Charging</t>
  </si>
  <si>
    <t>Multiplying Factor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</si>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</sst>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4" fillId="0" borderId="0" xfId="0" applyFont="1"/>
    <xf numFmtId="0" fontId="0" fillId="0" borderId="0" xfId="0" applyFont="1"/>
    <xf numFmtId="1" fontId="0" fillId="0" borderId="0" xfId="0" applyNumberFormat="1"/>
    <xf numFmtId="44" fontId="0" fillId="0" borderId="0" xfId="1" applyFont="1"/>
    <xf numFmtId="44" fontId="0" fillId="0" borderId="0" xfId="1" applyFont="1" applyAlignment="1">
      <alignment horizontal="right"/>
    </xf>
    <xf numFmtId="44" fontId="0" fillId="0" borderId="0" xfId="0" applyNumberFormat="1"/>
    <xf numFmtId="0" fontId="2" fillId="0" borderId="2" xfId="0" applyFont="1" applyBorder="1"/>
    <xf numFmtId="44" fontId="2" fillId="0" borderId="3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Hybrid Model Energy</a:t>
            </a:r>
            <a:r>
              <a:rPr lang="en-CA" sz="2000" baseline="0"/>
              <a:t> Production n=6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Load Demand (kW)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Sheet1!$C$4:$C$27</c:f>
              <c:numCache>
                <c:formatCode>General</c:formatCode>
                <c:ptCount val="24"/>
                <c:pt idx="0">
                  <c:v>278.39999999999998</c:v>
                </c:pt>
                <c:pt idx="1">
                  <c:v>276.2</c:v>
                </c:pt>
                <c:pt idx="2">
                  <c:v>274.10000000000002</c:v>
                </c:pt>
                <c:pt idx="3">
                  <c:v>271</c:v>
                </c:pt>
                <c:pt idx="4">
                  <c:v>269.3</c:v>
                </c:pt>
                <c:pt idx="5">
                  <c:v>279.7</c:v>
                </c:pt>
                <c:pt idx="6">
                  <c:v>311.8</c:v>
                </c:pt>
                <c:pt idx="7">
                  <c:v>299.3</c:v>
                </c:pt>
                <c:pt idx="8">
                  <c:v>302.3</c:v>
                </c:pt>
                <c:pt idx="9">
                  <c:v>313.2</c:v>
                </c:pt>
                <c:pt idx="10">
                  <c:v>321.3</c:v>
                </c:pt>
                <c:pt idx="11">
                  <c:v>322.5</c:v>
                </c:pt>
                <c:pt idx="12">
                  <c:v>345</c:v>
                </c:pt>
                <c:pt idx="13">
                  <c:v>336.7</c:v>
                </c:pt>
                <c:pt idx="14">
                  <c:v>329.1</c:v>
                </c:pt>
                <c:pt idx="15">
                  <c:v>325.5</c:v>
                </c:pt>
                <c:pt idx="16">
                  <c:v>315.89999999999998</c:v>
                </c:pt>
                <c:pt idx="17">
                  <c:v>318.3</c:v>
                </c:pt>
                <c:pt idx="18">
                  <c:v>328.1</c:v>
                </c:pt>
                <c:pt idx="19">
                  <c:v>364.6</c:v>
                </c:pt>
                <c:pt idx="20">
                  <c:v>339.9</c:v>
                </c:pt>
                <c:pt idx="21">
                  <c:v>315.60000000000002</c:v>
                </c:pt>
                <c:pt idx="22">
                  <c:v>308.10000000000002</c:v>
                </c:pt>
                <c:pt idx="23">
                  <c:v>288.10000000000002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B-42A8-888B-FA109573C0D7}"/>
            </c:ext>
          </c:extLst>
        </c:ser>
        <c:ser>
          <c:idx val="2"/>
          <c:order val="1"/>
          <c:tx>
            <c:strRef>
              <c:f>Sheet1!$G$3</c:f>
              <c:strCache>
                <c:ptCount val="1"/>
                <c:pt idx="0">
                  <c:v>Array Output (kW)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Sheet1!$G$4:$G$27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13.399999999999999</c:v>
                </c:pt>
                <c:pt idx="6">
                  <c:v>73.800000000000011</c:v>
                </c:pt>
                <c:pt idx="7">
                  <c:v>182.7</c:v>
                </c:pt>
                <c:pt idx="8">
                  <c:v>293.89999999999998</c:v>
                </c:pt>
                <c:pt idx="9">
                  <c:v>371.40000000000009</c:v>
                </c:pt>
                <c:pt idx="10">
                  <c:v>416.85</c:v>
                </c:pt>
                <c:pt idx="11">
                  <c:v>439.65</c:v>
                </c:pt>
                <c:pt idx="12">
                  <c:v>433.65</c:v>
                </c:pt>
                <c:pt idx="13">
                  <c:v>395.94999999999993</c:v>
                </c:pt>
                <c:pt idx="14">
                  <c:v>324.55</c:v>
                </c:pt>
                <c:pt idx="15">
                  <c:v>220.55</c:v>
                </c:pt>
                <c:pt idx="16">
                  <c:v>100.80000000000001</c:v>
                </c:pt>
                <c:pt idx="17">
                  <c:v>25.350000000000009</c:v>
                </c:pt>
                <c:pt idx="18">
                  <c:v>5.6499999999999995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9B-42A8-888B-FA109573C0D7}"/>
            </c:ext>
          </c:extLst>
        </c:ser>
        <c:ser>
          <c:idx val="3"/>
          <c:order val="2"/>
          <c:tx>
            <c:strRef>
              <c:f>Sheet1!$H$3</c:f>
              <c:strCache>
                <c:ptCount val="1"/>
                <c:pt idx="0">
                  <c:v>Battery Charging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58.200000000000102</c:v>
                </c:pt>
                <c:pt idx="10">
                  <c:v>95.550000000000011</c:v>
                </c:pt>
                <c:pt idx="11">
                  <c:v>117.14999999999998</c:v>
                </c:pt>
                <c:pt idx="12">
                  <c:v>88.649999999999977</c:v>
                </c:pt>
                <c:pt idx="13">
                  <c:v>59.249999999999943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9B-42A8-888B-FA109573C0D7}"/>
            </c:ext>
          </c:extLst>
        </c:ser>
        <c:ser>
          <c:idx val="4"/>
          <c:order val="3"/>
          <c:tx>
            <c:strRef>
              <c:f>Sheet1!$K$3</c:f>
              <c:strCache>
                <c:ptCount val="1"/>
                <c:pt idx="0">
                  <c:v>Generator Output (kW)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Sheet1!$K$4:$K$27</c:f>
              <c:numCache>
                <c:formatCode>General</c:formatCode>
                <c:ptCount val="24"/>
                <c:pt idx="0">
                  <c:v>299.29919999999998</c:v>
                </c:pt>
                <c:pt idx="1">
                  <c:v>296.60309999999998</c:v>
                </c:pt>
                <c:pt idx="2">
                  <c:v>294.02955000000003</c:v>
                </c:pt>
                <c:pt idx="3">
                  <c:v>290.23050000000001</c:v>
                </c:pt>
                <c:pt idx="4">
                  <c:v>288.14715000000001</c:v>
                </c:pt>
                <c:pt idx="5">
                  <c:v>329.37235000000004</c:v>
                </c:pt>
                <c:pt idx="6">
                  <c:v>308.3109</c:v>
                </c:pt>
                <c:pt idx="7">
                  <c:v>184.09215000000006</c:v>
                </c:pt>
                <c:pt idx="8">
                  <c:v>76.568650000000048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78.762050000000045</c:v>
                </c:pt>
                <c:pt idx="15">
                  <c:v>178.35025000000002</c:v>
                </c:pt>
                <c:pt idx="16">
                  <c:v>286.33544999999998</c:v>
                </c:pt>
                <c:pt idx="17">
                  <c:v>364.72665000000001</c:v>
                </c:pt>
                <c:pt idx="18">
                  <c:v>396.43655000000007</c:v>
                </c:pt>
                <c:pt idx="19">
                  <c:v>404.93730000000005</c:v>
                </c:pt>
                <c:pt idx="20">
                  <c:v>374.66744999999997</c:v>
                </c:pt>
                <c:pt idx="21">
                  <c:v>344.88780000000003</c:v>
                </c:pt>
                <c:pt idx="22">
                  <c:v>335.69655000000006</c:v>
                </c:pt>
                <c:pt idx="23">
                  <c:v>311.18655000000007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9B-42A8-888B-FA109573C0D7}"/>
            </c:ext>
          </c:extLst>
        </c:ser>
        <c:ser>
          <c:idx val="1"/>
          <c:order val="4"/>
          <c:tx>
            <c:strRef>
              <c:f>Sheet1!$D$3</c:f>
              <c:strCache>
                <c:ptCount val="1"/>
                <c:pt idx="0">
                  <c:v>Load Demand with Buffer 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Sheet1!$D$4:$D$27</c:f>
              <c:numCache>
                <c:formatCode>General</c:formatCode>
                <c:ptCount val="24"/>
                <c:pt idx="0">
                  <c:v>341.17919999999998</c:v>
                </c:pt>
                <c:pt idx="1">
                  <c:v>338.48309999999998</c:v>
                </c:pt>
                <c:pt idx="2">
                  <c:v>335.90955000000002</c:v>
                </c:pt>
                <c:pt idx="3">
                  <c:v>332.1105</c:v>
                </c:pt>
                <c:pt idx="4">
                  <c:v>330.02715000000001</c:v>
                </c:pt>
                <c:pt idx="5">
                  <c:v>342.77235000000002</c:v>
                </c:pt>
                <c:pt idx="6">
                  <c:v>382.11090000000002</c:v>
                </c:pt>
                <c:pt idx="7">
                  <c:v>366.79215000000005</c:v>
                </c:pt>
                <c:pt idx="8">
                  <c:v>370.46865000000003</c:v>
                </c:pt>
                <c:pt idx="9">
                  <c:v>383.82659999999998</c:v>
                </c:pt>
                <c:pt idx="10">
                  <c:v>393.75315000000001</c:v>
                </c:pt>
                <c:pt idx="11">
                  <c:v>395.22375</c:v>
                </c:pt>
                <c:pt idx="12">
                  <c:v>422.79750000000001</c:v>
                </c:pt>
                <c:pt idx="13">
                  <c:v>412.62585000000001</c:v>
                </c:pt>
                <c:pt idx="14">
                  <c:v>403.31205000000006</c:v>
                </c:pt>
                <c:pt idx="15">
                  <c:v>398.90025000000003</c:v>
                </c:pt>
                <c:pt idx="16">
                  <c:v>387.13544999999999</c:v>
                </c:pt>
                <c:pt idx="17">
                  <c:v>390.07665000000003</c:v>
                </c:pt>
                <c:pt idx="18">
                  <c:v>402.08655000000005</c:v>
                </c:pt>
                <c:pt idx="19">
                  <c:v>446.81730000000005</c:v>
                </c:pt>
                <c:pt idx="20">
                  <c:v>416.54744999999997</c:v>
                </c:pt>
                <c:pt idx="21">
                  <c:v>386.76780000000002</c:v>
                </c:pt>
                <c:pt idx="22">
                  <c:v>377.57655000000005</c:v>
                </c:pt>
                <c:pt idx="23">
                  <c:v>353.06655000000006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9B-42A8-888B-FA109573C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02703"/>
        <c:axId val="751301039"/>
      </c:scatterChart>
      <c:valAx>
        <c:axId val="751302703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Hours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01039"/>
        <c:crosses val="autoZero"/>
        <c:crossBetween val="midCat"/>
        <c:majorUnit val="1"/>
      </c:valAx>
      <c:valAx>
        <c:axId val="75130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02703"/>
        <c:crosses val="autoZero"/>
        <c:crossBetween val="midCat"/>
      </c:valAx>
      <c:spPr>
        <a:noFill/>
        <a:ln>
          <a:solidFill>
            <a:schemeClr val="bg1">
              <a:lumMod val="50000"/>
              <a:alpha val="99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Sheet1!$D$53:$D$63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Sheet1!$E$53:$E$63</c:f>
              <c:numCache>
                <c:formatCode>General</c:formatCode>
                <c:ptCount val="11"/>
                <c:pt idx="0">
                  <c:v>5309944.37</c:v>
                </c:pt>
                <c:pt idx="1">
                  <c:v>5392458.1900000004</c:v>
                </c:pt>
                <c:pt idx="2">
                  <c:v>5474495.4900000002</c:v>
                </c:pt>
                <c:pt idx="3">
                  <c:v>5557009.3200000003</c:v>
                </c:pt>
                <c:pt idx="4">
                  <c:v>5639046.6200000001</c:v>
                </c:pt>
                <c:pt idx="5">
                  <c:v>5607269.8899999997</c:v>
                </c:pt>
                <c:pt idx="6">
                  <c:v>5202797.08</c:v>
                </c:pt>
                <c:pt idx="7">
                  <c:v>5232340.5199999996</c:v>
                </c:pt>
                <c:pt idx="8">
                  <c:v>5637680.9699999997</c:v>
                </c:pt>
                <c:pt idx="9">
                  <c:v>6042529.8899999997</c:v>
                </c:pt>
                <c:pt idx="10">
                  <c:v>6294449.29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5-435A-A4B6-4C8E7E72D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59439"/>
        <c:axId val="419171919"/>
      </c:scatterChart>
      <c:valAx>
        <c:axId val="41915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71919"/>
        <c:crosses val="autoZero"/>
        <c:crossBetween val="midCat"/>
      </c:valAx>
      <c:valAx>
        <c:axId val="419171919"/>
        <c:scaling>
          <c:orientation val="minMax"/>
          <c:min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5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1381372</xdr:colOff>
      <xdr:row>38</xdr:row>
      <xdr:rowOff>138547</xdr:rowOff>
    </xdr:from>
    <xdr:to>
      <xdr:col>30</xdr:col>
      <xdr:colOff>419446</xdr:colOff>
      <xdr:row>68</xdr:row>
      <xdr:rowOff>63978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696BB1-185C-402C-AED3-8A51CFBEE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1709738</xdr:colOff>
      <xdr:row>39</xdr:row>
      <xdr:rowOff>57150</xdr:rowOff>
    </xdr:from>
    <xdr:to>
      <xdr:col>19</xdr:col>
      <xdr:colOff>1381125</xdr:colOff>
      <xdr:row>72</xdr:row>
      <xdr:rowOff>128588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D8C8C4-61CE-4443-AD6F-6E8761E98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19A7-6DE6-4038-B08F-195C5944A38B}">
  <dimension ref="A1:X170"/>
  <sheetViews>
    <sheetView tabSelected="1" zoomScale="40" zoomScaleNormal="40" workbookViewId="0">
      <selection activeCell="I60" sqref="I60"/>
    </sheetView>
  </sheetViews>
  <sheetFormatPr defaultRowHeight="14.4" x14ac:dyDescent="0.55000000000000004"/>
  <cols>
    <col min="3" max="3" width="15.578125" bestFit="1" customWidth="1"/>
    <col min="5" max="5" width="14.3125" bestFit="1" customWidth="1"/>
    <col min="6" max="6" width="11.7890625" bestFit="1" customWidth="1"/>
    <col min="7" max="7" width="16.89453125" customWidth="1"/>
    <col min="10" max="10" width="22.3671875" bestFit="1" customWidth="1"/>
    <col min="11" max="11" width="25.41796875" bestFit="1" customWidth="1"/>
    <col min="12" max="12" width="10.89453125" customWidth="1"/>
    <col min="13" max="13" width="23.83984375" bestFit="1" customWidth="1"/>
    <col min="15" max="15" width="14.578125" bestFit="1" customWidth="1"/>
    <col min="16" max="16" width="14.3125" bestFit="1" customWidth="1"/>
    <col min="17" max="18" width="13.3125" bestFit="1" customWidth="1"/>
    <col min="20" max="20" width="32.9453125" bestFit="1" customWidth="1"/>
    <col min="22" max="22" width="12.7890625" bestFit="1" customWidth="1"/>
    <col min="23" max="23" width="18.734375" bestFit="1" customWidth="1"/>
    <col min="24" max="24" width="15" bestFit="1" customWidth="1"/>
    <col min="29" max="29" width="14.578125" bestFit="1" customWidth="1"/>
  </cols>
  <sheetData>
    <row r="1" spans="2:24" ht="14.7" thickBot="1" x14ac:dyDescent="0.6">
      <c r="C1" t="s">
        <v>5</v>
      </c>
      <c r="F1">
        <v>1.2255</v>
      </c>
    </row>
    <row r="2" spans="2:24" ht="18.600000000000001" thickBot="1" x14ac:dyDescent="0.75">
      <c r="C2" t="s">
        <v>21</v>
      </c>
      <c r="F2" s="2">
        <v>6</v>
      </c>
      <c r="O2" s="7" t="s">
        <v>25</v>
      </c>
    </row>
    <row r="3" spans="2:24" x14ac:dyDescent="0.55000000000000004">
      <c r="B3" t="s">
        <v>0</v>
      </c>
      <c r="C3" t="s">
        <v>71</v>
      </c>
      <c r="D3" t="s">
        <v>74</v>
      </c>
      <c r="E3" t="s">
        <v>3</v>
      </c>
      <c r="F3" t="s">
        <v>2</v>
      </c>
      <c r="G3" t="s">
        <v>72</v>
      </c>
      <c r="H3" t="s">
        <v>76</v>
      </c>
      <c r="I3" t="s">
        <v>12</v>
      </c>
      <c r="J3" t="s">
        <v>13</v>
      </c>
      <c r="K3" t="s">
        <v>73</v>
      </c>
      <c r="L3" t="s">
        <v>62</v>
      </c>
      <c r="O3" t="s">
        <v>5</v>
      </c>
      <c r="P3">
        <f>F1</f>
        <v>1.2255</v>
      </c>
      <c r="V3" s="4"/>
    </row>
    <row r="4" spans="2:24" x14ac:dyDescent="0.55000000000000004">
      <c r="B4">
        <v>0</v>
      </c>
      <c r="C4">
        <v>278.39999999999998</v>
      </c>
      <c r="D4">
        <f>SUM(C4*F1)</f>
        <v>341.17919999999998</v>
      </c>
      <c r="E4">
        <v>0</v>
      </c>
      <c r="F4" s="1">
        <f>F2</f>
        <v>6</v>
      </c>
      <c r="G4">
        <f>SUM(E4*F4)</f>
        <v>0</v>
      </c>
      <c r="H4">
        <f>IF(G4&gt;C4, G4-C4, 0)</f>
        <v>0</v>
      </c>
      <c r="I4">
        <f>IF(G4=0, (H29/10),0)</f>
        <v>41.88</v>
      </c>
      <c r="J4">
        <f>SUM(D4-G4-H4-I4)</f>
        <v>299.29919999999998</v>
      </c>
      <c r="K4">
        <f>IF(J4&gt;0,J4,0)</f>
        <v>299.29919999999998</v>
      </c>
      <c r="L4">
        <f>IF(K4&gt;0,1,0)</f>
        <v>1</v>
      </c>
      <c r="O4" t="s">
        <v>19</v>
      </c>
      <c r="P4">
        <f>F2</f>
        <v>6</v>
      </c>
      <c r="T4" t="s">
        <v>14</v>
      </c>
      <c r="V4" s="4" t="s">
        <v>46</v>
      </c>
    </row>
    <row r="5" spans="2:24" x14ac:dyDescent="0.55000000000000004">
      <c r="B5">
        <v>1</v>
      </c>
      <c r="C5">
        <v>276.2</v>
      </c>
      <c r="D5">
        <f>SUM(C5*F1)</f>
        <v>338.48309999999998</v>
      </c>
      <c r="E5">
        <v>0</v>
      </c>
      <c r="F5" s="1">
        <f>F2</f>
        <v>6</v>
      </c>
      <c r="G5">
        <f t="shared" ref="G5:G27" si="0">SUM(E5*F5)</f>
        <v>0</v>
      </c>
      <c r="H5">
        <f t="shared" ref="H5:H27" si="1">IF(G5&gt;C5, G5-C5, 0)</f>
        <v>0</v>
      </c>
      <c r="I5">
        <f>IF(G5=0, (H29/10),0)</f>
        <v>41.88</v>
      </c>
      <c r="J5">
        <f t="shared" ref="J5:J27" si="2">SUM(D5-G5-H5-I5)</f>
        <v>296.60309999999998</v>
      </c>
      <c r="K5">
        <f t="shared" ref="K5:K26" si="3">IF(J5&gt;0,J5,0)</f>
        <v>296.60309999999998</v>
      </c>
      <c r="L5">
        <f t="shared" ref="L5:L27" si="4">IF(K5&gt;0,1,0)</f>
        <v>1</v>
      </c>
      <c r="V5" s="4"/>
    </row>
    <row r="6" spans="2:24" x14ac:dyDescent="0.55000000000000004">
      <c r="B6">
        <v>2</v>
      </c>
      <c r="C6">
        <v>274.10000000000002</v>
      </c>
      <c r="D6">
        <f>SUM(C6*F1)</f>
        <v>335.90955000000002</v>
      </c>
      <c r="E6">
        <v>0</v>
      </c>
      <c r="F6" s="1">
        <f>F2</f>
        <v>6</v>
      </c>
      <c r="G6">
        <f t="shared" si="0"/>
        <v>0</v>
      </c>
      <c r="H6">
        <f t="shared" si="1"/>
        <v>0</v>
      </c>
      <c r="I6">
        <f>IF(G6=0, (H29/10),0)</f>
        <v>41.88</v>
      </c>
      <c r="J6">
        <f t="shared" si="2"/>
        <v>294.02955000000003</v>
      </c>
      <c r="K6">
        <f>IF(J6&gt;0,J6,0)</f>
        <v>294.02955000000003</v>
      </c>
      <c r="L6">
        <f t="shared" si="4"/>
        <v>1</v>
      </c>
      <c r="O6" s="6" t="s">
        <v>24</v>
      </c>
      <c r="P6" s="10"/>
      <c r="T6" t="s">
        <v>15</v>
      </c>
      <c r="V6" s="4"/>
    </row>
    <row r="7" spans="2:24" x14ac:dyDescent="0.55000000000000004">
      <c r="B7">
        <v>3</v>
      </c>
      <c r="C7">
        <v>271</v>
      </c>
      <c r="D7">
        <f>SUM(C7*F1)</f>
        <v>332.1105</v>
      </c>
      <c r="E7">
        <v>0</v>
      </c>
      <c r="F7" s="1">
        <f>F2</f>
        <v>6</v>
      </c>
      <c r="G7">
        <f t="shared" si="0"/>
        <v>0</v>
      </c>
      <c r="H7">
        <f t="shared" si="1"/>
        <v>0</v>
      </c>
      <c r="I7">
        <f>IF(G7=0, (H29/10),0)</f>
        <v>41.88</v>
      </c>
      <c r="J7">
        <f t="shared" si="2"/>
        <v>290.23050000000001</v>
      </c>
      <c r="K7">
        <f t="shared" si="3"/>
        <v>290.23050000000001</v>
      </c>
      <c r="L7">
        <f t="shared" si="4"/>
        <v>1</v>
      </c>
      <c r="O7" s="8" t="s">
        <v>6</v>
      </c>
      <c r="P7" s="10">
        <f>SUM(X15*U15)</f>
        <v>227700</v>
      </c>
      <c r="T7" t="s">
        <v>26</v>
      </c>
      <c r="U7">
        <v>13.5</v>
      </c>
      <c r="V7" s="4" t="s">
        <v>47</v>
      </c>
      <c r="W7" t="s">
        <v>40</v>
      </c>
      <c r="X7">
        <f>ROUNDUP((H29/U7),0)</f>
        <v>32</v>
      </c>
    </row>
    <row r="8" spans="2:24" x14ac:dyDescent="0.55000000000000004">
      <c r="B8">
        <v>4</v>
      </c>
      <c r="C8">
        <v>269.3</v>
      </c>
      <c r="D8">
        <f>SUM(C8*F1)</f>
        <v>330.02715000000001</v>
      </c>
      <c r="E8">
        <v>0</v>
      </c>
      <c r="F8" s="1">
        <f>F2</f>
        <v>6</v>
      </c>
      <c r="G8">
        <f t="shared" si="0"/>
        <v>0</v>
      </c>
      <c r="H8">
        <f t="shared" si="1"/>
        <v>0</v>
      </c>
      <c r="I8">
        <f>IF(G8=0, (H29/10),0)</f>
        <v>41.88</v>
      </c>
      <c r="J8">
        <f t="shared" si="2"/>
        <v>288.14715000000001</v>
      </c>
      <c r="K8">
        <f t="shared" si="3"/>
        <v>288.14715000000001</v>
      </c>
      <c r="L8">
        <f t="shared" si="4"/>
        <v>1</v>
      </c>
      <c r="O8" s="8" t="s">
        <v>7</v>
      </c>
      <c r="P8" s="10">
        <f>SUM(X7*U8)</f>
        <v>272000</v>
      </c>
      <c r="T8" t="s">
        <v>27</v>
      </c>
      <c r="U8">
        <v>8500</v>
      </c>
      <c r="V8" s="4" t="s">
        <v>48</v>
      </c>
    </row>
    <row r="9" spans="2:24" x14ac:dyDescent="0.55000000000000004">
      <c r="B9">
        <v>5</v>
      </c>
      <c r="C9">
        <v>279.7</v>
      </c>
      <c r="D9">
        <f>SUM(C9*F1)</f>
        <v>342.77235000000002</v>
      </c>
      <c r="E9">
        <v>2.2333333333333329</v>
      </c>
      <c r="F9" s="1">
        <f>F2</f>
        <v>6</v>
      </c>
      <c r="G9">
        <f>SUM(E9*F9)</f>
        <v>13.399999999999999</v>
      </c>
      <c r="H9">
        <f t="shared" si="1"/>
        <v>0</v>
      </c>
      <c r="I9">
        <f>IF(G9=0, (H29/10),0)</f>
        <v>0</v>
      </c>
      <c r="J9">
        <f>SUM(D9-G9-H9-I9)</f>
        <v>329.37235000000004</v>
      </c>
      <c r="K9">
        <f t="shared" si="3"/>
        <v>329.37235000000004</v>
      </c>
      <c r="L9">
        <f t="shared" si="4"/>
        <v>1</v>
      </c>
      <c r="O9" t="s">
        <v>53</v>
      </c>
      <c r="P9" s="10">
        <f>SUM(X25*U25)</f>
        <v>450</v>
      </c>
      <c r="T9" t="s">
        <v>29</v>
      </c>
      <c r="U9">
        <v>50</v>
      </c>
      <c r="V9" s="4" t="s">
        <v>49</v>
      </c>
    </row>
    <row r="10" spans="2:24" x14ac:dyDescent="0.55000000000000004">
      <c r="B10">
        <v>6</v>
      </c>
      <c r="C10">
        <v>311.8</v>
      </c>
      <c r="D10">
        <f>SUM(C10*F1)</f>
        <v>382.11090000000002</v>
      </c>
      <c r="E10">
        <v>12.3</v>
      </c>
      <c r="F10" s="1">
        <f>F2</f>
        <v>6</v>
      </c>
      <c r="G10">
        <f t="shared" si="0"/>
        <v>73.800000000000011</v>
      </c>
      <c r="H10">
        <f t="shared" si="1"/>
        <v>0</v>
      </c>
      <c r="I10">
        <f>IF(G10=0, (H29/10),0)</f>
        <v>0</v>
      </c>
      <c r="J10">
        <f t="shared" si="2"/>
        <v>308.3109</v>
      </c>
      <c r="K10">
        <f t="shared" si="3"/>
        <v>308.3109</v>
      </c>
      <c r="L10">
        <f t="shared" si="4"/>
        <v>1</v>
      </c>
      <c r="O10" t="s">
        <v>8</v>
      </c>
      <c r="P10" s="10">
        <v>0</v>
      </c>
      <c r="T10" t="s">
        <v>28</v>
      </c>
      <c r="U10">
        <v>50</v>
      </c>
      <c r="V10" s="4" t="s">
        <v>50</v>
      </c>
    </row>
    <row r="11" spans="2:24" x14ac:dyDescent="0.55000000000000004">
      <c r="B11">
        <v>7</v>
      </c>
      <c r="C11">
        <v>299.3</v>
      </c>
      <c r="D11">
        <f>SUM(C11*F1)</f>
        <v>366.79215000000005</v>
      </c>
      <c r="E11">
        <v>30.45</v>
      </c>
      <c r="F11" s="1">
        <f>F2</f>
        <v>6</v>
      </c>
      <c r="G11">
        <f t="shared" si="0"/>
        <v>182.7</v>
      </c>
      <c r="H11">
        <f t="shared" si="1"/>
        <v>0</v>
      </c>
      <c r="I11">
        <f>IF(G11=0, (H29/10),0)</f>
        <v>0</v>
      </c>
      <c r="J11">
        <f t="shared" si="2"/>
        <v>184.09215000000006</v>
      </c>
      <c r="K11">
        <f t="shared" si="3"/>
        <v>184.09215000000006</v>
      </c>
      <c r="L11">
        <f t="shared" si="4"/>
        <v>1</v>
      </c>
      <c r="P11" s="10"/>
      <c r="V11" s="4"/>
    </row>
    <row r="12" spans="2:24" x14ac:dyDescent="0.55000000000000004">
      <c r="B12">
        <v>8</v>
      </c>
      <c r="C12">
        <v>302.3</v>
      </c>
      <c r="D12">
        <f>SUM(C12*F1)</f>
        <v>370.46865000000003</v>
      </c>
      <c r="E12">
        <v>48.983333333333327</v>
      </c>
      <c r="F12" s="1">
        <f>F2</f>
        <v>6</v>
      </c>
      <c r="G12">
        <f t="shared" si="0"/>
        <v>293.89999999999998</v>
      </c>
      <c r="H12">
        <f t="shared" si="1"/>
        <v>0</v>
      </c>
      <c r="I12">
        <f>IF(G12=0, (H29/24),0)</f>
        <v>0</v>
      </c>
      <c r="J12">
        <f t="shared" si="2"/>
        <v>76.568650000000048</v>
      </c>
      <c r="K12">
        <f t="shared" si="3"/>
        <v>76.568650000000048</v>
      </c>
      <c r="L12">
        <f t="shared" si="4"/>
        <v>1</v>
      </c>
      <c r="P12" s="10"/>
      <c r="V12" s="4"/>
    </row>
    <row r="13" spans="2:24" x14ac:dyDescent="0.55000000000000004">
      <c r="B13">
        <v>9</v>
      </c>
      <c r="C13">
        <v>313.2</v>
      </c>
      <c r="D13">
        <f>SUM(C13*F1)</f>
        <v>383.82659999999998</v>
      </c>
      <c r="E13">
        <v>61.900000000000013</v>
      </c>
      <c r="F13" s="1">
        <f>F2</f>
        <v>6</v>
      </c>
      <c r="G13">
        <f t="shared" si="0"/>
        <v>371.40000000000009</v>
      </c>
      <c r="H13">
        <f t="shared" si="1"/>
        <v>58.200000000000102</v>
      </c>
      <c r="I13">
        <f>IF(G13=0, (H29/24),0)</f>
        <v>0</v>
      </c>
      <c r="J13">
        <f t="shared" si="2"/>
        <v>-45.773400000000208</v>
      </c>
      <c r="K13">
        <f t="shared" si="3"/>
        <v>0</v>
      </c>
      <c r="L13">
        <f t="shared" si="4"/>
        <v>0</v>
      </c>
      <c r="O13" s="6" t="s">
        <v>9</v>
      </c>
      <c r="P13" s="10"/>
      <c r="V13" s="4"/>
    </row>
    <row r="14" spans="2:24" ht="15.6" x14ac:dyDescent="0.6">
      <c r="B14">
        <v>10</v>
      </c>
      <c r="C14">
        <v>321.3</v>
      </c>
      <c r="D14">
        <f>SUM(C14*F1)</f>
        <v>393.75315000000001</v>
      </c>
      <c r="E14">
        <v>69.475000000000009</v>
      </c>
      <c r="F14" s="1">
        <f>F2</f>
        <v>6</v>
      </c>
      <c r="G14">
        <f>SUM(E14*F14)</f>
        <v>416.85</v>
      </c>
      <c r="H14">
        <f t="shared" si="1"/>
        <v>95.550000000000011</v>
      </c>
      <c r="I14">
        <f>IF(G14=0, (H29/24),0)</f>
        <v>0</v>
      </c>
      <c r="J14">
        <f t="shared" si="2"/>
        <v>-118.64685000000003</v>
      </c>
      <c r="K14">
        <f t="shared" si="3"/>
        <v>0</v>
      </c>
      <c r="L14">
        <f t="shared" si="4"/>
        <v>0</v>
      </c>
      <c r="O14" t="s">
        <v>10</v>
      </c>
      <c r="P14" s="10">
        <f>SUM(U16*X15)</f>
        <v>10350</v>
      </c>
      <c r="T14" s="3" t="s">
        <v>16</v>
      </c>
      <c r="V14" s="4"/>
    </row>
    <row r="15" spans="2:24" x14ac:dyDescent="0.55000000000000004">
      <c r="B15">
        <v>11</v>
      </c>
      <c r="C15">
        <v>322.5</v>
      </c>
      <c r="D15">
        <f>SUM(C15*F1)</f>
        <v>395.22375</v>
      </c>
      <c r="E15">
        <v>73.274999999999991</v>
      </c>
      <c r="F15" s="1">
        <f>F2</f>
        <v>6</v>
      </c>
      <c r="G15">
        <f t="shared" si="0"/>
        <v>439.65</v>
      </c>
      <c r="H15">
        <f t="shared" si="1"/>
        <v>117.14999999999998</v>
      </c>
      <c r="I15">
        <f>IF(G15=0, (H29/24),0)</f>
        <v>0</v>
      </c>
      <c r="J15">
        <f t="shared" si="2"/>
        <v>-161.57624999999996</v>
      </c>
      <c r="K15">
        <f t="shared" si="3"/>
        <v>0</v>
      </c>
      <c r="L15">
        <f t="shared" si="4"/>
        <v>0</v>
      </c>
      <c r="O15" t="s">
        <v>11</v>
      </c>
      <c r="P15" s="10">
        <f>SUM(U9*X7)</f>
        <v>1600</v>
      </c>
      <c r="T15" t="s">
        <v>30</v>
      </c>
      <c r="U15">
        <v>220</v>
      </c>
      <c r="V15" s="4" t="s">
        <v>48</v>
      </c>
      <c r="W15" t="s">
        <v>39</v>
      </c>
      <c r="X15" s="9">
        <f>ROUNDUP((G15/U17),0)</f>
        <v>1035</v>
      </c>
    </row>
    <row r="16" spans="2:24" x14ac:dyDescent="0.55000000000000004">
      <c r="B16">
        <v>12</v>
      </c>
      <c r="C16">
        <v>345</v>
      </c>
      <c r="D16">
        <f>SUM(C16*F1)</f>
        <v>422.79750000000001</v>
      </c>
      <c r="E16">
        <v>72.274999999999991</v>
      </c>
      <c r="F16" s="1">
        <f>F2</f>
        <v>6</v>
      </c>
      <c r="G16">
        <f t="shared" si="0"/>
        <v>433.65</v>
      </c>
      <c r="H16">
        <f t="shared" si="1"/>
        <v>88.649999999999977</v>
      </c>
      <c r="I16">
        <f>IF(G16=0, (H29/24),0)</f>
        <v>0</v>
      </c>
      <c r="J16">
        <f t="shared" si="2"/>
        <v>-99.502499999999941</v>
      </c>
      <c r="K16">
        <f t="shared" si="3"/>
        <v>0</v>
      </c>
      <c r="L16">
        <f t="shared" si="4"/>
        <v>0</v>
      </c>
      <c r="O16" t="s">
        <v>65</v>
      </c>
      <c r="P16" s="10">
        <f>SUM(U33*U34*U36)</f>
        <v>135371.19999999998</v>
      </c>
      <c r="T16" t="s">
        <v>31</v>
      </c>
      <c r="U16">
        <v>10</v>
      </c>
      <c r="V16" s="4" t="s">
        <v>49</v>
      </c>
    </row>
    <row r="17" spans="2:24" x14ac:dyDescent="0.55000000000000004">
      <c r="B17">
        <v>13</v>
      </c>
      <c r="C17">
        <v>336.7</v>
      </c>
      <c r="D17">
        <f>SUM(C17*F1)</f>
        <v>412.62585000000001</v>
      </c>
      <c r="E17">
        <v>65.99166666666666</v>
      </c>
      <c r="F17" s="1">
        <f>F2</f>
        <v>6</v>
      </c>
      <c r="G17">
        <f t="shared" si="0"/>
        <v>395.94999999999993</v>
      </c>
      <c r="H17">
        <f t="shared" si="1"/>
        <v>59.249999999999943</v>
      </c>
      <c r="I17">
        <f>IF(G17=0, (H29/24),0)</f>
        <v>0</v>
      </c>
      <c r="J17">
        <f t="shared" si="2"/>
        <v>-42.574149999999861</v>
      </c>
      <c r="K17">
        <f t="shared" si="3"/>
        <v>0</v>
      </c>
      <c r="L17">
        <f t="shared" si="4"/>
        <v>0</v>
      </c>
      <c r="O17" t="s">
        <v>66</v>
      </c>
      <c r="P17" s="11">
        <f>SUM(U31*X30)</f>
        <v>18000</v>
      </c>
      <c r="T17" t="s">
        <v>32</v>
      </c>
      <c r="U17">
        <v>0.42499999999999999</v>
      </c>
      <c r="V17" s="4" t="s">
        <v>47</v>
      </c>
    </row>
    <row r="18" spans="2:24" x14ac:dyDescent="0.55000000000000004">
      <c r="B18">
        <v>14</v>
      </c>
      <c r="C18">
        <v>329.1</v>
      </c>
      <c r="D18">
        <f>SUM(C18*F1)</f>
        <v>403.31205000000006</v>
      </c>
      <c r="E18">
        <v>54.091666666666669</v>
      </c>
      <c r="F18" s="1">
        <f>F2</f>
        <v>6</v>
      </c>
      <c r="G18">
        <f t="shared" si="0"/>
        <v>324.55</v>
      </c>
      <c r="H18">
        <f t="shared" si="1"/>
        <v>0</v>
      </c>
      <c r="I18">
        <f>IF(G18=0, (H29/24),0)</f>
        <v>0</v>
      </c>
      <c r="J18">
        <f t="shared" si="2"/>
        <v>78.762050000000045</v>
      </c>
      <c r="K18">
        <f t="shared" si="3"/>
        <v>78.762050000000045</v>
      </c>
      <c r="L18">
        <f t="shared" si="4"/>
        <v>1</v>
      </c>
      <c r="P18" s="10"/>
      <c r="T18" t="s">
        <v>33</v>
      </c>
      <c r="U18">
        <v>0.9</v>
      </c>
      <c r="V18" s="4"/>
    </row>
    <row r="19" spans="2:24" x14ac:dyDescent="0.55000000000000004">
      <c r="B19">
        <v>15</v>
      </c>
      <c r="C19">
        <v>325.5</v>
      </c>
      <c r="D19">
        <f>SUM(C19*F1)</f>
        <v>398.90025000000003</v>
      </c>
      <c r="E19">
        <v>36.758333333333333</v>
      </c>
      <c r="F19" s="1">
        <f>F2</f>
        <v>6</v>
      </c>
      <c r="G19">
        <f t="shared" si="0"/>
        <v>220.55</v>
      </c>
      <c r="H19">
        <f t="shared" si="1"/>
        <v>0</v>
      </c>
      <c r="I19">
        <f>IF(G19=0, (H29/24),0)</f>
        <v>0</v>
      </c>
      <c r="J19">
        <f t="shared" si="2"/>
        <v>178.35025000000002</v>
      </c>
      <c r="K19">
        <f t="shared" si="3"/>
        <v>178.35025000000002</v>
      </c>
      <c r="L19">
        <f t="shared" si="4"/>
        <v>1</v>
      </c>
      <c r="P19" s="10"/>
      <c r="V19" s="4"/>
    </row>
    <row r="20" spans="2:24" x14ac:dyDescent="0.55000000000000004">
      <c r="B20">
        <v>16</v>
      </c>
      <c r="C20">
        <v>315.89999999999998</v>
      </c>
      <c r="D20">
        <f>SUM(C20*F1)</f>
        <v>387.13544999999999</v>
      </c>
      <c r="E20">
        <v>16.8</v>
      </c>
      <c r="F20" s="1">
        <f>F2</f>
        <v>6</v>
      </c>
      <c r="G20">
        <f t="shared" si="0"/>
        <v>100.80000000000001</v>
      </c>
      <c r="H20">
        <f t="shared" si="1"/>
        <v>0</v>
      </c>
      <c r="I20">
        <f>IF(G20=0, (H29/24),0)</f>
        <v>0</v>
      </c>
      <c r="J20">
        <f t="shared" si="2"/>
        <v>286.33544999999998</v>
      </c>
      <c r="K20">
        <f t="shared" si="3"/>
        <v>286.33544999999998</v>
      </c>
      <c r="L20">
        <f t="shared" si="4"/>
        <v>1</v>
      </c>
      <c r="O20" t="s">
        <v>52</v>
      </c>
      <c r="P20" s="10">
        <f>SUM(P7:P10)</f>
        <v>500150</v>
      </c>
      <c r="Q20" s="10">
        <v>4584371</v>
      </c>
      <c r="R20" s="10">
        <v>0</v>
      </c>
      <c r="T20" t="s">
        <v>17</v>
      </c>
      <c r="V20" s="4"/>
    </row>
    <row r="21" spans="2:24" x14ac:dyDescent="0.55000000000000004">
      <c r="B21">
        <v>17</v>
      </c>
      <c r="C21">
        <v>318.3</v>
      </c>
      <c r="D21">
        <f>SUM(C21*F1)</f>
        <v>390.07665000000003</v>
      </c>
      <c r="E21">
        <v>4.2250000000000014</v>
      </c>
      <c r="F21" s="1">
        <f>F2</f>
        <v>6</v>
      </c>
      <c r="G21">
        <f t="shared" si="0"/>
        <v>25.350000000000009</v>
      </c>
      <c r="H21">
        <f t="shared" si="1"/>
        <v>0</v>
      </c>
      <c r="I21">
        <f>IF(G21=0, (H29/24),0)</f>
        <v>0</v>
      </c>
      <c r="J21">
        <f t="shared" si="2"/>
        <v>364.72665000000001</v>
      </c>
      <c r="K21">
        <f t="shared" si="3"/>
        <v>364.72665000000001</v>
      </c>
      <c r="L21">
        <f t="shared" si="4"/>
        <v>1</v>
      </c>
      <c r="O21" t="s">
        <v>23</v>
      </c>
      <c r="P21" s="10">
        <f>SUM(P14:P18)</f>
        <v>165321.19999999998</v>
      </c>
      <c r="Q21" s="10">
        <v>59080</v>
      </c>
      <c r="R21" s="10">
        <v>144490.94</v>
      </c>
      <c r="T21" t="s">
        <v>34</v>
      </c>
      <c r="U21">
        <v>0</v>
      </c>
      <c r="V21" s="4" t="s">
        <v>48</v>
      </c>
      <c r="W21" t="s">
        <v>41</v>
      </c>
    </row>
    <row r="22" spans="2:24" x14ac:dyDescent="0.55000000000000004">
      <c r="B22">
        <v>18</v>
      </c>
      <c r="C22">
        <v>328.1</v>
      </c>
      <c r="D22">
        <f>SUM(C22*F1)</f>
        <v>402.08655000000005</v>
      </c>
      <c r="E22">
        <v>0.94166666666666654</v>
      </c>
      <c r="F22" s="1">
        <f>F2</f>
        <v>6</v>
      </c>
      <c r="G22">
        <f t="shared" si="0"/>
        <v>5.6499999999999995</v>
      </c>
      <c r="H22">
        <f t="shared" si="1"/>
        <v>0</v>
      </c>
      <c r="I22">
        <f>IF(G22=0, (H29/24),0)</f>
        <v>0</v>
      </c>
      <c r="J22">
        <f t="shared" si="2"/>
        <v>396.43655000000007</v>
      </c>
      <c r="K22">
        <f t="shared" si="3"/>
        <v>396.43655000000007</v>
      </c>
      <c r="L22">
        <f t="shared" si="4"/>
        <v>1</v>
      </c>
      <c r="P22" s="10"/>
      <c r="T22" t="s">
        <v>35</v>
      </c>
      <c r="U22">
        <v>0</v>
      </c>
      <c r="V22" s="4" t="s">
        <v>48</v>
      </c>
    </row>
    <row r="23" spans="2:24" x14ac:dyDescent="0.55000000000000004">
      <c r="B23">
        <v>19</v>
      </c>
      <c r="C23">
        <v>364.6</v>
      </c>
      <c r="D23">
        <f>SUM(C23*F1)</f>
        <v>446.81730000000005</v>
      </c>
      <c r="E23">
        <v>0</v>
      </c>
      <c r="F23" s="1">
        <f>F2</f>
        <v>6</v>
      </c>
      <c r="G23">
        <f t="shared" si="0"/>
        <v>0</v>
      </c>
      <c r="H23">
        <f t="shared" si="1"/>
        <v>0</v>
      </c>
      <c r="I23">
        <f>IF(G23=0, (H29/10),0)</f>
        <v>41.88</v>
      </c>
      <c r="J23">
        <f t="shared" si="2"/>
        <v>404.93730000000005</v>
      </c>
      <c r="K23">
        <f t="shared" si="3"/>
        <v>404.93730000000005</v>
      </c>
      <c r="L23">
        <f t="shared" si="4"/>
        <v>1</v>
      </c>
      <c r="P23" s="10"/>
      <c r="V23" s="4"/>
    </row>
    <row r="24" spans="2:24" x14ac:dyDescent="0.55000000000000004">
      <c r="B24">
        <v>20</v>
      </c>
      <c r="C24">
        <v>339.9</v>
      </c>
      <c r="D24">
        <f>SUM(C24*F1)</f>
        <v>416.54744999999997</v>
      </c>
      <c r="E24">
        <v>0</v>
      </c>
      <c r="F24" s="1">
        <f>F2</f>
        <v>6</v>
      </c>
      <c r="G24">
        <f t="shared" si="0"/>
        <v>0</v>
      </c>
      <c r="H24">
        <f t="shared" si="1"/>
        <v>0</v>
      </c>
      <c r="I24">
        <f>IF(G24=0, (H29/10),0)</f>
        <v>41.88</v>
      </c>
      <c r="J24">
        <f t="shared" si="2"/>
        <v>374.66744999999997</v>
      </c>
      <c r="K24">
        <f t="shared" si="3"/>
        <v>374.66744999999997</v>
      </c>
      <c r="L24">
        <f t="shared" si="4"/>
        <v>1</v>
      </c>
      <c r="P24" s="10"/>
      <c r="T24" t="s">
        <v>18</v>
      </c>
      <c r="V24" s="4"/>
    </row>
    <row r="25" spans="2:24" ht="14.7" thickBot="1" x14ac:dyDescent="0.6">
      <c r="B25">
        <v>21</v>
      </c>
      <c r="C25">
        <v>315.60000000000002</v>
      </c>
      <c r="D25">
        <f>SUM(C25*F1)</f>
        <v>386.76780000000002</v>
      </c>
      <c r="E25">
        <v>0</v>
      </c>
      <c r="F25" s="1">
        <f>F2</f>
        <v>6</v>
      </c>
      <c r="G25">
        <f t="shared" si="0"/>
        <v>0</v>
      </c>
      <c r="H25">
        <f t="shared" si="1"/>
        <v>0</v>
      </c>
      <c r="I25">
        <f>IF(G25=0, (H29/10),0)</f>
        <v>41.88</v>
      </c>
      <c r="J25">
        <f t="shared" si="2"/>
        <v>344.88780000000003</v>
      </c>
      <c r="K25">
        <f t="shared" si="3"/>
        <v>344.88780000000003</v>
      </c>
      <c r="L25">
        <f t="shared" si="4"/>
        <v>1</v>
      </c>
      <c r="P25" s="10"/>
      <c r="T25" t="s">
        <v>36</v>
      </c>
      <c r="U25">
        <v>15</v>
      </c>
      <c r="V25" s="4" t="s">
        <v>48</v>
      </c>
      <c r="W25" t="s">
        <v>42</v>
      </c>
      <c r="X25">
        <f>ROUNDUP(((SUM(X15*U17*100 / U10))/U27),0)</f>
        <v>30</v>
      </c>
    </row>
    <row r="26" spans="2:24" ht="14.7" thickBot="1" x14ac:dyDescent="0.6">
      <c r="B26">
        <v>22</v>
      </c>
      <c r="C26">
        <v>308.10000000000002</v>
      </c>
      <c r="D26">
        <f>SUM(C26*F1)</f>
        <v>377.57655000000005</v>
      </c>
      <c r="E26">
        <v>0</v>
      </c>
      <c r="F26" s="1">
        <f>F2</f>
        <v>6</v>
      </c>
      <c r="G26">
        <f t="shared" si="0"/>
        <v>0</v>
      </c>
      <c r="H26">
        <f t="shared" si="1"/>
        <v>0</v>
      </c>
      <c r="I26">
        <f>IF(G26=0, (H29/10),0)</f>
        <v>41.88</v>
      </c>
      <c r="J26">
        <f t="shared" si="2"/>
        <v>335.69655000000006</v>
      </c>
      <c r="K26">
        <f t="shared" si="3"/>
        <v>335.69655000000006</v>
      </c>
      <c r="L26">
        <f t="shared" si="4"/>
        <v>1</v>
      </c>
      <c r="O26" s="13" t="s">
        <v>75</v>
      </c>
      <c r="P26" s="14">
        <f>(P20)+(((P21)*((1+(0.0261))*(25))))</f>
        <v>4741052.0829999996</v>
      </c>
      <c r="Q26" s="10">
        <f>(Q20)+(((Q21)*((1+(0.0261))*(25))))</f>
        <v>6099920.7000000002</v>
      </c>
      <c r="R26" s="10">
        <f>(R20)+(((R21)*((1+(0.0261))*(25))))</f>
        <v>3706553.8383499999</v>
      </c>
      <c r="T26" t="s">
        <v>37</v>
      </c>
      <c r="U26">
        <v>5</v>
      </c>
      <c r="V26" s="4" t="s">
        <v>48</v>
      </c>
    </row>
    <row r="27" spans="2:24" x14ac:dyDescent="0.55000000000000004">
      <c r="B27">
        <v>23</v>
      </c>
      <c r="C27">
        <v>288.10000000000002</v>
      </c>
      <c r="D27">
        <f>SUM(C27*F1)</f>
        <v>353.06655000000006</v>
      </c>
      <c r="E27">
        <v>0</v>
      </c>
      <c r="F27" s="1">
        <f>F2</f>
        <v>6</v>
      </c>
      <c r="G27">
        <f t="shared" si="0"/>
        <v>0</v>
      </c>
      <c r="H27">
        <f t="shared" si="1"/>
        <v>0</v>
      </c>
      <c r="I27">
        <f>IF(G27=0, (H29/10),0)</f>
        <v>41.88</v>
      </c>
      <c r="J27">
        <f t="shared" si="2"/>
        <v>311.18655000000007</v>
      </c>
      <c r="K27">
        <f>IF(J27&gt;0,J27,0)</f>
        <v>311.18655000000007</v>
      </c>
      <c r="L27">
        <f t="shared" si="4"/>
        <v>1</v>
      </c>
      <c r="T27" t="s">
        <v>38</v>
      </c>
      <c r="U27">
        <v>30</v>
      </c>
      <c r="V27" s="4" t="s">
        <v>51</v>
      </c>
    </row>
    <row r="28" spans="2:24" x14ac:dyDescent="0.55000000000000004">
      <c r="V28" s="4"/>
    </row>
    <row r="29" spans="2:24" x14ac:dyDescent="0.55000000000000004">
      <c r="B29" t="s">
        <v>4</v>
      </c>
      <c r="C29">
        <f>SUM(C4:C27)</f>
        <v>7434.0000000000018</v>
      </c>
      <c r="D29">
        <f>SUM(D4:D27)</f>
        <v>9110.3669999999984</v>
      </c>
      <c r="E29">
        <f t="shared" ref="E29:K29" si="5">SUM(E4:E27)</f>
        <v>549.70000000000005</v>
      </c>
      <c r="F29">
        <f t="shared" si="5"/>
        <v>144</v>
      </c>
      <c r="G29">
        <f t="shared" si="5"/>
        <v>3298.2000000000007</v>
      </c>
      <c r="H29">
        <f t="shared" si="5"/>
        <v>418.8</v>
      </c>
      <c r="J29">
        <f>SUM(J4:J27)</f>
        <v>4974.5670000000009</v>
      </c>
      <c r="K29">
        <f t="shared" si="5"/>
        <v>5442.6401500000011</v>
      </c>
      <c r="T29" t="s">
        <v>43</v>
      </c>
      <c r="V29" s="4"/>
    </row>
    <row r="30" spans="2:24" x14ac:dyDescent="0.55000000000000004">
      <c r="T30" t="s">
        <v>44</v>
      </c>
      <c r="U30">
        <v>40000</v>
      </c>
      <c r="V30" s="4" t="s">
        <v>48</v>
      </c>
      <c r="W30" t="s">
        <v>54</v>
      </c>
      <c r="X30">
        <v>12</v>
      </c>
    </row>
    <row r="31" spans="2:24" x14ac:dyDescent="0.55000000000000004">
      <c r="J31" t="s">
        <v>55</v>
      </c>
      <c r="K31">
        <f>MAX(K4:K27)</f>
        <v>404.93730000000005</v>
      </c>
      <c r="L31">
        <f>SUM(L4:L27)</f>
        <v>19</v>
      </c>
      <c r="T31" t="s">
        <v>45</v>
      </c>
      <c r="U31">
        <v>1500</v>
      </c>
      <c r="V31" s="4" t="s">
        <v>48</v>
      </c>
      <c r="W31" t="s">
        <v>57</v>
      </c>
    </row>
    <row r="32" spans="2:24" x14ac:dyDescent="0.55000000000000004">
      <c r="T32" t="s">
        <v>56</v>
      </c>
      <c r="U32">
        <f>SUM(365*24*4.88)</f>
        <v>42748.799999999996</v>
      </c>
      <c r="V32" s="4"/>
    </row>
    <row r="33" spans="1:22" x14ac:dyDescent="0.55000000000000004">
      <c r="C33" t="s">
        <v>20</v>
      </c>
      <c r="T33" t="s">
        <v>58</v>
      </c>
      <c r="U33">
        <v>4.88</v>
      </c>
      <c r="V33" s="4" t="s">
        <v>59</v>
      </c>
    </row>
    <row r="34" spans="1:22" x14ac:dyDescent="0.55000000000000004">
      <c r="C34" t="s">
        <v>19</v>
      </c>
      <c r="E34" t="s">
        <v>52</v>
      </c>
      <c r="F34" t="s">
        <v>22</v>
      </c>
      <c r="G34" t="s">
        <v>69</v>
      </c>
      <c r="J34" t="s">
        <v>70</v>
      </c>
      <c r="T34" t="s">
        <v>1</v>
      </c>
      <c r="U34">
        <v>4</v>
      </c>
      <c r="V34" s="4" t="s">
        <v>60</v>
      </c>
    </row>
    <row r="35" spans="1:22" x14ac:dyDescent="0.55000000000000004">
      <c r="A35" t="s">
        <v>67</v>
      </c>
      <c r="C35">
        <v>0</v>
      </c>
      <c r="D35" s="5"/>
      <c r="E35" s="10">
        <v>0</v>
      </c>
      <c r="F35" s="10">
        <v>425275.2</v>
      </c>
      <c r="G35" s="12">
        <f>(E35)+(((F35)*((1+(0.0261))*(25))))</f>
        <v>10909372.068</v>
      </c>
      <c r="J35" s="12">
        <v>5309944.37</v>
      </c>
      <c r="T35" t="s">
        <v>61</v>
      </c>
      <c r="U35">
        <f>L31</f>
        <v>19</v>
      </c>
      <c r="V35" s="4" t="s">
        <v>63</v>
      </c>
    </row>
    <row r="36" spans="1:22" x14ac:dyDescent="0.55000000000000004">
      <c r="C36" s="5">
        <v>10</v>
      </c>
      <c r="E36" s="10">
        <v>1791235</v>
      </c>
      <c r="F36" s="10">
        <v>148546.79999999999</v>
      </c>
      <c r="G36" s="12">
        <f t="shared" ref="G36:G41" si="6">(E36)+(((F36)*((1+(0.0261))*(25))))</f>
        <v>5601831.7869999995</v>
      </c>
      <c r="J36" s="12">
        <f t="shared" ref="J36:J41" si="7">SUM(E36:G36)</f>
        <v>7541613.5869999994</v>
      </c>
      <c r="T36" t="s">
        <v>64</v>
      </c>
      <c r="U36">
        <f>365*U35</f>
        <v>6935</v>
      </c>
    </row>
    <row r="37" spans="1:22" x14ac:dyDescent="0.55000000000000004">
      <c r="C37">
        <v>20</v>
      </c>
      <c r="E37" s="10">
        <v>5418250</v>
      </c>
      <c r="F37" s="10">
        <v>157614</v>
      </c>
      <c r="G37" s="12">
        <f t="shared" si="6"/>
        <v>9461443.1349999998</v>
      </c>
      <c r="J37" s="12">
        <f t="shared" si="7"/>
        <v>15037307.135</v>
      </c>
    </row>
    <row r="38" spans="1:22" x14ac:dyDescent="0.55000000000000004">
      <c r="C38">
        <v>30</v>
      </c>
      <c r="E38" s="10">
        <v>9172765</v>
      </c>
      <c r="F38" s="10">
        <v>160014.39999999999</v>
      </c>
      <c r="G38" s="12">
        <f t="shared" si="6"/>
        <v>13277534.396</v>
      </c>
      <c r="J38" s="12">
        <f t="shared" si="7"/>
        <v>22610313.796</v>
      </c>
    </row>
    <row r="39" spans="1:22" x14ac:dyDescent="0.55000000000000004">
      <c r="C39">
        <v>40</v>
      </c>
      <c r="E39" s="10">
        <v>12961280</v>
      </c>
      <c r="F39" s="10">
        <v>197304.4</v>
      </c>
      <c r="G39" s="12">
        <f t="shared" si="6"/>
        <v>18022631.120999999</v>
      </c>
      <c r="J39" s="12">
        <f t="shared" si="7"/>
        <v>31181215.520999998</v>
      </c>
    </row>
    <row r="40" spans="1:22" x14ac:dyDescent="0.55000000000000004">
      <c r="C40">
        <v>50</v>
      </c>
      <c r="E40" s="10">
        <v>16758295</v>
      </c>
      <c r="F40" s="10">
        <v>354100.94</v>
      </c>
      <c r="G40" s="12">
        <f t="shared" si="6"/>
        <v>25841869.36335</v>
      </c>
      <c r="J40" s="12">
        <f t="shared" si="7"/>
        <v>42954265.303350002</v>
      </c>
    </row>
    <row r="41" spans="1:22" x14ac:dyDescent="0.55000000000000004">
      <c r="C41">
        <v>60</v>
      </c>
      <c r="E41" s="10">
        <v>2055310</v>
      </c>
      <c r="F41" s="10">
        <v>271984.40000000002</v>
      </c>
      <c r="G41" s="12">
        <f t="shared" si="6"/>
        <v>9032389.8210000005</v>
      </c>
      <c r="J41" s="12">
        <f t="shared" si="7"/>
        <v>11359684.221000001</v>
      </c>
    </row>
    <row r="42" spans="1:22" x14ac:dyDescent="0.55000000000000004">
      <c r="C42">
        <v>70</v>
      </c>
      <c r="E42" s="10">
        <v>24343810</v>
      </c>
      <c r="F42" s="10">
        <v>309274.40000000002</v>
      </c>
      <c r="G42" s="12">
        <f t="shared" ref="G42:G47" si="8">(E42)+(((F42)*((1+(0.0261))*(25))))</f>
        <v>32277471.546</v>
      </c>
      <c r="J42" s="12">
        <f t="shared" ref="J42:J47" si="9">SUM(E42:G42)</f>
        <v>56930555.945999995</v>
      </c>
    </row>
    <row r="43" spans="1:22" x14ac:dyDescent="0.55000000000000004">
      <c r="C43">
        <v>80</v>
      </c>
      <c r="E43" s="10">
        <v>28157825</v>
      </c>
      <c r="F43" s="10">
        <v>346714.4</v>
      </c>
      <c r="G43" s="12">
        <f t="shared" si="8"/>
        <v>37051916.145999998</v>
      </c>
      <c r="J43" s="12">
        <f t="shared" si="9"/>
        <v>65556455.545999996</v>
      </c>
    </row>
    <row r="44" spans="1:22" x14ac:dyDescent="0.55000000000000004">
      <c r="C44">
        <v>90</v>
      </c>
      <c r="E44" s="10">
        <v>31972060</v>
      </c>
      <c r="F44" s="10">
        <v>366819</v>
      </c>
      <c r="G44" s="12">
        <f t="shared" si="8"/>
        <v>41381884.397500001</v>
      </c>
      <c r="J44" s="12">
        <f t="shared" si="9"/>
        <v>73720763.397500008</v>
      </c>
    </row>
    <row r="45" spans="1:22" x14ac:dyDescent="0.55000000000000004">
      <c r="C45" s="5">
        <v>100</v>
      </c>
      <c r="E45" s="10">
        <v>35794575</v>
      </c>
      <c r="F45" s="10">
        <v>404309</v>
      </c>
      <c r="G45" s="12">
        <f t="shared" si="8"/>
        <v>46166111.622500002</v>
      </c>
      <c r="J45" s="12">
        <f t="shared" si="9"/>
        <v>82364995.622500002</v>
      </c>
    </row>
    <row r="46" spans="1:22" x14ac:dyDescent="0.55000000000000004">
      <c r="C46">
        <v>110</v>
      </c>
      <c r="E46" s="10">
        <v>39617090</v>
      </c>
      <c r="F46" s="10">
        <v>441799.6</v>
      </c>
      <c r="G46" s="12">
        <f t="shared" si="8"/>
        <v>50950354.239</v>
      </c>
      <c r="J46" s="12">
        <f t="shared" si="9"/>
        <v>91009243.839000002</v>
      </c>
    </row>
    <row r="47" spans="1:22" x14ac:dyDescent="0.55000000000000004">
      <c r="C47">
        <v>120</v>
      </c>
      <c r="E47" s="10">
        <v>43439605</v>
      </c>
      <c r="F47" s="10">
        <v>479289.59999999998</v>
      </c>
      <c r="G47" s="12">
        <f t="shared" si="8"/>
        <v>55734581.464000002</v>
      </c>
      <c r="J47" s="12">
        <f t="shared" si="9"/>
        <v>99653476.06400001</v>
      </c>
    </row>
    <row r="48" spans="1:22" x14ac:dyDescent="0.55000000000000004">
      <c r="C48">
        <v>130</v>
      </c>
      <c r="E48" s="10">
        <v>47270620</v>
      </c>
      <c r="F48" s="10">
        <v>516829.6</v>
      </c>
      <c r="G48" s="12">
        <f t="shared" ref="G48:G49" si="10">(E48)+(((F48)*((1+(0.0261))*(25))))</f>
        <v>60528591.313999996</v>
      </c>
      <c r="J48" s="12">
        <f t="shared" ref="J48:J49" si="11">SUM(E48:G48)</f>
        <v>108316040.914</v>
      </c>
    </row>
    <row r="49" spans="3:10" x14ac:dyDescent="0.55000000000000004">
      <c r="C49">
        <v>135</v>
      </c>
      <c r="E49" s="10">
        <v>49186120</v>
      </c>
      <c r="F49" s="10">
        <v>535599</v>
      </c>
      <c r="G49" s="12">
        <f t="shared" si="10"/>
        <v>62925573.347499996</v>
      </c>
      <c r="J49" s="12">
        <f t="shared" si="11"/>
        <v>112647292.3475</v>
      </c>
    </row>
    <row r="50" spans="3:10" x14ac:dyDescent="0.55000000000000004">
      <c r="E50" s="10"/>
      <c r="F50" s="10"/>
      <c r="G50" s="12"/>
      <c r="J50" s="12"/>
    </row>
    <row r="52" spans="3:10" x14ac:dyDescent="0.55000000000000004">
      <c r="D52" t="s">
        <v>77</v>
      </c>
      <c r="E52" t="s">
        <v>78</v>
      </c>
    </row>
    <row r="53" spans="3:10" x14ac:dyDescent="0.55000000000000004">
      <c r="D53">
        <v>0</v>
      </c>
      <c r="E53">
        <v>5309944.37</v>
      </c>
    </row>
    <row r="54" spans="3:10" x14ac:dyDescent="0.55000000000000004">
      <c r="D54">
        <v>1</v>
      </c>
      <c r="E54">
        <v>5392458.1900000004</v>
      </c>
    </row>
    <row r="55" spans="3:10" x14ac:dyDescent="0.55000000000000004">
      <c r="D55">
        <v>2</v>
      </c>
      <c r="E55">
        <v>5474495.4900000002</v>
      </c>
    </row>
    <row r="56" spans="3:10" x14ac:dyDescent="0.55000000000000004">
      <c r="D56">
        <v>3</v>
      </c>
      <c r="E56">
        <v>5557009.3200000003</v>
      </c>
    </row>
    <row r="57" spans="3:10" x14ac:dyDescent="0.55000000000000004">
      <c r="D57">
        <v>4</v>
      </c>
      <c r="E57">
        <v>5639046.6200000001</v>
      </c>
    </row>
    <row r="58" spans="3:10" x14ac:dyDescent="0.55000000000000004">
      <c r="D58">
        <v>5</v>
      </c>
      <c r="E58">
        <v>5607269.8899999997</v>
      </c>
    </row>
    <row r="59" spans="3:10" x14ac:dyDescent="0.55000000000000004">
      <c r="D59">
        <v>6</v>
      </c>
      <c r="E59">
        <v>5202797.08</v>
      </c>
    </row>
    <row r="60" spans="3:10" x14ac:dyDescent="0.55000000000000004">
      <c r="D60">
        <v>7</v>
      </c>
      <c r="E60">
        <v>5232340.5199999996</v>
      </c>
    </row>
    <row r="61" spans="3:10" x14ac:dyDescent="0.55000000000000004">
      <c r="D61">
        <v>8</v>
      </c>
      <c r="E61">
        <v>5637680.9699999997</v>
      </c>
    </row>
    <row r="62" spans="3:10" x14ac:dyDescent="0.55000000000000004">
      <c r="D62">
        <v>9</v>
      </c>
      <c r="E62">
        <v>6042529.8899999997</v>
      </c>
    </row>
    <row r="63" spans="3:10" x14ac:dyDescent="0.55000000000000004">
      <c r="D63">
        <v>10</v>
      </c>
      <c r="E63">
        <v>6294449.29</v>
      </c>
    </row>
    <row r="170" spans="1:1" x14ac:dyDescent="0.55000000000000004">
      <c r="A170" t="s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2021-12-04T21:08:10Z</dcterms:created>
  <dcterms:modified xsi:type="dcterms:W3CDTF">2021-12-07T13:18:56Z</dcterms:modified>
</cp:coreProperties>
</file>