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verick/Desktop/graphlab/"/>
    </mc:Choice>
  </mc:AlternateContent>
  <bookViews>
    <workbookView xWindow="0" yWindow="460" windowWidth="25600" windowHeight="14520" tabRatio="500" activeTab="7"/>
  </bookViews>
  <sheets>
    <sheet name="mathlab_source" sheetId="1" r:id="rId1"/>
    <sheet name="datasets_distributed" sheetId="2" r:id="rId2"/>
    <sheet name="single_reads" sheetId="3" r:id="rId3"/>
    <sheet name="performance_all" sheetId="9" r:id="rId4"/>
    <sheet name="scalability_distributed_read" sheetId="7" r:id="rId5"/>
    <sheet name="biogrid_trueno_neo" sheetId="5" r:id="rId6"/>
    <sheet name="pokec" sheetId="6" r:id="rId7"/>
    <sheet name="spark" sheetId="8" r:id="rId8"/>
  </sheets>
  <definedNames>
    <definedName name="records">scalability_distributed_read!$C$14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7" i="9" l="1"/>
  <c r="R16" i="9"/>
  <c r="Q17" i="9"/>
  <c r="Q16" i="9"/>
  <c r="P17" i="9"/>
  <c r="P16" i="9"/>
  <c r="O17" i="9"/>
  <c r="O16" i="9"/>
  <c r="N17" i="9"/>
  <c r="N16" i="9"/>
  <c r="M17" i="9"/>
  <c r="M16" i="9"/>
  <c r="L17" i="9"/>
  <c r="L16" i="9"/>
  <c r="K17" i="9"/>
  <c r="K16" i="9"/>
  <c r="J17" i="9"/>
  <c r="J16" i="9"/>
  <c r="I17" i="9"/>
  <c r="I16" i="9"/>
  <c r="H17" i="9"/>
  <c r="H16" i="9"/>
  <c r="G17" i="9"/>
  <c r="G16" i="9"/>
  <c r="R15" i="9"/>
  <c r="Q15" i="9"/>
  <c r="P15" i="9"/>
  <c r="R14" i="9"/>
  <c r="Q14" i="9"/>
  <c r="P14" i="9"/>
  <c r="O15" i="9"/>
  <c r="N15" i="9"/>
  <c r="M15" i="9"/>
  <c r="O14" i="9"/>
  <c r="N14" i="9"/>
  <c r="M14" i="9"/>
  <c r="L15" i="9"/>
  <c r="K15" i="9"/>
  <c r="J15" i="9"/>
  <c r="L14" i="9"/>
  <c r="K14" i="9"/>
  <c r="J14" i="9"/>
  <c r="I15" i="9"/>
  <c r="H15" i="9"/>
  <c r="G15" i="9"/>
  <c r="I14" i="9"/>
  <c r="H14" i="9"/>
  <c r="G14" i="9"/>
  <c r="L11" i="9"/>
  <c r="L10" i="9"/>
  <c r="K11" i="9"/>
  <c r="K10" i="9"/>
  <c r="J11" i="9"/>
  <c r="J10" i="9"/>
  <c r="I11" i="9"/>
  <c r="I10" i="9"/>
  <c r="H11" i="9"/>
  <c r="H10" i="9"/>
  <c r="G11" i="9"/>
  <c r="G10" i="9"/>
  <c r="L9" i="9"/>
  <c r="L8" i="9"/>
  <c r="K9" i="9"/>
  <c r="K8" i="9"/>
  <c r="J9" i="9"/>
  <c r="J8" i="9"/>
  <c r="I9" i="9"/>
  <c r="I8" i="9"/>
  <c r="H9" i="9"/>
  <c r="H8" i="9"/>
  <c r="G9" i="9"/>
  <c r="G8" i="9"/>
  <c r="L7" i="9"/>
  <c r="L6" i="9"/>
  <c r="K7" i="9"/>
  <c r="K6" i="9"/>
  <c r="J7" i="9"/>
  <c r="J6" i="9"/>
  <c r="I7" i="9"/>
  <c r="I6" i="9"/>
  <c r="H7" i="9"/>
  <c r="H6" i="9"/>
  <c r="G7" i="9"/>
  <c r="G6" i="9"/>
  <c r="L5" i="9"/>
  <c r="L4" i="9"/>
  <c r="K5" i="9"/>
  <c r="K4" i="9"/>
  <c r="J5" i="9"/>
  <c r="J4" i="9"/>
  <c r="I5" i="9"/>
  <c r="I4" i="9"/>
  <c r="H5" i="9"/>
  <c r="H4" i="9"/>
  <c r="G5" i="9"/>
  <c r="G4" i="9"/>
  <c r="K18" i="8"/>
  <c r="L18" i="8"/>
  <c r="M18" i="8"/>
  <c r="J18" i="8"/>
  <c r="K17" i="8"/>
  <c r="L17" i="8"/>
  <c r="M17" i="8"/>
  <c r="J17" i="8"/>
  <c r="J16" i="8"/>
  <c r="J13" i="8"/>
  <c r="J12" i="8"/>
  <c r="J11" i="8"/>
  <c r="J10" i="8"/>
  <c r="G13" i="7"/>
  <c r="Q4" i="7"/>
  <c r="P4" i="7"/>
  <c r="O4" i="7"/>
  <c r="N4" i="7"/>
  <c r="L4" i="7"/>
  <c r="M4" i="7"/>
  <c r="K4" i="7"/>
  <c r="J4" i="7"/>
  <c r="C14" i="7"/>
  <c r="C13" i="7"/>
  <c r="C12" i="7"/>
  <c r="L5" i="3"/>
  <c r="L4" i="3"/>
  <c r="K5" i="3"/>
  <c r="K4" i="3"/>
  <c r="J5" i="3"/>
  <c r="J4" i="3"/>
  <c r="I5" i="3"/>
  <c r="I4" i="3"/>
  <c r="H5" i="3"/>
  <c r="H4" i="3"/>
  <c r="G5" i="3"/>
  <c r="G4" i="3"/>
  <c r="I5" i="5"/>
  <c r="G5" i="5"/>
</calcChain>
</file>

<file path=xl/sharedStrings.xml><?xml version="1.0" encoding="utf-8"?>
<sst xmlns="http://schemas.openxmlformats.org/spreadsheetml/2006/main" count="256" uniqueCount="87">
  <si>
    <t>Legends</t>
  </si>
  <si>
    <t>Trueno ES REST</t>
  </si>
  <si>
    <t>Trueno ES Native</t>
  </si>
  <si>
    <t>Neo4J Spark</t>
  </si>
  <si>
    <t>yLabel</t>
  </si>
  <si>
    <t>Time(s)</t>
  </si>
  <si>
    <t>xLabel</t>
  </si>
  <si>
    <t>Connectors</t>
  </si>
  <si>
    <t>Title</t>
  </si>
  <si>
    <t>TickLabel</t>
  </si>
  <si>
    <t>Loading data</t>
  </si>
  <si>
    <t>PageRank</t>
  </si>
  <si>
    <t>Total</t>
  </si>
  <si>
    <t>Total Legends</t>
  </si>
  <si>
    <t>Trueno ES Rest</t>
  </si>
  <si>
    <t>Mean</t>
  </si>
  <si>
    <t>Standard Deviation</t>
  </si>
  <si>
    <t>TruenoDB and Neo4J - PageRank</t>
  </si>
  <si>
    <t>Plot Properties</t>
  </si>
  <si>
    <t>Data</t>
  </si>
  <si>
    <t>Biogrid</t>
  </si>
  <si>
    <t>Citations</t>
  </si>
  <si>
    <t>Pokec</t>
  </si>
  <si>
    <t>Distributed Read</t>
  </si>
  <si>
    <t>Connected Components</t>
  </si>
  <si>
    <t>Pagerank</t>
  </si>
  <si>
    <t>Components</t>
  </si>
  <si>
    <t>Creating Graph</t>
  </si>
  <si>
    <t>Graph Creation</t>
  </si>
  <si>
    <t>Runtime(s)</t>
  </si>
  <si>
    <t>Cluster 18x Intel Xeon X3430 8GB</t>
  </si>
  <si>
    <t>Cached Data</t>
  </si>
  <si>
    <t>Connected Components Cached</t>
  </si>
  <si>
    <t>PageRank Cached</t>
  </si>
  <si>
    <t>Pagerank Cached</t>
  </si>
  <si>
    <t>Components Cached</t>
  </si>
  <si>
    <t>Datasets</t>
  </si>
  <si>
    <t>Trueno Compute</t>
  </si>
  <si>
    <t>Trueno (Transport Client)</t>
  </si>
  <si>
    <t>Neo4j</t>
  </si>
  <si>
    <t>Throughput (records/second)</t>
  </si>
  <si>
    <t>Single Reads</t>
  </si>
  <si>
    <t>Performance</t>
  </si>
  <si>
    <t>Trueno</t>
  </si>
  <si>
    <t>Neo4J</t>
  </si>
  <si>
    <t>Single Write</t>
  </si>
  <si>
    <t>Single Writes</t>
  </si>
  <si>
    <t>Data load</t>
  </si>
  <si>
    <t>Process</t>
  </si>
  <si>
    <t>Data Load</t>
  </si>
  <si>
    <t>PR</t>
  </si>
  <si>
    <t>CC</t>
  </si>
  <si>
    <t>Trueno Compute - Pokec</t>
  </si>
  <si>
    <t>R W</t>
  </si>
  <si>
    <t>Single Reads Writes</t>
  </si>
  <si>
    <t>Throughput(records/sec)</t>
  </si>
  <si>
    <t>Executors/Slices</t>
  </si>
  <si>
    <t>Trueno Compute Scalability - Pokec Dataset</t>
  </si>
  <si>
    <t>Scheduler Delay</t>
  </si>
  <si>
    <t>Task Deserialization</t>
  </si>
  <si>
    <t>GC</t>
  </si>
  <si>
    <t>Duration</t>
  </si>
  <si>
    <t>Task Deserialization time</t>
  </si>
  <si>
    <t>GC Time</t>
  </si>
  <si>
    <t>Result Desirialization</t>
  </si>
  <si>
    <t>STDEV</t>
  </si>
  <si>
    <t>Time(ms)</t>
  </si>
  <si>
    <t xml:space="preserve">Spark </t>
  </si>
  <si>
    <t>Spark Executor</t>
  </si>
  <si>
    <t>Single RW</t>
  </si>
  <si>
    <t>single Writes</t>
  </si>
  <si>
    <t>Film</t>
  </si>
  <si>
    <t>Reads</t>
  </si>
  <si>
    <t>Writes</t>
  </si>
  <si>
    <t>R/W</t>
  </si>
  <si>
    <t>Films - Writes</t>
  </si>
  <si>
    <t>Films - R/W</t>
  </si>
  <si>
    <t>Films - Reads</t>
  </si>
  <si>
    <t>Citations - Writes</t>
  </si>
  <si>
    <t>Citations - R/W</t>
  </si>
  <si>
    <t>Citations - Reads</t>
  </si>
  <si>
    <t xml:space="preserve">Biogrid - Reads </t>
  </si>
  <si>
    <t>Biogrid - Writes</t>
  </si>
  <si>
    <t>Biogrid - R/W</t>
  </si>
  <si>
    <t>Pokec - Reads</t>
  </si>
  <si>
    <t>Pokec - Writes</t>
  </si>
  <si>
    <t>Pokec -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</si>
</sst>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164" fontId="0" fillId="0" borderId="1" xfId="0" applyNumberFormat="1" applyBorder="1"/>
    <xf numFmtId="0" fontId="2" fillId="0" borderId="4" xfId="0" applyFont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3" borderId="2" xfId="0" applyFont="1" applyFill="1" applyBorder="1"/>
    <xf numFmtId="0" fontId="1" fillId="2" borderId="20" xfId="0" applyFont="1" applyFill="1" applyBorder="1"/>
    <xf numFmtId="0" fontId="1" fillId="2" borderId="18" xfId="0" applyFont="1" applyFill="1" applyBorder="1"/>
    <xf numFmtId="0" fontId="1" fillId="2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164" fontId="0" fillId="0" borderId="24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0" fontId="2" fillId="0" borderId="0" xfId="0" applyFont="1"/>
    <xf numFmtId="0" fontId="2" fillId="0" borderId="4" xfId="0" applyFont="1" applyBorder="1" applyAlignment="1">
      <alignment horizontal="center" wrapText="1"/>
    </xf>
    <xf numFmtId="0" fontId="0" fillId="0" borderId="29" xfId="0" applyBorder="1"/>
    <xf numFmtId="0" fontId="0" fillId="0" borderId="27" xfId="0" applyBorder="1"/>
    <xf numFmtId="0" fontId="0" fillId="0" borderId="1" xfId="0" applyBorder="1"/>
    <xf numFmtId="0" fontId="1" fillId="2" borderId="30" xfId="0" applyFont="1" applyFill="1" applyBorder="1"/>
    <xf numFmtId="0" fontId="1" fillId="2" borderId="17" xfId="0" applyFont="1" applyFill="1" applyBorder="1"/>
    <xf numFmtId="0" fontId="1" fillId="2" borderId="3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1" fillId="3" borderId="33" xfId="0" applyFont="1" applyFill="1" applyBorder="1" applyAlignment="1">
      <alignment horizontal="center" wrapText="1"/>
    </xf>
    <xf numFmtId="0" fontId="1" fillId="3" borderId="34" xfId="0" applyFont="1" applyFill="1" applyBorder="1"/>
    <xf numFmtId="0" fontId="1" fillId="3" borderId="35" xfId="0" applyFont="1" applyFill="1" applyBorder="1" applyAlignment="1">
      <alignment horizontal="center" wrapText="1"/>
    </xf>
    <xf numFmtId="0" fontId="1" fillId="3" borderId="36" xfId="0" applyFont="1" applyFill="1" applyBorder="1"/>
    <xf numFmtId="0" fontId="1" fillId="3" borderId="37" xfId="0" applyFont="1" applyFill="1" applyBorder="1" applyAlignment="1">
      <alignment horizontal="center" wrapText="1"/>
    </xf>
    <xf numFmtId="0" fontId="1" fillId="3" borderId="38" xfId="0" applyFont="1" applyFill="1" applyBorder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39" xfId="0" applyFill="1" applyBorder="1"/>
    <xf numFmtId="0" fontId="0" fillId="0" borderId="40" xfId="0" applyBorder="1"/>
    <xf numFmtId="0" fontId="1" fillId="3" borderId="34" xfId="0" applyFont="1" applyFill="1" applyBorder="1" applyAlignment="1">
      <alignment wrapText="1"/>
    </xf>
    <xf numFmtId="0" fontId="1" fillId="3" borderId="38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0" xfId="0" applyFill="1" applyBorder="1"/>
    <xf numFmtId="0" fontId="1" fillId="3" borderId="39" xfId="0" applyFont="1" applyFill="1" applyBorder="1"/>
    <xf numFmtId="0" fontId="1" fillId="3" borderId="0" xfId="0" applyFont="1" applyFill="1" applyBorder="1"/>
    <xf numFmtId="165" fontId="0" fillId="0" borderId="24" xfId="0" applyNumberFormat="1" applyBorder="1"/>
    <xf numFmtId="165" fontId="0" fillId="0" borderId="1" xfId="0" applyNumberFormat="1" applyBorder="1"/>
    <xf numFmtId="165" fontId="0" fillId="0" borderId="25" xfId="0" applyNumberFormat="1" applyBorder="1"/>
    <xf numFmtId="165" fontId="0" fillId="0" borderId="17" xfId="0" applyNumberFormat="1" applyBorder="1"/>
    <xf numFmtId="165" fontId="0" fillId="0" borderId="26" xfId="0" applyNumberFormat="1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31" xfId="0" applyNumberFormat="1" applyBorder="1"/>
    <xf numFmtId="0" fontId="1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7" xfId="0" applyFont="1" applyFill="1" applyBorder="1"/>
    <xf numFmtId="164" fontId="0" fillId="0" borderId="41" xfId="0" applyNumberFormat="1" applyBorder="1"/>
    <xf numFmtId="164" fontId="0" fillId="0" borderId="29" xfId="0" applyNumberFormat="1" applyBorder="1"/>
    <xf numFmtId="164" fontId="0" fillId="0" borderId="42" xfId="0" applyNumberFormat="1" applyBorder="1"/>
    <xf numFmtId="0" fontId="0" fillId="0" borderId="41" xfId="0" applyBorder="1"/>
    <xf numFmtId="0" fontId="0" fillId="0" borderId="42" xfId="0" applyBorder="1"/>
    <xf numFmtId="0" fontId="0" fillId="0" borderId="26" xfId="0" applyBorder="1"/>
    <xf numFmtId="0" fontId="0" fillId="0" borderId="28" xfId="0" applyBorder="1"/>
    <xf numFmtId="0" fontId="1" fillId="5" borderId="41" xfId="0" applyFont="1" applyFill="1" applyBorder="1"/>
    <xf numFmtId="0" fontId="0" fillId="5" borderId="29" xfId="0" applyFill="1" applyBorder="1"/>
    <xf numFmtId="0" fontId="0" fillId="5" borderId="42" xfId="0" applyFill="1" applyBorder="1"/>
    <xf numFmtId="0" fontId="1" fillId="5" borderId="26" xfId="0" applyFont="1" applyFill="1" applyBorder="1"/>
    <xf numFmtId="0" fontId="0" fillId="5" borderId="27" xfId="0" applyFill="1" applyBorder="1"/>
    <xf numFmtId="0" fontId="0" fillId="5" borderId="28" xfId="0" applyFill="1" applyBorder="1"/>
    <xf numFmtId="0" fontId="1" fillId="4" borderId="41" xfId="0" applyFont="1" applyFill="1" applyBorder="1"/>
    <xf numFmtId="164" fontId="0" fillId="4" borderId="29" xfId="0" applyNumberFormat="1" applyFill="1" applyBorder="1"/>
    <xf numFmtId="164" fontId="0" fillId="4" borderId="42" xfId="0" applyNumberFormat="1" applyFill="1" applyBorder="1"/>
    <xf numFmtId="0" fontId="1" fillId="4" borderId="26" xfId="0" applyFont="1" applyFill="1" applyBorder="1"/>
    <xf numFmtId="0" fontId="0" fillId="4" borderId="27" xfId="0" applyFill="1" applyBorder="1"/>
    <xf numFmtId="0" fontId="0" fillId="4" borderId="28" xfId="0" applyFill="1" applyBorder="1"/>
    <xf numFmtId="0" fontId="5" fillId="0" borderId="18" xfId="0" applyFont="1" applyBorder="1"/>
    <xf numFmtId="0" fontId="5" fillId="0" borderId="17" xfId="0" applyFont="1" applyBorder="1"/>
    <xf numFmtId="0" fontId="5" fillId="0" borderId="19" xfId="0" applyFont="1" applyBorder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Ruler="0" topLeftCell="H1" zoomScale="150" workbookViewId="0">
      <selection sqref="A1:L8"/>
    </sheetView>
  </sheetViews>
  <sheetFormatPr baseColWidth="10" defaultRowHeight="16" x14ac:dyDescent="0.2"/>
  <cols>
    <col min="1" max="1" width="12.33203125" bestFit="1" customWidth="1"/>
    <col min="2" max="2" width="28.83203125" customWidth="1"/>
    <col min="3" max="3" width="15" bestFit="1" customWidth="1"/>
    <col min="4" max="4" width="11" bestFit="1" customWidth="1"/>
    <col min="6" max="6" width="15" bestFit="1" customWidth="1"/>
    <col min="7" max="7" width="17.83203125" bestFit="1" customWidth="1"/>
  </cols>
  <sheetData>
    <row r="1" spans="1:12" ht="17" thickBot="1" x14ac:dyDescent="0.25">
      <c r="B1" s="29" t="s">
        <v>18</v>
      </c>
      <c r="H1" s="29" t="s">
        <v>19</v>
      </c>
    </row>
    <row r="2" spans="1:12" ht="17" thickBot="1" x14ac:dyDescent="0.25">
      <c r="A2" s="3" t="s">
        <v>13</v>
      </c>
      <c r="B2" s="6">
        <v>3</v>
      </c>
      <c r="C2" s="7"/>
      <c r="D2" s="8"/>
      <c r="G2" s="88" t="s">
        <v>15</v>
      </c>
      <c r="H2" s="89"/>
      <c r="I2" s="90"/>
      <c r="J2" s="88" t="s">
        <v>16</v>
      </c>
      <c r="K2" s="89"/>
      <c r="L2" s="90"/>
    </row>
    <row r="3" spans="1:12" ht="17" thickBot="1" x14ac:dyDescent="0.25">
      <c r="A3" s="4" t="s">
        <v>0</v>
      </c>
      <c r="B3" s="16" t="s">
        <v>1</v>
      </c>
      <c r="C3" s="15" t="s">
        <v>2</v>
      </c>
      <c r="D3" s="17" t="s">
        <v>3</v>
      </c>
      <c r="G3" s="22" t="s">
        <v>10</v>
      </c>
      <c r="H3" s="18" t="s">
        <v>11</v>
      </c>
      <c r="I3" s="23" t="s">
        <v>12</v>
      </c>
      <c r="J3" s="22" t="s">
        <v>10</v>
      </c>
      <c r="K3" s="18" t="s">
        <v>11</v>
      </c>
      <c r="L3" s="23" t="s">
        <v>12</v>
      </c>
    </row>
    <row r="4" spans="1:12" x14ac:dyDescent="0.2">
      <c r="A4" s="4" t="s">
        <v>9</v>
      </c>
      <c r="B4" s="16" t="s">
        <v>10</v>
      </c>
      <c r="C4" s="15" t="s">
        <v>11</v>
      </c>
      <c r="D4" s="17" t="s">
        <v>12</v>
      </c>
      <c r="F4" s="19" t="s">
        <v>14</v>
      </c>
      <c r="G4" s="24">
        <v>46.097200000000001</v>
      </c>
      <c r="H4" s="1">
        <v>50.094200000000001</v>
      </c>
      <c r="I4" s="25">
        <v>96.191400000000002</v>
      </c>
      <c r="J4" s="24">
        <v>1.36</v>
      </c>
      <c r="K4" s="1">
        <v>1.3884000000000001</v>
      </c>
      <c r="L4" s="25">
        <v>2</v>
      </c>
    </row>
    <row r="5" spans="1:12" x14ac:dyDescent="0.2">
      <c r="A5" s="4" t="s">
        <v>4</v>
      </c>
      <c r="B5" s="9" t="s">
        <v>5</v>
      </c>
      <c r="C5" s="10"/>
      <c r="D5" s="11"/>
      <c r="F5" s="20" t="s">
        <v>2</v>
      </c>
      <c r="G5" s="24">
        <v>18.2149</v>
      </c>
      <c r="H5" s="1">
        <v>50.7791</v>
      </c>
      <c r="I5" s="25">
        <v>68.994</v>
      </c>
      <c r="J5" s="24">
        <v>1.2</v>
      </c>
      <c r="K5" s="1">
        <v>1.1000000000000001</v>
      </c>
      <c r="L5" s="25">
        <v>1.7</v>
      </c>
    </row>
    <row r="6" spans="1:12" ht="17" thickBot="1" x14ac:dyDescent="0.25">
      <c r="A6" s="4" t="s">
        <v>6</v>
      </c>
      <c r="B6" s="9" t="s">
        <v>7</v>
      </c>
      <c r="C6" s="10"/>
      <c r="D6" s="11"/>
      <c r="F6" s="21" t="s">
        <v>3</v>
      </c>
      <c r="G6" s="26">
        <v>7.5881999999999996</v>
      </c>
      <c r="H6" s="27">
        <v>42.543199999999999</v>
      </c>
      <c r="I6" s="28">
        <v>50.131399999999999</v>
      </c>
      <c r="J6" s="26">
        <v>1</v>
      </c>
      <c r="K6" s="27">
        <v>1.2</v>
      </c>
      <c r="L6" s="28">
        <v>1.5</v>
      </c>
    </row>
    <row r="7" spans="1:12" ht="17" thickBot="1" x14ac:dyDescent="0.25">
      <c r="A7" s="5" t="s">
        <v>8</v>
      </c>
      <c r="B7" s="12" t="s">
        <v>17</v>
      </c>
      <c r="C7" s="13"/>
      <c r="D7" s="14"/>
    </row>
  </sheetData>
  <mergeCells count="2">
    <mergeCell ref="G2:I2"/>
    <mergeCell ref="J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O1" zoomScale="150" zoomScaleNormal="150" zoomScalePageLayoutView="150" workbookViewId="0">
      <selection activeCell="P5" sqref="P5"/>
    </sheetView>
  </sheetViews>
  <sheetFormatPr baseColWidth="10" defaultRowHeight="16" x14ac:dyDescent="0.2"/>
  <cols>
    <col min="1" max="1" width="12.33203125" bestFit="1" customWidth="1"/>
    <col min="2" max="2" width="27.6640625" bestFit="1" customWidth="1"/>
    <col min="3" max="3" width="15" bestFit="1" customWidth="1"/>
    <col min="4" max="4" width="20.6640625" bestFit="1" customWidth="1"/>
    <col min="5" max="9" width="17.1640625" customWidth="1"/>
    <col min="10" max="10" width="15.33203125" bestFit="1" customWidth="1"/>
    <col min="11" max="11" width="11.83203125" bestFit="1" customWidth="1"/>
    <col min="12" max="12" width="15.1640625" bestFit="1" customWidth="1"/>
    <col min="13" max="13" width="15" customWidth="1"/>
    <col min="14" max="14" width="8.83203125" bestFit="1" customWidth="1"/>
    <col min="15" max="15" width="19.1640625" customWidth="1"/>
    <col min="16" max="16" width="8.83203125" customWidth="1"/>
    <col min="18" max="18" width="15.1640625" bestFit="1" customWidth="1"/>
    <col min="19" max="19" width="20.5" bestFit="1" customWidth="1"/>
  </cols>
  <sheetData>
    <row r="1" spans="1:22" ht="17" thickBot="1" x14ac:dyDescent="0.25">
      <c r="B1" s="29" t="s">
        <v>18</v>
      </c>
      <c r="L1" s="29" t="s">
        <v>19</v>
      </c>
      <c r="M1" s="29"/>
    </row>
    <row r="2" spans="1:22" ht="17" thickBot="1" x14ac:dyDescent="0.25">
      <c r="A2" s="3" t="s">
        <v>13</v>
      </c>
      <c r="B2" s="6">
        <v>3</v>
      </c>
      <c r="C2" s="7"/>
      <c r="D2" s="31"/>
      <c r="E2" s="31"/>
      <c r="F2" s="7"/>
      <c r="G2" s="7"/>
      <c r="H2" s="7"/>
      <c r="I2" s="7"/>
      <c r="J2" s="8"/>
      <c r="K2" s="89" t="s">
        <v>15</v>
      </c>
      <c r="L2" s="89"/>
      <c r="M2" s="89"/>
      <c r="N2" s="90"/>
      <c r="O2" s="2"/>
      <c r="P2" s="2"/>
      <c r="Q2" s="88" t="s">
        <v>16</v>
      </c>
      <c r="R2" s="89"/>
      <c r="S2" s="91"/>
      <c r="T2" s="33"/>
    </row>
    <row r="3" spans="1:22" ht="34" customHeight="1" thickBot="1" x14ac:dyDescent="0.25">
      <c r="A3" s="4" t="s">
        <v>0</v>
      </c>
      <c r="B3" s="16" t="s">
        <v>20</v>
      </c>
      <c r="C3" s="15" t="s">
        <v>21</v>
      </c>
      <c r="D3" s="33" t="s">
        <v>22</v>
      </c>
      <c r="E3" s="33"/>
      <c r="F3" s="10"/>
      <c r="G3" s="10"/>
      <c r="H3" s="10"/>
      <c r="I3" s="10"/>
      <c r="J3" s="11"/>
      <c r="K3" s="39" t="s">
        <v>27</v>
      </c>
      <c r="L3" s="40" t="s">
        <v>23</v>
      </c>
      <c r="M3" s="41" t="s">
        <v>24</v>
      </c>
      <c r="N3" s="42" t="s">
        <v>25</v>
      </c>
      <c r="O3" s="46" t="s">
        <v>32</v>
      </c>
      <c r="P3" s="45" t="s">
        <v>33</v>
      </c>
      <c r="Q3" s="43" t="s">
        <v>27</v>
      </c>
      <c r="R3" s="40" t="s">
        <v>23</v>
      </c>
      <c r="S3" s="40" t="s">
        <v>24</v>
      </c>
      <c r="T3" s="44" t="s">
        <v>25</v>
      </c>
      <c r="U3" s="40" t="s">
        <v>32</v>
      </c>
      <c r="V3" s="44" t="s">
        <v>34</v>
      </c>
    </row>
    <row r="4" spans="1:22" x14ac:dyDescent="0.2">
      <c r="A4" s="4" t="s">
        <v>9</v>
      </c>
      <c r="B4" s="16" t="s">
        <v>28</v>
      </c>
      <c r="C4" s="15" t="s">
        <v>23</v>
      </c>
      <c r="D4" s="33" t="s">
        <v>26</v>
      </c>
      <c r="E4" s="37" t="s">
        <v>11</v>
      </c>
      <c r="F4" s="47" t="s">
        <v>35</v>
      </c>
      <c r="G4" s="47" t="s">
        <v>33</v>
      </c>
      <c r="H4" s="47"/>
      <c r="I4" s="47"/>
      <c r="J4" s="34" t="s">
        <v>20</v>
      </c>
      <c r="K4" s="33">
        <v>4.5460000000000003</v>
      </c>
      <c r="L4" s="33">
        <v>5.7808999999999999</v>
      </c>
      <c r="M4" s="33">
        <v>5.2729999999999997</v>
      </c>
      <c r="N4" s="33">
        <v>14.9809</v>
      </c>
      <c r="O4" s="33">
        <v>0.70069999999999999</v>
      </c>
      <c r="P4" s="33">
        <v>6.7704000000000004</v>
      </c>
      <c r="Q4" s="1">
        <v>0.19937792143453487</v>
      </c>
      <c r="R4" s="1">
        <v>0.19139223831934493</v>
      </c>
      <c r="S4" s="1">
        <v>0.25390111811053079</v>
      </c>
      <c r="T4" s="33">
        <v>0.33146491351105217</v>
      </c>
      <c r="U4" s="33">
        <v>0.31513843518893947</v>
      </c>
      <c r="V4" s="33">
        <v>0.54554910156852265</v>
      </c>
    </row>
    <row r="5" spans="1:22" x14ac:dyDescent="0.2">
      <c r="A5" s="4" t="s">
        <v>4</v>
      </c>
      <c r="B5" s="9" t="s">
        <v>29</v>
      </c>
      <c r="C5" s="10"/>
      <c r="D5" s="33"/>
      <c r="E5" s="33"/>
      <c r="F5" s="15"/>
      <c r="G5" s="15"/>
      <c r="H5" s="15"/>
      <c r="I5" s="15"/>
      <c r="J5" s="35" t="s">
        <v>21</v>
      </c>
      <c r="K5" s="33">
        <v>3.1819000000000002</v>
      </c>
      <c r="L5" s="33">
        <v>4.4155999999999995</v>
      </c>
      <c r="M5" s="33">
        <v>4.4382999999999999</v>
      </c>
      <c r="N5" s="33">
        <v>11.9505</v>
      </c>
      <c r="O5" s="33">
        <v>0.94399999999999973</v>
      </c>
      <c r="P5" s="33">
        <v>6.9551999999999996</v>
      </c>
      <c r="Q5" s="1">
        <v>3.952903293080224E-2</v>
      </c>
      <c r="R5" s="1">
        <v>9.8340903663395887E-2</v>
      </c>
      <c r="S5" s="33">
        <v>0.12991197874800542</v>
      </c>
      <c r="T5" s="33">
        <v>0.27786737443927773</v>
      </c>
      <c r="U5" s="33">
        <v>0.29404270287002759</v>
      </c>
      <c r="V5" s="33">
        <v>0.61813371440885556</v>
      </c>
    </row>
    <row r="6" spans="1:22" ht="17" thickBot="1" x14ac:dyDescent="0.25">
      <c r="A6" s="4" t="s">
        <v>6</v>
      </c>
      <c r="B6" s="9" t="s">
        <v>36</v>
      </c>
      <c r="C6" s="10"/>
      <c r="D6" s="33"/>
      <c r="E6" s="33"/>
      <c r="F6" s="48"/>
      <c r="G6" s="48"/>
      <c r="H6" s="48"/>
      <c r="I6" s="48"/>
      <c r="J6" s="36" t="s">
        <v>31</v>
      </c>
      <c r="K6" s="33">
        <v>0</v>
      </c>
      <c r="L6" s="33">
        <v>0</v>
      </c>
      <c r="M6" s="33">
        <v>1</v>
      </c>
      <c r="N6" s="33">
        <v>1</v>
      </c>
      <c r="O6" s="33">
        <v>1</v>
      </c>
      <c r="P6" s="33">
        <v>1</v>
      </c>
      <c r="Q6" s="1">
        <v>1</v>
      </c>
      <c r="R6" s="1">
        <v>9.5561396684872939</v>
      </c>
      <c r="S6" s="1">
        <v>1</v>
      </c>
      <c r="T6" s="38">
        <v>1</v>
      </c>
      <c r="U6" s="38">
        <v>1</v>
      </c>
      <c r="V6" s="38">
        <v>1</v>
      </c>
    </row>
    <row r="7" spans="1:22" ht="17" thickBot="1" x14ac:dyDescent="0.25">
      <c r="A7" s="5" t="s">
        <v>8</v>
      </c>
      <c r="B7" s="12" t="s">
        <v>37</v>
      </c>
      <c r="C7" s="13"/>
      <c r="D7" s="32"/>
      <c r="E7" s="32"/>
      <c r="F7" s="13"/>
      <c r="G7" s="13"/>
      <c r="H7" s="13"/>
      <c r="I7" s="13"/>
      <c r="J7" s="14"/>
    </row>
    <row r="8" spans="1:22" ht="17" thickBot="1" x14ac:dyDescent="0.25">
      <c r="B8" s="12" t="s">
        <v>30</v>
      </c>
    </row>
  </sheetData>
  <mergeCells count="2">
    <mergeCell ref="K2:N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Ruler="0" workbookViewId="0">
      <selection sqref="A1:L7"/>
    </sheetView>
  </sheetViews>
  <sheetFormatPr baseColWidth="10" defaultRowHeight="16" x14ac:dyDescent="0.2"/>
  <cols>
    <col min="2" max="2" width="27.6640625" bestFit="1" customWidth="1"/>
    <col min="3" max="3" width="15" bestFit="1" customWidth="1"/>
    <col min="4" max="4" width="11" bestFit="1" customWidth="1"/>
    <col min="6" max="6" width="15.33203125" bestFit="1" customWidth="1"/>
    <col min="9" max="9" width="11.1640625" bestFit="1" customWidth="1"/>
  </cols>
  <sheetData>
    <row r="1" spans="1:12" ht="17" thickBot="1" x14ac:dyDescent="0.25">
      <c r="B1" s="29" t="s">
        <v>18</v>
      </c>
      <c r="H1" s="29" t="s">
        <v>19</v>
      </c>
    </row>
    <row r="2" spans="1:12" ht="17" thickBot="1" x14ac:dyDescent="0.25">
      <c r="A2" s="3" t="s">
        <v>13</v>
      </c>
      <c r="B2" s="6">
        <v>3</v>
      </c>
      <c r="C2" s="7"/>
      <c r="D2" s="8"/>
      <c r="G2" s="88" t="s">
        <v>15</v>
      </c>
      <c r="H2" s="89"/>
      <c r="I2" s="90"/>
      <c r="J2" s="88" t="s">
        <v>16</v>
      </c>
      <c r="K2" s="89"/>
      <c r="L2" s="90"/>
    </row>
    <row r="3" spans="1:12" ht="17" thickBot="1" x14ac:dyDescent="0.25">
      <c r="A3" s="4" t="s">
        <v>0</v>
      </c>
      <c r="B3" s="16" t="s">
        <v>38</v>
      </c>
      <c r="C3" s="15" t="s">
        <v>39</v>
      </c>
      <c r="D3" s="17"/>
      <c r="G3" s="22" t="s">
        <v>41</v>
      </c>
      <c r="H3" s="18" t="s">
        <v>53</v>
      </c>
      <c r="I3" s="23" t="s">
        <v>45</v>
      </c>
      <c r="J3" s="22" t="s">
        <v>10</v>
      </c>
      <c r="K3" s="18" t="s">
        <v>11</v>
      </c>
      <c r="L3" s="23" t="s">
        <v>12</v>
      </c>
    </row>
    <row r="4" spans="1:12" x14ac:dyDescent="0.2">
      <c r="A4" s="4" t="s">
        <v>9</v>
      </c>
      <c r="B4" s="16" t="s">
        <v>41</v>
      </c>
      <c r="C4" s="15" t="s">
        <v>54</v>
      </c>
      <c r="D4" s="17" t="s">
        <v>46</v>
      </c>
      <c r="F4" s="19" t="s">
        <v>43</v>
      </c>
      <c r="G4" s="24">
        <f>3413.83</f>
        <v>3413.83</v>
      </c>
      <c r="H4" s="1">
        <f>1804.793</f>
        <v>1804.7929999999999</v>
      </c>
      <c r="I4" s="25">
        <f>1380.717</f>
        <v>1380.7170000000001</v>
      </c>
      <c r="J4" s="24">
        <f>360.772</f>
        <v>360.77199999999999</v>
      </c>
      <c r="K4" s="1">
        <f xml:space="preserve"> 227.376</f>
        <v>227.376</v>
      </c>
      <c r="L4" s="25">
        <f xml:space="preserve"> 397.886</f>
        <v>397.88600000000002</v>
      </c>
    </row>
    <row r="5" spans="1:12" x14ac:dyDescent="0.2">
      <c r="A5" s="4" t="s">
        <v>4</v>
      </c>
      <c r="B5" s="16" t="s">
        <v>40</v>
      </c>
      <c r="C5" s="10"/>
      <c r="D5" s="11"/>
      <c r="F5" s="20" t="s">
        <v>44</v>
      </c>
      <c r="G5" s="24">
        <f>3558.765</f>
        <v>3558.7649999999999</v>
      </c>
      <c r="H5" s="1">
        <f>1961.752</f>
        <v>1961.752</v>
      </c>
      <c r="I5" s="25">
        <f>184.242</f>
        <v>184.24199999999999</v>
      </c>
      <c r="J5" s="24">
        <f>356.896</f>
        <v>356.89600000000002</v>
      </c>
      <c r="K5" s="1">
        <f xml:space="preserve"> 334.748</f>
        <v>334.74799999999999</v>
      </c>
      <c r="L5" s="25">
        <f xml:space="preserve"> 79.332</f>
        <v>79.331999999999994</v>
      </c>
    </row>
    <row r="6" spans="1:12" ht="17" thickBot="1" x14ac:dyDescent="0.25">
      <c r="A6" s="4" t="s">
        <v>6</v>
      </c>
      <c r="B6" s="9" t="s">
        <v>42</v>
      </c>
      <c r="C6" s="10"/>
      <c r="D6" s="11"/>
      <c r="F6" s="21"/>
      <c r="G6" s="26"/>
      <c r="H6" s="27"/>
      <c r="I6" s="28"/>
      <c r="J6" s="26"/>
      <c r="K6" s="27"/>
      <c r="L6" s="28"/>
    </row>
    <row r="7" spans="1:12" ht="17" thickBot="1" x14ac:dyDescent="0.25">
      <c r="A7" s="5" t="s">
        <v>8</v>
      </c>
      <c r="B7" s="12" t="s">
        <v>42</v>
      </c>
      <c r="C7" s="13"/>
      <c r="D7" s="14"/>
    </row>
  </sheetData>
  <mergeCells count="2">
    <mergeCell ref="G2:I2"/>
    <mergeCell ref="J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showRuler="0" workbookViewId="0">
      <selection activeCell="G25" sqref="G25"/>
    </sheetView>
  </sheetViews>
  <sheetFormatPr baseColWidth="10" defaultRowHeight="16" x14ac:dyDescent="0.2"/>
  <cols>
    <col min="1" max="1" width="12.33203125" bestFit="1" customWidth="1"/>
    <col min="2" max="2" width="25" bestFit="1" customWidth="1"/>
    <col min="4" max="4" width="11.6640625" bestFit="1" customWidth="1"/>
    <col min="7" max="7" width="11.5" bestFit="1" customWidth="1"/>
    <col min="8" max="8" width="11.83203125" bestFit="1" customWidth="1"/>
    <col min="9" max="9" width="13.5" customWidth="1"/>
    <col min="10" max="10" width="11.5" bestFit="1" customWidth="1"/>
    <col min="11" max="11" width="11.83203125" bestFit="1" customWidth="1"/>
  </cols>
  <sheetData>
    <row r="1" spans="1:18" ht="17" thickBot="1" x14ac:dyDescent="0.25">
      <c r="B1" s="29" t="s">
        <v>18</v>
      </c>
      <c r="H1" s="29" t="s">
        <v>19</v>
      </c>
    </row>
    <row r="2" spans="1:18" ht="17" thickBot="1" x14ac:dyDescent="0.25">
      <c r="A2" s="3" t="s">
        <v>13</v>
      </c>
      <c r="B2" s="6">
        <v>3</v>
      </c>
      <c r="C2" s="7"/>
      <c r="D2" s="8"/>
      <c r="G2" s="88" t="s">
        <v>15</v>
      </c>
      <c r="H2" s="89"/>
      <c r="I2" s="90"/>
      <c r="J2" s="88" t="s">
        <v>16</v>
      </c>
      <c r="K2" s="89"/>
      <c r="L2" s="90"/>
    </row>
    <row r="3" spans="1:18" ht="17" thickBot="1" x14ac:dyDescent="0.25">
      <c r="A3" s="4" t="s">
        <v>0</v>
      </c>
      <c r="B3" s="16" t="s">
        <v>43</v>
      </c>
      <c r="C3" s="15" t="s">
        <v>39</v>
      </c>
      <c r="D3" s="17"/>
      <c r="G3" s="65" t="s">
        <v>41</v>
      </c>
      <c r="H3" s="40" t="s">
        <v>70</v>
      </c>
      <c r="I3" s="42" t="s">
        <v>69</v>
      </c>
      <c r="J3" s="65" t="s">
        <v>41</v>
      </c>
      <c r="K3" s="40" t="s">
        <v>70</v>
      </c>
      <c r="L3" s="42" t="s">
        <v>69</v>
      </c>
    </row>
    <row r="4" spans="1:18" x14ac:dyDescent="0.2">
      <c r="A4" s="4" t="s">
        <v>9</v>
      </c>
      <c r="B4" s="16" t="s">
        <v>72</v>
      </c>
      <c r="C4" s="15" t="s">
        <v>73</v>
      </c>
      <c r="D4" s="17" t="s">
        <v>74</v>
      </c>
      <c r="F4" s="19" t="s">
        <v>43</v>
      </c>
      <c r="G4" s="66">
        <f>3826.472</f>
        <v>3826.4720000000002</v>
      </c>
      <c r="H4" s="67">
        <f>2901.416</f>
        <v>2901.4160000000002</v>
      </c>
      <c r="I4" s="68">
        <f>4108.709</f>
        <v>4108.7089999999998</v>
      </c>
      <c r="J4" s="66">
        <f>708.926</f>
        <v>708.92600000000004</v>
      </c>
      <c r="K4" s="67">
        <f>1005.418</f>
        <v>1005.418</v>
      </c>
      <c r="L4" s="68">
        <f>169.1</f>
        <v>169.1</v>
      </c>
    </row>
    <row r="5" spans="1:18" ht="17" thickBot="1" x14ac:dyDescent="0.25">
      <c r="A5" s="4" t="s">
        <v>4</v>
      </c>
      <c r="B5" s="16" t="s">
        <v>40</v>
      </c>
      <c r="C5" s="10"/>
      <c r="D5" s="11"/>
      <c r="E5" t="s">
        <v>71</v>
      </c>
      <c r="F5" s="21" t="s">
        <v>44</v>
      </c>
      <c r="G5" s="26">
        <f>2735.359</f>
        <v>2735.3589999999999</v>
      </c>
      <c r="H5" s="27">
        <f>36.841</f>
        <v>36.841000000000001</v>
      </c>
      <c r="I5" s="28">
        <f>1932.599</f>
        <v>1932.5989999999999</v>
      </c>
      <c r="J5" s="26">
        <f>111.631</f>
        <v>111.631</v>
      </c>
      <c r="K5" s="27">
        <f>0.636</f>
        <v>0.63600000000000001</v>
      </c>
      <c r="L5" s="28">
        <f xml:space="preserve"> 25.119</f>
        <v>25.119</v>
      </c>
    </row>
    <row r="6" spans="1:18" x14ac:dyDescent="0.2">
      <c r="A6" s="4" t="s">
        <v>6</v>
      </c>
      <c r="B6" s="9" t="s">
        <v>42</v>
      </c>
      <c r="C6" s="10"/>
      <c r="D6" s="11"/>
      <c r="F6" s="79" t="s">
        <v>43</v>
      </c>
      <c r="G6" s="80">
        <f>4336.033</f>
        <v>4336.0330000000004</v>
      </c>
      <c r="H6" s="80">
        <f>4697.75</f>
        <v>4697.75</v>
      </c>
      <c r="I6" s="80">
        <f>4279.639</f>
        <v>4279.6390000000001</v>
      </c>
      <c r="J6" s="80">
        <f>638.157</f>
        <v>638.15700000000004</v>
      </c>
      <c r="K6" s="80">
        <f>2232.762</f>
        <v>2232.7620000000002</v>
      </c>
      <c r="L6" s="81">
        <f>229.381</f>
        <v>229.381</v>
      </c>
    </row>
    <row r="7" spans="1:18" ht="17" thickBot="1" x14ac:dyDescent="0.25">
      <c r="A7" s="5" t="s">
        <v>8</v>
      </c>
      <c r="B7" s="12" t="s">
        <v>42</v>
      </c>
      <c r="C7" s="13"/>
      <c r="D7" s="14"/>
      <c r="E7" t="s">
        <v>21</v>
      </c>
      <c r="F7" s="82" t="s">
        <v>44</v>
      </c>
      <c r="G7" s="83">
        <f>5187.623</f>
        <v>5187.6229999999996</v>
      </c>
      <c r="H7" s="83">
        <f>30.944</f>
        <v>30.943999999999999</v>
      </c>
      <c r="I7" s="83">
        <f>3217.221</f>
        <v>3217.221</v>
      </c>
      <c r="J7" s="83">
        <f>858.942</f>
        <v>858.94200000000001</v>
      </c>
      <c r="K7" s="83">
        <f>0.298</f>
        <v>0.29799999999999999</v>
      </c>
      <c r="L7" s="84">
        <f>93.66</f>
        <v>93.66</v>
      </c>
    </row>
    <row r="8" spans="1:18" x14ac:dyDescent="0.2">
      <c r="F8" s="73" t="s">
        <v>43</v>
      </c>
      <c r="G8" s="74">
        <f>4450.58</f>
        <v>4450.58</v>
      </c>
      <c r="H8" s="74">
        <f>4752.477</f>
        <v>4752.4769999999999</v>
      </c>
      <c r="I8" s="74">
        <f>3442.051</f>
        <v>3442.0509999999999</v>
      </c>
      <c r="J8" s="74">
        <f>199.569</f>
        <v>199.56899999999999</v>
      </c>
      <c r="K8" s="74">
        <f>564.303</f>
        <v>564.303</v>
      </c>
      <c r="L8" s="75">
        <f>363.237</f>
        <v>363.23700000000002</v>
      </c>
    </row>
    <row r="9" spans="1:18" ht="17" thickBot="1" x14ac:dyDescent="0.25">
      <c r="E9" t="s">
        <v>20</v>
      </c>
      <c r="F9" s="76" t="s">
        <v>44</v>
      </c>
      <c r="G9" s="77">
        <f>4629.132</f>
        <v>4629.1319999999996</v>
      </c>
      <c r="H9" s="77">
        <f>56.459</f>
        <v>56.459000000000003</v>
      </c>
      <c r="I9" s="77">
        <f>2566.537</f>
        <v>2566.5369999999998</v>
      </c>
      <c r="J9" s="77">
        <f>854.612</f>
        <v>854.61199999999997</v>
      </c>
      <c r="K9" s="77">
        <f>0.509</f>
        <v>0.50900000000000001</v>
      </c>
      <c r="L9" s="78">
        <f>876.241</f>
        <v>876.24099999999999</v>
      </c>
    </row>
    <row r="10" spans="1:18" x14ac:dyDescent="0.2">
      <c r="F10" s="69" t="s">
        <v>43</v>
      </c>
      <c r="G10" s="31">
        <f>3243.288</f>
        <v>3243.288</v>
      </c>
      <c r="H10" s="31">
        <f>6853.291</f>
        <v>6853.2910000000002</v>
      </c>
      <c r="I10" s="31">
        <f>2841.424</f>
        <v>2841.424</v>
      </c>
      <c r="J10" s="31">
        <f>210.091</f>
        <v>210.09100000000001</v>
      </c>
      <c r="K10" s="31">
        <f>1533.994</f>
        <v>1533.9939999999999</v>
      </c>
      <c r="L10" s="70">
        <f>303.476</f>
        <v>303.476</v>
      </c>
    </row>
    <row r="11" spans="1:18" ht="17" thickBot="1" x14ac:dyDescent="0.25">
      <c r="E11" t="s">
        <v>22</v>
      </c>
      <c r="F11" s="71" t="s">
        <v>44</v>
      </c>
      <c r="G11" s="32">
        <f>2619.41</f>
        <v>2619.41</v>
      </c>
      <c r="H11" s="32">
        <f>30.761</f>
        <v>30.760999999999999</v>
      </c>
      <c r="I11" s="32">
        <f>1228.288</f>
        <v>1228.288</v>
      </c>
      <c r="J11" s="32">
        <f>30.945</f>
        <v>30.945</v>
      </c>
      <c r="K11" s="32">
        <f>0.449</f>
        <v>0.44900000000000001</v>
      </c>
      <c r="L11" s="72">
        <f>19.822</f>
        <v>19.821999999999999</v>
      </c>
    </row>
    <row r="13" spans="1:18" ht="17" thickBot="1" x14ac:dyDescent="0.25"/>
    <row r="14" spans="1:18" x14ac:dyDescent="0.2">
      <c r="F14" s="19" t="s">
        <v>43</v>
      </c>
      <c r="G14" s="66">
        <f>3826.472</f>
        <v>3826.4720000000002</v>
      </c>
      <c r="H14" s="67">
        <f>2901.416</f>
        <v>2901.4160000000002</v>
      </c>
      <c r="I14" s="68">
        <f>4108.709</f>
        <v>4108.7089999999998</v>
      </c>
      <c r="J14" s="80">
        <f>4336.033</f>
        <v>4336.0330000000004</v>
      </c>
      <c r="K14" s="80">
        <f>4697.75</f>
        <v>4697.75</v>
      </c>
      <c r="L14" s="80">
        <f>4279.639</f>
        <v>4279.6390000000001</v>
      </c>
      <c r="M14" s="74">
        <f>4450.58</f>
        <v>4450.58</v>
      </c>
      <c r="N14" s="74">
        <f>4752.477</f>
        <v>4752.4769999999999</v>
      </c>
      <c r="O14" s="74">
        <f>3442.051</f>
        <v>3442.0509999999999</v>
      </c>
      <c r="P14" s="31">
        <f>3243.288</f>
        <v>3243.288</v>
      </c>
      <c r="Q14" s="31">
        <f>6853.291</f>
        <v>6853.2910000000002</v>
      </c>
      <c r="R14" s="31">
        <f>2841.424</f>
        <v>2841.424</v>
      </c>
    </row>
    <row r="15" spans="1:18" ht="17" thickBot="1" x14ac:dyDescent="0.25">
      <c r="F15" s="21" t="s">
        <v>44</v>
      </c>
      <c r="G15" s="26">
        <f>2735.359</f>
        <v>2735.3589999999999</v>
      </c>
      <c r="H15" s="27">
        <f>36.841</f>
        <v>36.841000000000001</v>
      </c>
      <c r="I15" s="28">
        <f>1932.599</f>
        <v>1932.5989999999999</v>
      </c>
      <c r="J15" s="83">
        <f>5187.623</f>
        <v>5187.6229999999996</v>
      </c>
      <c r="K15" s="83">
        <f>30.944</f>
        <v>30.943999999999999</v>
      </c>
      <c r="L15" s="83">
        <f>3217.221</f>
        <v>3217.221</v>
      </c>
      <c r="M15" s="77">
        <f>4629.132</f>
        <v>4629.1319999999996</v>
      </c>
      <c r="N15" s="77">
        <f>56.459</f>
        <v>56.459000000000003</v>
      </c>
      <c r="O15" s="77">
        <f>2566.537</f>
        <v>2566.5369999999998</v>
      </c>
      <c r="P15" s="32">
        <f>2619.41</f>
        <v>2619.41</v>
      </c>
      <c r="Q15" s="32">
        <f>30.761</f>
        <v>30.760999999999999</v>
      </c>
      <c r="R15" s="32">
        <f>1228.288</f>
        <v>1228.288</v>
      </c>
    </row>
    <row r="16" spans="1:18" x14ac:dyDescent="0.2">
      <c r="F16" s="19" t="s">
        <v>43</v>
      </c>
      <c r="G16" s="66">
        <f>708.926</f>
        <v>708.92600000000004</v>
      </c>
      <c r="H16" s="67">
        <f>1005.418</f>
        <v>1005.418</v>
      </c>
      <c r="I16" s="68">
        <f>169.1</f>
        <v>169.1</v>
      </c>
      <c r="J16" s="80">
        <f>638.157</f>
        <v>638.15700000000004</v>
      </c>
      <c r="K16" s="80">
        <f>2232.762</f>
        <v>2232.7620000000002</v>
      </c>
      <c r="L16" s="81">
        <f>229.381</f>
        <v>229.381</v>
      </c>
      <c r="M16" s="74">
        <f>199.569</f>
        <v>199.56899999999999</v>
      </c>
      <c r="N16" s="74">
        <f>564.303</f>
        <v>564.303</v>
      </c>
      <c r="O16" s="75">
        <f>363.237</f>
        <v>363.23700000000002</v>
      </c>
      <c r="P16" s="31">
        <f>210.091</f>
        <v>210.09100000000001</v>
      </c>
      <c r="Q16" s="31">
        <f>1533.994</f>
        <v>1533.9939999999999</v>
      </c>
      <c r="R16" s="70">
        <f>303.476</f>
        <v>303.476</v>
      </c>
    </row>
    <row r="17" spans="1:18" ht="17" thickBot="1" x14ac:dyDescent="0.25">
      <c r="F17" s="21" t="s">
        <v>44</v>
      </c>
      <c r="G17" s="26">
        <f>111.631</f>
        <v>111.631</v>
      </c>
      <c r="H17" s="27">
        <f>0.636</f>
        <v>0.63600000000000001</v>
      </c>
      <c r="I17" s="28">
        <f xml:space="preserve"> 25.119</f>
        <v>25.119</v>
      </c>
      <c r="J17" s="83">
        <f>858.942</f>
        <v>858.94200000000001</v>
      </c>
      <c r="K17" s="83">
        <f>0.298</f>
        <v>0.29799999999999999</v>
      </c>
      <c r="L17" s="84">
        <f>93.66</f>
        <v>93.66</v>
      </c>
      <c r="M17" s="77">
        <f>854.612</f>
        <v>854.61199999999997</v>
      </c>
      <c r="N17" s="77">
        <f>0.509</f>
        <v>0.50900000000000001</v>
      </c>
      <c r="O17" s="78">
        <f>876.241</f>
        <v>876.24099999999999</v>
      </c>
      <c r="P17" s="32">
        <f>30.945</f>
        <v>30.945</v>
      </c>
      <c r="Q17" s="32">
        <f>0.449</f>
        <v>0.44900000000000001</v>
      </c>
      <c r="R17" s="72">
        <f>19.822</f>
        <v>19.821999999999999</v>
      </c>
    </row>
    <row r="19" spans="1:18" x14ac:dyDescent="0.2">
      <c r="A19" s="4" t="s">
        <v>9</v>
      </c>
      <c r="B19" s="16" t="s">
        <v>77</v>
      </c>
      <c r="C19" s="15" t="s">
        <v>75</v>
      </c>
      <c r="D19" s="17" t="s">
        <v>76</v>
      </c>
      <c r="E19" s="16" t="s">
        <v>80</v>
      </c>
      <c r="F19" s="15" t="s">
        <v>78</v>
      </c>
      <c r="G19" s="17" t="s">
        <v>79</v>
      </c>
      <c r="H19" s="16" t="s">
        <v>81</v>
      </c>
      <c r="I19" s="15" t="s">
        <v>82</v>
      </c>
      <c r="J19" s="17" t="s">
        <v>83</v>
      </c>
      <c r="K19" s="85" t="s">
        <v>84</v>
      </c>
      <c r="L19" s="86" t="s">
        <v>85</v>
      </c>
      <c r="M19" s="87" t="s">
        <v>86</v>
      </c>
    </row>
  </sheetData>
  <mergeCells count="2">
    <mergeCell ref="G2:I2"/>
    <mergeCell ref="J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showRuler="0" workbookViewId="0">
      <selection activeCell="G14" sqref="G14"/>
    </sheetView>
  </sheetViews>
  <sheetFormatPr baseColWidth="10" defaultRowHeight="16" x14ac:dyDescent="0.2"/>
  <cols>
    <col min="1" max="1" width="12.33203125" bestFit="1" customWidth="1"/>
    <col min="10" max="11" width="11.1640625" bestFit="1" customWidth="1"/>
    <col min="12" max="13" width="12.1640625" bestFit="1" customWidth="1"/>
    <col min="14" max="16" width="12.1640625" customWidth="1"/>
    <col min="17" max="17" width="12.1640625" bestFit="1" customWidth="1"/>
  </cols>
  <sheetData>
    <row r="1" spans="1:22" ht="17" thickBot="1" x14ac:dyDescent="0.25">
      <c r="B1" s="29" t="s">
        <v>18</v>
      </c>
      <c r="J1" s="29" t="s">
        <v>19</v>
      </c>
    </row>
    <row r="2" spans="1:22" ht="17" thickBot="1" x14ac:dyDescent="0.25">
      <c r="A2" s="3" t="s">
        <v>13</v>
      </c>
      <c r="B2" s="6">
        <v>2</v>
      </c>
      <c r="C2" s="7"/>
      <c r="D2" s="8"/>
      <c r="E2" s="10"/>
      <c r="F2" s="10"/>
      <c r="I2" s="88" t="s">
        <v>15</v>
      </c>
      <c r="J2" s="89"/>
      <c r="K2" s="90"/>
      <c r="L2" s="30"/>
      <c r="M2" s="30"/>
      <c r="N2" s="30"/>
      <c r="O2" s="30"/>
      <c r="P2" s="30"/>
      <c r="Q2" s="30"/>
      <c r="R2" s="88" t="s">
        <v>16</v>
      </c>
      <c r="S2" s="89"/>
      <c r="T2" s="90"/>
    </row>
    <row r="3" spans="1:22" ht="17" thickBot="1" x14ac:dyDescent="0.25">
      <c r="A3" s="4" t="s">
        <v>0</v>
      </c>
      <c r="B3" s="16" t="s">
        <v>43</v>
      </c>
      <c r="C3" s="15" t="s">
        <v>39</v>
      </c>
      <c r="D3" s="17"/>
      <c r="E3" s="10"/>
      <c r="F3" s="10"/>
      <c r="I3" s="22">
        <v>2</v>
      </c>
      <c r="J3" s="18">
        <v>4</v>
      </c>
      <c r="K3" s="23">
        <v>8</v>
      </c>
      <c r="L3" s="53">
        <v>12</v>
      </c>
      <c r="M3" s="53">
        <v>16</v>
      </c>
      <c r="N3" s="53">
        <v>20</v>
      </c>
      <c r="O3" s="53">
        <v>24</v>
      </c>
      <c r="P3" s="53">
        <v>28</v>
      </c>
      <c r="Q3" s="53">
        <v>32</v>
      </c>
      <c r="R3" s="22">
        <v>2</v>
      </c>
      <c r="S3" s="18">
        <v>4</v>
      </c>
      <c r="T3" s="23">
        <v>8</v>
      </c>
      <c r="U3" s="54">
        <v>16</v>
      </c>
      <c r="V3" s="54">
        <v>32</v>
      </c>
    </row>
    <row r="4" spans="1:22" x14ac:dyDescent="0.2">
      <c r="A4" s="4" t="s">
        <v>9</v>
      </c>
      <c r="B4" s="16">
        <v>4</v>
      </c>
      <c r="C4" s="15">
        <v>8</v>
      </c>
      <c r="D4" s="17">
        <v>16</v>
      </c>
      <c r="E4" s="52">
        <v>32</v>
      </c>
      <c r="F4" s="52"/>
      <c r="H4" s="19" t="s">
        <v>43</v>
      </c>
      <c r="I4" s="55"/>
      <c r="J4" s="56">
        <f>records/(783913/1000)</f>
        <v>41146.615759657005</v>
      </c>
      <c r="K4" s="57">
        <f>records/(335477/1000)</f>
        <v>96147.774661154122</v>
      </c>
      <c r="L4" s="58">
        <f>records/(281290/1000)</f>
        <v>114669.4407906431</v>
      </c>
      <c r="M4" s="58">
        <f>records/(238662/1000)</f>
        <v>135150.82836815243</v>
      </c>
      <c r="N4" s="58">
        <f>records/(197965/1000)</f>
        <v>162934.69552698708</v>
      </c>
      <c r="O4" s="58">
        <f>records/(198474/1000)</f>
        <v>162516.83847758398</v>
      </c>
      <c r="P4" s="58">
        <f>records/(181629/1000)</f>
        <v>177589.30016682358</v>
      </c>
      <c r="Q4" s="58">
        <f>records/(179385/1000)</f>
        <v>179810.83702650724</v>
      </c>
      <c r="R4" s="55"/>
      <c r="S4" s="56"/>
      <c r="T4" s="57"/>
    </row>
    <row r="5" spans="1:22" x14ac:dyDescent="0.2">
      <c r="A5" s="4" t="s">
        <v>4</v>
      </c>
      <c r="B5" s="16" t="s">
        <v>55</v>
      </c>
      <c r="C5" s="10"/>
      <c r="D5" s="11"/>
      <c r="E5" s="10"/>
      <c r="F5" s="10"/>
      <c r="H5" s="20" t="s">
        <v>44</v>
      </c>
      <c r="I5" s="55"/>
      <c r="J5" s="56"/>
      <c r="K5" s="57"/>
      <c r="L5" s="58"/>
      <c r="M5" s="58"/>
      <c r="N5" s="58"/>
      <c r="O5" s="58"/>
      <c r="P5" s="58"/>
      <c r="Q5" s="58"/>
      <c r="R5" s="55"/>
      <c r="S5" s="56"/>
      <c r="T5" s="57"/>
    </row>
    <row r="6" spans="1:22" ht="17" thickBot="1" x14ac:dyDescent="0.25">
      <c r="A6" s="4" t="s">
        <v>6</v>
      </c>
      <c r="B6" s="9" t="s">
        <v>56</v>
      </c>
      <c r="C6" s="10"/>
      <c r="D6" s="11"/>
      <c r="E6" s="10"/>
      <c r="F6" s="10"/>
      <c r="H6" s="21"/>
      <c r="I6" s="59"/>
      <c r="J6" s="60"/>
      <c r="K6" s="61"/>
      <c r="L6" s="62"/>
      <c r="M6" s="62"/>
      <c r="N6" s="62"/>
      <c r="O6" s="62"/>
      <c r="P6" s="62"/>
      <c r="Q6" s="62"/>
      <c r="R6" s="59"/>
      <c r="S6" s="60"/>
      <c r="T6" s="61"/>
    </row>
    <row r="7" spans="1:22" ht="17" thickBot="1" x14ac:dyDescent="0.25">
      <c r="A7" s="5" t="s">
        <v>8</v>
      </c>
      <c r="B7" s="12" t="s">
        <v>57</v>
      </c>
      <c r="C7" s="13"/>
      <c r="D7" s="14"/>
      <c r="E7" s="10"/>
      <c r="F7" s="10"/>
    </row>
    <row r="12" spans="1:22" x14ac:dyDescent="0.2">
      <c r="C12">
        <f>30622564</f>
        <v>30622564</v>
      </c>
    </row>
    <row r="13" spans="1:22" x14ac:dyDescent="0.2">
      <c r="C13">
        <f>1632803</f>
        <v>1632803</v>
      </c>
      <c r="G13">
        <f>2124956/1000/60</f>
        <v>35.415933333333335</v>
      </c>
    </row>
    <row r="14" spans="1:22" x14ac:dyDescent="0.2">
      <c r="C14">
        <f>SUM(C12:C13)</f>
        <v>32255367</v>
      </c>
    </row>
  </sheetData>
  <mergeCells count="2">
    <mergeCell ref="I2:K2"/>
    <mergeCell ref="R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Ruler="0" workbookViewId="0">
      <selection sqref="A1:L7"/>
    </sheetView>
  </sheetViews>
  <sheetFormatPr baseColWidth="10" defaultRowHeight="16" x14ac:dyDescent="0.2"/>
  <cols>
    <col min="2" max="2" width="25" bestFit="1" customWidth="1"/>
    <col min="8" max="8" width="11.6640625" bestFit="1" customWidth="1"/>
    <col min="10" max="10" width="11.83203125" bestFit="1" customWidth="1"/>
  </cols>
  <sheetData>
    <row r="1" spans="1:12" ht="17" thickBot="1" x14ac:dyDescent="0.25">
      <c r="B1" s="29" t="s">
        <v>18</v>
      </c>
      <c r="H1" s="29" t="s">
        <v>19</v>
      </c>
    </row>
    <row r="2" spans="1:12" ht="17" thickBot="1" x14ac:dyDescent="0.25">
      <c r="A2" s="3" t="s">
        <v>13</v>
      </c>
      <c r="B2" s="6">
        <v>2</v>
      </c>
      <c r="C2" s="7"/>
      <c r="D2" s="8"/>
      <c r="G2" s="88" t="s">
        <v>15</v>
      </c>
      <c r="H2" s="89"/>
      <c r="I2" s="90"/>
      <c r="J2" s="88" t="s">
        <v>16</v>
      </c>
      <c r="K2" s="89"/>
      <c r="L2" s="90"/>
    </row>
    <row r="3" spans="1:12" ht="17" thickBot="1" x14ac:dyDescent="0.25">
      <c r="A3" s="4" t="s">
        <v>0</v>
      </c>
      <c r="B3" s="16" t="s">
        <v>43</v>
      </c>
      <c r="C3" s="15" t="s">
        <v>39</v>
      </c>
      <c r="D3" s="17"/>
      <c r="G3" s="22" t="s">
        <v>49</v>
      </c>
      <c r="H3" s="18" t="s">
        <v>26</v>
      </c>
      <c r="I3" s="23" t="s">
        <v>11</v>
      </c>
      <c r="J3" s="22" t="s">
        <v>10</v>
      </c>
      <c r="K3" s="18" t="s">
        <v>51</v>
      </c>
      <c r="L3" s="23" t="s">
        <v>50</v>
      </c>
    </row>
    <row r="4" spans="1:12" x14ac:dyDescent="0.2">
      <c r="A4" s="4" t="s">
        <v>9</v>
      </c>
      <c r="B4" s="16" t="s">
        <v>47</v>
      </c>
      <c r="C4" s="15" t="s">
        <v>26</v>
      </c>
      <c r="D4" s="17" t="s">
        <v>11</v>
      </c>
      <c r="F4" s="19" t="s">
        <v>43</v>
      </c>
      <c r="G4" s="24">
        <v>8.4725000000000001</v>
      </c>
      <c r="H4" s="1">
        <v>4.5247999999999999</v>
      </c>
      <c r="I4" s="25">
        <v>17.164099999999998</v>
      </c>
      <c r="J4" s="24">
        <v>0.27934289959752973</v>
      </c>
      <c r="K4" s="1">
        <v>0.41690041443437742</v>
      </c>
      <c r="L4" s="25">
        <v>1.6773940403693661</v>
      </c>
    </row>
    <row r="5" spans="1:12" x14ac:dyDescent="0.2">
      <c r="A5" s="4" t="s">
        <v>4</v>
      </c>
      <c r="B5" s="16" t="s">
        <v>5</v>
      </c>
      <c r="C5" s="10"/>
      <c r="D5" s="11"/>
      <c r="F5" s="20" t="s">
        <v>44</v>
      </c>
      <c r="G5" s="24">
        <f>5.8246</f>
        <v>5.8246000000000002</v>
      </c>
      <c r="H5" s="1">
        <v>4.8717999999999995</v>
      </c>
      <c r="I5" s="25">
        <f>38.0316</f>
        <v>38.031599999999997</v>
      </c>
      <c r="J5" s="24">
        <v>1.2</v>
      </c>
      <c r="K5" s="1">
        <v>1.1000000000000001</v>
      </c>
      <c r="L5" s="25">
        <v>1.7</v>
      </c>
    </row>
    <row r="6" spans="1:12" ht="17" thickBot="1" x14ac:dyDescent="0.25">
      <c r="A6" s="4" t="s">
        <v>6</v>
      </c>
      <c r="B6" s="9" t="s">
        <v>48</v>
      </c>
      <c r="C6" s="10"/>
      <c r="D6" s="11"/>
      <c r="F6" s="21"/>
      <c r="G6" s="26"/>
      <c r="H6" s="27"/>
      <c r="I6" s="28"/>
      <c r="J6" s="26"/>
      <c r="K6" s="27"/>
      <c r="L6" s="28"/>
    </row>
    <row r="7" spans="1:12" ht="17" thickBot="1" x14ac:dyDescent="0.25">
      <c r="A7" s="5" t="s">
        <v>8</v>
      </c>
      <c r="B7" s="12" t="s">
        <v>37</v>
      </c>
      <c r="C7" s="13"/>
      <c r="D7" s="14"/>
    </row>
  </sheetData>
  <mergeCells count="2">
    <mergeCell ref="G2:I2"/>
    <mergeCell ref="J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G2" workbookViewId="0">
      <selection sqref="A1:V7"/>
    </sheetView>
  </sheetViews>
  <sheetFormatPr baseColWidth="10" defaultRowHeight="16" x14ac:dyDescent="0.2"/>
  <cols>
    <col min="2" max="2" width="28.1640625" bestFit="1" customWidth="1"/>
    <col min="3" max="3" width="13.5" bestFit="1" customWidth="1"/>
    <col min="4" max="4" width="11.5" bestFit="1" customWidth="1"/>
    <col min="5" max="5" width="9" bestFit="1" customWidth="1"/>
    <col min="6" max="6" width="17.83203125" bestFit="1" customWidth="1"/>
    <col min="7" max="7" width="15.5" bestFit="1" customWidth="1"/>
    <col min="13" max="13" width="13.6640625" customWidth="1"/>
    <col min="15" max="15" width="12.6640625" customWidth="1"/>
    <col min="19" max="19" width="14.33203125" customWidth="1"/>
    <col min="21" max="21" width="15.1640625" customWidth="1"/>
    <col min="22" max="22" width="15.33203125" bestFit="1" customWidth="1"/>
  </cols>
  <sheetData>
    <row r="1" spans="1:22" ht="17" thickBot="1" x14ac:dyDescent="0.25">
      <c r="B1" s="29" t="s">
        <v>18</v>
      </c>
      <c r="L1" s="29" t="s">
        <v>19</v>
      </c>
      <c r="M1" s="29"/>
    </row>
    <row r="2" spans="1:22" ht="17" customHeight="1" thickBot="1" x14ac:dyDescent="0.25">
      <c r="A2" s="3" t="s">
        <v>13</v>
      </c>
      <c r="B2" s="6">
        <v>3</v>
      </c>
      <c r="C2" s="7"/>
      <c r="D2" s="31"/>
      <c r="E2" s="31"/>
      <c r="F2" s="7"/>
      <c r="G2" s="7"/>
      <c r="H2" s="7"/>
      <c r="I2" s="7"/>
      <c r="J2" s="8"/>
      <c r="K2" s="89" t="s">
        <v>15</v>
      </c>
      <c r="L2" s="89"/>
      <c r="M2" s="89"/>
      <c r="N2" s="90"/>
      <c r="O2" s="2"/>
      <c r="P2" s="2"/>
      <c r="Q2" s="88" t="s">
        <v>16</v>
      </c>
      <c r="R2" s="89"/>
      <c r="S2" s="91"/>
      <c r="T2" s="33"/>
    </row>
    <row r="3" spans="1:22" ht="49" thickBot="1" x14ac:dyDescent="0.25">
      <c r="A3" s="4" t="s">
        <v>0</v>
      </c>
      <c r="B3" s="16" t="s">
        <v>22</v>
      </c>
      <c r="C3" s="15"/>
      <c r="D3" s="33"/>
      <c r="E3" s="33"/>
      <c r="F3" s="10"/>
      <c r="G3" s="10"/>
      <c r="H3" s="10"/>
      <c r="I3" s="10"/>
      <c r="J3" s="11"/>
      <c r="K3" s="39" t="s">
        <v>23</v>
      </c>
      <c r="L3" s="49" t="s">
        <v>28</v>
      </c>
      <c r="M3" s="41" t="s">
        <v>24</v>
      </c>
      <c r="N3" s="42" t="s">
        <v>25</v>
      </c>
      <c r="O3" s="46" t="s">
        <v>32</v>
      </c>
      <c r="P3" s="45" t="s">
        <v>33</v>
      </c>
      <c r="Q3" s="43" t="s">
        <v>23</v>
      </c>
      <c r="R3" s="49" t="s">
        <v>27</v>
      </c>
      <c r="S3" s="49" t="s">
        <v>24</v>
      </c>
      <c r="T3" s="50" t="s">
        <v>25</v>
      </c>
      <c r="U3" s="49" t="s">
        <v>32</v>
      </c>
      <c r="V3" s="50" t="s">
        <v>34</v>
      </c>
    </row>
    <row r="4" spans="1:22" x14ac:dyDescent="0.2">
      <c r="A4" s="4" t="s">
        <v>9</v>
      </c>
      <c r="B4" s="15" t="s">
        <v>23</v>
      </c>
      <c r="C4" s="15" t="s">
        <v>28</v>
      </c>
      <c r="D4" s="33" t="s">
        <v>26</v>
      </c>
      <c r="E4" s="37" t="s">
        <v>11</v>
      </c>
      <c r="F4" s="47" t="s">
        <v>35</v>
      </c>
      <c r="G4" s="47" t="s">
        <v>33</v>
      </c>
      <c r="H4" s="47"/>
      <c r="I4" s="47"/>
      <c r="J4" s="34" t="s">
        <v>22</v>
      </c>
      <c r="K4" s="33">
        <v>271.47169999999994</v>
      </c>
      <c r="L4" s="33">
        <v>270.11879999999996</v>
      </c>
      <c r="M4" s="33">
        <v>295.91790000000003</v>
      </c>
      <c r="N4" s="33">
        <v>651.90680000000009</v>
      </c>
      <c r="O4" s="33">
        <v>37.698400000000007</v>
      </c>
      <c r="P4" s="33">
        <v>350.48689999999999</v>
      </c>
      <c r="Q4" s="1">
        <v>4.9846367537330822</v>
      </c>
      <c r="R4" s="1">
        <v>0.47358345504133653</v>
      </c>
      <c r="S4" s="1">
        <v>4.9841386071773401</v>
      </c>
      <c r="T4" s="33">
        <v>50.000254576685251</v>
      </c>
      <c r="U4" s="33">
        <v>7.807035690110979</v>
      </c>
      <c r="V4" s="33">
        <v>22.985454180367583</v>
      </c>
    </row>
    <row r="5" spans="1:22" x14ac:dyDescent="0.2">
      <c r="A5" s="4" t="s">
        <v>4</v>
      </c>
      <c r="B5" s="9" t="s">
        <v>29</v>
      </c>
      <c r="C5" s="10"/>
      <c r="D5" s="33"/>
      <c r="E5" s="33"/>
      <c r="F5" s="15"/>
      <c r="G5" s="15"/>
      <c r="H5" s="15"/>
      <c r="I5" s="15"/>
      <c r="J5" s="35" t="s">
        <v>21</v>
      </c>
      <c r="K5" s="33"/>
      <c r="L5" s="33"/>
      <c r="M5" s="33"/>
      <c r="N5" s="33"/>
      <c r="O5" s="33"/>
      <c r="P5" s="33"/>
      <c r="Q5" s="1"/>
      <c r="R5" s="1"/>
      <c r="S5" s="33"/>
      <c r="T5" s="33"/>
      <c r="U5" s="33"/>
      <c r="V5" s="33"/>
    </row>
    <row r="6" spans="1:22" ht="17" thickBot="1" x14ac:dyDescent="0.25">
      <c r="A6" s="4" t="s">
        <v>6</v>
      </c>
      <c r="B6" s="9" t="s">
        <v>36</v>
      </c>
      <c r="C6" s="10"/>
      <c r="D6" s="33"/>
      <c r="E6" s="33"/>
      <c r="F6" s="48"/>
      <c r="G6" s="48"/>
      <c r="H6" s="48"/>
      <c r="I6" s="48"/>
      <c r="J6" s="36" t="s">
        <v>31</v>
      </c>
      <c r="K6" s="33"/>
      <c r="L6" s="33"/>
      <c r="M6" s="33"/>
      <c r="N6" s="33"/>
      <c r="O6" s="33"/>
      <c r="P6" s="33"/>
      <c r="Q6" s="1"/>
      <c r="R6" s="1"/>
      <c r="S6" s="1"/>
      <c r="T6" s="38"/>
      <c r="U6" s="38"/>
      <c r="V6" s="38"/>
    </row>
    <row r="7" spans="1:22" ht="17" thickBot="1" x14ac:dyDescent="0.25">
      <c r="A7" s="5" t="s">
        <v>8</v>
      </c>
      <c r="B7" s="12" t="s">
        <v>52</v>
      </c>
      <c r="C7" s="13"/>
      <c r="D7" s="32"/>
      <c r="E7" s="32"/>
      <c r="F7" s="13"/>
      <c r="G7" s="13"/>
      <c r="H7" s="13"/>
      <c r="I7" s="13"/>
      <c r="J7" s="14"/>
    </row>
    <row r="8" spans="1:22" ht="17" thickBot="1" x14ac:dyDescent="0.25">
      <c r="B8" s="12" t="s">
        <v>30</v>
      </c>
    </row>
  </sheetData>
  <mergeCells count="2">
    <mergeCell ref="K2:N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showRuler="0" workbookViewId="0">
      <selection activeCell="B4" sqref="B4"/>
    </sheetView>
  </sheetViews>
  <sheetFormatPr baseColWidth="10" defaultRowHeight="16" x14ac:dyDescent="0.2"/>
  <cols>
    <col min="12" max="12" width="16.1640625" customWidth="1"/>
  </cols>
  <sheetData>
    <row r="1" spans="1:22" ht="17" thickBot="1" x14ac:dyDescent="0.25">
      <c r="B1" s="29" t="s">
        <v>18</v>
      </c>
      <c r="L1" s="29" t="s">
        <v>19</v>
      </c>
      <c r="M1" s="29"/>
    </row>
    <row r="2" spans="1:22" ht="17" thickBot="1" x14ac:dyDescent="0.25">
      <c r="A2" s="3" t="s">
        <v>13</v>
      </c>
      <c r="B2" s="6">
        <v>3</v>
      </c>
      <c r="C2" s="7"/>
      <c r="D2" s="31"/>
      <c r="E2" s="31"/>
      <c r="F2" s="7"/>
      <c r="G2" s="7"/>
      <c r="H2" s="7"/>
      <c r="I2" s="7"/>
      <c r="J2" s="8"/>
      <c r="K2" s="89" t="s">
        <v>15</v>
      </c>
      <c r="L2" s="89"/>
      <c r="M2" s="89"/>
      <c r="N2" s="90"/>
      <c r="O2" s="51"/>
      <c r="P2" s="51"/>
      <c r="Q2" s="88" t="s">
        <v>16</v>
      </c>
      <c r="R2" s="89"/>
      <c r="S2" s="91"/>
      <c r="T2" s="33"/>
    </row>
    <row r="3" spans="1:22" ht="49" thickBot="1" x14ac:dyDescent="0.25">
      <c r="A3" s="4" t="s">
        <v>0</v>
      </c>
      <c r="B3" s="16" t="s">
        <v>68</v>
      </c>
      <c r="C3" s="15"/>
      <c r="D3" s="33"/>
      <c r="E3" s="33"/>
      <c r="F3" s="10"/>
      <c r="G3" s="10"/>
      <c r="H3" s="10"/>
      <c r="I3" s="10"/>
      <c r="J3" s="11"/>
      <c r="K3" s="39" t="s">
        <v>58</v>
      </c>
      <c r="L3" s="49" t="s">
        <v>59</v>
      </c>
      <c r="M3" s="41" t="s">
        <v>60</v>
      </c>
      <c r="N3" s="42" t="s">
        <v>65</v>
      </c>
      <c r="O3" s="46"/>
      <c r="P3" s="45"/>
      <c r="Q3" s="43"/>
      <c r="R3" s="49"/>
      <c r="S3" s="49"/>
      <c r="T3" s="50" t="s">
        <v>25</v>
      </c>
      <c r="U3" s="49" t="s">
        <v>32</v>
      </c>
      <c r="V3" s="50" t="s">
        <v>34</v>
      </c>
    </row>
    <row r="4" spans="1:22" x14ac:dyDescent="0.2">
      <c r="A4" s="4" t="s">
        <v>9</v>
      </c>
      <c r="B4" s="15" t="s">
        <v>58</v>
      </c>
      <c r="C4" s="15" t="s">
        <v>59</v>
      </c>
      <c r="D4" s="33" t="s">
        <v>60</v>
      </c>
      <c r="E4" s="37"/>
      <c r="F4" s="47"/>
      <c r="G4" s="47"/>
      <c r="H4" s="47"/>
      <c r="I4" s="47"/>
      <c r="J4" s="34" t="s">
        <v>22</v>
      </c>
      <c r="K4" s="33">
        <v>54.14</v>
      </c>
      <c r="L4" s="33">
        <v>1015</v>
      </c>
      <c r="M4" s="33">
        <v>140</v>
      </c>
      <c r="N4" s="33">
        <v>27.23</v>
      </c>
      <c r="O4" s="33">
        <v>900</v>
      </c>
      <c r="P4" s="33">
        <v>99.33</v>
      </c>
      <c r="Q4" s="1"/>
      <c r="R4" s="1"/>
      <c r="S4" s="1"/>
      <c r="T4" s="33">
        <v>50.000254576685251</v>
      </c>
      <c r="U4" s="33">
        <v>7.807035690110979</v>
      </c>
      <c r="V4" s="33">
        <v>22.985454180367583</v>
      </c>
    </row>
    <row r="5" spans="1:22" x14ac:dyDescent="0.2">
      <c r="A5" s="4" t="s">
        <v>4</v>
      </c>
      <c r="B5" s="9" t="s">
        <v>66</v>
      </c>
      <c r="C5" s="10"/>
      <c r="D5" s="33"/>
      <c r="E5" s="33"/>
      <c r="F5" s="15"/>
      <c r="G5" s="15"/>
      <c r="H5" s="15"/>
      <c r="I5" s="15"/>
      <c r="J5" s="35" t="s">
        <v>21</v>
      </c>
      <c r="K5" s="33"/>
      <c r="L5" s="33"/>
      <c r="M5" s="33"/>
      <c r="N5" s="33"/>
      <c r="O5" s="33"/>
      <c r="P5" s="33"/>
      <c r="Q5" s="1"/>
      <c r="R5" s="1"/>
      <c r="S5" s="33"/>
      <c r="T5" s="33"/>
      <c r="U5" s="33"/>
      <c r="V5" s="33"/>
    </row>
    <row r="6" spans="1:22" ht="17" thickBot="1" x14ac:dyDescent="0.25">
      <c r="A6" s="4" t="s">
        <v>6</v>
      </c>
      <c r="B6" s="9" t="s">
        <v>48</v>
      </c>
      <c r="C6" s="10"/>
      <c r="D6" s="33"/>
      <c r="E6" s="33"/>
      <c r="F6" s="48"/>
      <c r="G6" s="48"/>
      <c r="H6" s="48"/>
      <c r="I6" s="48"/>
      <c r="J6" s="36" t="s">
        <v>31</v>
      </c>
      <c r="K6" s="33"/>
      <c r="L6" s="33"/>
      <c r="M6" s="33"/>
      <c r="N6" s="33"/>
      <c r="O6" s="33"/>
      <c r="P6" s="33"/>
      <c r="Q6" s="1"/>
      <c r="R6" s="1"/>
      <c r="S6" s="1"/>
      <c r="T6" s="38"/>
      <c r="U6" s="38"/>
      <c r="V6" s="38"/>
    </row>
    <row r="7" spans="1:22" ht="17" thickBot="1" x14ac:dyDescent="0.25">
      <c r="A7" s="5" t="s">
        <v>8</v>
      </c>
      <c r="B7" s="12" t="s">
        <v>67</v>
      </c>
      <c r="C7" s="13"/>
      <c r="D7" s="32"/>
      <c r="E7" s="32"/>
      <c r="F7" s="13"/>
      <c r="G7" s="13"/>
      <c r="H7" s="13"/>
      <c r="I7" s="13"/>
      <c r="J7" s="14"/>
    </row>
    <row r="9" spans="1:22" ht="48" x14ac:dyDescent="0.2">
      <c r="J9" s="63" t="s">
        <v>61</v>
      </c>
      <c r="K9" s="64" t="s">
        <v>58</v>
      </c>
      <c r="L9" s="64" t="s">
        <v>62</v>
      </c>
      <c r="M9" s="64" t="s">
        <v>63</v>
      </c>
      <c r="N9" s="64" t="s">
        <v>64</v>
      </c>
      <c r="O9" s="64"/>
    </row>
    <row r="10" spans="1:22" x14ac:dyDescent="0.2">
      <c r="J10">
        <f>1.1*60</f>
        <v>66</v>
      </c>
      <c r="K10">
        <v>47</v>
      </c>
      <c r="L10">
        <v>58</v>
      </c>
      <c r="M10">
        <v>300</v>
      </c>
    </row>
    <row r="11" spans="1:22" x14ac:dyDescent="0.2">
      <c r="J11">
        <f>1.3*60</f>
        <v>78</v>
      </c>
      <c r="K11">
        <v>70</v>
      </c>
      <c r="L11">
        <v>1000</v>
      </c>
      <c r="M11">
        <v>100</v>
      </c>
    </row>
    <row r="12" spans="1:22" x14ac:dyDescent="0.2">
      <c r="J12">
        <f>1.3*60</f>
        <v>78</v>
      </c>
      <c r="K12">
        <v>72</v>
      </c>
      <c r="L12">
        <v>2000</v>
      </c>
      <c r="M12">
        <v>200</v>
      </c>
    </row>
    <row r="13" spans="1:22" x14ac:dyDescent="0.2">
      <c r="J13">
        <f>1.5*60</f>
        <v>90</v>
      </c>
      <c r="K13">
        <v>0</v>
      </c>
      <c r="L13">
        <v>0</v>
      </c>
      <c r="M13">
        <v>80</v>
      </c>
    </row>
    <row r="14" spans="1:22" x14ac:dyDescent="0.2">
      <c r="J14">
        <v>3</v>
      </c>
      <c r="K14">
        <v>77</v>
      </c>
      <c r="L14">
        <v>2000</v>
      </c>
      <c r="M14">
        <v>100</v>
      </c>
    </row>
    <row r="15" spans="1:22" x14ac:dyDescent="0.2">
      <c r="J15">
        <v>6.0000000000000001E-3</v>
      </c>
      <c r="K15">
        <v>43</v>
      </c>
      <c r="L15">
        <v>47</v>
      </c>
      <c r="M15">
        <v>0</v>
      </c>
    </row>
    <row r="16" spans="1:22" x14ac:dyDescent="0.2">
      <c r="J16">
        <f>1.3*60</f>
        <v>78</v>
      </c>
      <c r="K16">
        <v>70</v>
      </c>
      <c r="L16">
        <v>2000</v>
      </c>
      <c r="M16">
        <v>200</v>
      </c>
    </row>
    <row r="17" spans="10:13" x14ac:dyDescent="0.2">
      <c r="J17">
        <f>SUM(J10:J16)/7</f>
        <v>56.143714285714282</v>
      </c>
      <c r="K17">
        <f t="shared" ref="K17:M17" si="0">SUM(K10:K16)/7</f>
        <v>54.142857142857146</v>
      </c>
      <c r="L17">
        <f t="shared" si="0"/>
        <v>1015</v>
      </c>
      <c r="M17">
        <f t="shared" si="0"/>
        <v>140</v>
      </c>
    </row>
    <row r="18" spans="10:13" x14ac:dyDescent="0.2">
      <c r="J18">
        <f>STDEV(J10:J16)</f>
        <v>37.974077692176138</v>
      </c>
      <c r="K18">
        <f t="shared" ref="K18:M18" si="1">STDEV(K10:K16)</f>
        <v>27.23618041887525</v>
      </c>
      <c r="L18">
        <f t="shared" si="1"/>
        <v>982.68323142980989</v>
      </c>
      <c r="M18">
        <f t="shared" si="1"/>
        <v>99.331096171675597</v>
      </c>
    </row>
  </sheetData>
  <mergeCells count="2">
    <mergeCell ref="K2:N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mathlab_source</vt:lpstr>
      <vt:lpstr>datasets_distributed</vt:lpstr>
      <vt:lpstr>single_reads</vt:lpstr>
      <vt:lpstr>performance_all</vt:lpstr>
      <vt:lpstr>scalability_distributed_read</vt:lpstr>
      <vt:lpstr>biogrid_trueno_neo</vt:lpstr>
      <vt:lpstr>pokec</vt:lpstr>
      <vt:lpstr>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2017-04-30T23:16:15Z</dcterms:created>
  <dcterms:modified xsi:type="dcterms:W3CDTF">2017-06-02T17:06:26Z</dcterms:modified>
</cp:coreProperties>
</file>